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mc:AlternateContent xmlns:mc="http://schemas.openxmlformats.org/markup-compatibility/2006">
    <mc:Choice Requires="x15">
      <x15ac:absPath xmlns:x15ac="http://schemas.microsoft.com/office/spreadsheetml/2010/11/ac" url="/Users/steve/Downloads/SOC2 &amp; Pen Test Resource/"/>
    </mc:Choice>
  </mc:AlternateContent>
  <xr:revisionPtr revIDLastSave="0" documentId="8_{60E4B20A-5830-AB47-849B-2BC6471EC01E}" xr6:coauthVersionLast="47" xr6:coauthVersionMax="47" xr10:uidLastSave="{00000000-0000-0000-0000-000000000000}"/>
  <bookViews>
    <workbookView xWindow="49140" yWindow="680" windowWidth="50300" windowHeight="27300" tabRatio="815" xr2:uid="{00000000-000D-0000-FFFF-FFFF00000000}"/>
  </bookViews>
  <sheets>
    <sheet name="START HERE" sheetId="1" r:id="rId1"/>
    <sheet name="Organization" sheetId="2" r:id="rId2"/>
    <sheet name="Product" sheetId="3" r:id="rId3"/>
    <sheet name="Infrastructure" sheetId="4" r:id="rId4"/>
    <sheet name="IT Accessibility" sheetId="5" r:id="rId5"/>
    <sheet name="Case-Specific" sheetId="6" r:id="rId6"/>
    <sheet name="AI" sheetId="7" r:id="rId7"/>
    <sheet name="Privacy" sheetId="8" r:id="rId8"/>
    <sheet name="Institution Evaluation" sheetId="9" r:id="rId9"/>
    <sheet name="High-Risk Evaluation" sheetId="10" r:id="rId10"/>
    <sheet name="Privacy Analyst Evaluation" sheetId="11" r:id="rId11"/>
    <sheet name="Analyst Reference" sheetId="12" r:id="rId12"/>
    <sheet name="Questions" sheetId="13" state="hidden" r:id="rId13"/>
    <sheet name="Auto Responses" sheetId="14" state="hidden" r:id="rId14"/>
    <sheet name="(backend scoring)" sheetId="15" state="hidden" r:id="rId15"/>
  </sheets>
  <definedNames>
    <definedName name="_xlnm._FilterDatabase" localSheetId="14" hidden="1">'(backend scoring)'!$A$2:$V$333</definedName>
    <definedName name="_xlnm._FilterDatabase" localSheetId="12" hidden="1">Questions!$A$2:$X$334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 l="1"/>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84" i="15"/>
  <c r="A283" i="15"/>
  <c r="A282" i="15"/>
  <c r="A281" i="15"/>
  <c r="A280" i="15"/>
  <c r="A279" i="15"/>
  <c r="A278" i="15"/>
  <c r="A277" i="15"/>
  <c r="A276" i="15"/>
  <c r="A275" i="15"/>
  <c r="A274"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C246"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B219" i="15"/>
  <c r="A219" i="15"/>
  <c r="A218" i="15"/>
  <c r="A217" i="15"/>
  <c r="A216" i="15"/>
  <c r="A215" i="15"/>
  <c r="D214"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E128" i="15"/>
  <c r="D128" i="15"/>
  <c r="C128" i="15"/>
  <c r="B128"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C43"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32" i="14"/>
  <c r="X334" i="13"/>
  <c r="X333" i="13"/>
  <c r="X332" i="13"/>
  <c r="X331" i="13"/>
  <c r="X330" i="13"/>
  <c r="X329" i="13"/>
  <c r="X328" i="13"/>
  <c r="X327" i="13"/>
  <c r="X326" i="13"/>
  <c r="X325" i="13"/>
  <c r="X324" i="13"/>
  <c r="X323" i="13"/>
  <c r="X322" i="13"/>
  <c r="X321" i="13"/>
  <c r="X320" i="13"/>
  <c r="X319" i="13"/>
  <c r="X317" i="13"/>
  <c r="X316" i="13"/>
  <c r="X315" i="13"/>
  <c r="X314" i="13"/>
  <c r="X313" i="13"/>
  <c r="X312" i="13"/>
  <c r="X311" i="13"/>
  <c r="X310" i="13"/>
  <c r="X309" i="13"/>
  <c r="X307" i="13"/>
  <c r="X306" i="13"/>
  <c r="X305" i="13"/>
  <c r="X237" i="13"/>
  <c r="X234" i="13"/>
  <c r="X233" i="13"/>
  <c r="X232" i="13"/>
  <c r="X231" i="13"/>
  <c r="X230" i="13"/>
  <c r="X229" i="13"/>
  <c r="X228" i="13"/>
  <c r="X226" i="13"/>
  <c r="X223" i="13"/>
  <c r="X222" i="13"/>
  <c r="X221" i="13"/>
  <c r="X220" i="13"/>
  <c r="X219" i="13"/>
  <c r="X218" i="13"/>
  <c r="X217" i="13"/>
  <c r="X216" i="13"/>
  <c r="X215" i="13"/>
  <c r="X214" i="13"/>
  <c r="X213" i="13"/>
  <c r="X212" i="13"/>
  <c r="X211" i="13"/>
  <c r="X210" i="13"/>
  <c r="X209" i="13"/>
  <c r="X208" i="13"/>
  <c r="X207" i="13"/>
  <c r="X206" i="13"/>
  <c r="X205" i="13"/>
  <c r="X204" i="13"/>
  <c r="X203" i="13"/>
  <c r="X202" i="13"/>
  <c r="X201" i="13"/>
  <c r="X200" i="13"/>
  <c r="X199" i="13"/>
  <c r="X198" i="13"/>
  <c r="X197" i="13"/>
  <c r="X196" i="13"/>
  <c r="X195" i="13"/>
  <c r="X194" i="13"/>
  <c r="X193" i="13"/>
  <c r="X192" i="13"/>
  <c r="X191" i="13"/>
  <c r="X190" i="13"/>
  <c r="X189" i="13"/>
  <c r="X188" i="13"/>
  <c r="X187" i="13"/>
  <c r="X186" i="13"/>
  <c r="X185" i="13"/>
  <c r="X184" i="13"/>
  <c r="X183" i="13"/>
  <c r="X182" i="13"/>
  <c r="X181" i="13"/>
  <c r="X180" i="13"/>
  <c r="X179" i="13"/>
  <c r="X178" i="13"/>
  <c r="X177" i="13"/>
  <c r="X176" i="13"/>
  <c r="X175" i="13"/>
  <c r="X174" i="13"/>
  <c r="X173" i="13"/>
  <c r="X172" i="13"/>
  <c r="X171" i="13"/>
  <c r="X170" i="13"/>
  <c r="X169" i="13"/>
  <c r="X168" i="13"/>
  <c r="X167" i="13"/>
  <c r="X166" i="13"/>
  <c r="X165" i="13"/>
  <c r="X164" i="13"/>
  <c r="X163" i="13"/>
  <c r="X162" i="13"/>
  <c r="X161" i="13"/>
  <c r="X159" i="13"/>
  <c r="X158" i="13"/>
  <c r="X157" i="13"/>
  <c r="X156" i="13"/>
  <c r="X155" i="13"/>
  <c r="X154" i="13"/>
  <c r="X153" i="13"/>
  <c r="X152" i="13"/>
  <c r="X151" i="13"/>
  <c r="X150" i="13"/>
  <c r="X149" i="13"/>
  <c r="X148" i="13"/>
  <c r="X147" i="13"/>
  <c r="X146" i="13"/>
  <c r="X145" i="13"/>
  <c r="X144" i="13"/>
  <c r="X143" i="13"/>
  <c r="X142" i="13"/>
  <c r="X141" i="13"/>
  <c r="X140" i="13"/>
  <c r="X139" i="13"/>
  <c r="X138" i="13"/>
  <c r="X137" i="13"/>
  <c r="X136" i="13"/>
  <c r="X134" i="13"/>
  <c r="X133" i="13"/>
  <c r="X132" i="13"/>
  <c r="X131" i="13"/>
  <c r="X130" i="13"/>
  <c r="X129" i="13"/>
  <c r="X128" i="13"/>
  <c r="X127" i="13"/>
  <c r="X126" i="13"/>
  <c r="X125" i="13"/>
  <c r="X124" i="13"/>
  <c r="X123" i="13"/>
  <c r="X122" i="13"/>
  <c r="X121" i="13"/>
  <c r="X120" i="13"/>
  <c r="X119" i="13"/>
  <c r="X118" i="13"/>
  <c r="X117" i="13"/>
  <c r="X116" i="13"/>
  <c r="X115" i="13"/>
  <c r="X114" i="13"/>
  <c r="X113" i="13"/>
  <c r="X112" i="13"/>
  <c r="X111" i="13"/>
  <c r="X110" i="13"/>
  <c r="X109" i="13"/>
  <c r="X108" i="13"/>
  <c r="X107" i="13"/>
  <c r="X106" i="13"/>
  <c r="X105" i="13"/>
  <c r="X104" i="13"/>
  <c r="X103" i="13"/>
  <c r="X102" i="13"/>
  <c r="X101" i="13"/>
  <c r="X100" i="13"/>
  <c r="X99" i="13"/>
  <c r="X98" i="13"/>
  <c r="X97" i="13"/>
  <c r="X96" i="13"/>
  <c r="X95" i="13"/>
  <c r="X94" i="13"/>
  <c r="X93" i="13"/>
  <c r="X92" i="13"/>
  <c r="X91" i="13"/>
  <c r="X90" i="13"/>
  <c r="X89" i="13"/>
  <c r="X88" i="13"/>
  <c r="X86" i="13"/>
  <c r="X85" i="13"/>
  <c r="X84" i="13"/>
  <c r="X83" i="13"/>
  <c r="X82" i="13"/>
  <c r="X81" i="13"/>
  <c r="X80" i="13"/>
  <c r="X79" i="13"/>
  <c r="X78" i="13"/>
  <c r="X77" i="13"/>
  <c r="X76" i="13"/>
  <c r="X75" i="13"/>
  <c r="X74" i="13"/>
  <c r="X73" i="13"/>
  <c r="X72" i="13"/>
  <c r="X71" i="13"/>
  <c r="X70" i="13"/>
  <c r="X69" i="13"/>
  <c r="X68" i="13"/>
  <c r="X67" i="13"/>
  <c r="X66" i="13"/>
  <c r="X65" i="13"/>
  <c r="X64" i="13"/>
  <c r="X63" i="13"/>
  <c r="X62" i="13"/>
  <c r="X61" i="13"/>
  <c r="X60" i="13"/>
  <c r="X59" i="13"/>
  <c r="X58" i="13"/>
  <c r="X57" i="13"/>
  <c r="X56" i="13"/>
  <c r="X55" i="13"/>
  <c r="X54" i="13"/>
  <c r="X53" i="13"/>
  <c r="X52" i="13"/>
  <c r="X51" i="13"/>
  <c r="X50" i="13"/>
  <c r="X49" i="13"/>
  <c r="X48" i="13"/>
  <c r="X47" i="13"/>
  <c r="X46" i="13"/>
  <c r="X45" i="13"/>
  <c r="X44" i="13"/>
  <c r="X43" i="13"/>
  <c r="X42" i="13"/>
  <c r="X41" i="13"/>
  <c r="X40" i="13"/>
  <c r="X39" i="13"/>
  <c r="X38" i="13"/>
  <c r="X37" i="13"/>
  <c r="X31" i="13"/>
  <c r="X30" i="13"/>
  <c r="X29" i="13"/>
  <c r="X28" i="13"/>
  <c r="X27" i="13"/>
  <c r="X26" i="13"/>
  <c r="X25" i="13"/>
  <c r="X15" i="13"/>
  <c r="X14" i="13"/>
  <c r="X12" i="13"/>
  <c r="B259" i="11"/>
  <c r="B258" i="11"/>
  <c r="B257" i="11"/>
  <c r="B256" i="11"/>
  <c r="B255" i="11"/>
  <c r="B254" i="11"/>
  <c r="B253" i="11"/>
  <c r="B252" i="11"/>
  <c r="B251" i="11"/>
  <c r="B250" i="11"/>
  <c r="B249" i="11"/>
  <c r="B248" i="11"/>
  <c r="A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A217" i="11"/>
  <c r="B216" i="11"/>
  <c r="B215" i="11"/>
  <c r="B214" i="11"/>
  <c r="B213" i="11"/>
  <c r="A212" i="11"/>
  <c r="B211" i="11"/>
  <c r="B210" i="11"/>
  <c r="B209" i="11"/>
  <c r="B208" i="11"/>
  <c r="A207" i="11"/>
  <c r="B206" i="11"/>
  <c r="B205" i="11"/>
  <c r="B204" i="11"/>
  <c r="B203" i="11"/>
  <c r="B202" i="11"/>
  <c r="B201" i="11"/>
  <c r="B200" i="11"/>
  <c r="A199" i="11"/>
  <c r="B198" i="11"/>
  <c r="B197" i="11"/>
  <c r="B196" i="11"/>
  <c r="B195" i="11"/>
  <c r="B194" i="11"/>
  <c r="B193" i="11"/>
  <c r="A192" i="11"/>
  <c r="B191" i="11"/>
  <c r="B190" i="11"/>
  <c r="A189" i="11"/>
  <c r="B188" i="11"/>
  <c r="B187" i="11"/>
  <c r="B186" i="11"/>
  <c r="B185" i="11"/>
  <c r="B184" i="11"/>
  <c r="B183" i="11"/>
  <c r="B182" i="11"/>
  <c r="B181" i="11"/>
  <c r="B180" i="11"/>
  <c r="B179" i="11"/>
  <c r="B178" i="11"/>
  <c r="B177" i="11"/>
  <c r="B176" i="11"/>
  <c r="B175" i="11"/>
  <c r="B174" i="11"/>
  <c r="A173" i="11"/>
  <c r="B172" i="11"/>
  <c r="B171" i="11"/>
  <c r="A170" i="11"/>
  <c r="B169" i="11"/>
  <c r="B168" i="11"/>
  <c r="B167" i="11"/>
  <c r="B166" i="11"/>
  <c r="B165" i="11"/>
  <c r="A164" i="11"/>
  <c r="B163" i="11"/>
  <c r="B162" i="11"/>
  <c r="B161" i="11"/>
  <c r="A160" i="11"/>
  <c r="B159" i="11"/>
  <c r="B158" i="11"/>
  <c r="B157" i="11"/>
  <c r="B156" i="11"/>
  <c r="B155" i="11"/>
  <c r="B154" i="11"/>
  <c r="B153" i="11"/>
  <c r="B152" i="11"/>
  <c r="B151" i="11"/>
  <c r="A150" i="11"/>
  <c r="B149" i="11"/>
  <c r="B148" i="11"/>
  <c r="B147" i="11"/>
  <c r="B146" i="11"/>
  <c r="A145" i="11"/>
  <c r="B144" i="11"/>
  <c r="B143" i="11"/>
  <c r="A142" i="11"/>
  <c r="B141" i="11"/>
  <c r="B140" i="11"/>
  <c r="B139" i="11"/>
  <c r="B138" i="11"/>
  <c r="B137" i="11"/>
  <c r="B136" i="11"/>
  <c r="A135" i="11"/>
  <c r="K134" i="11"/>
  <c r="J134" i="11"/>
  <c r="I134" i="11"/>
  <c r="H134" i="11"/>
  <c r="G134" i="11"/>
  <c r="F134" i="11"/>
  <c r="B134" i="11"/>
  <c r="K133" i="11"/>
  <c r="J133" i="11"/>
  <c r="H133" i="11"/>
  <c r="F133" i="11"/>
  <c r="B133" i="11"/>
  <c r="K132" i="11"/>
  <c r="J132" i="11"/>
  <c r="H132" i="11"/>
  <c r="F132" i="11"/>
  <c r="B132" i="11"/>
  <c r="K131" i="11"/>
  <c r="J131" i="11"/>
  <c r="H131" i="11"/>
  <c r="F131" i="11"/>
  <c r="B131" i="11"/>
  <c r="A130" i="11"/>
  <c r="K129" i="11"/>
  <c r="J129" i="11"/>
  <c r="H129" i="11"/>
  <c r="F129" i="11"/>
  <c r="B129" i="11"/>
  <c r="K128" i="11"/>
  <c r="J128" i="11"/>
  <c r="H128" i="11"/>
  <c r="F128" i="11"/>
  <c r="B128" i="11"/>
  <c r="K127" i="11"/>
  <c r="J127" i="11"/>
  <c r="H127" i="11"/>
  <c r="F127" i="11"/>
  <c r="B127" i="11"/>
  <c r="L126" i="11"/>
  <c r="K126" i="11"/>
  <c r="J126" i="11"/>
  <c r="H126" i="11"/>
  <c r="F126" i="11"/>
  <c r="B126" i="11"/>
  <c r="A125" i="11"/>
  <c r="I120" i="11"/>
  <c r="G120" i="11"/>
  <c r="B120" i="11"/>
  <c r="I119" i="11"/>
  <c r="G119" i="11"/>
  <c r="B119" i="11"/>
  <c r="I118" i="11"/>
  <c r="G118" i="11"/>
  <c r="B118" i="11"/>
  <c r="I117" i="11"/>
  <c r="G117" i="11"/>
  <c r="B117" i="11"/>
  <c r="I116" i="11"/>
  <c r="G116" i="11"/>
  <c r="B116" i="11"/>
  <c r="I115" i="11"/>
  <c r="G115" i="11"/>
  <c r="B115" i="11"/>
  <c r="I114" i="11"/>
  <c r="G114" i="11"/>
  <c r="B114" i="11"/>
  <c r="I113" i="11"/>
  <c r="G113" i="11"/>
  <c r="B113" i="11"/>
  <c r="A112" i="11"/>
  <c r="I111" i="11"/>
  <c r="G111" i="11"/>
  <c r="B111" i="11"/>
  <c r="I110" i="11"/>
  <c r="G110" i="11"/>
  <c r="B110" i="11"/>
  <c r="I109" i="11"/>
  <c r="G109" i="11"/>
  <c r="B109" i="11"/>
  <c r="I108" i="11"/>
  <c r="G108" i="11"/>
  <c r="B108" i="11"/>
  <c r="I107" i="11"/>
  <c r="G107" i="11"/>
  <c r="B107" i="11"/>
  <c r="I106" i="11"/>
  <c r="G106" i="11"/>
  <c r="B106" i="11"/>
  <c r="I105" i="11"/>
  <c r="G105" i="11"/>
  <c r="B105" i="11"/>
  <c r="I104" i="11"/>
  <c r="G104" i="11"/>
  <c r="B104" i="11"/>
  <c r="I103" i="11"/>
  <c r="G103" i="11"/>
  <c r="B103" i="11"/>
  <c r="I102" i="11"/>
  <c r="G102" i="11"/>
  <c r="B102" i="11"/>
  <c r="I101" i="11"/>
  <c r="G101" i="11"/>
  <c r="B101" i="11"/>
  <c r="I100" i="11"/>
  <c r="G100" i="11"/>
  <c r="B100" i="11"/>
  <c r="I99" i="11"/>
  <c r="G99" i="11"/>
  <c r="B99" i="11"/>
  <c r="I98" i="11"/>
  <c r="G98" i="11"/>
  <c r="B98" i="11"/>
  <c r="I97" i="11"/>
  <c r="G97" i="11"/>
  <c r="B97" i="11"/>
  <c r="A96" i="11"/>
  <c r="I95" i="11"/>
  <c r="G95" i="11"/>
  <c r="B95" i="11"/>
  <c r="I94" i="11"/>
  <c r="G94" i="11"/>
  <c r="B94" i="11"/>
  <c r="I93" i="11"/>
  <c r="G93" i="11"/>
  <c r="B93" i="11"/>
  <c r="I92" i="11"/>
  <c r="G92" i="11"/>
  <c r="B92" i="11"/>
  <c r="I91" i="11"/>
  <c r="G91" i="11"/>
  <c r="B91" i="11"/>
  <c r="A90" i="11"/>
  <c r="I89" i="11"/>
  <c r="G89" i="11"/>
  <c r="B89" i="11"/>
  <c r="I88" i="11"/>
  <c r="G88" i="11"/>
  <c r="B88" i="11"/>
  <c r="I87" i="11"/>
  <c r="G87" i="11"/>
  <c r="B87" i="11"/>
  <c r="I86" i="11"/>
  <c r="G86" i="11"/>
  <c r="B86" i="11"/>
  <c r="I85" i="11"/>
  <c r="G85" i="11"/>
  <c r="B85" i="11"/>
  <c r="I84" i="11"/>
  <c r="G84" i="11"/>
  <c r="B84" i="11"/>
  <c r="I83" i="11"/>
  <c r="G83" i="11"/>
  <c r="B83" i="11"/>
  <c r="I82" i="11"/>
  <c r="G82" i="11"/>
  <c r="B82" i="11"/>
  <c r="I81" i="11"/>
  <c r="G81" i="11"/>
  <c r="B81" i="11"/>
  <c r="I80" i="11"/>
  <c r="G80" i="11"/>
  <c r="E80" i="11"/>
  <c r="D80" i="11"/>
  <c r="C80" i="11"/>
  <c r="B80" i="11"/>
  <c r="I79" i="11"/>
  <c r="G79" i="11"/>
  <c r="E79" i="11"/>
  <c r="D79" i="11"/>
  <c r="C79" i="11"/>
  <c r="B79" i="11"/>
  <c r="I78" i="11"/>
  <c r="G78" i="11"/>
  <c r="E78" i="11"/>
  <c r="D78" i="11"/>
  <c r="C78" i="11"/>
  <c r="B78" i="11"/>
  <c r="I77" i="11"/>
  <c r="G77" i="11"/>
  <c r="E77" i="11"/>
  <c r="D77" i="11"/>
  <c r="C77" i="11"/>
  <c r="B77" i="11"/>
  <c r="A76" i="11"/>
  <c r="I75" i="11"/>
  <c r="G75" i="11"/>
  <c r="E75" i="11"/>
  <c r="D75" i="11"/>
  <c r="C75" i="11"/>
  <c r="B75" i="11"/>
  <c r="I74" i="11"/>
  <c r="G74" i="11"/>
  <c r="C74" i="11"/>
  <c r="B74" i="11"/>
  <c r="I73" i="11"/>
  <c r="G73" i="11"/>
  <c r="E73" i="11"/>
  <c r="D73" i="11"/>
  <c r="C73" i="11"/>
  <c r="B73" i="11"/>
  <c r="I72" i="11"/>
  <c r="G72" i="11"/>
  <c r="E72" i="11"/>
  <c r="D72" i="11"/>
  <c r="C72" i="11"/>
  <c r="B72" i="11"/>
  <c r="I71" i="11"/>
  <c r="G71" i="11"/>
  <c r="E71" i="11"/>
  <c r="D71" i="11"/>
  <c r="C71" i="11"/>
  <c r="B71" i="11"/>
  <c r="I70" i="11"/>
  <c r="G70" i="11"/>
  <c r="E70" i="11"/>
  <c r="D70" i="11"/>
  <c r="C70" i="11"/>
  <c r="B70" i="11"/>
  <c r="I69" i="11"/>
  <c r="G69" i="11"/>
  <c r="E69" i="11"/>
  <c r="D69" i="11"/>
  <c r="C69" i="11"/>
  <c r="B69" i="11"/>
  <c r="I68" i="11"/>
  <c r="G68" i="11"/>
  <c r="E68" i="11"/>
  <c r="D68" i="11"/>
  <c r="C68" i="11"/>
  <c r="B68" i="11"/>
  <c r="A67" i="11"/>
  <c r="I66" i="11"/>
  <c r="G66" i="11"/>
  <c r="E66" i="11"/>
  <c r="D66" i="11"/>
  <c r="C66" i="11"/>
  <c r="B66" i="11"/>
  <c r="I65" i="11"/>
  <c r="G65" i="11"/>
  <c r="E65" i="11"/>
  <c r="D65" i="11"/>
  <c r="C65" i="11"/>
  <c r="B65" i="11"/>
  <c r="A64" i="11"/>
  <c r="I63" i="11"/>
  <c r="G63" i="11"/>
  <c r="E63" i="11"/>
  <c r="D63" i="11"/>
  <c r="C63" i="11"/>
  <c r="B63" i="11"/>
  <c r="I62" i="11"/>
  <c r="G62" i="11"/>
  <c r="B62" i="11"/>
  <c r="A61" i="11"/>
  <c r="I60" i="11"/>
  <c r="G60" i="11"/>
  <c r="B60" i="11"/>
  <c r="I59" i="11"/>
  <c r="G59" i="11"/>
  <c r="B59" i="11"/>
  <c r="I58" i="11"/>
  <c r="G58" i="11"/>
  <c r="B58" i="11"/>
  <c r="A57" i="11"/>
  <c r="I56" i="11"/>
  <c r="G56" i="11"/>
  <c r="B56" i="11"/>
  <c r="I55" i="11"/>
  <c r="G55" i="11"/>
  <c r="B55" i="11"/>
  <c r="I54" i="11"/>
  <c r="G54" i="11"/>
  <c r="B54" i="11"/>
  <c r="I53" i="11"/>
  <c r="G53" i="11"/>
  <c r="B53" i="11"/>
  <c r="A52" i="11"/>
  <c r="I51" i="11"/>
  <c r="G51" i="11"/>
  <c r="B51" i="11"/>
  <c r="I50" i="11"/>
  <c r="G50" i="11"/>
  <c r="B50" i="11"/>
  <c r="I49" i="11"/>
  <c r="G49" i="11"/>
  <c r="B49" i="11"/>
  <c r="I48" i="11"/>
  <c r="G48" i="11"/>
  <c r="B48" i="11"/>
  <c r="I47" i="11"/>
  <c r="G47" i="11"/>
  <c r="B47" i="11"/>
  <c r="A46" i="11"/>
  <c r="A43" i="11"/>
  <c r="A42" i="11"/>
  <c r="A41" i="11"/>
  <c r="A40" i="11"/>
  <c r="A39" i="11"/>
  <c r="A38" i="11"/>
  <c r="B30" i="11"/>
  <c r="G30" i="11" s="1"/>
  <c r="B29" i="11"/>
  <c r="G29" i="11" s="1"/>
  <c r="B28" i="11"/>
  <c r="G28" i="11" s="1"/>
  <c r="B27" i="11"/>
  <c r="G27" i="11" s="1"/>
  <c r="B26" i="11"/>
  <c r="G26" i="11" s="1"/>
  <c r="B25" i="11"/>
  <c r="G25" i="11" s="1"/>
  <c r="B24" i="11"/>
  <c r="G24" i="11" s="1"/>
  <c r="B23" i="11"/>
  <c r="G23" i="11" s="1"/>
  <c r="B22" i="11"/>
  <c r="G22" i="11" s="1"/>
  <c r="E21" i="11"/>
  <c r="D21" i="11"/>
  <c r="B21" i="11"/>
  <c r="G21" i="11" s="1"/>
  <c r="C17" i="11"/>
  <c r="A16" i="11"/>
  <c r="A15" i="11"/>
  <c r="A14" i="11"/>
  <c r="C14" i="11" s="1"/>
  <c r="A13" i="11"/>
  <c r="C13" i="11" s="1"/>
  <c r="A12" i="11"/>
  <c r="C12" i="11" s="1"/>
  <c r="A11" i="11"/>
  <c r="A10" i="11"/>
  <c r="A9" i="11"/>
  <c r="A8" i="11"/>
  <c r="A7" i="11"/>
  <c r="A6" i="11"/>
  <c r="A5" i="11"/>
  <c r="I2" i="11"/>
  <c r="C15" i="10"/>
  <c r="A14" i="10"/>
  <c r="A13" i="10"/>
  <c r="A12" i="10"/>
  <c r="C12" i="10" s="1"/>
  <c r="A11" i="10"/>
  <c r="C11" i="10" s="1"/>
  <c r="A10" i="10"/>
  <c r="C10" i="10" s="1"/>
  <c r="A9" i="10"/>
  <c r="A7" i="10"/>
  <c r="A6" i="10"/>
  <c r="A5" i="10"/>
  <c r="K2" i="10"/>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8" i="9"/>
  <c r="A307" i="9"/>
  <c r="A306" i="9"/>
  <c r="A305" i="9"/>
  <c r="A304" i="9"/>
  <c r="A303" i="9"/>
  <c r="A302" i="9"/>
  <c r="A301" i="9"/>
  <c r="A300" i="9"/>
  <c r="A299" i="9"/>
  <c r="A298" i="9"/>
  <c r="A297" i="9"/>
  <c r="A296" i="9"/>
  <c r="A295" i="9"/>
  <c r="A294" i="9"/>
  <c r="A293" i="9"/>
  <c r="A292" i="9"/>
  <c r="A291" i="9"/>
  <c r="A290" i="9"/>
  <c r="A289"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0" i="9"/>
  <c r="A109" i="9"/>
  <c r="A108" i="9"/>
  <c r="A107" i="9"/>
  <c r="A106" i="9"/>
  <c r="A105" i="9"/>
  <c r="A104" i="9"/>
  <c r="A103" i="9"/>
  <c r="A102" i="9"/>
  <c r="A101" i="9"/>
  <c r="A100" i="9"/>
  <c r="A99" i="9"/>
  <c r="A98" i="9"/>
  <c r="A97" i="9"/>
  <c r="A96" i="9"/>
  <c r="A95" i="9"/>
  <c r="A94" i="9"/>
  <c r="A93" i="9"/>
  <c r="A92" i="9"/>
  <c r="A91" i="9"/>
  <c r="A90" i="9"/>
  <c r="A89" i="9"/>
  <c r="A87" i="9"/>
  <c r="A86" i="9"/>
  <c r="A85" i="9"/>
  <c r="A84" i="9"/>
  <c r="A83" i="9"/>
  <c r="A82" i="9"/>
  <c r="A81" i="9"/>
  <c r="I79" i="9"/>
  <c r="G79" i="9"/>
  <c r="A79" i="9"/>
  <c r="A78" i="9"/>
  <c r="A77" i="9"/>
  <c r="A76" i="9"/>
  <c r="A75" i="9"/>
  <c r="A74" i="9"/>
  <c r="A73" i="9"/>
  <c r="A72" i="9"/>
  <c r="A71" i="9"/>
  <c r="A70" i="9"/>
  <c r="A69" i="9"/>
  <c r="A68" i="9"/>
  <c r="A67" i="9"/>
  <c r="A66" i="9"/>
  <c r="A65" i="9"/>
  <c r="A64" i="9"/>
  <c r="A63" i="9"/>
  <c r="A62" i="9"/>
  <c r="A61" i="9"/>
  <c r="A60" i="9"/>
  <c r="A59" i="9"/>
  <c r="A58" i="9"/>
  <c r="A57" i="9"/>
  <c r="A56" i="9"/>
  <c r="A55" i="9"/>
  <c r="A52" i="9"/>
  <c r="A51" i="9"/>
  <c r="A50" i="9"/>
  <c r="A49" i="9"/>
  <c r="A48" i="9"/>
  <c r="A47" i="9"/>
  <c r="G39" i="9"/>
  <c r="G38" i="9"/>
  <c r="B37" i="9"/>
  <c r="G37" i="9" s="1"/>
  <c r="B36" i="9"/>
  <c r="G36" i="9" s="1"/>
  <c r="B35" i="9"/>
  <c r="G35" i="9" s="1"/>
  <c r="B34" i="9"/>
  <c r="G34" i="9" s="1"/>
  <c r="B33" i="9"/>
  <c r="G33" i="9" s="1"/>
  <c r="B32" i="9"/>
  <c r="G32" i="9" s="1"/>
  <c r="B31" i="9"/>
  <c r="G31" i="9" s="1"/>
  <c r="B30" i="9"/>
  <c r="G30" i="9" s="1"/>
  <c r="B29" i="9"/>
  <c r="G29" i="9" s="1"/>
  <c r="B28" i="9"/>
  <c r="G28" i="9" s="1"/>
  <c r="B27" i="9"/>
  <c r="G27" i="9" s="1"/>
  <c r="B26" i="9"/>
  <c r="G26" i="9" s="1"/>
  <c r="B25" i="9"/>
  <c r="G25" i="9" s="1"/>
  <c r="B24" i="9"/>
  <c r="G24" i="9" s="1"/>
  <c r="B23" i="9"/>
  <c r="G23" i="9" s="1"/>
  <c r="B22" i="9"/>
  <c r="G22" i="9" s="1"/>
  <c r="B21" i="9"/>
  <c r="G21" i="9" s="1"/>
  <c r="C17" i="9"/>
  <c r="A16" i="9"/>
  <c r="A15" i="9"/>
  <c r="A14" i="9"/>
  <c r="C14" i="9" s="1"/>
  <c r="A13" i="9"/>
  <c r="C13" i="9" s="1"/>
  <c r="A12" i="9"/>
  <c r="C12" i="9" s="1"/>
  <c r="A11" i="9"/>
  <c r="A10" i="9"/>
  <c r="A9" i="9"/>
  <c r="A8" i="9"/>
  <c r="A7" i="9"/>
  <c r="A6" i="9"/>
  <c r="A5" i="9"/>
  <c r="I2" i="9"/>
  <c r="A107" i="8"/>
  <c r="A106" i="8"/>
  <c r="A105" i="8"/>
  <c r="A104" i="8"/>
  <c r="A103" i="8"/>
  <c r="A102" i="8"/>
  <c r="A101" i="8"/>
  <c r="B97" i="8"/>
  <c r="B96" i="8"/>
  <c r="B95" i="8"/>
  <c r="B94" i="8"/>
  <c r="B93" i="8"/>
  <c r="B92" i="8"/>
  <c r="B91" i="8"/>
  <c r="B90" i="8"/>
  <c r="A89" i="8"/>
  <c r="E88" i="8"/>
  <c r="B88" i="8"/>
  <c r="E87" i="8"/>
  <c r="B87" i="8"/>
  <c r="E86" i="8"/>
  <c r="B86" i="8"/>
  <c r="E85" i="8"/>
  <c r="B85" i="8"/>
  <c r="E84" i="8"/>
  <c r="B84" i="8"/>
  <c r="E83" i="8"/>
  <c r="B83" i="8"/>
  <c r="E82" i="8"/>
  <c r="B82" i="8"/>
  <c r="E81" i="8"/>
  <c r="B81" i="8"/>
  <c r="E80" i="8"/>
  <c r="B80" i="8"/>
  <c r="E79" i="8"/>
  <c r="B79" i="8"/>
  <c r="E78" i="8"/>
  <c r="B78" i="8"/>
  <c r="E77" i="8"/>
  <c r="B77" i="8"/>
  <c r="E76" i="8"/>
  <c r="B76" i="8"/>
  <c r="E75" i="8"/>
  <c r="B75" i="8"/>
  <c r="E74" i="8"/>
  <c r="B74" i="8"/>
  <c r="A73" i="8"/>
  <c r="E72" i="8"/>
  <c r="B72" i="8"/>
  <c r="E71" i="8"/>
  <c r="B71" i="8"/>
  <c r="E70" i="8"/>
  <c r="B70" i="8"/>
  <c r="E69" i="8"/>
  <c r="B69" i="8"/>
  <c r="E68" i="8"/>
  <c r="B68" i="8"/>
  <c r="A67" i="8"/>
  <c r="E66" i="8"/>
  <c r="B66" i="8"/>
  <c r="E65" i="8"/>
  <c r="B65" i="8"/>
  <c r="E64" i="8"/>
  <c r="B64" i="8"/>
  <c r="E63" i="8"/>
  <c r="B63" i="8"/>
  <c r="E62" i="8"/>
  <c r="B62" i="8"/>
  <c r="E61" i="8"/>
  <c r="B61" i="8"/>
  <c r="E60" i="8"/>
  <c r="B60" i="8"/>
  <c r="E59" i="8"/>
  <c r="B59" i="8"/>
  <c r="E58" i="8"/>
  <c r="B58" i="8"/>
  <c r="E57" i="8"/>
  <c r="B57" i="8"/>
  <c r="E56" i="8"/>
  <c r="B56" i="8"/>
  <c r="E55" i="8"/>
  <c r="B55" i="8"/>
  <c r="E54" i="8"/>
  <c r="B54" i="8"/>
  <c r="A53" i="8"/>
  <c r="E52" i="8"/>
  <c r="B52" i="8"/>
  <c r="E51" i="8"/>
  <c r="B51" i="8"/>
  <c r="E50" i="8"/>
  <c r="B50" i="8"/>
  <c r="E49" i="8"/>
  <c r="B49" i="8"/>
  <c r="E48" i="8"/>
  <c r="B48" i="8"/>
  <c r="E47" i="8"/>
  <c r="B47" i="8"/>
  <c r="E46" i="8"/>
  <c r="B46" i="8"/>
  <c r="E45" i="8"/>
  <c r="B45" i="8"/>
  <c r="A44" i="8"/>
  <c r="E43" i="8"/>
  <c r="B43" i="8"/>
  <c r="E42" i="8"/>
  <c r="B42" i="8"/>
  <c r="A41" i="8"/>
  <c r="F40" i="8"/>
  <c r="E40" i="8"/>
  <c r="B40" i="8"/>
  <c r="F39" i="8"/>
  <c r="E39" i="8"/>
  <c r="B39" i="8"/>
  <c r="A38" i="8"/>
  <c r="F37" i="8"/>
  <c r="E37" i="8"/>
  <c r="B37" i="8"/>
  <c r="F36" i="8"/>
  <c r="E36" i="8"/>
  <c r="B36" i="8"/>
  <c r="F35" i="8"/>
  <c r="E35" i="8"/>
  <c r="B35" i="8"/>
  <c r="A34" i="8"/>
  <c r="F33" i="8"/>
  <c r="E33" i="8"/>
  <c r="B33" i="8"/>
  <c r="F32" i="8"/>
  <c r="E32" i="8"/>
  <c r="B32" i="8"/>
  <c r="F31" i="8"/>
  <c r="E31" i="8"/>
  <c r="B31" i="8"/>
  <c r="F30" i="8"/>
  <c r="E30" i="8"/>
  <c r="B30" i="8"/>
  <c r="A29" i="8"/>
  <c r="F28" i="8"/>
  <c r="E28" i="8"/>
  <c r="B28" i="8"/>
  <c r="F27" i="8"/>
  <c r="E27" i="8"/>
  <c r="B27" i="8"/>
  <c r="F26" i="8"/>
  <c r="E26" i="8"/>
  <c r="B26" i="8"/>
  <c r="F25" i="8"/>
  <c r="E25" i="8"/>
  <c r="B25" i="8"/>
  <c r="F24" i="8"/>
  <c r="E24" i="8"/>
  <c r="B24" i="8"/>
  <c r="A23" i="8"/>
  <c r="B22" i="8"/>
  <c r="B21" i="8"/>
  <c r="B20" i="8"/>
  <c r="B19" i="8"/>
  <c r="A18" i="8"/>
  <c r="B17" i="8"/>
  <c r="B16" i="8"/>
  <c r="B15" i="8"/>
  <c r="B14" i="8"/>
  <c r="B13" i="8"/>
  <c r="A12" i="8"/>
  <c r="A11" i="8"/>
  <c r="A10" i="8"/>
  <c r="A9" i="8"/>
  <c r="A8" i="8"/>
  <c r="A7" i="8"/>
  <c r="A6" i="8"/>
  <c r="A5" i="8"/>
  <c r="C3" i="8"/>
  <c r="F2" i="8"/>
  <c r="A65" i="7"/>
  <c r="A64" i="7"/>
  <c r="A63" i="7"/>
  <c r="A62" i="7"/>
  <c r="A61" i="7"/>
  <c r="A60" i="7"/>
  <c r="A59" i="7"/>
  <c r="B55" i="7"/>
  <c r="B54" i="7"/>
  <c r="B53" i="7"/>
  <c r="B52" i="7"/>
  <c r="B51" i="7"/>
  <c r="B50" i="7"/>
  <c r="A49" i="7"/>
  <c r="B48" i="7"/>
  <c r="B47" i="7"/>
  <c r="B46" i="7"/>
  <c r="B45" i="7"/>
  <c r="B44" i="7"/>
  <c r="B43" i="7"/>
  <c r="B42" i="7"/>
  <c r="B41" i="7"/>
  <c r="A40" i="7"/>
  <c r="B39" i="7"/>
  <c r="B38" i="7"/>
  <c r="B37" i="7"/>
  <c r="B36" i="7"/>
  <c r="B35" i="7"/>
  <c r="A34" i="7"/>
  <c r="B33" i="7"/>
  <c r="B32" i="7"/>
  <c r="B31" i="7"/>
  <c r="B30" i="7"/>
  <c r="B29" i="7"/>
  <c r="A28" i="7"/>
  <c r="B27" i="7"/>
  <c r="B26" i="7"/>
  <c r="B25" i="7"/>
  <c r="B24" i="7"/>
  <c r="B23" i="7"/>
  <c r="A22" i="7"/>
  <c r="B21" i="7"/>
  <c r="B20" i="7"/>
  <c r="A19" i="7"/>
  <c r="F18" i="7"/>
  <c r="B18" i="7"/>
  <c r="A17" i="7"/>
  <c r="B16" i="7"/>
  <c r="B15" i="7"/>
  <c r="B14" i="7"/>
  <c r="B13" i="7"/>
  <c r="A12" i="7"/>
  <c r="A11" i="7"/>
  <c r="A10" i="7"/>
  <c r="A9" i="7"/>
  <c r="A8" i="7"/>
  <c r="A7" i="7"/>
  <c r="A6" i="7"/>
  <c r="A5" i="7"/>
  <c r="C3" i="7"/>
  <c r="F2" i="7"/>
  <c r="A94" i="6"/>
  <c r="A93" i="6"/>
  <c r="A92" i="6"/>
  <c r="A91" i="6"/>
  <c r="A90" i="6"/>
  <c r="A89" i="6"/>
  <c r="A88" i="6"/>
  <c r="B85" i="6"/>
  <c r="B84" i="6"/>
  <c r="B83" i="6"/>
  <c r="B82" i="6"/>
  <c r="B81" i="6"/>
  <c r="B80" i="6"/>
  <c r="B79" i="6"/>
  <c r="B78" i="6"/>
  <c r="B77" i="6"/>
  <c r="B76" i="6"/>
  <c r="A75" i="6"/>
  <c r="B74" i="6"/>
  <c r="B73" i="6"/>
  <c r="B72" i="6"/>
  <c r="B71" i="6"/>
  <c r="B70" i="6"/>
  <c r="B69" i="6"/>
  <c r="B68" i="6"/>
  <c r="B67" i="6"/>
  <c r="B66" i="6"/>
  <c r="B65" i="6"/>
  <c r="B64" i="6"/>
  <c r="B63" i="6"/>
  <c r="A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A32" i="6"/>
  <c r="B31" i="6"/>
  <c r="B30" i="6"/>
  <c r="B29" i="6"/>
  <c r="B28" i="6"/>
  <c r="B27" i="6"/>
  <c r="B26" i="6"/>
  <c r="B25" i="6"/>
  <c r="B24" i="6"/>
  <c r="B23" i="6"/>
  <c r="A22" i="6"/>
  <c r="F21" i="6"/>
  <c r="B21" i="6"/>
  <c r="F20" i="6"/>
  <c r="B20" i="6"/>
  <c r="F19" i="6"/>
  <c r="B19" i="6"/>
  <c r="F18" i="6"/>
  <c r="B18" i="6"/>
  <c r="A17" i="6"/>
  <c r="B16" i="6"/>
  <c r="B15" i="6"/>
  <c r="B14" i="6"/>
  <c r="B13" i="6"/>
  <c r="A12" i="6"/>
  <c r="A11" i="6"/>
  <c r="A10" i="6"/>
  <c r="A9" i="6"/>
  <c r="A8" i="6"/>
  <c r="A7" i="6"/>
  <c r="A6" i="6"/>
  <c r="A5" i="6"/>
  <c r="C3" i="6"/>
  <c r="F2" i="6"/>
  <c r="A47" i="5"/>
  <c r="A46" i="5"/>
  <c r="A45" i="5"/>
  <c r="A44" i="5"/>
  <c r="A43" i="5"/>
  <c r="A42" i="5"/>
  <c r="A41" i="5"/>
  <c r="B37" i="5"/>
  <c r="B36" i="5"/>
  <c r="B35" i="5"/>
  <c r="B34" i="5"/>
  <c r="B33" i="5"/>
  <c r="B32" i="5"/>
  <c r="B31" i="5"/>
  <c r="B30" i="5"/>
  <c r="B29" i="5"/>
  <c r="B28" i="5"/>
  <c r="B27" i="5"/>
  <c r="B26" i="5"/>
  <c r="B25" i="5"/>
  <c r="B24" i="5"/>
  <c r="B23" i="5"/>
  <c r="B22" i="5"/>
  <c r="B21" i="5"/>
  <c r="B20" i="5"/>
  <c r="A19" i="5"/>
  <c r="F18" i="5"/>
  <c r="B18" i="5"/>
  <c r="A17" i="5"/>
  <c r="B16" i="5"/>
  <c r="B15" i="5"/>
  <c r="B14" i="5"/>
  <c r="B13" i="5"/>
  <c r="A12" i="5"/>
  <c r="A11" i="5"/>
  <c r="A10" i="5"/>
  <c r="A9" i="5"/>
  <c r="A8" i="5"/>
  <c r="A7" i="5"/>
  <c r="A6" i="5"/>
  <c r="A5" i="5"/>
  <c r="C3" i="5"/>
  <c r="F2" i="5"/>
  <c r="A84" i="4"/>
  <c r="A83" i="4"/>
  <c r="A82" i="4"/>
  <c r="A81" i="4"/>
  <c r="A80" i="4"/>
  <c r="A79" i="4"/>
  <c r="A78" i="4"/>
  <c r="B74" i="4"/>
  <c r="B73" i="4"/>
  <c r="B72" i="4"/>
  <c r="B71" i="4"/>
  <c r="B70" i="4"/>
  <c r="B69" i="4"/>
  <c r="A68" i="4"/>
  <c r="B67" i="4"/>
  <c r="B66" i="4"/>
  <c r="B65" i="4"/>
  <c r="B64" i="4"/>
  <c r="A63" i="4"/>
  <c r="B62" i="4"/>
  <c r="B61" i="4"/>
  <c r="B60" i="4"/>
  <c r="B59" i="4"/>
  <c r="B58" i="4"/>
  <c r="B57" i="4"/>
  <c r="B56" i="4"/>
  <c r="B55" i="4"/>
  <c r="B54" i="4"/>
  <c r="B53" i="4"/>
  <c r="B52" i="4"/>
  <c r="A51" i="4"/>
  <c r="E50" i="4"/>
  <c r="B50" i="4"/>
  <c r="E49" i="4"/>
  <c r="B49" i="4"/>
  <c r="E48" i="4"/>
  <c r="B48" i="4"/>
  <c r="E47" i="4"/>
  <c r="B47" i="4"/>
  <c r="E46" i="4"/>
  <c r="B46" i="4"/>
  <c r="E45" i="4"/>
  <c r="B45" i="4"/>
  <c r="E44" i="4"/>
  <c r="B44" i="4"/>
  <c r="E43" i="4"/>
  <c r="B43" i="4"/>
  <c r="E42" i="4"/>
  <c r="B42" i="4"/>
  <c r="E41" i="4"/>
  <c r="B41" i="4"/>
  <c r="E40" i="4"/>
  <c r="B40" i="4"/>
  <c r="E39" i="4"/>
  <c r="B39" i="4"/>
  <c r="E38" i="4"/>
  <c r="B38" i="4"/>
  <c r="E37" i="4"/>
  <c r="B37" i="4"/>
  <c r="E36" i="4"/>
  <c r="B36" i="4"/>
  <c r="E35" i="4"/>
  <c r="B35" i="4"/>
  <c r="A34" i="4"/>
  <c r="B33" i="4"/>
  <c r="B32" i="4"/>
  <c r="B31" i="4"/>
  <c r="B30" i="4"/>
  <c r="B29" i="4"/>
  <c r="B28" i="4"/>
  <c r="B27" i="4"/>
  <c r="B26" i="4"/>
  <c r="B25" i="4"/>
  <c r="B24" i="4"/>
  <c r="B23" i="4"/>
  <c r="B22" i="4"/>
  <c r="B21" i="4"/>
  <c r="B20" i="4"/>
  <c r="A19" i="4"/>
  <c r="F18" i="4"/>
  <c r="B18" i="4"/>
  <c r="A17" i="4"/>
  <c r="B16" i="4"/>
  <c r="B15" i="4"/>
  <c r="B14" i="4"/>
  <c r="B13" i="4"/>
  <c r="A12" i="4"/>
  <c r="A11" i="4"/>
  <c r="A10" i="4"/>
  <c r="A9" i="4"/>
  <c r="A8" i="4"/>
  <c r="A7" i="4"/>
  <c r="A6" i="4"/>
  <c r="A5" i="4"/>
  <c r="C3" i="4"/>
  <c r="F2" i="4"/>
  <c r="A72" i="3"/>
  <c r="A71" i="3"/>
  <c r="A70" i="3"/>
  <c r="A69" i="3"/>
  <c r="A68" i="3"/>
  <c r="A67" i="3"/>
  <c r="A66" i="3"/>
  <c r="B61" i="3"/>
  <c r="B60" i="3"/>
  <c r="B59" i="3"/>
  <c r="B58" i="3"/>
  <c r="B57" i="3"/>
  <c r="B56" i="3"/>
  <c r="B55" i="3"/>
  <c r="B54" i="3"/>
  <c r="B53" i="3"/>
  <c r="B52" i="3"/>
  <c r="B51" i="3"/>
  <c r="B50" i="3"/>
  <c r="B49" i="3"/>
  <c r="B48" i="3"/>
  <c r="B47" i="3"/>
  <c r="B46" i="3"/>
  <c r="B45" i="3"/>
  <c r="B44" i="3"/>
  <c r="B43" i="3"/>
  <c r="B42" i="3"/>
  <c r="B41" i="3"/>
  <c r="B40" i="3"/>
  <c r="B39" i="3"/>
  <c r="A38" i="3"/>
  <c r="B37" i="3"/>
  <c r="B36" i="3"/>
  <c r="B35" i="3"/>
  <c r="B34" i="3"/>
  <c r="B33" i="3"/>
  <c r="B32" i="3"/>
  <c r="B31" i="3"/>
  <c r="B30" i="3"/>
  <c r="B29" i="3"/>
  <c r="B28" i="3"/>
  <c r="B27" i="3"/>
  <c r="B26" i="3"/>
  <c r="B25" i="3"/>
  <c r="B24" i="3"/>
  <c r="B23" i="3"/>
  <c r="B22" i="3"/>
  <c r="B20" i="3"/>
  <c r="A19" i="3"/>
  <c r="F18" i="3"/>
  <c r="B18" i="3"/>
  <c r="A17" i="3"/>
  <c r="B16" i="3"/>
  <c r="B15" i="3"/>
  <c r="B14" i="3"/>
  <c r="B13" i="3"/>
  <c r="A12" i="3"/>
  <c r="A11" i="3"/>
  <c r="A10" i="3"/>
  <c r="A9" i="3"/>
  <c r="A8" i="3"/>
  <c r="A7" i="3"/>
  <c r="A6" i="3"/>
  <c r="A5" i="3"/>
  <c r="C3" i="3"/>
  <c r="F2" i="3"/>
  <c r="A77" i="2"/>
  <c r="A76" i="2"/>
  <c r="A75" i="2"/>
  <c r="A74" i="2"/>
  <c r="A73" i="2"/>
  <c r="A72" i="2"/>
  <c r="A71" i="2"/>
  <c r="E67" i="2"/>
  <c r="B67" i="2"/>
  <c r="E66" i="2"/>
  <c r="B66" i="2"/>
  <c r="E65" i="2"/>
  <c r="B65" i="2"/>
  <c r="E64" i="2"/>
  <c r="B64" i="2"/>
  <c r="E63" i="2"/>
  <c r="B63" i="2"/>
  <c r="E62" i="2"/>
  <c r="B62" i="2"/>
  <c r="E61" i="2"/>
  <c r="B61" i="2"/>
  <c r="E60" i="2"/>
  <c r="B60" i="2"/>
  <c r="E59" i="2"/>
  <c r="B59" i="2"/>
  <c r="E58" i="2"/>
  <c r="B58" i="2"/>
  <c r="E57" i="2"/>
  <c r="B57" i="2"/>
  <c r="E56" i="2"/>
  <c r="B56" i="2"/>
  <c r="E55" i="2"/>
  <c r="B55" i="2"/>
  <c r="E54" i="2"/>
  <c r="B54" i="2"/>
  <c r="E53" i="2"/>
  <c r="B53" i="2"/>
  <c r="A52" i="2"/>
  <c r="E51" i="2"/>
  <c r="B51" i="2"/>
  <c r="E50" i="2"/>
  <c r="B50" i="2"/>
  <c r="E49" i="2"/>
  <c r="B49" i="2"/>
  <c r="E48" i="2"/>
  <c r="B48" i="2"/>
  <c r="E47" i="2"/>
  <c r="B47" i="2"/>
  <c r="E46" i="2"/>
  <c r="B46" i="2"/>
  <c r="E45" i="2"/>
  <c r="B45" i="2"/>
  <c r="E44" i="2"/>
  <c r="B44" i="2"/>
  <c r="E43" i="2"/>
  <c r="B43" i="2"/>
  <c r="E42" i="2"/>
  <c r="B42" i="2"/>
  <c r="E41" i="2"/>
  <c r="B41" i="2"/>
  <c r="E40" i="2"/>
  <c r="B40" i="2"/>
  <c r="E39" i="2"/>
  <c r="B39" i="2"/>
  <c r="E38" i="2"/>
  <c r="B38" i="2"/>
  <c r="E37" i="2"/>
  <c r="B37" i="2"/>
  <c r="E36" i="2"/>
  <c r="B36" i="2"/>
  <c r="A35" i="2"/>
  <c r="E34" i="2"/>
  <c r="B34" i="2"/>
  <c r="E33" i="2"/>
  <c r="B33" i="2"/>
  <c r="E32" i="2"/>
  <c r="B32" i="2"/>
  <c r="E31" i="2"/>
  <c r="B31" i="2"/>
  <c r="E30" i="2"/>
  <c r="B30" i="2"/>
  <c r="A29" i="2"/>
  <c r="E28" i="2"/>
  <c r="B28" i="2"/>
  <c r="E27" i="2"/>
  <c r="B27" i="2"/>
  <c r="E26" i="2"/>
  <c r="B26" i="2"/>
  <c r="E25" i="2"/>
  <c r="B25" i="2"/>
  <c r="E24" i="2"/>
  <c r="B24" i="2"/>
  <c r="E23" i="2"/>
  <c r="B23" i="2"/>
  <c r="E22" i="2"/>
  <c r="B22" i="2"/>
  <c r="A21" i="2"/>
  <c r="B20" i="2"/>
  <c r="B19" i="2"/>
  <c r="B18" i="2"/>
  <c r="B17" i="2"/>
  <c r="B16" i="2"/>
  <c r="B15" i="2"/>
  <c r="B14" i="2"/>
  <c r="B13" i="2"/>
  <c r="A12" i="2"/>
  <c r="A11" i="2"/>
  <c r="A10" i="2"/>
  <c r="A9" i="2"/>
  <c r="A8" i="2"/>
  <c r="A7" i="2"/>
  <c r="A6" i="2"/>
  <c r="A5" i="2"/>
  <c r="C3" i="2"/>
  <c r="F2" i="2"/>
  <c r="F36" i="1"/>
  <c r="E36" i="1"/>
  <c r="B36" i="1"/>
  <c r="F35" i="1"/>
  <c r="E35" i="1"/>
  <c r="B35" i="1"/>
  <c r="F34" i="1"/>
  <c r="E34" i="1"/>
  <c r="B34" i="1"/>
  <c r="F33" i="1"/>
  <c r="E33" i="1"/>
  <c r="B33" i="1"/>
  <c r="F32" i="1"/>
  <c r="E32" i="1"/>
  <c r="B32" i="1"/>
  <c r="F31" i="1"/>
  <c r="E31" i="1"/>
  <c r="B31" i="1"/>
  <c r="F30" i="1"/>
  <c r="E30" i="1"/>
  <c r="B30" i="1"/>
  <c r="F29" i="1"/>
  <c r="E29" i="1"/>
  <c r="B29" i="1"/>
  <c r="A28" i="1"/>
  <c r="F27" i="1"/>
  <c r="E27" i="1"/>
  <c r="B27" i="1"/>
  <c r="E26" i="1"/>
  <c r="B26" i="1"/>
  <c r="E25" i="1"/>
  <c r="B25" i="1"/>
  <c r="E24" i="1"/>
  <c r="B24" i="1"/>
  <c r="E23" i="1"/>
  <c r="B23" i="1"/>
  <c r="A22" i="1"/>
  <c r="B21" i="1"/>
  <c r="B20" i="1"/>
  <c r="B19" i="1"/>
  <c r="B18" i="1"/>
  <c r="B17" i="1"/>
  <c r="B16" i="1"/>
  <c r="B15" i="1"/>
  <c r="B14" i="1"/>
  <c r="B13" i="1"/>
  <c r="A12" i="1"/>
  <c r="A11" i="1"/>
  <c r="A10" i="1"/>
  <c r="A9" i="1"/>
  <c r="A8" i="1"/>
  <c r="A7" i="1"/>
  <c r="A6" i="1"/>
  <c r="A5" i="1"/>
  <c r="F2" i="1"/>
  <c r="D385" i="12"/>
  <c r="C385" i="12"/>
  <c r="B385" i="12"/>
  <c r="D384" i="12"/>
  <c r="C384" i="12"/>
  <c r="B384" i="12"/>
  <c r="D383" i="12"/>
  <c r="C383" i="12"/>
  <c r="B383" i="12"/>
  <c r="D382" i="12"/>
  <c r="C382" i="12"/>
  <c r="B382" i="12"/>
  <c r="D381" i="12"/>
  <c r="C381" i="12"/>
  <c r="B381" i="12"/>
  <c r="D380" i="12"/>
  <c r="C380" i="12"/>
  <c r="B380" i="12"/>
  <c r="D379" i="12"/>
  <c r="C379" i="12"/>
  <c r="B379" i="12"/>
  <c r="D378" i="12"/>
  <c r="C378" i="12"/>
  <c r="B378" i="12"/>
  <c r="D377" i="12"/>
  <c r="C377" i="12"/>
  <c r="A377" i="12"/>
  <c r="D376" i="12"/>
  <c r="C376" i="12"/>
  <c r="B376" i="12"/>
  <c r="D375" i="12"/>
  <c r="C375" i="12"/>
  <c r="B375" i="12"/>
  <c r="D374" i="12"/>
  <c r="C374" i="12"/>
  <c r="B374" i="12"/>
  <c r="D373" i="12"/>
  <c r="C373" i="12"/>
  <c r="B373" i="12"/>
  <c r="D372" i="12"/>
  <c r="C372" i="12"/>
  <c r="B372" i="12"/>
  <c r="D371" i="12"/>
  <c r="C371" i="12"/>
  <c r="B371" i="12"/>
  <c r="D370" i="12"/>
  <c r="C370" i="12"/>
  <c r="B370" i="12"/>
  <c r="D369" i="12"/>
  <c r="C369" i="12"/>
  <c r="B369" i="12"/>
  <c r="D368" i="12"/>
  <c r="C368" i="12"/>
  <c r="B368" i="12"/>
  <c r="D367" i="12"/>
  <c r="C367" i="12"/>
  <c r="B367" i="12"/>
  <c r="D366" i="12"/>
  <c r="C366" i="12"/>
  <c r="B366" i="12"/>
  <c r="D365" i="12"/>
  <c r="C365" i="12"/>
  <c r="B365" i="12"/>
  <c r="D364" i="12"/>
  <c r="C364" i="12"/>
  <c r="B364" i="12"/>
  <c r="D363" i="12"/>
  <c r="C363" i="12"/>
  <c r="B363" i="12"/>
  <c r="D362" i="12"/>
  <c r="C362" i="12"/>
  <c r="B362" i="12"/>
  <c r="D361" i="12"/>
  <c r="C361" i="12"/>
  <c r="A361" i="12"/>
  <c r="D360" i="12"/>
  <c r="C360" i="12"/>
  <c r="B360" i="12"/>
  <c r="D359" i="12"/>
  <c r="C359" i="12"/>
  <c r="B359" i="12"/>
  <c r="D358" i="12"/>
  <c r="C358" i="12"/>
  <c r="B358" i="12"/>
  <c r="D357" i="12"/>
  <c r="C357" i="12"/>
  <c r="B357" i="12"/>
  <c r="D356" i="12"/>
  <c r="C356" i="12"/>
  <c r="B356" i="12"/>
  <c r="D355" i="12"/>
  <c r="C355" i="12"/>
  <c r="A355" i="12"/>
  <c r="D354" i="12"/>
  <c r="C354" i="12"/>
  <c r="B354" i="12"/>
  <c r="D353" i="12"/>
  <c r="C353" i="12"/>
  <c r="B353" i="12"/>
  <c r="D352" i="12"/>
  <c r="C352" i="12"/>
  <c r="B352" i="12"/>
  <c r="D351" i="12"/>
  <c r="C351" i="12"/>
  <c r="B351" i="12"/>
  <c r="D350" i="12"/>
  <c r="C350" i="12"/>
  <c r="B350" i="12"/>
  <c r="D349" i="12"/>
  <c r="C349" i="12"/>
  <c r="B349" i="12"/>
  <c r="D348" i="12"/>
  <c r="C348" i="12"/>
  <c r="B348" i="12"/>
  <c r="D347" i="12"/>
  <c r="C347" i="12"/>
  <c r="B347" i="12"/>
  <c r="D346" i="12"/>
  <c r="C346" i="12"/>
  <c r="B346" i="12"/>
  <c r="D345" i="12"/>
  <c r="C345" i="12"/>
  <c r="B345" i="12"/>
  <c r="D344" i="12"/>
  <c r="C344" i="12"/>
  <c r="B344" i="12"/>
  <c r="D343" i="12"/>
  <c r="C343" i="12"/>
  <c r="B343" i="12"/>
  <c r="D342" i="12"/>
  <c r="C342" i="12"/>
  <c r="B342" i="12"/>
  <c r="D341" i="12"/>
  <c r="C341" i="12"/>
  <c r="A341" i="12"/>
  <c r="D340" i="12"/>
  <c r="C340" i="12"/>
  <c r="B340" i="12"/>
  <c r="D339" i="12"/>
  <c r="C339" i="12"/>
  <c r="B339" i="12"/>
  <c r="D338" i="12"/>
  <c r="C338" i="12"/>
  <c r="B338" i="12"/>
  <c r="D337" i="12"/>
  <c r="C337" i="12"/>
  <c r="B337" i="12"/>
  <c r="D336" i="12"/>
  <c r="C336" i="12"/>
  <c r="B336" i="12"/>
  <c r="D335" i="12"/>
  <c r="C335" i="12"/>
  <c r="B335" i="12"/>
  <c r="D334" i="12"/>
  <c r="C334" i="12"/>
  <c r="B334" i="12"/>
  <c r="D333" i="12"/>
  <c r="C333" i="12"/>
  <c r="B333" i="12"/>
  <c r="D332" i="12"/>
  <c r="C332" i="12"/>
  <c r="A332" i="12"/>
  <c r="D331" i="12"/>
  <c r="C331" i="12"/>
  <c r="B331" i="12"/>
  <c r="D330" i="12"/>
  <c r="C330" i="12"/>
  <c r="B330" i="12"/>
  <c r="D329" i="12"/>
  <c r="C329" i="12"/>
  <c r="A329" i="12"/>
  <c r="D328" i="12"/>
  <c r="C328" i="12"/>
  <c r="B328" i="12"/>
  <c r="D327" i="12"/>
  <c r="C327" i="12"/>
  <c r="B327" i="12"/>
  <c r="D326" i="12"/>
  <c r="C326" i="12"/>
  <c r="A326" i="12"/>
  <c r="D325" i="12"/>
  <c r="C325" i="12"/>
  <c r="B325" i="12"/>
  <c r="D324" i="12"/>
  <c r="C324" i="12"/>
  <c r="B324" i="12"/>
  <c r="D323" i="12"/>
  <c r="C323" i="12"/>
  <c r="B323" i="12"/>
  <c r="D322" i="12"/>
  <c r="C322" i="12"/>
  <c r="A322" i="12"/>
  <c r="D321" i="12"/>
  <c r="C321" i="12"/>
  <c r="B321" i="12"/>
  <c r="D320" i="12"/>
  <c r="C320" i="12"/>
  <c r="B320" i="12"/>
  <c r="D319" i="12"/>
  <c r="C319" i="12"/>
  <c r="B319" i="12"/>
  <c r="D318" i="12"/>
  <c r="C318" i="12"/>
  <c r="B318" i="12"/>
  <c r="D317" i="12"/>
  <c r="C317" i="12"/>
  <c r="A317" i="12"/>
  <c r="D316" i="12"/>
  <c r="C316" i="12"/>
  <c r="B316" i="12"/>
  <c r="D315" i="12"/>
  <c r="C315" i="12"/>
  <c r="B315" i="12"/>
  <c r="D314" i="12"/>
  <c r="C314" i="12"/>
  <c r="B314" i="12"/>
  <c r="D313" i="12"/>
  <c r="C313" i="12"/>
  <c r="B313" i="12"/>
  <c r="D312" i="12"/>
  <c r="C312" i="12"/>
  <c r="B312" i="12"/>
  <c r="D311" i="12"/>
  <c r="C311" i="12"/>
  <c r="A311" i="12"/>
  <c r="D310" i="12"/>
  <c r="C310" i="12"/>
  <c r="B310" i="12"/>
  <c r="D309" i="12"/>
  <c r="C309" i="12"/>
  <c r="B309" i="12"/>
  <c r="D308" i="12"/>
  <c r="C308" i="12"/>
  <c r="B308" i="12"/>
  <c r="D307" i="12"/>
  <c r="C307" i="12"/>
  <c r="B307" i="12"/>
  <c r="D306" i="12"/>
  <c r="C306" i="12"/>
  <c r="B306" i="12"/>
  <c r="D305" i="12"/>
  <c r="C305" i="12"/>
  <c r="B305" i="12"/>
  <c r="D304" i="12"/>
  <c r="C304" i="12"/>
  <c r="B304" i="12"/>
  <c r="D303" i="12"/>
  <c r="C303" i="12"/>
  <c r="B303" i="12"/>
  <c r="D302" i="12"/>
  <c r="C302" i="12"/>
  <c r="A302" i="12"/>
  <c r="D301" i="12"/>
  <c r="C301" i="12"/>
  <c r="B301" i="12"/>
  <c r="D300" i="12"/>
  <c r="C300" i="12"/>
  <c r="B300" i="12"/>
  <c r="D299" i="12"/>
  <c r="C299" i="12"/>
  <c r="B299" i="12"/>
  <c r="D298" i="12"/>
  <c r="C298" i="12"/>
  <c r="B298" i="12"/>
  <c r="D297" i="12"/>
  <c r="C297" i="12"/>
  <c r="B297" i="12"/>
  <c r="D296" i="12"/>
  <c r="C296" i="12"/>
  <c r="B296" i="12"/>
  <c r="D295" i="12"/>
  <c r="C295" i="12"/>
  <c r="B295" i="12"/>
  <c r="D294" i="12"/>
  <c r="C294" i="12"/>
  <c r="B294" i="12"/>
  <c r="D293" i="12"/>
  <c r="C293" i="12"/>
  <c r="A293" i="12"/>
  <c r="D292" i="12"/>
  <c r="C292" i="12"/>
  <c r="B292" i="12"/>
  <c r="D291" i="12"/>
  <c r="C291" i="12"/>
  <c r="B291" i="12"/>
  <c r="D290" i="12"/>
  <c r="C290" i="12"/>
  <c r="B290" i="12"/>
  <c r="D289" i="12"/>
  <c r="C289" i="12"/>
  <c r="B289" i="12"/>
  <c r="D288" i="12"/>
  <c r="C288" i="12"/>
  <c r="B288" i="12"/>
  <c r="D287" i="12"/>
  <c r="C287" i="12"/>
  <c r="A287" i="12"/>
  <c r="D286" i="12"/>
  <c r="C286" i="12"/>
  <c r="B286" i="12"/>
  <c r="D285" i="12"/>
  <c r="C285" i="12"/>
  <c r="B285" i="12"/>
  <c r="D284" i="12"/>
  <c r="C284" i="12"/>
  <c r="B284" i="12"/>
  <c r="D283" i="12"/>
  <c r="C283" i="12"/>
  <c r="B283" i="12"/>
  <c r="D282" i="12"/>
  <c r="C282" i="12"/>
  <c r="B282" i="12"/>
  <c r="D281" i="12"/>
  <c r="C281" i="12"/>
  <c r="A281" i="12"/>
  <c r="D280" i="12"/>
  <c r="C280" i="12"/>
  <c r="B280" i="12"/>
  <c r="D279" i="12"/>
  <c r="C279" i="12"/>
  <c r="B279" i="12"/>
  <c r="D278" i="12"/>
  <c r="C278" i="12"/>
  <c r="B278" i="12"/>
  <c r="D277" i="12"/>
  <c r="C277" i="12"/>
  <c r="B277" i="12"/>
  <c r="D276" i="12"/>
  <c r="C276" i="12"/>
  <c r="B276" i="12"/>
  <c r="D275" i="12"/>
  <c r="C275" i="12"/>
  <c r="A275" i="12"/>
  <c r="D274" i="12"/>
  <c r="C274" i="12"/>
  <c r="B274" i="12"/>
  <c r="D273" i="12"/>
  <c r="C273" i="12"/>
  <c r="B273" i="12"/>
  <c r="D272" i="12"/>
  <c r="C272" i="12"/>
  <c r="A272" i="12"/>
  <c r="D271" i="12"/>
  <c r="C271" i="12"/>
  <c r="B271" i="12"/>
  <c r="D270" i="12"/>
  <c r="C270" i="12"/>
  <c r="B270" i="12"/>
  <c r="D269" i="12"/>
  <c r="C269" i="12"/>
  <c r="B269" i="12"/>
  <c r="D268" i="12"/>
  <c r="C268" i="12"/>
  <c r="B268" i="12"/>
  <c r="D267" i="12"/>
  <c r="C267" i="12"/>
  <c r="B267" i="12"/>
  <c r="D266" i="12"/>
  <c r="C266" i="12"/>
  <c r="B266" i="12"/>
  <c r="D265" i="12"/>
  <c r="C265" i="12"/>
  <c r="B265" i="12"/>
  <c r="D264" i="12"/>
  <c r="C264" i="12"/>
  <c r="B264" i="12"/>
  <c r="D263" i="12"/>
  <c r="C263" i="12"/>
  <c r="B263" i="12"/>
  <c r="D262" i="12"/>
  <c r="C262" i="12"/>
  <c r="B262" i="12"/>
  <c r="D261" i="12"/>
  <c r="C261" i="12"/>
  <c r="A261" i="12"/>
  <c r="D260" i="12"/>
  <c r="C260" i="12"/>
  <c r="B260" i="12"/>
  <c r="D259" i="12"/>
  <c r="C259" i="12"/>
  <c r="B259" i="12"/>
  <c r="D258" i="12"/>
  <c r="C258" i="12"/>
  <c r="B258" i="12"/>
  <c r="D257" i="12"/>
  <c r="C257" i="12"/>
  <c r="B257" i="12"/>
  <c r="D256" i="12"/>
  <c r="C256" i="12"/>
  <c r="B256" i="12"/>
  <c r="D255" i="12"/>
  <c r="C255" i="12"/>
  <c r="B255" i="12"/>
  <c r="D254" i="12"/>
  <c r="C254" i="12"/>
  <c r="B254" i="12"/>
  <c r="D253" i="12"/>
  <c r="C253" i="12"/>
  <c r="B253" i="12"/>
  <c r="D252" i="12"/>
  <c r="C252" i="12"/>
  <c r="B252" i="12"/>
  <c r="D251" i="12"/>
  <c r="C251" i="12"/>
  <c r="B251" i="12"/>
  <c r="D250" i="12"/>
  <c r="C250" i="12"/>
  <c r="B250" i="12"/>
  <c r="D249" i="12"/>
  <c r="C249" i="12"/>
  <c r="B249" i="12"/>
  <c r="D248" i="12"/>
  <c r="C248" i="12"/>
  <c r="A248" i="12"/>
  <c r="D247" i="12"/>
  <c r="C247" i="12"/>
  <c r="B247" i="12"/>
  <c r="D246" i="12"/>
  <c r="C246" i="12"/>
  <c r="B246" i="12"/>
  <c r="D245" i="12"/>
  <c r="C245" i="12"/>
  <c r="B245" i="12"/>
  <c r="D244" i="12"/>
  <c r="C244" i="12"/>
  <c r="B244" i="12"/>
  <c r="D243" i="12"/>
  <c r="C243" i="12"/>
  <c r="B243" i="12"/>
  <c r="D242" i="12"/>
  <c r="C242" i="12"/>
  <c r="B242" i="12"/>
  <c r="D241" i="12"/>
  <c r="C241" i="12"/>
  <c r="B241" i="12"/>
  <c r="D240" i="12"/>
  <c r="C240" i="12"/>
  <c r="B240" i="12"/>
  <c r="D239" i="12"/>
  <c r="C239" i="12"/>
  <c r="B239" i="12"/>
  <c r="D238" i="12"/>
  <c r="C238" i="12"/>
  <c r="B238" i="12"/>
  <c r="D237" i="12"/>
  <c r="C237" i="12"/>
  <c r="B237" i="12"/>
  <c r="D236" i="12"/>
  <c r="C236" i="12"/>
  <c r="B236" i="12"/>
  <c r="D235" i="12"/>
  <c r="C235" i="12"/>
  <c r="B235" i="12"/>
  <c r="D234" i="12"/>
  <c r="C234" i="12"/>
  <c r="B234" i="12"/>
  <c r="D233" i="12"/>
  <c r="C233" i="12"/>
  <c r="B233" i="12"/>
  <c r="D232" i="12"/>
  <c r="C232" i="12"/>
  <c r="B232" i="12"/>
  <c r="D231" i="12"/>
  <c r="C231" i="12"/>
  <c r="B231" i="12"/>
  <c r="D230" i="12"/>
  <c r="C230" i="12"/>
  <c r="B230" i="12"/>
  <c r="D229" i="12"/>
  <c r="C229" i="12"/>
  <c r="B229" i="12"/>
  <c r="D228" i="12"/>
  <c r="C228" i="12"/>
  <c r="B228" i="12"/>
  <c r="D227" i="12"/>
  <c r="C227" i="12"/>
  <c r="B227" i="12"/>
  <c r="D226" i="12"/>
  <c r="C226" i="12"/>
  <c r="B226" i="12"/>
  <c r="D225" i="12"/>
  <c r="C225" i="12"/>
  <c r="B225" i="12"/>
  <c r="D224" i="12"/>
  <c r="C224" i="12"/>
  <c r="B224" i="12"/>
  <c r="D223" i="12"/>
  <c r="C223" i="12"/>
  <c r="B223" i="12"/>
  <c r="D222" i="12"/>
  <c r="C222" i="12"/>
  <c r="B222" i="12"/>
  <c r="D221" i="12"/>
  <c r="C221" i="12"/>
  <c r="B221" i="12"/>
  <c r="D220" i="12"/>
  <c r="C220" i="12"/>
  <c r="B220" i="12"/>
  <c r="D219" i="12"/>
  <c r="C219" i="12"/>
  <c r="B219" i="12"/>
  <c r="D218" i="12"/>
  <c r="C218" i="12"/>
  <c r="A218" i="12"/>
  <c r="D217" i="12"/>
  <c r="C217" i="12"/>
  <c r="B217" i="12"/>
  <c r="D216" i="12"/>
  <c r="C216" i="12"/>
  <c r="B216" i="12"/>
  <c r="D215" i="12"/>
  <c r="C215" i="12"/>
  <c r="B215" i="12"/>
  <c r="D214" i="12"/>
  <c r="C214" i="12"/>
  <c r="B214" i="12"/>
  <c r="D213" i="12"/>
  <c r="C213" i="12"/>
  <c r="B213" i="12"/>
  <c r="D212" i="12"/>
  <c r="C212" i="12"/>
  <c r="B212" i="12"/>
  <c r="D211" i="12"/>
  <c r="C211" i="12"/>
  <c r="B211" i="12"/>
  <c r="D210" i="12"/>
  <c r="C210" i="12"/>
  <c r="B210" i="12"/>
  <c r="D209" i="12"/>
  <c r="C209" i="12"/>
  <c r="B209" i="12"/>
  <c r="D208" i="12"/>
  <c r="C208" i="12"/>
  <c r="A208" i="12"/>
  <c r="D207" i="12"/>
  <c r="C207" i="12"/>
  <c r="B207" i="12"/>
  <c r="D206" i="12"/>
  <c r="C206" i="12"/>
  <c r="B206" i="12"/>
  <c r="D205" i="12"/>
  <c r="C205" i="12"/>
  <c r="B205" i="12"/>
  <c r="D204" i="12"/>
  <c r="C204" i="12"/>
  <c r="B204" i="12"/>
  <c r="D203" i="12"/>
  <c r="C203" i="12"/>
  <c r="B203" i="12"/>
  <c r="D202" i="12"/>
  <c r="C202" i="12"/>
  <c r="B202" i="12"/>
  <c r="D201" i="12"/>
  <c r="C201" i="12"/>
  <c r="B201" i="12"/>
  <c r="D200" i="12"/>
  <c r="C200" i="12"/>
  <c r="B200" i="12"/>
  <c r="D199" i="12"/>
  <c r="C199" i="12"/>
  <c r="B199" i="12"/>
  <c r="D198" i="12"/>
  <c r="C198" i="12"/>
  <c r="B198" i="12"/>
  <c r="D197" i="12"/>
  <c r="C197" i="12"/>
  <c r="B197" i="12"/>
  <c r="D196" i="12"/>
  <c r="C196" i="12"/>
  <c r="B196" i="12"/>
  <c r="D195" i="12"/>
  <c r="C195" i="12"/>
  <c r="B195" i="12"/>
  <c r="D194" i="12"/>
  <c r="C194" i="12"/>
  <c r="B194" i="12"/>
  <c r="D193" i="12"/>
  <c r="C193" i="12"/>
  <c r="B193" i="12"/>
  <c r="D192" i="12"/>
  <c r="C192" i="12"/>
  <c r="B192" i="12"/>
  <c r="D191" i="12"/>
  <c r="C191" i="12"/>
  <c r="B191" i="12"/>
  <c r="D190" i="12"/>
  <c r="C190" i="12"/>
  <c r="B190" i="12"/>
  <c r="D189" i="12"/>
  <c r="C189" i="12"/>
  <c r="A189" i="12"/>
  <c r="D188" i="12"/>
  <c r="C188" i="12"/>
  <c r="B188" i="12"/>
  <c r="D187" i="12"/>
  <c r="C187" i="12"/>
  <c r="B187" i="12"/>
  <c r="D186" i="12"/>
  <c r="C186" i="12"/>
  <c r="B186" i="12"/>
  <c r="D185" i="12"/>
  <c r="C185" i="12"/>
  <c r="B185" i="12"/>
  <c r="D184" i="12"/>
  <c r="C184" i="12"/>
  <c r="B184" i="12"/>
  <c r="D183" i="12"/>
  <c r="C183" i="12"/>
  <c r="B183" i="12"/>
  <c r="D182" i="12"/>
  <c r="C182" i="12"/>
  <c r="A182" i="12"/>
  <c r="D181" i="12"/>
  <c r="C181" i="12"/>
  <c r="B181" i="12"/>
  <c r="D180" i="12"/>
  <c r="C180" i="12"/>
  <c r="B180" i="12"/>
  <c r="D179" i="12"/>
  <c r="C179" i="12"/>
  <c r="B179" i="12"/>
  <c r="D178" i="12"/>
  <c r="C178" i="12"/>
  <c r="B178" i="12"/>
  <c r="D177" i="12"/>
  <c r="C177" i="12"/>
  <c r="A177" i="12"/>
  <c r="D176" i="12"/>
  <c r="C176" i="12"/>
  <c r="B176" i="12"/>
  <c r="D175" i="12"/>
  <c r="C175" i="12"/>
  <c r="B175" i="12"/>
  <c r="D174" i="12"/>
  <c r="C174" i="12"/>
  <c r="B174" i="12"/>
  <c r="D173" i="12"/>
  <c r="C173" i="12"/>
  <c r="B173" i="12"/>
  <c r="D172" i="12"/>
  <c r="C172" i="12"/>
  <c r="B172" i="12"/>
  <c r="D171" i="12"/>
  <c r="C171" i="12"/>
  <c r="B171" i="12"/>
  <c r="D170" i="12"/>
  <c r="C170" i="12"/>
  <c r="B170" i="12"/>
  <c r="D169" i="12"/>
  <c r="C169" i="12"/>
  <c r="B169" i="12"/>
  <c r="D168" i="12"/>
  <c r="C168" i="12"/>
  <c r="B168" i="12"/>
  <c r="D167" i="12"/>
  <c r="C167" i="12"/>
  <c r="B167" i="12"/>
  <c r="D166" i="12"/>
  <c r="C166" i="12"/>
  <c r="B166" i="12"/>
  <c r="D165" i="12"/>
  <c r="C165" i="12"/>
  <c r="A165" i="12"/>
  <c r="D164" i="12"/>
  <c r="C164" i="12"/>
  <c r="B164" i="12"/>
  <c r="D163" i="12"/>
  <c r="C163" i="12"/>
  <c r="B163" i="12"/>
  <c r="D162" i="12"/>
  <c r="C162" i="12"/>
  <c r="B162" i="12"/>
  <c r="D161" i="12"/>
  <c r="C161" i="12"/>
  <c r="B161" i="12"/>
  <c r="D160" i="12"/>
  <c r="C160" i="12"/>
  <c r="B160" i="12"/>
  <c r="D159" i="12"/>
  <c r="C159" i="12"/>
  <c r="B159" i="12"/>
  <c r="D158" i="12"/>
  <c r="C158" i="12"/>
  <c r="B158" i="12"/>
  <c r="D157" i="12"/>
  <c r="C157" i="12"/>
  <c r="B157" i="12"/>
  <c r="D156" i="12"/>
  <c r="C156" i="12"/>
  <c r="B156" i="12"/>
  <c r="D155" i="12"/>
  <c r="C155" i="12"/>
  <c r="B155" i="12"/>
  <c r="D154" i="12"/>
  <c r="C154" i="12"/>
  <c r="B154" i="12"/>
  <c r="D153" i="12"/>
  <c r="C153" i="12"/>
  <c r="B153" i="12"/>
  <c r="D152" i="12"/>
  <c r="C152" i="12"/>
  <c r="B152" i="12"/>
  <c r="D151" i="12"/>
  <c r="C151" i="12"/>
  <c r="B151" i="12"/>
  <c r="D150" i="12"/>
  <c r="C150" i="12"/>
  <c r="B150" i="12"/>
  <c r="D149" i="12"/>
  <c r="C149" i="12"/>
  <c r="B149" i="12"/>
  <c r="D148" i="12"/>
  <c r="C148" i="12"/>
  <c r="A148" i="12"/>
  <c r="D147" i="12"/>
  <c r="C147" i="12"/>
  <c r="B147" i="12"/>
  <c r="D146" i="12"/>
  <c r="C146" i="12"/>
  <c r="B146" i="12"/>
  <c r="D145" i="12"/>
  <c r="C145" i="12"/>
  <c r="B145" i="12"/>
  <c r="D144" i="12"/>
  <c r="C144" i="12"/>
  <c r="B144" i="12"/>
  <c r="D143" i="12"/>
  <c r="C143" i="12"/>
  <c r="B143" i="12"/>
  <c r="D142" i="12"/>
  <c r="C142" i="12"/>
  <c r="B142" i="12"/>
  <c r="D141" i="12"/>
  <c r="C141" i="12"/>
  <c r="B141" i="12"/>
  <c r="D140" i="12"/>
  <c r="C140" i="12"/>
  <c r="B140" i="12"/>
  <c r="D139" i="12"/>
  <c r="C139" i="12"/>
  <c r="B139" i="12"/>
  <c r="D138" i="12"/>
  <c r="C138" i="12"/>
  <c r="B138" i="12"/>
  <c r="D137" i="12"/>
  <c r="C137" i="12"/>
  <c r="B137" i="12"/>
  <c r="D136" i="12"/>
  <c r="C136" i="12"/>
  <c r="B136" i="12"/>
  <c r="D135" i="12"/>
  <c r="C135" i="12"/>
  <c r="B135" i="12"/>
  <c r="D134" i="12"/>
  <c r="C134" i="12"/>
  <c r="B134" i="12"/>
  <c r="D133" i="12"/>
  <c r="C133" i="12"/>
  <c r="A133" i="12"/>
  <c r="D132" i="12"/>
  <c r="C132" i="12"/>
  <c r="B132" i="12"/>
  <c r="D131" i="12"/>
  <c r="C131" i="12"/>
  <c r="B131" i="12"/>
  <c r="D130" i="12"/>
  <c r="C130" i="12"/>
  <c r="B130" i="12"/>
  <c r="D129" i="12"/>
  <c r="C129" i="12"/>
  <c r="B129" i="12"/>
  <c r="D128" i="12"/>
  <c r="C128" i="12"/>
  <c r="B128" i="12"/>
  <c r="D127" i="12"/>
  <c r="C127" i="12"/>
  <c r="B127" i="12"/>
  <c r="D126" i="12"/>
  <c r="C126" i="12"/>
  <c r="B126" i="12"/>
  <c r="D125" i="12"/>
  <c r="C125" i="12"/>
  <c r="B125" i="12"/>
  <c r="D124" i="12"/>
  <c r="C124" i="12"/>
  <c r="B124" i="12"/>
  <c r="D123" i="12"/>
  <c r="C123" i="12"/>
  <c r="B123" i="12"/>
  <c r="D122" i="12"/>
  <c r="C122" i="12"/>
  <c r="B122" i="12"/>
  <c r="D121" i="12"/>
  <c r="C121" i="12"/>
  <c r="B121" i="12"/>
  <c r="D120" i="12"/>
  <c r="C120" i="12"/>
  <c r="B120" i="12"/>
  <c r="D119" i="12"/>
  <c r="C119" i="12"/>
  <c r="B119" i="12"/>
  <c r="D118" i="12"/>
  <c r="C118" i="12"/>
  <c r="B118" i="12"/>
  <c r="D117" i="12"/>
  <c r="C117" i="12"/>
  <c r="B117" i="12"/>
  <c r="D116" i="12"/>
  <c r="C116" i="12"/>
  <c r="B116" i="12"/>
  <c r="D115" i="12"/>
  <c r="C115" i="12"/>
  <c r="B115" i="12"/>
  <c r="D114" i="12"/>
  <c r="C114" i="12"/>
  <c r="B114" i="12"/>
  <c r="D113" i="12"/>
  <c r="C113" i="12"/>
  <c r="B113" i="12"/>
  <c r="D112" i="12"/>
  <c r="C112" i="12"/>
  <c r="B112" i="12"/>
  <c r="D111" i="12"/>
  <c r="C111" i="12"/>
  <c r="B111" i="12"/>
  <c r="D110" i="12"/>
  <c r="C110" i="12"/>
  <c r="B110" i="12"/>
  <c r="D109" i="12"/>
  <c r="C109" i="12"/>
  <c r="A109" i="12"/>
  <c r="D108" i="12"/>
  <c r="C108" i="12"/>
  <c r="B108" i="12"/>
  <c r="D107" i="12"/>
  <c r="C107" i="12"/>
  <c r="B107" i="12"/>
  <c r="D106" i="12"/>
  <c r="C106" i="12"/>
  <c r="B106" i="12"/>
  <c r="D105" i="12"/>
  <c r="C105" i="12"/>
  <c r="B105" i="12"/>
  <c r="D104" i="12"/>
  <c r="C104" i="12"/>
  <c r="B104" i="12"/>
  <c r="D103" i="12"/>
  <c r="C103" i="12"/>
  <c r="B103" i="12"/>
  <c r="D102" i="12"/>
  <c r="C102" i="12"/>
  <c r="B102" i="12"/>
  <c r="D101" i="12"/>
  <c r="C101" i="12"/>
  <c r="B101" i="12"/>
  <c r="D100" i="12"/>
  <c r="C100" i="12"/>
  <c r="B100" i="12"/>
  <c r="D99" i="12"/>
  <c r="C99" i="12"/>
  <c r="B99" i="12"/>
  <c r="D98" i="12"/>
  <c r="C98" i="12"/>
  <c r="B98" i="12"/>
  <c r="D97" i="12"/>
  <c r="C97" i="12"/>
  <c r="B97" i="12"/>
  <c r="D96" i="12"/>
  <c r="C96" i="12"/>
  <c r="B96" i="12"/>
  <c r="D95" i="12"/>
  <c r="C95" i="12"/>
  <c r="B95" i="12"/>
  <c r="D94" i="12"/>
  <c r="C94" i="12"/>
  <c r="B94" i="12"/>
  <c r="D93" i="12"/>
  <c r="C93" i="12"/>
  <c r="B93" i="12"/>
  <c r="D92" i="12"/>
  <c r="C92" i="12"/>
  <c r="B92" i="12"/>
  <c r="D91" i="12"/>
  <c r="C91" i="12"/>
  <c r="B91" i="12"/>
  <c r="D90" i="12"/>
  <c r="C90" i="12"/>
  <c r="B90" i="12"/>
  <c r="D89" i="12"/>
  <c r="C89" i="12"/>
  <c r="B89" i="12"/>
  <c r="D88" i="12"/>
  <c r="C88" i="12"/>
  <c r="B88" i="12"/>
  <c r="D87" i="12"/>
  <c r="C87" i="12"/>
  <c r="B87" i="12"/>
  <c r="D86" i="12"/>
  <c r="C86" i="12"/>
  <c r="B86" i="12"/>
  <c r="D85" i="12"/>
  <c r="C85" i="12"/>
  <c r="B85" i="12"/>
  <c r="D84" i="12"/>
  <c r="C84" i="12"/>
  <c r="B84" i="12"/>
  <c r="D83" i="12"/>
  <c r="C83" i="12"/>
  <c r="B83" i="12"/>
  <c r="D82" i="12"/>
  <c r="C82" i="12"/>
  <c r="B82" i="12"/>
  <c r="D81" i="12"/>
  <c r="C81" i="12"/>
  <c r="B81" i="12"/>
  <c r="D80" i="12"/>
  <c r="C80" i="12"/>
  <c r="B80" i="12"/>
  <c r="D79" i="12"/>
  <c r="C79" i="12"/>
  <c r="A79" i="12"/>
  <c r="D78" i="12"/>
  <c r="C78" i="12"/>
  <c r="B78" i="12"/>
  <c r="D77" i="12"/>
  <c r="C77" i="12"/>
  <c r="B77" i="12"/>
  <c r="D76" i="12"/>
  <c r="C76" i="12"/>
  <c r="B76" i="12"/>
  <c r="D75" i="12"/>
  <c r="C75" i="12"/>
  <c r="B75" i="12"/>
  <c r="D74" i="12"/>
  <c r="C74" i="12"/>
  <c r="B74" i="12"/>
  <c r="D73" i="12"/>
  <c r="C73" i="12"/>
  <c r="B73" i="12"/>
  <c r="D72" i="12"/>
  <c r="C72" i="12"/>
  <c r="B72" i="12"/>
  <c r="D71" i="12"/>
  <c r="C71" i="12"/>
  <c r="B71" i="12"/>
  <c r="D70" i="12"/>
  <c r="C70" i="12"/>
  <c r="B70" i="12"/>
  <c r="D69" i="12"/>
  <c r="C69" i="12"/>
  <c r="B69" i="12"/>
  <c r="D68" i="12"/>
  <c r="C68" i="12"/>
  <c r="B68" i="12"/>
  <c r="D67" i="12"/>
  <c r="C67" i="12"/>
  <c r="B67" i="12"/>
  <c r="D66" i="12"/>
  <c r="C66" i="12"/>
  <c r="B66" i="12"/>
  <c r="D65" i="12"/>
  <c r="C65" i="12"/>
  <c r="B65" i="12"/>
  <c r="D64" i="12"/>
  <c r="C64" i="12"/>
  <c r="B64" i="12"/>
  <c r="D63" i="12"/>
  <c r="C63" i="12"/>
  <c r="A63" i="12"/>
  <c r="D62" i="12"/>
  <c r="C62" i="12"/>
  <c r="B62" i="12"/>
  <c r="D61" i="12"/>
  <c r="C61" i="12"/>
  <c r="B61" i="12"/>
  <c r="D60" i="12"/>
  <c r="C60" i="12"/>
  <c r="B60" i="12"/>
  <c r="D59" i="12"/>
  <c r="C59" i="12"/>
  <c r="B59" i="12"/>
  <c r="D58" i="12"/>
  <c r="C58" i="12"/>
  <c r="B58" i="12"/>
  <c r="D57" i="12"/>
  <c r="C57" i="12"/>
  <c r="B57" i="12"/>
  <c r="D56" i="12"/>
  <c r="C56" i="12"/>
  <c r="B56" i="12"/>
  <c r="D55" i="12"/>
  <c r="C55" i="12"/>
  <c r="B55" i="12"/>
  <c r="D54" i="12"/>
  <c r="C54" i="12"/>
  <c r="B54" i="12"/>
  <c r="D53" i="12"/>
  <c r="C53" i="12"/>
  <c r="B53" i="12"/>
  <c r="D52" i="12"/>
  <c r="C52" i="12"/>
  <c r="B52" i="12"/>
  <c r="D51" i="12"/>
  <c r="C51" i="12"/>
  <c r="B51" i="12"/>
  <c r="D50" i="12"/>
  <c r="C50" i="12"/>
  <c r="B50" i="12"/>
  <c r="D49" i="12"/>
  <c r="C49" i="12"/>
  <c r="B49" i="12"/>
  <c r="D48" i="12"/>
  <c r="C48" i="12"/>
  <c r="B48" i="12"/>
  <c r="D47" i="12"/>
  <c r="C47" i="12"/>
  <c r="B47" i="12"/>
  <c r="D46" i="12"/>
  <c r="C46" i="12"/>
  <c r="A46" i="12"/>
  <c r="D45" i="12"/>
  <c r="C45" i="12"/>
  <c r="B45" i="12"/>
  <c r="D44" i="12"/>
  <c r="C44" i="12"/>
  <c r="B44" i="12"/>
  <c r="D43" i="12"/>
  <c r="C43" i="12"/>
  <c r="B43" i="12"/>
  <c r="D42" i="12"/>
  <c r="C42" i="12"/>
  <c r="B42" i="12"/>
  <c r="D41" i="12"/>
  <c r="C41" i="12"/>
  <c r="B41" i="12"/>
  <c r="D40" i="12"/>
  <c r="C40" i="12"/>
  <c r="A40" i="12"/>
  <c r="D39" i="12"/>
  <c r="C39" i="12"/>
  <c r="B39" i="12"/>
  <c r="D38" i="12"/>
  <c r="C38" i="12"/>
  <c r="B38" i="12"/>
  <c r="D37" i="12"/>
  <c r="C37" i="12"/>
  <c r="B37" i="12"/>
  <c r="D36" i="12"/>
  <c r="C36" i="12"/>
  <c r="B36" i="12"/>
  <c r="D35" i="12"/>
  <c r="C35" i="12"/>
  <c r="B35" i="12"/>
  <c r="D34" i="12"/>
  <c r="C34" i="12"/>
  <c r="B34" i="12"/>
  <c r="D33" i="12"/>
  <c r="C33" i="12"/>
  <c r="B33" i="12"/>
  <c r="D32" i="12"/>
  <c r="C32" i="12"/>
  <c r="A32" i="12"/>
  <c r="D31" i="12"/>
  <c r="B31" i="12"/>
  <c r="D30" i="12"/>
  <c r="B30" i="12"/>
  <c r="D29" i="12"/>
  <c r="B29" i="12"/>
  <c r="D28" i="12"/>
  <c r="B28" i="12"/>
  <c r="D27" i="12"/>
  <c r="B27" i="12"/>
  <c r="D26" i="12"/>
  <c r="B26" i="12"/>
  <c r="D25" i="12"/>
  <c r="B25" i="12"/>
  <c r="D23" i="12"/>
  <c r="C23" i="12"/>
  <c r="A23" i="12"/>
  <c r="D22" i="12"/>
  <c r="C22" i="12"/>
  <c r="B22" i="12"/>
  <c r="D21" i="12"/>
  <c r="C21" i="12"/>
  <c r="B21" i="12"/>
  <c r="D20" i="12"/>
  <c r="C20" i="12"/>
  <c r="B20" i="12"/>
  <c r="D19" i="12"/>
  <c r="C19" i="12"/>
  <c r="B19" i="12"/>
  <c r="D18" i="12"/>
  <c r="C18" i="12"/>
  <c r="B18" i="12"/>
  <c r="D17" i="12"/>
  <c r="C17" i="12"/>
  <c r="A17" i="12"/>
  <c r="D16" i="12"/>
  <c r="C16" i="12"/>
  <c r="B16" i="12"/>
  <c r="D15" i="12"/>
  <c r="C15" i="12"/>
  <c r="B15" i="12"/>
  <c r="D14" i="12"/>
  <c r="C14" i="12"/>
  <c r="B14" i="12"/>
  <c r="D13" i="12"/>
  <c r="C13" i="12"/>
  <c r="B13" i="12"/>
  <c r="D12" i="12"/>
  <c r="C12" i="12"/>
  <c r="B12" i="12"/>
  <c r="D11" i="12"/>
  <c r="C11" i="12"/>
  <c r="B11" i="12"/>
  <c r="D10" i="12"/>
  <c r="C10" i="12"/>
  <c r="B10" i="12"/>
  <c r="D9" i="12"/>
  <c r="C9" i="12"/>
  <c r="B9" i="12"/>
  <c r="D8" i="12"/>
  <c r="C8" i="12"/>
  <c r="B8" i="12"/>
  <c r="D7" i="12"/>
  <c r="C7" i="12"/>
  <c r="A7" i="12"/>
  <c r="E74" i="11" l="1"/>
  <c r="D74" i="11"/>
  <c r="E333" i="15"/>
  <c r="D333" i="15"/>
  <c r="C333" i="15"/>
  <c r="B333" i="15"/>
  <c r="E332" i="15"/>
  <c r="D332" i="15"/>
  <c r="C332" i="15"/>
  <c r="B332" i="15"/>
  <c r="D331" i="15"/>
  <c r="C331" i="15"/>
  <c r="B331" i="15"/>
  <c r="E331" i="15"/>
  <c r="E330" i="15"/>
  <c r="D330" i="15"/>
  <c r="C330" i="15"/>
  <c r="B330" i="15"/>
  <c r="E329" i="15"/>
  <c r="D329" i="15"/>
  <c r="C329" i="15"/>
  <c r="B329" i="15"/>
  <c r="E328" i="15"/>
  <c r="D328" i="15"/>
  <c r="C328" i="15"/>
  <c r="B328" i="15"/>
  <c r="E327" i="15"/>
  <c r="C327" i="15"/>
  <c r="B327" i="15"/>
  <c r="D327" i="15"/>
  <c r="D326" i="15"/>
  <c r="B326" i="15"/>
  <c r="C326" i="15"/>
  <c r="E326" i="15"/>
  <c r="D325" i="15"/>
  <c r="C325" i="15"/>
  <c r="E325" i="15"/>
  <c r="B325" i="15"/>
  <c r="D324" i="15"/>
  <c r="B324" i="15"/>
  <c r="E324" i="15"/>
  <c r="C324" i="15"/>
  <c r="D323" i="15"/>
  <c r="C323" i="15"/>
  <c r="B323" i="15"/>
  <c r="E323" i="15"/>
  <c r="E322" i="15"/>
  <c r="B322" i="15"/>
  <c r="C322" i="15"/>
  <c r="D322" i="15"/>
  <c r="E321" i="15"/>
  <c r="D321" i="15"/>
  <c r="B321" i="15"/>
  <c r="C321" i="15"/>
  <c r="E320" i="15"/>
  <c r="D320" i="15"/>
  <c r="C320" i="15"/>
  <c r="B320" i="15"/>
  <c r="D319" i="15"/>
  <c r="E319" i="15"/>
  <c r="C319" i="15"/>
  <c r="B319" i="15"/>
  <c r="B318" i="15"/>
  <c r="C318" i="15"/>
  <c r="D318" i="15"/>
  <c r="E318" i="15"/>
  <c r="L318" i="15" s="1"/>
  <c r="B317" i="15"/>
  <c r="D317" i="15"/>
  <c r="E317" i="15"/>
  <c r="C317" i="15"/>
  <c r="B316" i="15"/>
  <c r="E316" i="15"/>
  <c r="D316" i="15"/>
  <c r="C316" i="15"/>
  <c r="B315" i="15"/>
  <c r="C315" i="15"/>
  <c r="D315" i="15"/>
  <c r="E315" i="15"/>
  <c r="E314" i="15"/>
  <c r="B314" i="15"/>
  <c r="D314" i="15"/>
  <c r="C314" i="15"/>
  <c r="C313" i="15"/>
  <c r="D313" i="15"/>
  <c r="E313" i="15"/>
  <c r="B313" i="15"/>
  <c r="D312" i="15"/>
  <c r="B312" i="15"/>
  <c r="C312" i="15"/>
  <c r="E312" i="15"/>
  <c r="D311" i="15"/>
  <c r="C311" i="15"/>
  <c r="B311" i="15"/>
  <c r="E311" i="15"/>
  <c r="B310" i="15"/>
  <c r="C310" i="15"/>
  <c r="D310" i="15"/>
  <c r="E310" i="15"/>
  <c r="E309" i="15"/>
  <c r="D309" i="15"/>
  <c r="C309" i="15"/>
  <c r="B309" i="15"/>
  <c r="D308" i="15"/>
  <c r="C308" i="15"/>
  <c r="B308" i="15"/>
  <c r="E308" i="15"/>
  <c r="L308" i="15" s="1"/>
  <c r="B307" i="15"/>
  <c r="E307" i="15"/>
  <c r="D307" i="15"/>
  <c r="C307" i="15"/>
  <c r="E306" i="15"/>
  <c r="D306" i="15"/>
  <c r="C306" i="15"/>
  <c r="B306" i="15"/>
  <c r="C305" i="15"/>
  <c r="D305" i="15"/>
  <c r="B305" i="15"/>
  <c r="E305" i="15"/>
  <c r="B304" i="15"/>
  <c r="C304" i="15"/>
  <c r="E304" i="15"/>
  <c r="L304" i="15" s="1"/>
  <c r="D304" i="15"/>
  <c r="E303" i="15"/>
  <c r="L303" i="15" s="1"/>
  <c r="D303" i="15"/>
  <c r="C303" i="15"/>
  <c r="B303" i="15"/>
  <c r="J302" i="15"/>
  <c r="B302" i="15"/>
  <c r="C302" i="15"/>
  <c r="E302" i="15"/>
  <c r="M302" i="15"/>
  <c r="Q302" i="15" s="1"/>
  <c r="S302" i="15" s="1"/>
  <c r="D302" i="15"/>
  <c r="G302" i="15"/>
  <c r="H302" i="15"/>
  <c r="I302" i="15"/>
  <c r="K302" i="15" s="1"/>
  <c r="J301" i="15"/>
  <c r="I301" i="15"/>
  <c r="K301" i="15" s="1"/>
  <c r="G301" i="15"/>
  <c r="B301" i="15"/>
  <c r="C301" i="15"/>
  <c r="D301" i="15"/>
  <c r="E301" i="15"/>
  <c r="M301" i="15"/>
  <c r="Q301" i="15" s="1"/>
  <c r="S301" i="15" s="1"/>
  <c r="H301" i="15"/>
  <c r="E300" i="15"/>
  <c r="J300" i="15"/>
  <c r="I300" i="15"/>
  <c r="K300" i="15" s="1"/>
  <c r="C300" i="15"/>
  <c r="B300" i="15"/>
  <c r="D300" i="15"/>
  <c r="G300" i="15"/>
  <c r="H300" i="15"/>
  <c r="M300" i="15"/>
  <c r="Q300" i="15" s="1"/>
  <c r="S300" i="15" s="1"/>
  <c r="G299" i="15"/>
  <c r="H299" i="15"/>
  <c r="I299" i="15"/>
  <c r="K299" i="15" s="1"/>
  <c r="C299" i="15"/>
  <c r="M299" i="15"/>
  <c r="Q299" i="15" s="1"/>
  <c r="S299" i="15" s="1"/>
  <c r="J299" i="15"/>
  <c r="B299" i="15"/>
  <c r="E299" i="15"/>
  <c r="D299" i="15"/>
  <c r="J298" i="15"/>
  <c r="M298" i="15"/>
  <c r="Q298" i="15" s="1"/>
  <c r="S298" i="15" s="1"/>
  <c r="I298" i="15"/>
  <c r="K298" i="15" s="1"/>
  <c r="B298" i="15"/>
  <c r="C298" i="15"/>
  <c r="D298" i="15"/>
  <c r="E298" i="15"/>
  <c r="G298" i="15"/>
  <c r="H298" i="15"/>
  <c r="H297" i="15"/>
  <c r="I297" i="15"/>
  <c r="K297" i="15" s="1"/>
  <c r="G297" i="15"/>
  <c r="E297" i="15"/>
  <c r="D297" i="15"/>
  <c r="J297" i="15"/>
  <c r="M297" i="15"/>
  <c r="Q297" i="15" s="1"/>
  <c r="S297" i="15" s="1"/>
  <c r="C297" i="15"/>
  <c r="B297" i="15"/>
  <c r="J296" i="15"/>
  <c r="B296" i="15"/>
  <c r="D296" i="15"/>
  <c r="E296" i="15"/>
  <c r="G296" i="15"/>
  <c r="H296" i="15"/>
  <c r="I296" i="15"/>
  <c r="K296" i="15" s="1"/>
  <c r="C296" i="15"/>
  <c r="M296" i="15"/>
  <c r="Q296" i="15" s="1"/>
  <c r="S296" i="15" s="1"/>
  <c r="D295" i="15"/>
  <c r="J295" i="15"/>
  <c r="B295" i="15"/>
  <c r="E295" i="15"/>
  <c r="G295" i="15"/>
  <c r="H295" i="15"/>
  <c r="M295" i="15"/>
  <c r="Q295" i="15" s="1"/>
  <c r="S295" i="15" s="1"/>
  <c r="C295" i="15"/>
  <c r="I295" i="15"/>
  <c r="K295" i="15" s="1"/>
  <c r="M294" i="15"/>
  <c r="Q294" i="15" s="1"/>
  <c r="S294" i="15" s="1"/>
  <c r="I294" i="15"/>
  <c r="K294" i="15" s="1"/>
  <c r="H294" i="15"/>
  <c r="G294" i="15"/>
  <c r="E294" i="15"/>
  <c r="C294" i="15"/>
  <c r="J294" i="15"/>
  <c r="D294" i="15"/>
  <c r="B294" i="15"/>
  <c r="C293" i="15"/>
  <c r="G293" i="15"/>
  <c r="H293" i="15"/>
  <c r="E293" i="15"/>
  <c r="I293" i="15"/>
  <c r="K293" i="15" s="1"/>
  <c r="M293" i="15"/>
  <c r="Q293" i="15" s="1"/>
  <c r="S293" i="15" s="1"/>
  <c r="D293" i="15"/>
  <c r="B293" i="15"/>
  <c r="J293" i="15"/>
  <c r="D292" i="15"/>
  <c r="M292" i="15"/>
  <c r="Q292" i="15" s="1"/>
  <c r="S292" i="15" s="1"/>
  <c r="G292" i="15"/>
  <c r="H292" i="15"/>
  <c r="I292" i="15"/>
  <c r="K292" i="15" s="1"/>
  <c r="J292" i="15"/>
  <c r="B292" i="15"/>
  <c r="C292" i="15"/>
  <c r="E292" i="15"/>
  <c r="B291" i="15"/>
  <c r="C291" i="15"/>
  <c r="D291" i="15"/>
  <c r="G291" i="15"/>
  <c r="H291" i="15"/>
  <c r="I291" i="15"/>
  <c r="K291" i="15" s="1"/>
  <c r="J291" i="15"/>
  <c r="E291" i="15"/>
  <c r="M291" i="15"/>
  <c r="Q291" i="15" s="1"/>
  <c r="S291" i="15" s="1"/>
  <c r="B290" i="15"/>
  <c r="M290" i="15"/>
  <c r="Q290" i="15" s="1"/>
  <c r="S290" i="15" s="1"/>
  <c r="J290" i="15"/>
  <c r="I290" i="15"/>
  <c r="K290" i="15" s="1"/>
  <c r="H290" i="15"/>
  <c r="C290" i="15"/>
  <c r="G290" i="15"/>
  <c r="E290" i="15"/>
  <c r="D290" i="15"/>
  <c r="M289" i="15"/>
  <c r="Q289" i="15" s="1"/>
  <c r="S289" i="15" s="1"/>
  <c r="I289" i="15"/>
  <c r="K289" i="15" s="1"/>
  <c r="H289" i="15"/>
  <c r="G289" i="15"/>
  <c r="E289" i="15"/>
  <c r="D289" i="15"/>
  <c r="C289" i="15"/>
  <c r="B289" i="15"/>
  <c r="M288" i="15"/>
  <c r="Q288" i="15" s="1"/>
  <c r="S288" i="15" s="1"/>
  <c r="I288" i="15"/>
  <c r="K288" i="15" s="1"/>
  <c r="H288" i="15"/>
  <c r="G288" i="15"/>
  <c r="E288" i="15"/>
  <c r="D288" i="15"/>
  <c r="C288" i="15"/>
  <c r="B288" i="15"/>
  <c r="J288" i="15"/>
  <c r="J287" i="15"/>
  <c r="B287" i="15"/>
  <c r="C287" i="15"/>
  <c r="D287" i="15"/>
  <c r="E287" i="15"/>
  <c r="G287" i="15"/>
  <c r="H287" i="15"/>
  <c r="M287" i="15"/>
  <c r="Q287" i="15" s="1"/>
  <c r="S287" i="15" s="1"/>
  <c r="I287" i="15"/>
  <c r="K287" i="15" s="1"/>
  <c r="G286" i="15"/>
  <c r="H286" i="15"/>
  <c r="I286" i="15"/>
  <c r="K286" i="15" s="1"/>
  <c r="E286" i="15"/>
  <c r="M286" i="15"/>
  <c r="Q286" i="15" s="1"/>
  <c r="S286" i="15" s="1"/>
  <c r="B286" i="15"/>
  <c r="C286" i="15"/>
  <c r="D286" i="15"/>
  <c r="J286" i="15"/>
  <c r="C285" i="15"/>
  <c r="M285" i="15"/>
  <c r="Q285" i="15" s="1"/>
  <c r="S285" i="15" s="1"/>
  <c r="I285" i="15"/>
  <c r="K285" i="15" s="1"/>
  <c r="H285" i="15"/>
  <c r="D285" i="15"/>
  <c r="G285" i="15"/>
  <c r="E285" i="15"/>
  <c r="B285" i="15"/>
  <c r="J285" i="15"/>
  <c r="B284" i="15"/>
  <c r="M284" i="15"/>
  <c r="Q284" i="15" s="1"/>
  <c r="S284" i="15" s="1"/>
  <c r="J284" i="15"/>
  <c r="I284" i="15"/>
  <c r="K284" i="15" s="1"/>
  <c r="H284" i="15"/>
  <c r="G284" i="15"/>
  <c r="E284" i="15"/>
  <c r="D284" i="15"/>
  <c r="C284" i="15"/>
  <c r="I283" i="15"/>
  <c r="K283" i="15" s="1"/>
  <c r="J283" i="15"/>
  <c r="M283" i="15"/>
  <c r="Q283" i="15" s="1"/>
  <c r="S283" i="15" s="1"/>
  <c r="H283" i="15"/>
  <c r="G283" i="15"/>
  <c r="E283" i="15"/>
  <c r="D283" i="15"/>
  <c r="C283" i="15"/>
  <c r="B283" i="15"/>
  <c r="H282" i="15"/>
  <c r="M282" i="15"/>
  <c r="Q282" i="15" s="1"/>
  <c r="S282" i="15" s="1"/>
  <c r="J282" i="15"/>
  <c r="G282" i="15"/>
  <c r="E282" i="15"/>
  <c r="D282" i="15"/>
  <c r="C282" i="15"/>
  <c r="B282" i="15"/>
  <c r="I282" i="15"/>
  <c r="K282" i="15" s="1"/>
  <c r="I281" i="15"/>
  <c r="K281" i="15" s="1"/>
  <c r="H281" i="15"/>
  <c r="G281" i="15"/>
  <c r="E281" i="15"/>
  <c r="D281" i="15"/>
  <c r="C281" i="15"/>
  <c r="B281" i="15"/>
  <c r="M281" i="15"/>
  <c r="Q281" i="15" s="1"/>
  <c r="S281" i="15" s="1"/>
  <c r="J281" i="15"/>
  <c r="J280" i="15"/>
  <c r="H280" i="15"/>
  <c r="G280" i="15"/>
  <c r="D280" i="15"/>
  <c r="B280" i="15"/>
  <c r="M280" i="15"/>
  <c r="Q280" i="15" s="1"/>
  <c r="S280" i="15" s="1"/>
  <c r="E280" i="15"/>
  <c r="C280" i="15"/>
  <c r="I280" i="15"/>
  <c r="K280" i="15" s="1"/>
  <c r="B279" i="15"/>
  <c r="E279" i="15"/>
  <c r="D279" i="15"/>
  <c r="C279" i="15"/>
  <c r="H279" i="15"/>
  <c r="I279" i="15"/>
  <c r="K279" i="15" s="1"/>
  <c r="J279" i="15"/>
  <c r="M279" i="15"/>
  <c r="Q279" i="15" s="1"/>
  <c r="S279" i="15" s="1"/>
  <c r="G279" i="15"/>
  <c r="M278" i="15"/>
  <c r="Q278" i="15" s="1"/>
  <c r="S278" i="15" s="1"/>
  <c r="J278" i="15"/>
  <c r="I278" i="15"/>
  <c r="K278" i="15" s="1"/>
  <c r="H278" i="15"/>
  <c r="G278" i="15"/>
  <c r="E278" i="15"/>
  <c r="D278" i="15"/>
  <c r="C278" i="15"/>
  <c r="B278" i="15"/>
  <c r="I277" i="15"/>
  <c r="K277" i="15" s="1"/>
  <c r="M277" i="15"/>
  <c r="Q277" i="15" s="1"/>
  <c r="S277" i="15" s="1"/>
  <c r="G277" i="15"/>
  <c r="E277" i="15"/>
  <c r="D277" i="15"/>
  <c r="C277" i="15"/>
  <c r="B277" i="15"/>
  <c r="J277" i="15"/>
  <c r="H277" i="15"/>
  <c r="B276" i="15"/>
  <c r="C276" i="15"/>
  <c r="E276" i="15"/>
  <c r="G276" i="15"/>
  <c r="H276" i="15"/>
  <c r="I276" i="15"/>
  <c r="K276" i="15" s="1"/>
  <c r="J276" i="15"/>
  <c r="M276" i="15"/>
  <c r="Q276" i="15" s="1"/>
  <c r="S276" i="15" s="1"/>
  <c r="D276" i="15"/>
  <c r="J275" i="15"/>
  <c r="M275" i="15"/>
  <c r="Q275" i="15" s="1"/>
  <c r="S275" i="15" s="1"/>
  <c r="I275" i="15"/>
  <c r="K275" i="15" s="1"/>
  <c r="H275" i="15"/>
  <c r="G275" i="15"/>
  <c r="E275" i="15"/>
  <c r="D275" i="15"/>
  <c r="C275" i="15"/>
  <c r="B275" i="15"/>
  <c r="I274" i="15"/>
  <c r="K274" i="15" s="1"/>
  <c r="H274" i="15"/>
  <c r="M274" i="15"/>
  <c r="Q274" i="15" s="1"/>
  <c r="S274" i="15" s="1"/>
  <c r="B274" i="15"/>
  <c r="C274" i="15"/>
  <c r="D274" i="15"/>
  <c r="E274" i="15"/>
  <c r="J274" i="15"/>
  <c r="G274" i="15"/>
  <c r="J273" i="15"/>
  <c r="I273" i="15"/>
  <c r="K273" i="15" s="1"/>
  <c r="G273" i="15"/>
  <c r="E273" i="15"/>
  <c r="D273" i="15"/>
  <c r="C273" i="15"/>
  <c r="B273" i="15"/>
  <c r="M273" i="15"/>
  <c r="Q273" i="15" s="1"/>
  <c r="S273" i="15" s="1"/>
  <c r="H273" i="15"/>
  <c r="D272" i="15"/>
  <c r="H272" i="15"/>
  <c r="G272" i="15"/>
  <c r="E272" i="15"/>
  <c r="J272" i="15"/>
  <c r="C272" i="15"/>
  <c r="B272" i="15"/>
  <c r="M272" i="15"/>
  <c r="Q272" i="15" s="1"/>
  <c r="S272" i="15" s="1"/>
  <c r="I272" i="15"/>
  <c r="K272" i="15" s="1"/>
  <c r="M271" i="15"/>
  <c r="Q271" i="15" s="1"/>
  <c r="S271" i="15" s="1"/>
  <c r="J271" i="15"/>
  <c r="I271" i="15"/>
  <c r="K271" i="15" s="1"/>
  <c r="H271" i="15"/>
  <c r="G271" i="15"/>
  <c r="E271" i="15"/>
  <c r="D271" i="15"/>
  <c r="C271" i="15"/>
  <c r="B271" i="15"/>
  <c r="G270" i="15"/>
  <c r="H270" i="15"/>
  <c r="M270" i="15"/>
  <c r="Q270" i="15" s="1"/>
  <c r="S270" i="15" s="1"/>
  <c r="E270" i="15"/>
  <c r="D270" i="15"/>
  <c r="C270" i="15"/>
  <c r="B270" i="15"/>
  <c r="I270" i="15"/>
  <c r="K270" i="15" s="1"/>
  <c r="J270" i="15"/>
  <c r="B269" i="15"/>
  <c r="M269" i="15"/>
  <c r="Q269" i="15" s="1"/>
  <c r="S269" i="15" s="1"/>
  <c r="J269" i="15"/>
  <c r="I269" i="15"/>
  <c r="K269" i="15" s="1"/>
  <c r="H269" i="15"/>
  <c r="G269" i="15"/>
  <c r="E269" i="15"/>
  <c r="D269" i="15"/>
  <c r="C269" i="15"/>
  <c r="J268" i="15"/>
  <c r="M268" i="15"/>
  <c r="Q268" i="15" s="1"/>
  <c r="S268" i="15" s="1"/>
  <c r="I268" i="15"/>
  <c r="K268" i="15" s="1"/>
  <c r="H268" i="15"/>
  <c r="G268" i="15"/>
  <c r="E268" i="15"/>
  <c r="D268" i="15"/>
  <c r="C268" i="15"/>
  <c r="B268" i="15"/>
  <c r="I267" i="15"/>
  <c r="K267" i="15" s="1"/>
  <c r="H267" i="15"/>
  <c r="M267" i="15"/>
  <c r="Q267" i="15" s="1"/>
  <c r="S267" i="15" s="1"/>
  <c r="G267" i="15"/>
  <c r="E267" i="15"/>
  <c r="D267" i="15"/>
  <c r="C267" i="15"/>
  <c r="B267" i="15"/>
  <c r="J267" i="15"/>
  <c r="C266" i="15"/>
  <c r="D266" i="15"/>
  <c r="B266" i="15"/>
  <c r="E266" i="15"/>
  <c r="G266" i="15"/>
  <c r="H266" i="15"/>
  <c r="I266" i="15"/>
  <c r="K266" i="15" s="1"/>
  <c r="J266" i="15"/>
  <c r="M266" i="15"/>
  <c r="Q266" i="15" s="1"/>
  <c r="S266" i="15" s="1"/>
  <c r="I265" i="15"/>
  <c r="K265" i="15" s="1"/>
  <c r="H265" i="15"/>
  <c r="G265" i="15"/>
  <c r="F265" i="15"/>
  <c r="E265" i="15"/>
  <c r="D265" i="15"/>
  <c r="C265" i="15"/>
  <c r="B265" i="15"/>
  <c r="I264" i="15"/>
  <c r="K264" i="15" s="1"/>
  <c r="B264" i="15"/>
  <c r="H264" i="15"/>
  <c r="G264" i="15"/>
  <c r="M264" i="15"/>
  <c r="Q264" i="15" s="1"/>
  <c r="S264" i="15" s="1"/>
  <c r="J264" i="15"/>
  <c r="F264" i="15"/>
  <c r="E264" i="15"/>
  <c r="D264" i="15"/>
  <c r="C264" i="15"/>
  <c r="C263" i="15"/>
  <c r="H263" i="15"/>
  <c r="I263" i="15"/>
  <c r="K263" i="15" s="1"/>
  <c r="J263" i="15"/>
  <c r="M263" i="15"/>
  <c r="Q263" i="15" s="1"/>
  <c r="S263" i="15" s="1"/>
  <c r="G263" i="15"/>
  <c r="F263" i="15"/>
  <c r="E263" i="15"/>
  <c r="D263" i="15"/>
  <c r="B263" i="15"/>
  <c r="G262" i="15"/>
  <c r="F262" i="15"/>
  <c r="E262" i="15"/>
  <c r="D262" i="15"/>
  <c r="C262" i="15"/>
  <c r="B262" i="15"/>
  <c r="M262" i="15"/>
  <c r="Q262" i="15" s="1"/>
  <c r="S262" i="15" s="1"/>
  <c r="J262" i="15"/>
  <c r="I262" i="15"/>
  <c r="K262" i="15" s="1"/>
  <c r="H262" i="15"/>
  <c r="F261" i="15"/>
  <c r="G261" i="15"/>
  <c r="M261" i="15"/>
  <c r="Q261" i="15" s="1"/>
  <c r="S261" i="15" s="1"/>
  <c r="J261" i="15"/>
  <c r="I261" i="15"/>
  <c r="K261" i="15" s="1"/>
  <c r="H261" i="15"/>
  <c r="D261" i="15"/>
  <c r="C261" i="15"/>
  <c r="B261" i="15"/>
  <c r="E261" i="15"/>
  <c r="B260" i="15"/>
  <c r="M260" i="15"/>
  <c r="Q260" i="15" s="1"/>
  <c r="S260" i="15" s="1"/>
  <c r="J260" i="15"/>
  <c r="I260" i="15"/>
  <c r="K260" i="15" s="1"/>
  <c r="H260" i="15"/>
  <c r="G260" i="15"/>
  <c r="F260" i="15"/>
  <c r="E260" i="15"/>
  <c r="D260" i="15"/>
  <c r="C260" i="15"/>
  <c r="F259" i="15"/>
  <c r="G259" i="15"/>
  <c r="H259" i="15"/>
  <c r="I259" i="15"/>
  <c r="K259" i="15" s="1"/>
  <c r="J259" i="15"/>
  <c r="M259" i="15"/>
  <c r="Q259" i="15" s="1"/>
  <c r="S259" i="15" s="1"/>
  <c r="E259" i="15"/>
  <c r="D259" i="15"/>
  <c r="C259" i="15"/>
  <c r="B259" i="15"/>
  <c r="E258" i="15"/>
  <c r="M258" i="15"/>
  <c r="Q258" i="15" s="1"/>
  <c r="S258" i="15" s="1"/>
  <c r="J258" i="15"/>
  <c r="I258" i="15"/>
  <c r="K258" i="15" s="1"/>
  <c r="H258" i="15"/>
  <c r="G258" i="15"/>
  <c r="D258" i="15"/>
  <c r="C258" i="15"/>
  <c r="B258" i="15"/>
  <c r="F258" i="15"/>
  <c r="H257" i="15"/>
  <c r="M257" i="15"/>
  <c r="Q257" i="15" s="1"/>
  <c r="S257" i="15" s="1"/>
  <c r="F257" i="15"/>
  <c r="J257" i="15"/>
  <c r="I257" i="15"/>
  <c r="K257" i="15" s="1"/>
  <c r="E257" i="15"/>
  <c r="D257" i="15"/>
  <c r="C257" i="15"/>
  <c r="B257" i="15"/>
  <c r="C256" i="15"/>
  <c r="G256" i="15"/>
  <c r="D256" i="15"/>
  <c r="I256" i="15"/>
  <c r="K256" i="15" s="1"/>
  <c r="E256" i="15"/>
  <c r="F256" i="15"/>
  <c r="H256" i="15"/>
  <c r="M256" i="15"/>
  <c r="Q256" i="15" s="1"/>
  <c r="S256" i="15" s="1"/>
  <c r="J256" i="15"/>
  <c r="B256" i="15"/>
  <c r="G255" i="15"/>
  <c r="H255" i="15"/>
  <c r="J255" i="15"/>
  <c r="M255" i="15"/>
  <c r="Q255" i="15" s="1"/>
  <c r="S255" i="15" s="1"/>
  <c r="F255" i="15"/>
  <c r="D255" i="15"/>
  <c r="C255" i="15"/>
  <c r="I255" i="15"/>
  <c r="K255" i="15" s="1"/>
  <c r="E255" i="15"/>
  <c r="B255" i="15"/>
  <c r="H254" i="15"/>
  <c r="D254" i="15"/>
  <c r="B254" i="15"/>
  <c r="E254" i="15"/>
  <c r="M254" i="15"/>
  <c r="Q254" i="15" s="1"/>
  <c r="S254" i="15" s="1"/>
  <c r="I254" i="15"/>
  <c r="K254" i="15" s="1"/>
  <c r="C254" i="15"/>
  <c r="F254" i="15"/>
  <c r="G254" i="15"/>
  <c r="J254" i="15"/>
  <c r="B253" i="15"/>
  <c r="I253" i="15"/>
  <c r="K253" i="15" s="1"/>
  <c r="J253" i="15"/>
  <c r="M253" i="15"/>
  <c r="Q253" i="15" s="1"/>
  <c r="S253" i="15" s="1"/>
  <c r="G253" i="15"/>
  <c r="H253" i="15"/>
  <c r="F253" i="15"/>
  <c r="E253" i="15"/>
  <c r="D253" i="15"/>
  <c r="C253" i="15"/>
  <c r="G252" i="15"/>
  <c r="M252" i="15"/>
  <c r="Q252" i="15" s="1"/>
  <c r="S252" i="15" s="1"/>
  <c r="C252" i="15"/>
  <c r="B252" i="15"/>
  <c r="H252" i="15"/>
  <c r="J252" i="15"/>
  <c r="D252" i="15"/>
  <c r="E252" i="15"/>
  <c r="I252" i="15"/>
  <c r="K252" i="15" s="1"/>
  <c r="F252" i="15"/>
  <c r="J251" i="15"/>
  <c r="I251" i="15"/>
  <c r="K251" i="15" s="1"/>
  <c r="H251" i="15"/>
  <c r="G251" i="15"/>
  <c r="F251" i="15"/>
  <c r="E251" i="15"/>
  <c r="M251" i="15"/>
  <c r="Q251" i="15" s="1"/>
  <c r="S251" i="15" s="1"/>
  <c r="B251" i="15"/>
  <c r="C251" i="15"/>
  <c r="D251" i="15"/>
  <c r="I250" i="15"/>
  <c r="K250" i="15" s="1"/>
  <c r="C250" i="15"/>
  <c r="D250" i="15"/>
  <c r="B250" i="15"/>
  <c r="G250" i="15"/>
  <c r="J250" i="15"/>
  <c r="H250" i="15"/>
  <c r="E250" i="15"/>
  <c r="M250" i="15"/>
  <c r="Q250" i="15" s="1"/>
  <c r="S250" i="15" s="1"/>
  <c r="E249" i="15"/>
  <c r="C249" i="15"/>
  <c r="I249" i="15"/>
  <c r="K249" i="15" s="1"/>
  <c r="H249" i="15"/>
  <c r="G249" i="15"/>
  <c r="D249" i="15"/>
  <c r="B249" i="15"/>
  <c r="M249" i="15"/>
  <c r="Q249" i="15" s="1"/>
  <c r="S249" i="15" s="1"/>
  <c r="J249" i="15"/>
  <c r="M248" i="15"/>
  <c r="Q248" i="15" s="1"/>
  <c r="S248" i="15" s="1"/>
  <c r="G248" i="15"/>
  <c r="E248" i="15"/>
  <c r="C248" i="15"/>
  <c r="D248" i="15"/>
  <c r="H248" i="15"/>
  <c r="B248" i="15"/>
  <c r="I248" i="15"/>
  <c r="K248" i="15" s="1"/>
  <c r="J248" i="15"/>
  <c r="D247" i="15"/>
  <c r="M247" i="15"/>
  <c r="Q247" i="15" s="1"/>
  <c r="S247" i="15" s="1"/>
  <c r="B247" i="15"/>
  <c r="E247" i="15"/>
  <c r="C247" i="15"/>
  <c r="G247" i="15"/>
  <c r="H247" i="15"/>
  <c r="I247" i="15"/>
  <c r="K247" i="15" s="1"/>
  <c r="J247" i="15"/>
  <c r="H246" i="15"/>
  <c r="M246" i="15"/>
  <c r="Q246" i="15" s="1"/>
  <c r="S246" i="15" s="1"/>
  <c r="J246" i="15"/>
  <c r="I246" i="15"/>
  <c r="K246" i="15" s="1"/>
  <c r="D246" i="15"/>
  <c r="G246" i="15"/>
  <c r="E246" i="15"/>
  <c r="B246" i="15"/>
  <c r="D245" i="15"/>
  <c r="C245" i="15"/>
  <c r="B245" i="15"/>
  <c r="E245" i="15"/>
  <c r="M245" i="15"/>
  <c r="Q245" i="15" s="1"/>
  <c r="S245" i="15" s="1"/>
  <c r="J245" i="15"/>
  <c r="I245" i="15"/>
  <c r="K245" i="15" s="1"/>
  <c r="H245" i="15"/>
  <c r="G245" i="15"/>
  <c r="I244" i="15"/>
  <c r="K244" i="15" s="1"/>
  <c r="C244" i="15"/>
  <c r="D244" i="15"/>
  <c r="G244" i="15"/>
  <c r="H244" i="15"/>
  <c r="M244" i="15"/>
  <c r="Q244" i="15" s="1"/>
  <c r="S244" i="15" s="1"/>
  <c r="J244" i="15"/>
  <c r="B244" i="15"/>
  <c r="E244" i="15"/>
  <c r="C243" i="15"/>
  <c r="J243" i="15"/>
  <c r="H243" i="15"/>
  <c r="G243" i="15"/>
  <c r="E243" i="15"/>
  <c r="D243" i="15"/>
  <c r="B243" i="15"/>
  <c r="M243" i="15"/>
  <c r="Q243" i="15" s="1"/>
  <c r="S243" i="15" s="1"/>
  <c r="I243" i="15"/>
  <c r="K243" i="15" s="1"/>
  <c r="B242" i="15"/>
  <c r="G242" i="15"/>
  <c r="M242" i="15"/>
  <c r="Q242" i="15" s="1"/>
  <c r="S242" i="15" s="1"/>
  <c r="I242" i="15"/>
  <c r="K242" i="15" s="1"/>
  <c r="H242" i="15"/>
  <c r="D242" i="15"/>
  <c r="C242" i="15"/>
  <c r="E242" i="15"/>
  <c r="J242" i="15"/>
  <c r="J241" i="15"/>
  <c r="B241" i="15"/>
  <c r="D241" i="15"/>
  <c r="E241" i="15"/>
  <c r="G241" i="15"/>
  <c r="H241" i="15"/>
  <c r="I241" i="15"/>
  <c r="K241" i="15" s="1"/>
  <c r="M241" i="15"/>
  <c r="Q241" i="15" s="1"/>
  <c r="S241" i="15" s="1"/>
  <c r="C241" i="15"/>
  <c r="E240" i="15"/>
  <c r="D240" i="15"/>
  <c r="G240" i="15"/>
  <c r="J240" i="15"/>
  <c r="B240" i="15"/>
  <c r="C240" i="15"/>
  <c r="H240" i="15"/>
  <c r="I240" i="15"/>
  <c r="K240" i="15" s="1"/>
  <c r="M240" i="15"/>
  <c r="Q240" i="15" s="1"/>
  <c r="S240" i="15" s="1"/>
  <c r="E239" i="15"/>
  <c r="I239" i="15"/>
  <c r="K239" i="15" s="1"/>
  <c r="H239" i="15"/>
  <c r="M239" i="15"/>
  <c r="Q239" i="15" s="1"/>
  <c r="S239" i="15" s="1"/>
  <c r="J239" i="15"/>
  <c r="D239" i="15"/>
  <c r="C239" i="15"/>
  <c r="B239" i="15"/>
  <c r="G239" i="15"/>
  <c r="I238" i="15"/>
  <c r="K238" i="15" s="1"/>
  <c r="B238" i="15"/>
  <c r="M238" i="15"/>
  <c r="Q238" i="15" s="1"/>
  <c r="S238" i="15" s="1"/>
  <c r="E238" i="15"/>
  <c r="D238" i="15"/>
  <c r="G238" i="15"/>
  <c r="J238" i="15"/>
  <c r="H238" i="15"/>
  <c r="C238" i="15"/>
  <c r="B237" i="15"/>
  <c r="D237" i="15"/>
  <c r="E237" i="15"/>
  <c r="C237" i="15"/>
  <c r="B236" i="15"/>
  <c r="D236" i="15"/>
  <c r="E236" i="15"/>
  <c r="L236" i="15" s="1"/>
  <c r="C236" i="15"/>
  <c r="D235" i="15"/>
  <c r="E235" i="15"/>
  <c r="L235" i="15" s="1"/>
  <c r="B235" i="15"/>
  <c r="C235" i="15"/>
  <c r="E234" i="15"/>
  <c r="D234" i="15"/>
  <c r="C234" i="15"/>
  <c r="B234" i="15"/>
  <c r="D233" i="15"/>
  <c r="C233" i="15"/>
  <c r="B233" i="15"/>
  <c r="E233" i="15"/>
  <c r="E232" i="15"/>
  <c r="D232" i="15"/>
  <c r="C232" i="15"/>
  <c r="B232" i="15"/>
  <c r="C231" i="15"/>
  <c r="B231" i="15"/>
  <c r="E231" i="15"/>
  <c r="D231" i="15"/>
  <c r="B230" i="15"/>
  <c r="C230" i="15"/>
  <c r="E230" i="15"/>
  <c r="D230" i="15"/>
  <c r="E229" i="15"/>
  <c r="D229" i="15"/>
  <c r="C229" i="15"/>
  <c r="B229" i="15"/>
  <c r="C228" i="15"/>
  <c r="B228" i="15"/>
  <c r="E228" i="15"/>
  <c r="D228" i="15"/>
  <c r="D227" i="15"/>
  <c r="B227" i="15"/>
  <c r="C227" i="15"/>
  <c r="E227" i="15"/>
  <c r="L227" i="15" s="1"/>
  <c r="B226" i="15"/>
  <c r="D226" i="15"/>
  <c r="E226" i="15"/>
  <c r="C226" i="15"/>
  <c r="D225" i="15"/>
  <c r="E225" i="15"/>
  <c r="L225" i="15" s="1"/>
  <c r="B225" i="15"/>
  <c r="C225" i="15"/>
  <c r="B224" i="15"/>
  <c r="C224" i="15"/>
  <c r="D224" i="15"/>
  <c r="E224" i="15"/>
  <c r="L224" i="15" s="1"/>
  <c r="E223" i="15"/>
  <c r="C223" i="15"/>
  <c r="D223" i="15"/>
  <c r="B223" i="15"/>
  <c r="D222" i="15"/>
  <c r="E222" i="15"/>
  <c r="C222" i="15"/>
  <c r="B222" i="15"/>
  <c r="E221" i="15"/>
  <c r="D221" i="15"/>
  <c r="C221" i="15"/>
  <c r="B221" i="15"/>
  <c r="B220" i="15"/>
  <c r="C220" i="15"/>
  <c r="D220" i="15"/>
  <c r="E220" i="15"/>
  <c r="E219" i="15"/>
  <c r="D219" i="15"/>
  <c r="C219" i="15"/>
  <c r="B218" i="15"/>
  <c r="D218" i="15"/>
  <c r="E218" i="15"/>
  <c r="C218" i="15"/>
  <c r="E217" i="15"/>
  <c r="D217" i="15"/>
  <c r="B217" i="15"/>
  <c r="C217" i="15"/>
  <c r="C216" i="15"/>
  <c r="D216" i="15"/>
  <c r="E216" i="15"/>
  <c r="B216" i="15"/>
  <c r="B215" i="15"/>
  <c r="E215" i="15"/>
  <c r="C215" i="15"/>
  <c r="D215" i="15"/>
  <c r="C214" i="15"/>
  <c r="B214" i="15"/>
  <c r="E214" i="15"/>
  <c r="E213" i="15"/>
  <c r="B213" i="15"/>
  <c r="C213" i="15"/>
  <c r="D213" i="15"/>
  <c r="E212" i="15"/>
  <c r="B212" i="15"/>
  <c r="C212" i="15"/>
  <c r="D212" i="15"/>
  <c r="B211" i="15"/>
  <c r="C211" i="15"/>
  <c r="E211" i="15"/>
  <c r="D211" i="15"/>
  <c r="E210" i="15"/>
  <c r="C210" i="15"/>
  <c r="B210" i="15"/>
  <c r="D210" i="15"/>
  <c r="B209" i="15"/>
  <c r="C209" i="15"/>
  <c r="D209" i="15"/>
  <c r="E209" i="15"/>
  <c r="D208" i="15"/>
  <c r="E208" i="15"/>
  <c r="B208" i="15"/>
  <c r="C208" i="15"/>
  <c r="C207" i="15"/>
  <c r="B207" i="15"/>
  <c r="D207" i="15"/>
  <c r="E207" i="15"/>
  <c r="B206" i="15"/>
  <c r="E206" i="15"/>
  <c r="D206" i="15"/>
  <c r="C206" i="15"/>
  <c r="D205" i="15"/>
  <c r="E205" i="15"/>
  <c r="C205" i="15"/>
  <c r="B205" i="15"/>
  <c r="E204" i="15"/>
  <c r="D204" i="15"/>
  <c r="C204" i="15"/>
  <c r="B204" i="15"/>
  <c r="B203" i="15"/>
  <c r="E203" i="15"/>
  <c r="C203" i="15"/>
  <c r="D203" i="15"/>
  <c r="B202" i="15"/>
  <c r="E202" i="15"/>
  <c r="D202" i="15"/>
  <c r="C202" i="15"/>
  <c r="E201" i="15"/>
  <c r="D201" i="15"/>
  <c r="C201" i="15"/>
  <c r="B201" i="15"/>
  <c r="E200" i="15"/>
  <c r="C200" i="15"/>
  <c r="D200" i="15"/>
  <c r="B200" i="15"/>
  <c r="B199" i="15"/>
  <c r="E199" i="15"/>
  <c r="C199" i="15"/>
  <c r="D199" i="15"/>
  <c r="E198" i="15"/>
  <c r="C198" i="15"/>
  <c r="D198" i="15"/>
  <c r="B198" i="15"/>
  <c r="B197" i="15"/>
  <c r="D197" i="15"/>
  <c r="E197" i="15"/>
  <c r="C197" i="15"/>
  <c r="E196" i="15"/>
  <c r="D196" i="15"/>
  <c r="C196" i="15"/>
  <c r="B196" i="15"/>
  <c r="E195" i="15"/>
  <c r="D195" i="15"/>
  <c r="C195" i="15"/>
  <c r="B195" i="15"/>
  <c r="B194" i="15"/>
  <c r="C194" i="15"/>
  <c r="D194" i="15"/>
  <c r="E194" i="15"/>
  <c r="E193" i="15"/>
  <c r="D193" i="15"/>
  <c r="C193" i="15"/>
  <c r="B193" i="15"/>
  <c r="E192" i="15"/>
  <c r="D192" i="15"/>
  <c r="C192" i="15"/>
  <c r="B192" i="15"/>
  <c r="E191" i="15"/>
  <c r="D191" i="15"/>
  <c r="C191" i="15"/>
  <c r="B191" i="15"/>
  <c r="E190" i="15"/>
  <c r="D190" i="15"/>
  <c r="C190" i="15"/>
  <c r="B190" i="15"/>
  <c r="E189" i="15"/>
  <c r="D189" i="15"/>
  <c r="C189" i="15"/>
  <c r="B189" i="15"/>
  <c r="E188" i="15"/>
  <c r="B188" i="15"/>
  <c r="C188" i="15"/>
  <c r="D188" i="15"/>
  <c r="E187" i="15"/>
  <c r="D187" i="15"/>
  <c r="C187" i="15"/>
  <c r="B187" i="15"/>
  <c r="B186" i="15"/>
  <c r="C186" i="15"/>
  <c r="D186" i="15"/>
  <c r="E186" i="15"/>
  <c r="E185" i="15"/>
  <c r="D185" i="15"/>
  <c r="C185" i="15"/>
  <c r="B185" i="15"/>
  <c r="E184" i="15"/>
  <c r="D184" i="15"/>
  <c r="C184" i="15"/>
  <c r="B184" i="15"/>
  <c r="E183" i="15"/>
  <c r="D183" i="15"/>
  <c r="C183" i="15"/>
  <c r="B183" i="15"/>
  <c r="E182" i="15"/>
  <c r="D182" i="15"/>
  <c r="C182" i="15"/>
  <c r="B182" i="15"/>
  <c r="E181" i="15"/>
  <c r="D181" i="15"/>
  <c r="C181" i="15"/>
  <c r="B181" i="15"/>
  <c r="E180" i="15"/>
  <c r="D180" i="15"/>
  <c r="C180" i="15"/>
  <c r="B180" i="15"/>
  <c r="B179" i="15"/>
  <c r="C179" i="15"/>
  <c r="D179" i="15"/>
  <c r="E179" i="15"/>
  <c r="E178" i="15"/>
  <c r="D178" i="15"/>
  <c r="C178" i="15"/>
  <c r="B178" i="15"/>
  <c r="E177" i="15"/>
  <c r="D177" i="15"/>
  <c r="C177" i="15"/>
  <c r="B177" i="15"/>
  <c r="E176" i="15"/>
  <c r="D176" i="15"/>
  <c r="C176" i="15"/>
  <c r="B176" i="15"/>
  <c r="E175" i="15"/>
  <c r="D175" i="15"/>
  <c r="C175" i="15"/>
  <c r="B175" i="15"/>
  <c r="E174" i="15"/>
  <c r="D174" i="15"/>
  <c r="C174" i="15"/>
  <c r="B174" i="15"/>
  <c r="C173" i="15"/>
  <c r="E173" i="15"/>
  <c r="D173" i="15"/>
  <c r="B173" i="15"/>
  <c r="D172" i="15"/>
  <c r="E172" i="15"/>
  <c r="B172" i="15"/>
  <c r="C172" i="15"/>
  <c r="E171" i="15"/>
  <c r="D171" i="15"/>
  <c r="C171" i="15"/>
  <c r="B171" i="15"/>
  <c r="E170" i="15"/>
  <c r="C170" i="15"/>
  <c r="B170" i="15"/>
  <c r="D170" i="15"/>
  <c r="E169" i="15"/>
  <c r="D169" i="15"/>
  <c r="C169" i="15"/>
  <c r="B169" i="15"/>
  <c r="B168" i="15"/>
  <c r="E168" i="15"/>
  <c r="D168" i="15"/>
  <c r="C168" i="15"/>
  <c r="B167" i="15"/>
  <c r="E167" i="15"/>
  <c r="D167" i="15"/>
  <c r="C167" i="15"/>
  <c r="E166" i="15"/>
  <c r="D166" i="15"/>
  <c r="C166" i="15"/>
  <c r="B166" i="15"/>
  <c r="B165" i="15"/>
  <c r="E165" i="15"/>
  <c r="D165" i="15"/>
  <c r="C165" i="15"/>
  <c r="E164" i="15"/>
  <c r="D164" i="15"/>
  <c r="C164" i="15"/>
  <c r="B164" i="15"/>
  <c r="B163" i="15"/>
  <c r="E163" i="15"/>
  <c r="D163" i="15"/>
  <c r="C163" i="15"/>
  <c r="B162" i="15"/>
  <c r="E162" i="15"/>
  <c r="D162" i="15"/>
  <c r="C162" i="15"/>
  <c r="B161" i="15"/>
  <c r="E161" i="15"/>
  <c r="D161" i="15"/>
  <c r="C161" i="15"/>
  <c r="B160" i="15"/>
  <c r="E160" i="15"/>
  <c r="L160" i="15" s="1"/>
  <c r="D160" i="15"/>
  <c r="C160" i="15"/>
  <c r="E159" i="15"/>
  <c r="D159" i="15"/>
  <c r="C159" i="15"/>
  <c r="B159" i="15"/>
  <c r="B158" i="15"/>
  <c r="E158" i="15"/>
  <c r="D158" i="15"/>
  <c r="C158" i="15"/>
  <c r="E157" i="15"/>
  <c r="D157" i="15"/>
  <c r="C157" i="15"/>
  <c r="B157" i="15"/>
  <c r="E156" i="15"/>
  <c r="D156" i="15"/>
  <c r="C156" i="15"/>
  <c r="B156" i="15"/>
  <c r="E155" i="15"/>
  <c r="D155" i="15"/>
  <c r="C155" i="15"/>
  <c r="B155" i="15"/>
  <c r="E154" i="15"/>
  <c r="D154" i="15"/>
  <c r="C154" i="15"/>
  <c r="B154" i="15"/>
  <c r="E153" i="15"/>
  <c r="D153" i="15"/>
  <c r="C153" i="15"/>
  <c r="B153" i="15"/>
  <c r="E152" i="15"/>
  <c r="D152" i="15"/>
  <c r="C152" i="15"/>
  <c r="B152" i="15"/>
  <c r="D151" i="15"/>
  <c r="E151" i="15"/>
  <c r="B151" i="15"/>
  <c r="C151" i="15"/>
  <c r="E150" i="15"/>
  <c r="D150" i="15"/>
  <c r="C150" i="15"/>
  <c r="B150" i="15"/>
  <c r="E149" i="15"/>
  <c r="D149" i="15"/>
  <c r="C149" i="15"/>
  <c r="B149" i="15"/>
  <c r="D148" i="15"/>
  <c r="E148" i="15"/>
  <c r="C148" i="15"/>
  <c r="B148" i="15"/>
  <c r="E147" i="15"/>
  <c r="D147" i="15"/>
  <c r="C147" i="15"/>
  <c r="B147" i="15"/>
  <c r="D146" i="15"/>
  <c r="E146" i="15"/>
  <c r="C146" i="15"/>
  <c r="B146" i="15"/>
  <c r="E145" i="15"/>
  <c r="D145" i="15"/>
  <c r="C145" i="15"/>
  <c r="B145" i="15"/>
  <c r="C144" i="15"/>
  <c r="E144" i="15"/>
  <c r="B144" i="15"/>
  <c r="D144" i="15"/>
  <c r="E143" i="15"/>
  <c r="C143" i="15"/>
  <c r="B143" i="15"/>
  <c r="D143" i="15"/>
  <c r="E142" i="15"/>
  <c r="D142" i="15"/>
  <c r="C142" i="15"/>
  <c r="B142" i="15"/>
  <c r="C141" i="15"/>
  <c r="D141" i="15"/>
  <c r="B141" i="15"/>
  <c r="E141" i="15"/>
  <c r="E140" i="15"/>
  <c r="D140" i="15"/>
  <c r="C140" i="15"/>
  <c r="B140" i="15"/>
  <c r="D139" i="15"/>
  <c r="E139" i="15"/>
  <c r="C139" i="15"/>
  <c r="B139" i="15"/>
  <c r="D138" i="15"/>
  <c r="E138" i="15"/>
  <c r="C138" i="15"/>
  <c r="B138" i="15"/>
  <c r="E137" i="15"/>
  <c r="D137" i="15"/>
  <c r="C137" i="15"/>
  <c r="B137" i="15"/>
  <c r="E136" i="15"/>
  <c r="D136" i="15"/>
  <c r="C136" i="15"/>
  <c r="B136" i="15"/>
  <c r="E135" i="15"/>
  <c r="D135" i="15"/>
  <c r="C135" i="15"/>
  <c r="B135" i="15"/>
  <c r="E134" i="15"/>
  <c r="D134" i="15"/>
  <c r="C134" i="15"/>
  <c r="B134" i="15"/>
  <c r="E133" i="15"/>
  <c r="D133" i="15"/>
  <c r="C133" i="15"/>
  <c r="B133" i="15"/>
  <c r="E132" i="15"/>
  <c r="D132" i="15"/>
  <c r="C132" i="15"/>
  <c r="B132" i="15"/>
  <c r="E131" i="15"/>
  <c r="C131" i="15"/>
  <c r="D131" i="15"/>
  <c r="B131" i="15"/>
  <c r="E130" i="15"/>
  <c r="C130" i="15"/>
  <c r="D130" i="15"/>
  <c r="B130" i="15"/>
  <c r="C129" i="15"/>
  <c r="D129" i="15"/>
  <c r="E129" i="15"/>
  <c r="B129" i="15"/>
  <c r="C127" i="15"/>
  <c r="B127" i="15"/>
  <c r="D127" i="15"/>
  <c r="E127" i="15"/>
  <c r="E126" i="15"/>
  <c r="D126" i="15"/>
  <c r="C126" i="15"/>
  <c r="B126" i="15"/>
  <c r="B125" i="15"/>
  <c r="C125" i="15"/>
  <c r="E125" i="15"/>
  <c r="D125" i="15"/>
  <c r="B124" i="15"/>
  <c r="E124" i="15"/>
  <c r="D124" i="15"/>
  <c r="C124" i="15"/>
  <c r="B123" i="15"/>
  <c r="C123" i="15"/>
  <c r="D123" i="15"/>
  <c r="E123" i="15"/>
  <c r="E122" i="15"/>
  <c r="D122" i="15"/>
  <c r="C122" i="15"/>
  <c r="B122" i="15"/>
  <c r="B121" i="15"/>
  <c r="C121" i="15"/>
  <c r="D121" i="15"/>
  <c r="E121" i="15"/>
  <c r="B120" i="15"/>
  <c r="C120" i="15"/>
  <c r="D120" i="15"/>
  <c r="E120" i="15"/>
  <c r="B119" i="15"/>
  <c r="E119" i="15"/>
  <c r="D119" i="15"/>
  <c r="C119" i="15"/>
  <c r="E118" i="15"/>
  <c r="D118" i="15"/>
  <c r="C118" i="15"/>
  <c r="B118" i="15"/>
  <c r="E117" i="15"/>
  <c r="B117" i="15"/>
  <c r="C117" i="15"/>
  <c r="D117" i="15"/>
  <c r="E116" i="15"/>
  <c r="D116" i="15"/>
  <c r="C116" i="15"/>
  <c r="B116" i="15"/>
  <c r="B115" i="15"/>
  <c r="C115" i="15"/>
  <c r="D115" i="15"/>
  <c r="E115" i="15"/>
  <c r="D114" i="15"/>
  <c r="C114" i="15"/>
  <c r="B114" i="15"/>
  <c r="E114" i="15"/>
  <c r="C113" i="15"/>
  <c r="E113" i="15"/>
  <c r="D113" i="15"/>
  <c r="B113" i="15"/>
  <c r="C112" i="15"/>
  <c r="D112" i="15"/>
  <c r="E112" i="15"/>
  <c r="B112" i="15"/>
  <c r="B111" i="15"/>
  <c r="C111" i="15"/>
  <c r="D111" i="15"/>
  <c r="E111" i="15"/>
  <c r="D110" i="15"/>
  <c r="C110" i="15"/>
  <c r="B110" i="15"/>
  <c r="E110" i="15"/>
  <c r="C109" i="15"/>
  <c r="D109" i="15"/>
  <c r="E109" i="15"/>
  <c r="B109" i="15"/>
  <c r="B108" i="15"/>
  <c r="C108" i="15"/>
  <c r="D108" i="15"/>
  <c r="E108" i="15"/>
  <c r="D107" i="15"/>
  <c r="C107" i="15"/>
  <c r="B107" i="15"/>
  <c r="E107" i="15"/>
  <c r="E106" i="15"/>
  <c r="D106" i="15"/>
  <c r="B106" i="15"/>
  <c r="C106" i="15"/>
  <c r="E105" i="15"/>
  <c r="D105" i="15"/>
  <c r="C105" i="15"/>
  <c r="B105" i="15"/>
  <c r="E104" i="15"/>
  <c r="D104" i="15"/>
  <c r="C104" i="15"/>
  <c r="B104" i="15"/>
  <c r="E103" i="15"/>
  <c r="D103" i="15"/>
  <c r="C103" i="15"/>
  <c r="B103" i="15"/>
  <c r="D102" i="15"/>
  <c r="E102" i="15"/>
  <c r="C102" i="15"/>
  <c r="B102" i="15"/>
  <c r="D101" i="15"/>
  <c r="E101" i="15"/>
  <c r="C101" i="15"/>
  <c r="B101" i="15"/>
  <c r="E100" i="15"/>
  <c r="D100" i="15"/>
  <c r="C100" i="15"/>
  <c r="B100" i="15"/>
  <c r="E99" i="15"/>
  <c r="D99" i="15"/>
  <c r="C99" i="15"/>
  <c r="B99" i="15"/>
  <c r="C98" i="15"/>
  <c r="B98" i="15"/>
  <c r="E98" i="15"/>
  <c r="D98" i="15"/>
  <c r="C97" i="15"/>
  <c r="B97" i="15"/>
  <c r="E97" i="15"/>
  <c r="D97" i="15"/>
  <c r="E96" i="15"/>
  <c r="D96" i="15"/>
  <c r="C96" i="15"/>
  <c r="B96" i="15"/>
  <c r="E95" i="15"/>
  <c r="D95" i="15"/>
  <c r="C95" i="15"/>
  <c r="B95" i="15"/>
  <c r="E94" i="15"/>
  <c r="D94" i="15"/>
  <c r="C94" i="15"/>
  <c r="B94" i="15"/>
  <c r="E93" i="15"/>
  <c r="D93" i="15"/>
  <c r="C93" i="15"/>
  <c r="B93" i="15"/>
  <c r="E92" i="15"/>
  <c r="D92" i="15"/>
  <c r="C92" i="15"/>
  <c r="B92" i="15"/>
  <c r="E91" i="15"/>
  <c r="D91" i="15"/>
  <c r="C91" i="15"/>
  <c r="B91" i="15"/>
  <c r="E90" i="15"/>
  <c r="D90" i="15"/>
  <c r="C90" i="15"/>
  <c r="B90" i="15"/>
  <c r="E89" i="15"/>
  <c r="D89" i="15"/>
  <c r="C89" i="15"/>
  <c r="B89" i="15"/>
  <c r="E88" i="15"/>
  <c r="D88" i="15"/>
  <c r="C88" i="15"/>
  <c r="B88" i="15"/>
  <c r="E87" i="15"/>
  <c r="L87" i="15" s="1"/>
  <c r="D87" i="15"/>
  <c r="C87" i="15"/>
  <c r="B87" i="15"/>
  <c r="E86" i="15"/>
  <c r="D86" i="15"/>
  <c r="C86" i="15"/>
  <c r="B86" i="15"/>
  <c r="B85" i="15"/>
  <c r="C85" i="15"/>
  <c r="D85" i="15"/>
  <c r="E85" i="15"/>
  <c r="B84" i="15"/>
  <c r="C84" i="15"/>
  <c r="D84" i="15"/>
  <c r="E84" i="15"/>
  <c r="E83" i="15"/>
  <c r="D83" i="15"/>
  <c r="C83" i="15"/>
  <c r="B83" i="15"/>
  <c r="E82" i="15"/>
  <c r="D82" i="15"/>
  <c r="C82" i="15"/>
  <c r="B82" i="15"/>
  <c r="E81" i="15"/>
  <c r="D81" i="15"/>
  <c r="C81" i="15"/>
  <c r="B81" i="15"/>
  <c r="E80" i="15"/>
  <c r="D80" i="15"/>
  <c r="C80" i="15"/>
  <c r="B80" i="15"/>
  <c r="E79" i="15"/>
  <c r="D79" i="15"/>
  <c r="C79" i="15"/>
  <c r="B79" i="15"/>
  <c r="E78" i="15"/>
  <c r="D78" i="15"/>
  <c r="C78" i="15"/>
  <c r="B78" i="15"/>
  <c r="E77" i="15"/>
  <c r="D77" i="15"/>
  <c r="B77" i="15"/>
  <c r="C77" i="15"/>
  <c r="E76" i="15"/>
  <c r="D76" i="15"/>
  <c r="C76" i="15"/>
  <c r="B76" i="15"/>
  <c r="B75" i="15"/>
  <c r="C75" i="15"/>
  <c r="D75" i="15"/>
  <c r="E75" i="15"/>
  <c r="B74" i="15"/>
  <c r="C74" i="15"/>
  <c r="D74" i="15"/>
  <c r="E74" i="15"/>
  <c r="E73" i="15"/>
  <c r="D73" i="15"/>
  <c r="C73" i="15"/>
  <c r="B73" i="15"/>
  <c r="B72" i="15"/>
  <c r="C72" i="15"/>
  <c r="D72" i="15"/>
  <c r="E72" i="15"/>
  <c r="E71" i="15"/>
  <c r="D71" i="15"/>
  <c r="C71" i="15"/>
  <c r="B71" i="15"/>
  <c r="E70" i="15"/>
  <c r="D70" i="15"/>
  <c r="C70" i="15"/>
  <c r="B70" i="15"/>
  <c r="B69" i="15"/>
  <c r="E69" i="15"/>
  <c r="D69" i="15"/>
  <c r="C69" i="15"/>
  <c r="E68" i="15"/>
  <c r="D68" i="15"/>
  <c r="C68" i="15"/>
  <c r="B68" i="15"/>
  <c r="E67" i="15"/>
  <c r="D67" i="15"/>
  <c r="C67" i="15"/>
  <c r="B67" i="15"/>
  <c r="D66" i="15"/>
  <c r="E66" i="15"/>
  <c r="B66" i="15"/>
  <c r="C66" i="15"/>
  <c r="B65" i="15"/>
  <c r="D65" i="15"/>
  <c r="E65" i="15"/>
  <c r="C65" i="15"/>
  <c r="E64" i="15"/>
  <c r="D64" i="15"/>
  <c r="B64" i="15"/>
  <c r="C64" i="15"/>
  <c r="E63" i="15"/>
  <c r="D63" i="15"/>
  <c r="C63" i="15"/>
  <c r="B63" i="15"/>
  <c r="C62" i="15"/>
  <c r="B62" i="15"/>
  <c r="D62" i="15"/>
  <c r="E62" i="15"/>
  <c r="E61" i="15"/>
  <c r="D61" i="15"/>
  <c r="C61" i="15"/>
  <c r="B61" i="15"/>
  <c r="B60" i="15"/>
  <c r="D60" i="15"/>
  <c r="C60" i="15"/>
  <c r="E60" i="15"/>
  <c r="E59" i="15"/>
  <c r="D59" i="15"/>
  <c r="C59" i="15"/>
  <c r="B59" i="15"/>
  <c r="B58" i="15"/>
  <c r="E58" i="15"/>
  <c r="D58" i="15"/>
  <c r="C58" i="15"/>
  <c r="D57" i="15"/>
  <c r="E57" i="15"/>
  <c r="C57" i="15"/>
  <c r="B57" i="15"/>
  <c r="D56" i="15"/>
  <c r="B56" i="15"/>
  <c r="C56" i="15"/>
  <c r="E56" i="15"/>
  <c r="D55" i="15"/>
  <c r="C55" i="15"/>
  <c r="B55" i="15"/>
  <c r="E55" i="15"/>
  <c r="C54" i="15"/>
  <c r="E54" i="15"/>
  <c r="D54" i="15"/>
  <c r="B54" i="15"/>
  <c r="C53" i="15"/>
  <c r="E53" i="15"/>
  <c r="D53" i="15"/>
  <c r="B53" i="15"/>
  <c r="E52" i="15"/>
  <c r="D52" i="15"/>
  <c r="C52" i="15"/>
  <c r="B52" i="15"/>
  <c r="B51" i="15"/>
  <c r="E51" i="15"/>
  <c r="D51" i="15"/>
  <c r="C51" i="15"/>
  <c r="C50" i="15"/>
  <c r="B50" i="15"/>
  <c r="E50" i="15"/>
  <c r="D50" i="15"/>
  <c r="E49" i="15"/>
  <c r="D49" i="15"/>
  <c r="C49" i="15"/>
  <c r="B49" i="15"/>
  <c r="B48" i="15"/>
  <c r="E48" i="15"/>
  <c r="D48" i="15"/>
  <c r="C48" i="15"/>
  <c r="D47" i="15"/>
  <c r="E47" i="15"/>
  <c r="C47" i="15"/>
  <c r="B47" i="15"/>
  <c r="E46" i="15"/>
  <c r="D46" i="15"/>
  <c r="C46" i="15"/>
  <c r="B46" i="15"/>
  <c r="C45" i="15"/>
  <c r="D45" i="15"/>
  <c r="E45" i="15"/>
  <c r="B45" i="15"/>
  <c r="E44" i="15"/>
  <c r="D44" i="15"/>
  <c r="C44" i="15"/>
  <c r="B44" i="15"/>
  <c r="D43" i="15"/>
  <c r="E43" i="15"/>
  <c r="B43" i="15"/>
  <c r="B42" i="15"/>
  <c r="C42" i="15"/>
  <c r="E42" i="15"/>
  <c r="B41" i="15"/>
  <c r="E41" i="15"/>
  <c r="D41" i="15"/>
  <c r="C41" i="15"/>
  <c r="B40" i="15"/>
  <c r="C40" i="15"/>
  <c r="D40" i="15"/>
  <c r="E40" i="15"/>
  <c r="E39" i="15"/>
  <c r="D39" i="15"/>
  <c r="B39" i="15"/>
  <c r="C39" i="15"/>
  <c r="E38" i="15"/>
  <c r="B38" i="15"/>
  <c r="D38" i="15"/>
  <c r="C38" i="15"/>
  <c r="C37" i="15"/>
  <c r="B37" i="15"/>
  <c r="E37" i="15"/>
  <c r="D37" i="15"/>
  <c r="C36" i="15"/>
  <c r="E36" i="15"/>
  <c r="L36" i="15" s="1"/>
  <c r="B36" i="15"/>
  <c r="D36" i="15"/>
  <c r="C35" i="15"/>
  <c r="E35" i="15"/>
  <c r="L35" i="15" s="1"/>
  <c r="B35" i="15"/>
  <c r="D35" i="15"/>
  <c r="C34" i="15"/>
  <c r="D34" i="15"/>
  <c r="B34" i="15"/>
  <c r="E34" i="15"/>
  <c r="L34" i="15" s="1"/>
  <c r="D33" i="15"/>
  <c r="B33" i="15"/>
  <c r="E33" i="15"/>
  <c r="L33" i="15" s="1"/>
  <c r="C33" i="15"/>
  <c r="C32" i="15"/>
  <c r="E32" i="15"/>
  <c r="L32" i="15" s="1"/>
  <c r="D32" i="15"/>
  <c r="B32" i="15"/>
  <c r="D31" i="15"/>
  <c r="C31" i="15"/>
  <c r="B31" i="15"/>
  <c r="E31" i="15"/>
  <c r="D30" i="15"/>
  <c r="E30" i="15"/>
  <c r="B30" i="15"/>
  <c r="C30" i="15"/>
  <c r="B29" i="15"/>
  <c r="C29" i="15"/>
  <c r="D29" i="15"/>
  <c r="E29" i="15"/>
  <c r="D28" i="15"/>
  <c r="C28" i="15"/>
  <c r="B28" i="15"/>
  <c r="E28" i="15"/>
  <c r="D27" i="15"/>
  <c r="E27" i="15"/>
  <c r="C27" i="15"/>
  <c r="B27" i="15"/>
  <c r="D26" i="15"/>
  <c r="B26" i="15"/>
  <c r="E26" i="15"/>
  <c r="C26" i="15"/>
  <c r="D25" i="15"/>
  <c r="B25" i="15"/>
  <c r="C25" i="15"/>
  <c r="E25" i="15"/>
  <c r="M24" i="15"/>
  <c r="Q24" i="15" s="1"/>
  <c r="S24" i="15" s="1"/>
  <c r="B24" i="15"/>
  <c r="C24" i="15"/>
  <c r="J24" i="15"/>
  <c r="I24" i="15"/>
  <c r="K24" i="15" s="1"/>
  <c r="H24" i="15"/>
  <c r="G24" i="15"/>
  <c r="D24" i="15"/>
  <c r="E24" i="15"/>
  <c r="J23" i="15"/>
  <c r="H23" i="15"/>
  <c r="B23" i="15"/>
  <c r="C23" i="15"/>
  <c r="D23" i="15"/>
  <c r="E23" i="15"/>
  <c r="M23" i="15"/>
  <c r="Q23" i="15" s="1"/>
  <c r="S23" i="15" s="1"/>
  <c r="H22" i="15"/>
  <c r="J22" i="15"/>
  <c r="M22" i="15"/>
  <c r="Q22" i="15" s="1"/>
  <c r="S22" i="15" s="1"/>
  <c r="E22" i="15"/>
  <c r="B22" i="15"/>
  <c r="C22" i="15"/>
  <c r="D22" i="15"/>
  <c r="E21" i="15"/>
  <c r="D21" i="15"/>
  <c r="B21" i="15"/>
  <c r="C21" i="15"/>
  <c r="J21" i="15"/>
  <c r="H21" i="15"/>
  <c r="M21" i="15"/>
  <c r="Q21" i="15" s="1"/>
  <c r="S21" i="15" s="1"/>
  <c r="M20" i="15"/>
  <c r="Q20" i="15" s="1"/>
  <c r="S20" i="15" s="1"/>
  <c r="B20" i="15"/>
  <c r="D20" i="15"/>
  <c r="C20" i="15"/>
  <c r="H20" i="15"/>
  <c r="E20" i="15"/>
  <c r="J20" i="15"/>
  <c r="M19" i="15"/>
  <c r="Q19" i="15" s="1"/>
  <c r="S19" i="15" s="1"/>
  <c r="B19" i="15"/>
  <c r="H19" i="15"/>
  <c r="C19" i="15"/>
  <c r="D19" i="15"/>
  <c r="E19" i="15"/>
  <c r="J19" i="15"/>
  <c r="J18" i="15"/>
  <c r="B18" i="15"/>
  <c r="H18" i="15"/>
  <c r="D18" i="15"/>
  <c r="E18" i="15"/>
  <c r="C18" i="15"/>
  <c r="M18" i="15"/>
  <c r="Q18" i="15" s="1"/>
  <c r="S18" i="15" s="1"/>
  <c r="J17" i="15"/>
  <c r="B17" i="15"/>
  <c r="E17" i="15"/>
  <c r="C17" i="15"/>
  <c r="M17" i="15"/>
  <c r="Q17" i="15" s="1"/>
  <c r="S17" i="15" s="1"/>
  <c r="H17" i="15"/>
  <c r="D17" i="15"/>
  <c r="M16" i="15"/>
  <c r="Q16" i="15" s="1"/>
  <c r="S16" i="15" s="1"/>
  <c r="C16" i="15"/>
  <c r="J16" i="15"/>
  <c r="B16" i="15"/>
  <c r="H16" i="15"/>
  <c r="D16" i="15"/>
  <c r="E16" i="15"/>
  <c r="C15" i="15"/>
  <c r="E15" i="15"/>
  <c r="D15" i="15"/>
  <c r="H15" i="15"/>
  <c r="B15" i="15"/>
  <c r="M15" i="15"/>
  <c r="Q15" i="15" s="1"/>
  <c r="S15" i="15" s="1"/>
  <c r="J15" i="15"/>
  <c r="B14" i="15"/>
  <c r="D14" i="15"/>
  <c r="C14" i="15"/>
  <c r="E14" i="15"/>
  <c r="M14" i="15"/>
  <c r="Q14" i="15" s="1"/>
  <c r="S14" i="15" s="1"/>
  <c r="J14" i="15"/>
  <c r="H14" i="15"/>
  <c r="B13" i="15"/>
  <c r="D13" i="15"/>
  <c r="E13" i="15"/>
  <c r="C13" i="15"/>
  <c r="M13" i="15"/>
  <c r="Q13" i="15" s="1"/>
  <c r="S13" i="15" s="1"/>
  <c r="H13" i="15"/>
  <c r="J13" i="15"/>
  <c r="B12" i="15"/>
  <c r="C12" i="15"/>
  <c r="E12" i="15"/>
  <c r="H12" i="15"/>
  <c r="D12" i="15"/>
  <c r="J12" i="15"/>
  <c r="M12" i="15"/>
  <c r="Q12" i="15" s="1"/>
  <c r="S12" i="15" s="1"/>
  <c r="B11" i="15"/>
  <c r="H11" i="15"/>
  <c r="J11" i="15"/>
  <c r="M11" i="15"/>
  <c r="Q11" i="15" s="1"/>
  <c r="S11" i="15" s="1"/>
  <c r="C11" i="15"/>
  <c r="E11" i="15"/>
  <c r="E10" i="15"/>
  <c r="M10" i="15"/>
  <c r="Q10" i="15" s="1"/>
  <c r="S10" i="15" s="1"/>
  <c r="H10" i="15"/>
  <c r="C10" i="15"/>
  <c r="B10" i="15"/>
  <c r="D10" i="15"/>
  <c r="J10" i="15"/>
  <c r="B9" i="15"/>
  <c r="H9" i="15"/>
  <c r="M9" i="15"/>
  <c r="Q9" i="15" s="1"/>
  <c r="S9" i="15" s="1"/>
  <c r="E9" i="15"/>
  <c r="D9" i="15"/>
  <c r="C9" i="15"/>
  <c r="J9" i="15"/>
  <c r="H8" i="15"/>
  <c r="B8" i="15"/>
  <c r="D8" i="15"/>
  <c r="M8" i="15"/>
  <c r="Q8" i="15" s="1"/>
  <c r="S8" i="15" s="1"/>
  <c r="J8" i="15"/>
  <c r="E8" i="15"/>
  <c r="C8" i="15"/>
  <c r="E7" i="15"/>
  <c r="C7" i="15"/>
  <c r="B7" i="15"/>
  <c r="M7" i="15"/>
  <c r="Q7" i="15" s="1"/>
  <c r="S7" i="15" s="1"/>
  <c r="D7" i="15"/>
  <c r="J7" i="15"/>
  <c r="H7" i="15"/>
  <c r="J6" i="15"/>
  <c r="D6" i="15"/>
  <c r="C6" i="15"/>
  <c r="M6" i="15"/>
  <c r="Q6" i="15" s="1"/>
  <c r="S6" i="15" s="1"/>
  <c r="H6" i="15"/>
  <c r="E6" i="15"/>
  <c r="B6" i="15"/>
  <c r="H5" i="15"/>
  <c r="E5" i="15"/>
  <c r="D5" i="15"/>
  <c r="C5" i="15"/>
  <c r="B5" i="15"/>
  <c r="M5" i="15"/>
  <c r="Q5" i="15" s="1"/>
  <c r="S5" i="15" s="1"/>
  <c r="J5" i="15"/>
  <c r="B4" i="15"/>
  <c r="C4" i="15"/>
  <c r="D4" i="15"/>
  <c r="M4" i="15"/>
  <c r="Q4" i="15" s="1"/>
  <c r="S4" i="15" s="1"/>
  <c r="H4" i="15"/>
  <c r="J4" i="15"/>
  <c r="E4" i="15"/>
  <c r="J3" i="15"/>
  <c r="C3" i="15"/>
  <c r="B3" i="15"/>
  <c r="D3" i="15"/>
  <c r="E3" i="15"/>
  <c r="M3" i="15"/>
  <c r="Q3" i="15" s="1"/>
  <c r="H3" i="15"/>
  <c r="D62" i="11"/>
  <c r="D60" i="11"/>
  <c r="D59" i="11"/>
  <c r="D58" i="11"/>
  <c r="D56" i="11"/>
  <c r="D55" i="11"/>
  <c r="D54" i="11"/>
  <c r="D53" i="11"/>
  <c r="D51" i="11"/>
  <c r="D50" i="11"/>
  <c r="F70" i="8"/>
  <c r="F85" i="8"/>
  <c r="F61" i="8"/>
  <c r="F62" i="8"/>
  <c r="F63" i="8"/>
  <c r="F66" i="8"/>
  <c r="F68" i="8"/>
  <c r="F75" i="8"/>
  <c r="F78" i="8"/>
  <c r="F81" i="8"/>
  <c r="F84" i="8"/>
  <c r="F86" i="8"/>
  <c r="F79" i="8"/>
  <c r="F76" i="8"/>
  <c r="F71" i="8"/>
  <c r="F69" i="8"/>
  <c r="F64" i="8"/>
  <c r="F60" i="8"/>
  <c r="F59" i="8"/>
  <c r="F58" i="8"/>
  <c r="F57" i="8"/>
  <c r="F56" i="8"/>
  <c r="F55" i="8"/>
  <c r="F54" i="8"/>
  <c r="F49" i="8"/>
  <c r="F46" i="8"/>
  <c r="F42" i="8"/>
  <c r="F97" i="8"/>
  <c r="F96" i="8"/>
  <c r="F95" i="8"/>
  <c r="F94" i="8"/>
  <c r="F93" i="8"/>
  <c r="F92" i="8"/>
  <c r="F90" i="8"/>
  <c r="F87" i="8"/>
  <c r="F83" i="8"/>
  <c r="F80" i="8"/>
  <c r="F77" i="8"/>
  <c r="F74" i="8"/>
  <c r="F72" i="8"/>
  <c r="F65" i="8"/>
  <c r="F52" i="8"/>
  <c r="F50" i="8"/>
  <c r="F47" i="8"/>
  <c r="F43" i="8"/>
  <c r="F51" i="8"/>
  <c r="F48" i="8"/>
  <c r="F45" i="8"/>
  <c r="F82" i="8"/>
  <c r="F91" i="8"/>
  <c r="F88" i="8"/>
  <c r="J265" i="15"/>
  <c r="M265" i="15"/>
  <c r="Q265" i="15" s="1"/>
  <c r="S265" i="15" s="1"/>
  <c r="G257" i="15"/>
  <c r="J289" i="15"/>
  <c r="F21" i="11"/>
  <c r="I345" i="9"/>
  <c r="G345" i="9"/>
  <c r="C345" i="9"/>
  <c r="B345" i="9"/>
  <c r="I344" i="9"/>
  <c r="G344" i="9"/>
  <c r="C344" i="9"/>
  <c r="B344" i="9"/>
  <c r="I343" i="9"/>
  <c r="G343" i="9"/>
  <c r="C343" i="9"/>
  <c r="B343" i="9"/>
  <c r="B342" i="9"/>
  <c r="I342" i="9"/>
  <c r="G342" i="9"/>
  <c r="C342" i="9"/>
  <c r="C341" i="9"/>
  <c r="I341" i="9"/>
  <c r="G341" i="9"/>
  <c r="B341" i="9"/>
  <c r="B340" i="9"/>
  <c r="C340" i="9"/>
  <c r="G340" i="9"/>
  <c r="I340" i="9"/>
  <c r="I338" i="9"/>
  <c r="C338" i="9"/>
  <c r="B338" i="9"/>
  <c r="G338" i="9"/>
  <c r="I337" i="9"/>
  <c r="G337" i="9"/>
  <c r="C337" i="9"/>
  <c r="B337" i="9"/>
  <c r="I336" i="9"/>
  <c r="G336" i="9"/>
  <c r="C336" i="9"/>
  <c r="B336" i="9"/>
  <c r="B335" i="9"/>
  <c r="C335" i="9"/>
  <c r="I335" i="9"/>
  <c r="G335" i="9"/>
  <c r="C334" i="9"/>
  <c r="B334" i="9"/>
  <c r="I334" i="9"/>
  <c r="G334" i="9"/>
  <c r="C333" i="9"/>
  <c r="B333" i="9"/>
  <c r="I333" i="9"/>
  <c r="G333" i="9"/>
  <c r="I332" i="9"/>
  <c r="G332" i="9"/>
  <c r="C332" i="9"/>
  <c r="B332" i="9"/>
  <c r="I331" i="9"/>
  <c r="G331" i="9"/>
  <c r="C331" i="9"/>
  <c r="B331" i="9"/>
  <c r="B329" i="9"/>
  <c r="C329" i="9"/>
  <c r="I329" i="9"/>
  <c r="G329" i="9"/>
  <c r="G328" i="9"/>
  <c r="I328" i="9"/>
  <c r="C328" i="9"/>
  <c r="B328" i="9"/>
  <c r="B327" i="9"/>
  <c r="G327" i="9"/>
  <c r="C327" i="9"/>
  <c r="I327" i="9"/>
  <c r="B326" i="9"/>
  <c r="I326" i="9"/>
  <c r="G326" i="9"/>
  <c r="C326" i="9"/>
  <c r="I325" i="9"/>
  <c r="G325" i="9"/>
  <c r="C325" i="9"/>
  <c r="B325" i="9"/>
  <c r="C323" i="9"/>
  <c r="B323" i="9"/>
  <c r="G323" i="9"/>
  <c r="I323" i="9"/>
  <c r="G322" i="9"/>
  <c r="C322" i="9"/>
  <c r="B322" i="9"/>
  <c r="I322" i="9"/>
  <c r="I321" i="9"/>
  <c r="G321" i="9"/>
  <c r="C321" i="9"/>
  <c r="B321" i="9"/>
  <c r="G320" i="9"/>
  <c r="I320" i="9"/>
  <c r="C320" i="9"/>
  <c r="B320" i="9"/>
  <c r="I319" i="9"/>
  <c r="G319" i="9"/>
  <c r="C319" i="9"/>
  <c r="B319" i="9"/>
  <c r="I317" i="9"/>
  <c r="G317" i="9"/>
  <c r="C317" i="9"/>
  <c r="B317" i="9"/>
  <c r="C316" i="9"/>
  <c r="B316" i="9"/>
  <c r="I316" i="9"/>
  <c r="G316" i="9"/>
  <c r="C315" i="9"/>
  <c r="B315" i="9"/>
  <c r="I315" i="9"/>
  <c r="G315" i="9"/>
  <c r="C314" i="9"/>
  <c r="B314" i="9"/>
  <c r="I314" i="9"/>
  <c r="G314" i="9"/>
  <c r="C313" i="9"/>
  <c r="B313" i="9"/>
  <c r="I313" i="9"/>
  <c r="G313" i="9"/>
  <c r="C311" i="9"/>
  <c r="B311" i="9"/>
  <c r="I311" i="9"/>
  <c r="G311" i="9"/>
  <c r="B310" i="9"/>
  <c r="A309" i="9"/>
  <c r="I310" i="9"/>
  <c r="G310" i="9"/>
  <c r="C310" i="9"/>
  <c r="C308" i="9"/>
  <c r="B308" i="9"/>
  <c r="I308" i="9"/>
  <c r="G308" i="9"/>
  <c r="C307" i="9"/>
  <c r="B307" i="9"/>
  <c r="I307" i="9"/>
  <c r="G307" i="9"/>
  <c r="C306" i="9"/>
  <c r="I306" i="9"/>
  <c r="G306" i="9"/>
  <c r="B306" i="9"/>
  <c r="C305" i="9"/>
  <c r="B305" i="9"/>
  <c r="I305" i="9"/>
  <c r="G305" i="9"/>
  <c r="I304" i="9"/>
  <c r="G304" i="9"/>
  <c r="C304" i="9"/>
  <c r="B304" i="9"/>
  <c r="I303" i="9"/>
  <c r="G303" i="9"/>
  <c r="C303" i="9"/>
  <c r="B303" i="9"/>
  <c r="I302" i="9"/>
  <c r="G302" i="9"/>
  <c r="C302" i="9"/>
  <c r="B302" i="9"/>
  <c r="C301" i="9"/>
  <c r="B301" i="9"/>
  <c r="I301" i="9"/>
  <c r="G301" i="9"/>
  <c r="C300" i="9"/>
  <c r="B300" i="9"/>
  <c r="I300" i="9"/>
  <c r="G300" i="9"/>
  <c r="C299" i="9"/>
  <c r="B299" i="9"/>
  <c r="I299" i="9"/>
  <c r="G299" i="9"/>
  <c r="C297" i="9"/>
  <c r="C259" i="11" s="1"/>
  <c r="B297" i="9"/>
  <c r="I297" i="9"/>
  <c r="G297" i="9"/>
  <c r="C296" i="9"/>
  <c r="C258" i="11" s="1"/>
  <c r="B296" i="9"/>
  <c r="I296" i="9"/>
  <c r="G296" i="9"/>
  <c r="C295" i="9"/>
  <c r="C257" i="11" s="1"/>
  <c r="B295" i="9"/>
  <c r="I295" i="9"/>
  <c r="G295" i="9"/>
  <c r="C294" i="9"/>
  <c r="C256" i="11" s="1"/>
  <c r="B294" i="9"/>
  <c r="I294" i="9"/>
  <c r="G294" i="9"/>
  <c r="I293" i="9"/>
  <c r="G293" i="9"/>
  <c r="C293" i="9"/>
  <c r="C255" i="11" s="1"/>
  <c r="B293" i="9"/>
  <c r="I292" i="9"/>
  <c r="G292" i="9"/>
  <c r="C292" i="9"/>
  <c r="C254" i="11" s="1"/>
  <c r="B292" i="9"/>
  <c r="I291" i="9"/>
  <c r="G291" i="9"/>
  <c r="C291" i="9"/>
  <c r="C253" i="11" s="1"/>
  <c r="B291" i="9"/>
  <c r="C290" i="9"/>
  <c r="C252" i="11" s="1"/>
  <c r="B290" i="9"/>
  <c r="I290" i="9"/>
  <c r="G290" i="9"/>
  <c r="I289" i="9"/>
  <c r="G289" i="9"/>
  <c r="C289" i="9"/>
  <c r="B289" i="9"/>
  <c r="I288" i="9"/>
  <c r="G288" i="9"/>
  <c r="C288" i="9"/>
  <c r="B288" i="9"/>
  <c r="I287" i="9"/>
  <c r="G287" i="9"/>
  <c r="C287" i="9"/>
  <c r="C249" i="11" s="1"/>
  <c r="B287" i="9"/>
  <c r="C286" i="9"/>
  <c r="C248" i="11" s="1"/>
  <c r="B286" i="9"/>
  <c r="I286" i="9"/>
  <c r="G286" i="9"/>
  <c r="C284" i="9"/>
  <c r="C246" i="11" s="1"/>
  <c r="B284" i="9"/>
  <c r="I284" i="9"/>
  <c r="G284" i="9"/>
  <c r="C283" i="9"/>
  <c r="B283" i="9"/>
  <c r="I283" i="9"/>
  <c r="G283" i="9"/>
  <c r="C282" i="9"/>
  <c r="B282" i="9"/>
  <c r="I282" i="9"/>
  <c r="G282" i="9"/>
  <c r="C281" i="9"/>
  <c r="B281" i="9"/>
  <c r="I281" i="9"/>
  <c r="G281" i="9"/>
  <c r="C280" i="9"/>
  <c r="B280" i="9"/>
  <c r="I280" i="9"/>
  <c r="G280" i="9"/>
  <c r="C279" i="9"/>
  <c r="B279" i="9"/>
  <c r="I279" i="9"/>
  <c r="G279" i="9"/>
  <c r="C278" i="9"/>
  <c r="B278" i="9"/>
  <c r="I278" i="9"/>
  <c r="G278" i="9"/>
  <c r="C277" i="9"/>
  <c r="B277" i="9"/>
  <c r="I277" i="9"/>
  <c r="G277" i="9"/>
  <c r="C276" i="9"/>
  <c r="B276" i="9"/>
  <c r="I276" i="9"/>
  <c r="G276" i="9"/>
  <c r="C275" i="9"/>
  <c r="B275" i="9"/>
  <c r="I275" i="9"/>
  <c r="G275" i="9"/>
  <c r="C274" i="9"/>
  <c r="B274" i="9"/>
  <c r="I274" i="9"/>
  <c r="G274" i="9"/>
  <c r="C273" i="9"/>
  <c r="B273" i="9"/>
  <c r="I273" i="9"/>
  <c r="G273" i="9"/>
  <c r="C272" i="9"/>
  <c r="B272" i="9"/>
  <c r="I272" i="9"/>
  <c r="G272" i="9"/>
  <c r="C271" i="9"/>
  <c r="B271" i="9"/>
  <c r="I271" i="9"/>
  <c r="G271" i="9"/>
  <c r="C270" i="9"/>
  <c r="B270" i="9"/>
  <c r="I270" i="9"/>
  <c r="G270" i="9"/>
  <c r="C269" i="9"/>
  <c r="B269" i="9"/>
  <c r="I269" i="9"/>
  <c r="G269" i="9"/>
  <c r="I268" i="9"/>
  <c r="G268" i="9"/>
  <c r="C268" i="9"/>
  <c r="B268" i="9"/>
  <c r="I267" i="9"/>
  <c r="G267" i="9"/>
  <c r="C267" i="9"/>
  <c r="B267" i="9"/>
  <c r="I266" i="9"/>
  <c r="G266" i="9"/>
  <c r="C266" i="9"/>
  <c r="B266" i="9"/>
  <c r="C265" i="9"/>
  <c r="B265" i="9"/>
  <c r="I265" i="9"/>
  <c r="G265" i="9"/>
  <c r="C264" i="9"/>
  <c r="B264" i="9"/>
  <c r="I264" i="9"/>
  <c r="G264" i="9"/>
  <c r="C263" i="9"/>
  <c r="B263" i="9"/>
  <c r="I263" i="9"/>
  <c r="G263" i="9"/>
  <c r="C262" i="9"/>
  <c r="B262" i="9"/>
  <c r="I262" i="9"/>
  <c r="G262" i="9"/>
  <c r="C261" i="9"/>
  <c r="B261" i="9"/>
  <c r="I261" i="9"/>
  <c r="G261" i="9"/>
  <c r="G260" i="9"/>
  <c r="C260" i="9"/>
  <c r="B260" i="9"/>
  <c r="I260" i="9"/>
  <c r="I259" i="9"/>
  <c r="G259" i="9"/>
  <c r="C259" i="9"/>
  <c r="B259" i="9"/>
  <c r="B258" i="9"/>
  <c r="I258" i="9"/>
  <c r="G258" i="9"/>
  <c r="C258" i="9"/>
  <c r="B257" i="9"/>
  <c r="G257" i="9"/>
  <c r="C257" i="9"/>
  <c r="I257" i="9"/>
  <c r="B256" i="9"/>
  <c r="I256" i="9"/>
  <c r="G256" i="9"/>
  <c r="C256" i="9"/>
  <c r="I254" i="9"/>
  <c r="G254" i="9"/>
  <c r="C254" i="9"/>
  <c r="B254" i="9"/>
  <c r="I253" i="9"/>
  <c r="G253" i="9"/>
  <c r="C253" i="9"/>
  <c r="B253" i="9"/>
  <c r="B252" i="9"/>
  <c r="I252" i="9"/>
  <c r="G252" i="9"/>
  <c r="C252" i="9"/>
  <c r="B251" i="9"/>
  <c r="I251" i="9"/>
  <c r="G251" i="9"/>
  <c r="C251" i="9"/>
  <c r="B250" i="9"/>
  <c r="G250" i="9"/>
  <c r="C250" i="9"/>
  <c r="I250" i="9"/>
  <c r="I249" i="9"/>
  <c r="G249" i="9"/>
  <c r="C249" i="9"/>
  <c r="B249" i="9"/>
  <c r="I248" i="9"/>
  <c r="G248" i="9"/>
  <c r="C248" i="9"/>
  <c r="B248" i="9"/>
  <c r="B247" i="9"/>
  <c r="I247" i="9"/>
  <c r="G247" i="9"/>
  <c r="C247" i="9"/>
  <c r="B246" i="9"/>
  <c r="I246" i="9"/>
  <c r="G246" i="9"/>
  <c r="C246" i="9"/>
  <c r="G244" i="9"/>
  <c r="I244" i="9"/>
  <c r="C244" i="9"/>
  <c r="B244" i="9"/>
  <c r="B243" i="9"/>
  <c r="I243" i="9"/>
  <c r="G243" i="9"/>
  <c r="C243" i="9"/>
  <c r="B242" i="9"/>
  <c r="I242" i="9"/>
  <c r="G242" i="9"/>
  <c r="C242" i="9"/>
  <c r="I241" i="9"/>
  <c r="G241" i="9"/>
  <c r="C241" i="9"/>
  <c r="B241" i="9"/>
  <c r="I240" i="9"/>
  <c r="G240" i="9"/>
  <c r="C240" i="9"/>
  <c r="B240" i="9"/>
  <c r="B239" i="9"/>
  <c r="I239" i="9"/>
  <c r="G239" i="9"/>
  <c r="C239" i="9"/>
  <c r="I238" i="9"/>
  <c r="C238" i="9"/>
  <c r="B238" i="9"/>
  <c r="G238" i="9"/>
  <c r="I237" i="9"/>
  <c r="G237" i="9"/>
  <c r="C237" i="9"/>
  <c r="B237" i="9"/>
  <c r="B236" i="9"/>
  <c r="I236" i="9"/>
  <c r="G236" i="9"/>
  <c r="C236" i="9"/>
  <c r="B235" i="9"/>
  <c r="G235" i="9"/>
  <c r="C235" i="9"/>
  <c r="I235" i="9"/>
  <c r="B234" i="9"/>
  <c r="I234" i="9"/>
  <c r="G234" i="9"/>
  <c r="C234" i="9"/>
  <c r="I233" i="9"/>
  <c r="G233" i="9"/>
  <c r="C233" i="9"/>
  <c r="B233" i="9"/>
  <c r="I232" i="9"/>
  <c r="G232" i="9"/>
  <c r="C232" i="9"/>
  <c r="B232" i="9"/>
  <c r="B231" i="9"/>
  <c r="I231" i="9"/>
  <c r="G231" i="9"/>
  <c r="C231" i="9"/>
  <c r="B230" i="9"/>
  <c r="I230" i="9"/>
  <c r="G230" i="9"/>
  <c r="C230" i="9"/>
  <c r="B229" i="9"/>
  <c r="G229" i="9"/>
  <c r="C229" i="9"/>
  <c r="I229" i="9"/>
  <c r="I228" i="9"/>
  <c r="G228" i="9"/>
  <c r="C228" i="9"/>
  <c r="B228" i="9"/>
  <c r="I227" i="9"/>
  <c r="G227" i="9"/>
  <c r="C227" i="9"/>
  <c r="B227" i="9"/>
  <c r="B225" i="9"/>
  <c r="I225" i="9"/>
  <c r="G225" i="9"/>
  <c r="C225" i="9"/>
  <c r="B224" i="9"/>
  <c r="I224" i="9"/>
  <c r="G224" i="9"/>
  <c r="C224" i="9"/>
  <c r="G223" i="9"/>
  <c r="I223" i="9"/>
  <c r="C223" i="9"/>
  <c r="B223" i="9"/>
  <c r="B222" i="9"/>
  <c r="I222" i="9"/>
  <c r="G222" i="9"/>
  <c r="C222" i="9"/>
  <c r="B221" i="9"/>
  <c r="I221" i="9"/>
  <c r="G221" i="9"/>
  <c r="C221" i="9"/>
  <c r="I220" i="9"/>
  <c r="G220" i="9"/>
  <c r="C220" i="9"/>
  <c r="B220" i="9"/>
  <c r="I218" i="9"/>
  <c r="G218" i="9"/>
  <c r="C218" i="9"/>
  <c r="B218" i="9"/>
  <c r="B217" i="9"/>
  <c r="I217" i="9"/>
  <c r="G217" i="9"/>
  <c r="C217" i="9"/>
  <c r="I216" i="9"/>
  <c r="C216" i="9"/>
  <c r="B216" i="9"/>
  <c r="G216" i="9"/>
  <c r="B215" i="9"/>
  <c r="I215" i="9"/>
  <c r="G215" i="9"/>
  <c r="C215" i="9"/>
  <c r="B213" i="9"/>
  <c r="I213" i="9"/>
  <c r="G213" i="9"/>
  <c r="C213" i="9"/>
  <c r="I212" i="9"/>
  <c r="G212" i="9"/>
  <c r="C212" i="9"/>
  <c r="B212" i="9"/>
  <c r="I211" i="9"/>
  <c r="G211" i="9"/>
  <c r="C211" i="9"/>
  <c r="B211" i="9"/>
  <c r="B210" i="9"/>
  <c r="I210" i="9"/>
  <c r="G210" i="9"/>
  <c r="C210" i="9"/>
  <c r="B209" i="9"/>
  <c r="I209" i="9"/>
  <c r="G209" i="9"/>
  <c r="C209" i="9"/>
  <c r="I208" i="9"/>
  <c r="B208" i="9"/>
  <c r="C208" i="9"/>
  <c r="G208" i="9"/>
  <c r="B207" i="9"/>
  <c r="C207" i="9"/>
  <c r="G207" i="9"/>
  <c r="I207" i="9"/>
  <c r="C206" i="9"/>
  <c r="B206" i="9"/>
  <c r="I206" i="9"/>
  <c r="G206" i="9"/>
  <c r="I205" i="9"/>
  <c r="G205" i="9"/>
  <c r="C205" i="9"/>
  <c r="B205" i="9"/>
  <c r="I204" i="9"/>
  <c r="G204" i="9"/>
  <c r="C204" i="9"/>
  <c r="B204" i="9"/>
  <c r="I203" i="9"/>
  <c r="G203" i="9"/>
  <c r="C203" i="9"/>
  <c r="B203" i="9"/>
  <c r="C201" i="9"/>
  <c r="D201" i="9"/>
  <c r="E201" i="9"/>
  <c r="I201" i="9"/>
  <c r="G201" i="9"/>
  <c r="B201" i="9"/>
  <c r="B200" i="9"/>
  <c r="C200" i="9"/>
  <c r="D200" i="9"/>
  <c r="E200" i="9"/>
  <c r="G200" i="9"/>
  <c r="I200" i="9"/>
  <c r="B199" i="9"/>
  <c r="C199" i="9"/>
  <c r="D199" i="9"/>
  <c r="E199" i="9"/>
  <c r="G199" i="9"/>
  <c r="I199" i="9"/>
  <c r="B198" i="9"/>
  <c r="C198" i="9"/>
  <c r="D198" i="9"/>
  <c r="E198" i="9"/>
  <c r="G198" i="9"/>
  <c r="I198" i="9"/>
  <c r="E197" i="9"/>
  <c r="D197" i="9"/>
  <c r="I197" i="9"/>
  <c r="C197" i="9"/>
  <c r="B197" i="9"/>
  <c r="G197" i="9"/>
  <c r="I196" i="9"/>
  <c r="G196" i="9"/>
  <c r="E196" i="9"/>
  <c r="D196" i="9"/>
  <c r="C196" i="9"/>
  <c r="B196" i="9"/>
  <c r="B195" i="9"/>
  <c r="C195" i="9"/>
  <c r="D195" i="9"/>
  <c r="E195" i="9"/>
  <c r="G195" i="9"/>
  <c r="I195" i="9"/>
  <c r="B194" i="9"/>
  <c r="C194" i="9"/>
  <c r="D194" i="9"/>
  <c r="E194" i="9"/>
  <c r="G194" i="9"/>
  <c r="I194" i="9"/>
  <c r="G193" i="9"/>
  <c r="D193" i="9"/>
  <c r="I193" i="9"/>
  <c r="E193" i="9"/>
  <c r="C193" i="9"/>
  <c r="B193" i="9"/>
  <c r="I192" i="9"/>
  <c r="G192" i="9"/>
  <c r="E192" i="9"/>
  <c r="D192" i="9"/>
  <c r="C192" i="9"/>
  <c r="B192" i="9"/>
  <c r="I191" i="9"/>
  <c r="G191" i="9"/>
  <c r="E191" i="9"/>
  <c r="D191" i="9"/>
  <c r="C191" i="9"/>
  <c r="B191" i="9"/>
  <c r="I190" i="9"/>
  <c r="G190" i="9"/>
  <c r="E190" i="9"/>
  <c r="D190" i="9"/>
  <c r="C190" i="9"/>
  <c r="B190" i="9"/>
  <c r="I189" i="9"/>
  <c r="G189" i="9"/>
  <c r="E189" i="9"/>
  <c r="D189" i="9"/>
  <c r="C189" i="9"/>
  <c r="B189" i="9"/>
  <c r="I188" i="9"/>
  <c r="G188" i="9"/>
  <c r="E188" i="9"/>
  <c r="D188" i="9"/>
  <c r="C188" i="9"/>
  <c r="B188" i="9"/>
  <c r="I187" i="9"/>
  <c r="G187" i="9"/>
  <c r="E187" i="9"/>
  <c r="D187" i="9"/>
  <c r="C187" i="9"/>
  <c r="B187" i="9"/>
  <c r="I186" i="9"/>
  <c r="G186" i="9"/>
  <c r="E186" i="9"/>
  <c r="D186" i="9"/>
  <c r="C186" i="9"/>
  <c r="B186" i="9"/>
  <c r="I184" i="9"/>
  <c r="G184" i="9"/>
  <c r="C184" i="9"/>
  <c r="B184" i="9"/>
  <c r="I183" i="9"/>
  <c r="G183" i="9"/>
  <c r="C183" i="9"/>
  <c r="B183" i="9"/>
  <c r="I182" i="9"/>
  <c r="G182" i="9"/>
  <c r="C182" i="9"/>
  <c r="B182" i="9"/>
  <c r="I181" i="9"/>
  <c r="G181" i="9"/>
  <c r="C181" i="9"/>
  <c r="B181" i="9"/>
  <c r="I180" i="9"/>
  <c r="G180" i="9"/>
  <c r="C180" i="9"/>
  <c r="B180" i="9"/>
  <c r="I179" i="9"/>
  <c r="G179" i="9"/>
  <c r="C179" i="9"/>
  <c r="B179" i="9"/>
  <c r="I178" i="9"/>
  <c r="G178" i="9"/>
  <c r="C178" i="9"/>
  <c r="B178" i="9"/>
  <c r="I177" i="9"/>
  <c r="G177" i="9"/>
  <c r="C177" i="9"/>
  <c r="B177" i="9"/>
  <c r="I176" i="9"/>
  <c r="G176" i="9"/>
  <c r="C176" i="9"/>
  <c r="B176" i="9"/>
  <c r="I175" i="9"/>
  <c r="G175" i="9"/>
  <c r="C175" i="9"/>
  <c r="B175" i="9"/>
  <c r="G174" i="9"/>
  <c r="I174" i="9"/>
  <c r="C174" i="9"/>
  <c r="B174" i="9"/>
  <c r="I173" i="9"/>
  <c r="G173" i="9"/>
  <c r="C173" i="9"/>
  <c r="B173" i="9"/>
  <c r="I172" i="9"/>
  <c r="G172" i="9"/>
  <c r="C172" i="9"/>
  <c r="B172" i="9"/>
  <c r="I171" i="9"/>
  <c r="G171" i="9"/>
  <c r="C171" i="9"/>
  <c r="B171" i="9"/>
  <c r="G169" i="9"/>
  <c r="I169" i="9"/>
  <c r="C169" i="9"/>
  <c r="B169" i="9"/>
  <c r="I168" i="9"/>
  <c r="G168" i="9"/>
  <c r="C168" i="9"/>
  <c r="B168" i="9"/>
  <c r="G167" i="9"/>
  <c r="I167" i="9"/>
  <c r="C167" i="9"/>
  <c r="B167" i="9"/>
  <c r="I166" i="9"/>
  <c r="G166" i="9"/>
  <c r="C166" i="9"/>
  <c r="B166" i="9"/>
  <c r="I165" i="9"/>
  <c r="G165" i="9"/>
  <c r="C165" i="9"/>
  <c r="B165" i="9"/>
  <c r="G164" i="9"/>
  <c r="I164" i="9"/>
  <c r="C164" i="9"/>
  <c r="F128" i="15" s="1"/>
  <c r="B164" i="9"/>
  <c r="I163" i="9"/>
  <c r="G163" i="9"/>
  <c r="C163" i="9"/>
  <c r="B163" i="9"/>
  <c r="I162" i="9"/>
  <c r="G162" i="9"/>
  <c r="C162" i="9"/>
  <c r="B162" i="9"/>
  <c r="I161" i="9"/>
  <c r="G161" i="9"/>
  <c r="C161" i="9"/>
  <c r="B161" i="9"/>
  <c r="I160" i="9"/>
  <c r="G160" i="9"/>
  <c r="C160" i="9"/>
  <c r="B160" i="9"/>
  <c r="I159" i="9"/>
  <c r="G159" i="9"/>
  <c r="C159" i="9"/>
  <c r="B159" i="9"/>
  <c r="I158" i="9"/>
  <c r="G158" i="9"/>
  <c r="C158" i="9"/>
  <c r="B158" i="9"/>
  <c r="I157" i="9"/>
  <c r="G157" i="9"/>
  <c r="C157" i="9"/>
  <c r="B157" i="9"/>
  <c r="I156" i="9"/>
  <c r="G156" i="9"/>
  <c r="C156" i="9"/>
  <c r="B156" i="9"/>
  <c r="I155" i="9"/>
  <c r="G155" i="9"/>
  <c r="B155" i="9"/>
  <c r="C155" i="9"/>
  <c r="I154" i="9"/>
  <c r="G154" i="9"/>
  <c r="C154" i="9"/>
  <c r="B154" i="9"/>
  <c r="I153" i="9"/>
  <c r="G153" i="9"/>
  <c r="C153" i="9"/>
  <c r="B153" i="9"/>
  <c r="C152" i="9"/>
  <c r="B152" i="9"/>
  <c r="I152" i="9"/>
  <c r="G152" i="9"/>
  <c r="G151" i="9"/>
  <c r="I151" i="9"/>
  <c r="C151" i="9"/>
  <c r="B151" i="9"/>
  <c r="C150" i="9"/>
  <c r="I150" i="9"/>
  <c r="G150" i="9"/>
  <c r="B150" i="9"/>
  <c r="I149" i="9"/>
  <c r="G149" i="9"/>
  <c r="C149" i="9"/>
  <c r="B149" i="9"/>
  <c r="I148" i="9"/>
  <c r="G148" i="9"/>
  <c r="C148" i="9"/>
  <c r="B148" i="9"/>
  <c r="G147" i="9"/>
  <c r="C147" i="9"/>
  <c r="I147" i="9"/>
  <c r="B147" i="9"/>
  <c r="I145" i="9"/>
  <c r="G145" i="9"/>
  <c r="C145" i="9"/>
  <c r="B145" i="9"/>
  <c r="I144" i="9"/>
  <c r="G144" i="9"/>
  <c r="C144" i="9"/>
  <c r="B144" i="9"/>
  <c r="C143" i="9"/>
  <c r="I143" i="9"/>
  <c r="G143" i="9"/>
  <c r="B143" i="9"/>
  <c r="C142" i="9"/>
  <c r="B142" i="9"/>
  <c r="I142" i="9"/>
  <c r="G142" i="9"/>
  <c r="G141" i="9"/>
  <c r="I141" i="9"/>
  <c r="C141" i="9"/>
  <c r="B141" i="9"/>
  <c r="I140" i="9"/>
  <c r="G140" i="9"/>
  <c r="C140" i="9"/>
  <c r="B140" i="9"/>
  <c r="B139" i="9"/>
  <c r="C139" i="9"/>
  <c r="I139" i="9"/>
  <c r="G139" i="9"/>
  <c r="G138" i="9"/>
  <c r="C138" i="9"/>
  <c r="B138" i="9"/>
  <c r="I138" i="9"/>
  <c r="I137" i="9"/>
  <c r="G137" i="9"/>
  <c r="C137" i="9"/>
  <c r="B137" i="9"/>
  <c r="I136" i="9"/>
  <c r="G136" i="9"/>
  <c r="C136" i="9"/>
  <c r="B136" i="9"/>
  <c r="C135" i="9"/>
  <c r="B135" i="9"/>
  <c r="G135" i="9"/>
  <c r="I135" i="9"/>
  <c r="G134" i="9"/>
  <c r="I134" i="9"/>
  <c r="C134" i="9"/>
  <c r="B134" i="9"/>
  <c r="B133" i="9"/>
  <c r="I133" i="9"/>
  <c r="G133" i="9"/>
  <c r="C133" i="9"/>
  <c r="I132" i="9"/>
  <c r="B132" i="9"/>
  <c r="C132" i="9"/>
  <c r="G132" i="9"/>
  <c r="B131" i="9"/>
  <c r="G131" i="9"/>
  <c r="I131" i="9"/>
  <c r="C131" i="9"/>
  <c r="I130" i="9"/>
  <c r="G130" i="9"/>
  <c r="C130" i="9"/>
  <c r="B130" i="9"/>
  <c r="C129" i="9"/>
  <c r="G129" i="9"/>
  <c r="I129" i="9"/>
  <c r="B129" i="9"/>
  <c r="B128" i="9"/>
  <c r="I128" i="9"/>
  <c r="C128" i="9"/>
  <c r="G128" i="9"/>
  <c r="D126" i="9"/>
  <c r="E126" i="9"/>
  <c r="I126" i="9"/>
  <c r="C126" i="9"/>
  <c r="B126" i="9"/>
  <c r="G126" i="9"/>
  <c r="C125" i="9"/>
  <c r="B125" i="9"/>
  <c r="D125" i="9"/>
  <c r="E125" i="9"/>
  <c r="G125" i="9"/>
  <c r="I125" i="9"/>
  <c r="D124" i="9"/>
  <c r="G124" i="9"/>
  <c r="B124" i="9"/>
  <c r="C124" i="9"/>
  <c r="E124" i="9"/>
  <c r="I124" i="9"/>
  <c r="C123" i="9"/>
  <c r="D123" i="9"/>
  <c r="I123" i="9"/>
  <c r="G123" i="9"/>
  <c r="E123" i="9"/>
  <c r="B123" i="9"/>
  <c r="G122" i="9"/>
  <c r="I122" i="9"/>
  <c r="B122" i="9"/>
  <c r="D122" i="9"/>
  <c r="E122" i="9"/>
  <c r="C122" i="9"/>
  <c r="C121" i="9"/>
  <c r="D121" i="9"/>
  <c r="B121" i="9"/>
  <c r="E121" i="9"/>
  <c r="G121" i="9"/>
  <c r="I121" i="9"/>
  <c r="B120" i="9"/>
  <c r="I120" i="9"/>
  <c r="G120" i="9"/>
  <c r="D120" i="9"/>
  <c r="E120" i="9"/>
  <c r="C120" i="9"/>
  <c r="I119" i="9"/>
  <c r="G119" i="9"/>
  <c r="E119" i="9"/>
  <c r="D119" i="9"/>
  <c r="C119" i="9"/>
  <c r="B119" i="9"/>
  <c r="B118" i="9"/>
  <c r="C118" i="9"/>
  <c r="D118" i="9"/>
  <c r="E118" i="9"/>
  <c r="G118" i="9"/>
  <c r="I118" i="9"/>
  <c r="B117" i="9"/>
  <c r="E117" i="9"/>
  <c r="C117" i="9"/>
  <c r="D117" i="9"/>
  <c r="G117" i="9"/>
  <c r="I117" i="9"/>
  <c r="B116" i="9"/>
  <c r="E116" i="9"/>
  <c r="G116" i="9"/>
  <c r="I116" i="9"/>
  <c r="C116" i="9"/>
  <c r="D116" i="9"/>
  <c r="I115" i="9"/>
  <c r="G115" i="9"/>
  <c r="E115" i="9"/>
  <c r="C115" i="9"/>
  <c r="B115" i="9"/>
  <c r="D115" i="9"/>
  <c r="C114" i="9"/>
  <c r="D114" i="9"/>
  <c r="I114" i="9"/>
  <c r="G114" i="9"/>
  <c r="E114" i="9"/>
  <c r="B114" i="9"/>
  <c r="B113" i="9"/>
  <c r="D113" i="9"/>
  <c r="I113" i="9"/>
  <c r="G113" i="9"/>
  <c r="E113" i="9"/>
  <c r="C113" i="9"/>
  <c r="D112" i="9"/>
  <c r="I112" i="9"/>
  <c r="A111" i="9"/>
  <c r="E112" i="9"/>
  <c r="B112" i="9"/>
  <c r="C112" i="9"/>
  <c r="G112" i="9"/>
  <c r="I110" i="9"/>
  <c r="B110" i="9"/>
  <c r="G110" i="9"/>
  <c r="D110" i="9"/>
  <c r="C110" i="9"/>
  <c r="E110" i="9"/>
  <c r="I109" i="9"/>
  <c r="E109" i="9"/>
  <c r="C109" i="9"/>
  <c r="B109" i="9"/>
  <c r="D109" i="9"/>
  <c r="G109" i="9"/>
  <c r="E108" i="9"/>
  <c r="I108" i="9"/>
  <c r="G108" i="9"/>
  <c r="C108" i="9"/>
  <c r="D108" i="9"/>
  <c r="B108" i="9"/>
  <c r="I107" i="9"/>
  <c r="E107" i="9"/>
  <c r="C107" i="9"/>
  <c r="B107" i="9"/>
  <c r="G107" i="9"/>
  <c r="D107" i="9"/>
  <c r="B106" i="9"/>
  <c r="D106" i="9"/>
  <c r="E106" i="9"/>
  <c r="G106" i="9"/>
  <c r="I106" i="9"/>
  <c r="C106" i="9"/>
  <c r="D105" i="9"/>
  <c r="E105" i="9"/>
  <c r="C105" i="9"/>
  <c r="G105" i="9"/>
  <c r="I105" i="9"/>
  <c r="B105" i="9"/>
  <c r="B104" i="9"/>
  <c r="G104" i="9"/>
  <c r="E104" i="9"/>
  <c r="C104" i="9"/>
  <c r="I104" i="9"/>
  <c r="D104" i="9"/>
  <c r="G103" i="9"/>
  <c r="E103" i="9"/>
  <c r="B103" i="9"/>
  <c r="C103" i="9"/>
  <c r="I103" i="9"/>
  <c r="D103" i="9"/>
  <c r="B102" i="9"/>
  <c r="D102" i="9"/>
  <c r="E102" i="9"/>
  <c r="C102" i="9"/>
  <c r="G102" i="9"/>
  <c r="I102" i="9"/>
  <c r="E101" i="9"/>
  <c r="C101" i="9"/>
  <c r="G101" i="9"/>
  <c r="I101" i="9"/>
  <c r="B101" i="9"/>
  <c r="D101" i="9"/>
  <c r="C100" i="9"/>
  <c r="D100" i="9"/>
  <c r="E100" i="9"/>
  <c r="G100" i="9"/>
  <c r="I100" i="9"/>
  <c r="B100" i="9"/>
  <c r="D99" i="9"/>
  <c r="I99" i="9"/>
  <c r="G99" i="9"/>
  <c r="E99" i="9"/>
  <c r="C99" i="9"/>
  <c r="B99" i="9"/>
  <c r="D98" i="9"/>
  <c r="B98" i="9"/>
  <c r="C98" i="9"/>
  <c r="E98" i="9"/>
  <c r="G98" i="9"/>
  <c r="I98" i="9"/>
  <c r="I97" i="9"/>
  <c r="G97" i="9"/>
  <c r="D97" i="9"/>
  <c r="C97" i="9"/>
  <c r="B97" i="9"/>
  <c r="E97" i="9"/>
  <c r="E96" i="9"/>
  <c r="I96" i="9"/>
  <c r="G96" i="9"/>
  <c r="D96" i="9"/>
  <c r="C96" i="9"/>
  <c r="B96" i="9"/>
  <c r="I95" i="9"/>
  <c r="G95" i="9"/>
  <c r="E95" i="9"/>
  <c r="D95" i="9"/>
  <c r="C95" i="9"/>
  <c r="B95" i="9"/>
  <c r="I93" i="9"/>
  <c r="G93" i="9"/>
  <c r="D93" i="9"/>
  <c r="C93" i="9"/>
  <c r="B93" i="9"/>
  <c r="E93" i="9"/>
  <c r="I92" i="9"/>
  <c r="G92" i="9"/>
  <c r="E92" i="9"/>
  <c r="D92" i="9"/>
  <c r="C92" i="9"/>
  <c r="B92" i="9"/>
  <c r="D91" i="9"/>
  <c r="E91" i="9"/>
  <c r="C91" i="9"/>
  <c r="B91" i="9"/>
  <c r="I91" i="9"/>
  <c r="G91" i="9"/>
  <c r="I90" i="9"/>
  <c r="E90" i="9"/>
  <c r="G90" i="9"/>
  <c r="B90" i="9"/>
  <c r="D90" i="9"/>
  <c r="C90" i="9"/>
  <c r="E89" i="9"/>
  <c r="B89" i="9"/>
  <c r="C89" i="9"/>
  <c r="D89" i="9"/>
  <c r="I89" i="9"/>
  <c r="G89" i="9"/>
  <c r="A88" i="9"/>
  <c r="G87" i="9"/>
  <c r="E87" i="9"/>
  <c r="D87" i="9"/>
  <c r="C87" i="9"/>
  <c r="B87" i="9"/>
  <c r="I87" i="9"/>
  <c r="B86" i="9"/>
  <c r="G86" i="9"/>
  <c r="E86" i="9"/>
  <c r="D86" i="9"/>
  <c r="C86" i="9"/>
  <c r="I86" i="9"/>
  <c r="C85" i="9"/>
  <c r="B85" i="9"/>
  <c r="I85" i="9"/>
  <c r="E85" i="9"/>
  <c r="G85" i="9"/>
  <c r="D85" i="9"/>
  <c r="G84" i="9"/>
  <c r="C84" i="9"/>
  <c r="I84" i="9"/>
  <c r="B84" i="9"/>
  <c r="D84" i="9"/>
  <c r="E84" i="9"/>
  <c r="G83" i="9"/>
  <c r="E83" i="9"/>
  <c r="B83" i="9"/>
  <c r="C83" i="9"/>
  <c r="D83" i="9"/>
  <c r="I83" i="9"/>
  <c r="B82" i="9"/>
  <c r="C82" i="9"/>
  <c r="D82" i="9"/>
  <c r="E82" i="9"/>
  <c r="G82" i="9"/>
  <c r="I82" i="9"/>
  <c r="D81" i="9"/>
  <c r="C81" i="9"/>
  <c r="E81" i="9"/>
  <c r="G81" i="9"/>
  <c r="I81" i="9"/>
  <c r="A80" i="9"/>
  <c r="B81" i="9"/>
  <c r="B79" i="9"/>
  <c r="D79" i="9"/>
  <c r="D134" i="11" s="1"/>
  <c r="C79" i="9"/>
  <c r="B78" i="9"/>
  <c r="D78" i="9"/>
  <c r="E78" i="9"/>
  <c r="G78" i="9"/>
  <c r="G23" i="15" s="1"/>
  <c r="I78" i="9"/>
  <c r="I23" i="15" s="1"/>
  <c r="K23" i="15" s="1"/>
  <c r="C78" i="9"/>
  <c r="F23" i="15" s="1"/>
  <c r="B77" i="9"/>
  <c r="C77" i="9"/>
  <c r="D77" i="9"/>
  <c r="D133" i="11" s="1"/>
  <c r="E77" i="9"/>
  <c r="E133" i="11" s="1"/>
  <c r="G77" i="9"/>
  <c r="I77" i="9"/>
  <c r="B76" i="9"/>
  <c r="C76" i="9"/>
  <c r="D76" i="9"/>
  <c r="D132" i="11" s="1"/>
  <c r="E76" i="9"/>
  <c r="E132" i="11" s="1"/>
  <c r="I76" i="9"/>
  <c r="G76" i="9"/>
  <c r="B75" i="9"/>
  <c r="C75" i="9"/>
  <c r="D75" i="9"/>
  <c r="D131" i="11" s="1"/>
  <c r="E75" i="9"/>
  <c r="E131" i="11" s="1"/>
  <c r="G75" i="9"/>
  <c r="I75" i="9"/>
  <c r="G74" i="9"/>
  <c r="G19" i="15" s="1"/>
  <c r="I74" i="9"/>
  <c r="I19" i="15" s="1"/>
  <c r="C74" i="9"/>
  <c r="F19" i="15" s="1"/>
  <c r="E74" i="9"/>
  <c r="B74" i="9"/>
  <c r="D74" i="9"/>
  <c r="I73" i="9"/>
  <c r="I18" i="15" s="1"/>
  <c r="K18" i="15" s="1"/>
  <c r="G73" i="9"/>
  <c r="G18" i="15" s="1"/>
  <c r="E73" i="9"/>
  <c r="D73" i="9"/>
  <c r="C73" i="9"/>
  <c r="F18" i="15" s="1"/>
  <c r="B73" i="9"/>
  <c r="I72" i="9"/>
  <c r="I17" i="15" s="1"/>
  <c r="K17" i="15" s="1"/>
  <c r="G72" i="9"/>
  <c r="G17" i="15" s="1"/>
  <c r="E72" i="9"/>
  <c r="D72" i="9"/>
  <c r="C72" i="9"/>
  <c r="F17" i="15" s="1"/>
  <c r="B72" i="9"/>
  <c r="I70" i="9"/>
  <c r="I16" i="15" s="1"/>
  <c r="G70" i="9"/>
  <c r="G16" i="15" s="1"/>
  <c r="E70" i="9"/>
  <c r="D70" i="9"/>
  <c r="C70" i="9"/>
  <c r="F16" i="15" s="1"/>
  <c r="B70" i="9"/>
  <c r="I69" i="9"/>
  <c r="G69" i="9"/>
  <c r="E69" i="9"/>
  <c r="E129" i="11" s="1"/>
  <c r="D69" i="9"/>
  <c r="D129" i="11" s="1"/>
  <c r="C69" i="9"/>
  <c r="B69" i="9"/>
  <c r="I68" i="9"/>
  <c r="G68" i="9"/>
  <c r="E68" i="9"/>
  <c r="E128" i="11" s="1"/>
  <c r="D68" i="9"/>
  <c r="D128" i="11" s="1"/>
  <c r="C68" i="9"/>
  <c r="B68" i="9"/>
  <c r="I67" i="9"/>
  <c r="G67" i="9"/>
  <c r="E67" i="9"/>
  <c r="E127" i="11" s="1"/>
  <c r="D67" i="9"/>
  <c r="D127" i="11" s="1"/>
  <c r="C67" i="9"/>
  <c r="B67" i="9"/>
  <c r="I66" i="9"/>
  <c r="G66" i="9"/>
  <c r="E66" i="9"/>
  <c r="E126" i="11" s="1"/>
  <c r="D66" i="9"/>
  <c r="D126" i="11" s="1"/>
  <c r="C66" i="9"/>
  <c r="B66" i="9"/>
  <c r="I64" i="9"/>
  <c r="I11" i="15" s="1"/>
  <c r="G64" i="9"/>
  <c r="G11" i="15" s="1"/>
  <c r="E64" i="9"/>
  <c r="D64" i="9"/>
  <c r="C64" i="9"/>
  <c r="F11" i="15" s="1"/>
  <c r="B64" i="9"/>
  <c r="I63" i="9"/>
  <c r="I10" i="15" s="1"/>
  <c r="G63" i="9"/>
  <c r="G10" i="15" s="1"/>
  <c r="E63" i="9"/>
  <c r="D63" i="9"/>
  <c r="B63" i="9"/>
  <c r="I62" i="9"/>
  <c r="I9" i="15" s="1"/>
  <c r="G62" i="9"/>
  <c r="G9" i="15" s="1"/>
  <c r="E62" i="9"/>
  <c r="D62" i="9"/>
  <c r="C62" i="9"/>
  <c r="F9" i="15" s="1"/>
  <c r="B62" i="9"/>
  <c r="I61" i="9"/>
  <c r="I8" i="15" s="1"/>
  <c r="K8" i="15" s="1"/>
  <c r="G61" i="9"/>
  <c r="G8" i="15" s="1"/>
  <c r="E61" i="9"/>
  <c r="D61" i="9"/>
  <c r="C61" i="9"/>
  <c r="F8" i="15" s="1"/>
  <c r="B61" i="9"/>
  <c r="I60" i="9"/>
  <c r="I7" i="15" s="1"/>
  <c r="G60" i="9"/>
  <c r="G7" i="15" s="1"/>
  <c r="E60" i="9"/>
  <c r="D60" i="9"/>
  <c r="C60" i="9"/>
  <c r="F7" i="15" s="1"/>
  <c r="B60" i="9"/>
  <c r="I59" i="9"/>
  <c r="I6" i="15" s="1"/>
  <c r="K6" i="15" s="1"/>
  <c r="G59" i="9"/>
  <c r="G6" i="15" s="1"/>
  <c r="E59" i="9"/>
  <c r="D59" i="9"/>
  <c r="C59" i="9"/>
  <c r="F6" i="15" s="1"/>
  <c r="B59" i="9"/>
  <c r="I58" i="9"/>
  <c r="I5" i="15" s="1"/>
  <c r="K5" i="15" s="1"/>
  <c r="G58" i="9"/>
  <c r="G5" i="15" s="1"/>
  <c r="E58" i="9"/>
  <c r="D58" i="9"/>
  <c r="B58" i="9"/>
  <c r="I57" i="9"/>
  <c r="I4" i="15" s="1"/>
  <c r="B57" i="9"/>
  <c r="G57" i="9"/>
  <c r="G4" i="15" s="1"/>
  <c r="D57" i="9"/>
  <c r="E57" i="9"/>
  <c r="K251" i="11"/>
  <c r="H245" i="11"/>
  <c r="I56" i="9"/>
  <c r="I3" i="15" s="1"/>
  <c r="K3" i="15" s="1"/>
  <c r="G56" i="9"/>
  <c r="G3" i="15" s="1"/>
  <c r="E56" i="9"/>
  <c r="D56" i="9"/>
  <c r="B56" i="9"/>
  <c r="K248" i="11"/>
  <c r="J248" i="11"/>
  <c r="I248" i="11"/>
  <c r="H248" i="11"/>
  <c r="G248" i="11"/>
  <c r="F248" i="11"/>
  <c r="K246" i="11"/>
  <c r="J246" i="11"/>
  <c r="I246" i="11"/>
  <c r="H246" i="11"/>
  <c r="G246" i="11"/>
  <c r="F246" i="11"/>
  <c r="G256" i="11"/>
  <c r="F256" i="11"/>
  <c r="K255" i="11"/>
  <c r="J255" i="11"/>
  <c r="I255" i="11"/>
  <c r="H255" i="11"/>
  <c r="G255" i="11"/>
  <c r="F255" i="11"/>
  <c r="K245" i="11"/>
  <c r="J245" i="11"/>
  <c r="I245" i="11"/>
  <c r="F26" i="1"/>
  <c r="F25" i="1"/>
  <c r="F24" i="1"/>
  <c r="F23" i="1"/>
  <c r="M314" i="15"/>
  <c r="Q314" i="15" s="1"/>
  <c r="S314" i="15" s="1"/>
  <c r="M128" i="15"/>
  <c r="Q128" i="15" s="1"/>
  <c r="S128" i="15" s="1"/>
  <c r="I59" i="15"/>
  <c r="K59" i="15" s="1"/>
  <c r="I256" i="11"/>
  <c r="J256" i="11"/>
  <c r="K256" i="11"/>
  <c r="F257" i="11"/>
  <c r="G257" i="11"/>
  <c r="H257" i="11"/>
  <c r="I257" i="11"/>
  <c r="J257" i="11"/>
  <c r="K257" i="11"/>
  <c r="F258" i="11"/>
  <c r="G258" i="11"/>
  <c r="H258" i="11"/>
  <c r="I258" i="11"/>
  <c r="J258" i="11"/>
  <c r="K258" i="11"/>
  <c r="M59" i="15"/>
  <c r="Q59" i="15" s="1"/>
  <c r="S59" i="15" s="1"/>
  <c r="J128" i="15"/>
  <c r="J223" i="11"/>
  <c r="H223" i="11"/>
  <c r="K254" i="11"/>
  <c r="J254" i="11"/>
  <c r="I254" i="11"/>
  <c r="H254" i="11"/>
  <c r="G254" i="11"/>
  <c r="F254" i="11"/>
  <c r="K253" i="11"/>
  <c r="J253" i="11"/>
  <c r="I253" i="11"/>
  <c r="H253" i="11"/>
  <c r="G253" i="11"/>
  <c r="F253" i="11"/>
  <c r="K252" i="11"/>
  <c r="J252" i="11"/>
  <c r="I252" i="11"/>
  <c r="H252" i="11"/>
  <c r="G252" i="11"/>
  <c r="F252" i="11"/>
  <c r="J59" i="15"/>
  <c r="N59" i="15" s="1"/>
  <c r="T59" i="15" s="1"/>
  <c r="V59" i="15" s="1"/>
  <c r="J251" i="11"/>
  <c r="I251" i="11"/>
  <c r="H251" i="11"/>
  <c r="G251" i="11"/>
  <c r="F251" i="11"/>
  <c r="C251" i="11"/>
  <c r="K250" i="11"/>
  <c r="G128" i="15"/>
  <c r="H128" i="15"/>
  <c r="D84" i="11"/>
  <c r="C84" i="11"/>
  <c r="F269" i="15" s="1"/>
  <c r="C109" i="11"/>
  <c r="F292" i="15" s="1"/>
  <c r="E107" i="11"/>
  <c r="D107" i="11"/>
  <c r="C107" i="11"/>
  <c r="F290" i="15" s="1"/>
  <c r="E105" i="11"/>
  <c r="D105" i="11"/>
  <c r="D103" i="11"/>
  <c r="D94" i="11"/>
  <c r="E91" i="11"/>
  <c r="C91" i="11"/>
  <c r="F275" i="15" s="1"/>
  <c r="E82" i="11"/>
  <c r="D82" i="11"/>
  <c r="C82" i="11"/>
  <c r="F267" i="15" s="1"/>
  <c r="E62" i="11"/>
  <c r="C62" i="11"/>
  <c r="F250" i="15" s="1"/>
  <c r="E60" i="11"/>
  <c r="C60" i="11"/>
  <c r="F249" i="15" s="1"/>
  <c r="E59" i="11"/>
  <c r="C59" i="11"/>
  <c r="F248" i="15" s="1"/>
  <c r="E58" i="11"/>
  <c r="C58" i="11"/>
  <c r="F247" i="15" s="1"/>
  <c r="E56" i="11"/>
  <c r="C56" i="11"/>
  <c r="F246" i="15" s="1"/>
  <c r="E55" i="11"/>
  <c r="C55" i="11"/>
  <c r="F245" i="15" s="1"/>
  <c r="E54" i="11"/>
  <c r="C54" i="11"/>
  <c r="F244" i="15" s="1"/>
  <c r="E53" i="11"/>
  <c r="C53" i="11"/>
  <c r="F243" i="15" s="1"/>
  <c r="E51" i="11"/>
  <c r="C51" i="11"/>
  <c r="F242" i="15" s="1"/>
  <c r="E50" i="11"/>
  <c r="C50" i="11"/>
  <c r="F241" i="15" s="1"/>
  <c r="E49" i="11"/>
  <c r="D49" i="11"/>
  <c r="C49" i="11"/>
  <c r="F240" i="15" s="1"/>
  <c r="E48" i="11"/>
  <c r="D48" i="11"/>
  <c r="C48" i="11"/>
  <c r="F239" i="15" s="1"/>
  <c r="E47" i="11"/>
  <c r="D47" i="11"/>
  <c r="C47" i="11"/>
  <c r="F238" i="15" s="1"/>
  <c r="D85" i="11"/>
  <c r="E85" i="11"/>
  <c r="C87" i="11"/>
  <c r="F272" i="15" s="1"/>
  <c r="D87" i="11"/>
  <c r="E87" i="11"/>
  <c r="C93" i="11"/>
  <c r="F277" i="15" s="1"/>
  <c r="E93" i="11"/>
  <c r="C95" i="11"/>
  <c r="F279" i="15" s="1"/>
  <c r="C99" i="11"/>
  <c r="F282" i="15" s="1"/>
  <c r="D99" i="11"/>
  <c r="E99" i="11"/>
  <c r="C101" i="11"/>
  <c r="F284" i="15" s="1"/>
  <c r="E101" i="11"/>
  <c r="C104" i="11"/>
  <c r="F287" i="15" s="1"/>
  <c r="D104" i="11"/>
  <c r="E104" i="11"/>
  <c r="D109" i="11"/>
  <c r="E109" i="11"/>
  <c r="C111" i="11"/>
  <c r="F294" i="15" s="1"/>
  <c r="D111" i="11"/>
  <c r="E111" i="11"/>
  <c r="C113" i="11"/>
  <c r="F295" i="15" s="1"/>
  <c r="C116" i="11"/>
  <c r="F298" i="15" s="1"/>
  <c r="C114" i="11"/>
  <c r="F296" i="15" s="1"/>
  <c r="D110" i="11"/>
  <c r="E108" i="11"/>
  <c r="D108" i="11"/>
  <c r="E106" i="11"/>
  <c r="D106" i="11"/>
  <c r="C106" i="11"/>
  <c r="F289" i="15" s="1"/>
  <c r="E103" i="11"/>
  <c r="C103" i="11"/>
  <c r="F286" i="15" s="1"/>
  <c r="E102" i="11"/>
  <c r="E84" i="11"/>
  <c r="C102" i="11"/>
  <c r="F285" i="15" s="1"/>
  <c r="D100" i="11"/>
  <c r="E98" i="11"/>
  <c r="D98" i="11"/>
  <c r="C98" i="11"/>
  <c r="F281" i="15" s="1"/>
  <c r="D93" i="11"/>
  <c r="D91" i="11"/>
  <c r="D88" i="11"/>
  <c r="C86" i="11"/>
  <c r="F271" i="15" s="1"/>
  <c r="C117" i="11"/>
  <c r="F299" i="15" s="1"/>
  <c r="D83" i="11"/>
  <c r="C85" i="11"/>
  <c r="F270" i="15" s="1"/>
  <c r="C88" i="11"/>
  <c r="F273" i="15" s="1"/>
  <c r="E88" i="11"/>
  <c r="D95" i="11"/>
  <c r="E95" i="11"/>
  <c r="C97" i="11"/>
  <c r="F280" i="15" s="1"/>
  <c r="D97" i="11"/>
  <c r="E97" i="11"/>
  <c r="C100" i="11"/>
  <c r="F283" i="15" s="1"/>
  <c r="E100" i="11"/>
  <c r="C110" i="11"/>
  <c r="F293" i="15" s="1"/>
  <c r="E110" i="11"/>
  <c r="C118" i="11"/>
  <c r="F300" i="15" s="1"/>
  <c r="C119" i="11"/>
  <c r="F301" i="15" s="1"/>
  <c r="C120" i="11"/>
  <c r="F302" i="15" s="1"/>
  <c r="E86" i="11"/>
  <c r="C81" i="11"/>
  <c r="F266" i="15" s="1"/>
  <c r="D81" i="11"/>
  <c r="E81" i="11"/>
  <c r="C83" i="11"/>
  <c r="F268" i="15" s="1"/>
  <c r="E83" i="11"/>
  <c r="D86" i="11"/>
  <c r="C89" i="11"/>
  <c r="F274" i="15" s="1"/>
  <c r="D89" i="11"/>
  <c r="E89" i="11"/>
  <c r="C92" i="11"/>
  <c r="F276" i="15" s="1"/>
  <c r="D92" i="11"/>
  <c r="E92" i="11"/>
  <c r="C94" i="11"/>
  <c r="F278" i="15" s="1"/>
  <c r="E94" i="11"/>
  <c r="D101" i="11"/>
  <c r="C105" i="11"/>
  <c r="F288" i="15" s="1"/>
  <c r="C108" i="11"/>
  <c r="F291" i="15" s="1"/>
  <c r="C115" i="11"/>
  <c r="F297" i="15" s="1"/>
  <c r="D102" i="11"/>
  <c r="D18" i="7"/>
  <c r="C18" i="5"/>
  <c r="D18" i="3"/>
  <c r="C18" i="7"/>
  <c r="E79" i="9"/>
  <c r="E134" i="11" s="1"/>
  <c r="C18" i="3"/>
  <c r="D18" i="4"/>
  <c r="D18" i="5"/>
  <c r="D18" i="6"/>
  <c r="C19" i="6"/>
  <c r="C20" i="6"/>
  <c r="D19" i="8"/>
  <c r="C20" i="8"/>
  <c r="E20" i="8" s="1"/>
  <c r="F20" i="8"/>
  <c r="D21" i="8"/>
  <c r="D22" i="8"/>
  <c r="F22" i="8"/>
  <c r="C18" i="4"/>
  <c r="C18" i="6"/>
  <c r="C19" i="8"/>
  <c r="F19" i="8"/>
  <c r="D20" i="8"/>
  <c r="C21" i="8"/>
  <c r="E21" i="8" s="1"/>
  <c r="F21" i="8"/>
  <c r="C22" i="8"/>
  <c r="E22" i="8" s="1"/>
  <c r="D19" i="6"/>
  <c r="D20" i="6"/>
  <c r="D21" i="6"/>
  <c r="C21" i="6"/>
  <c r="N297" i="15" l="1"/>
  <c r="T297" i="15" s="1"/>
  <c r="N270" i="15"/>
  <c r="T270" i="15" s="1"/>
  <c r="V270" i="15" s="1"/>
  <c r="N291" i="15"/>
  <c r="T291" i="15" s="1"/>
  <c r="V291" i="15" s="1"/>
  <c r="N238" i="15"/>
  <c r="T238" i="15" s="1"/>
  <c r="V238" i="15" s="1"/>
  <c r="N247" i="15"/>
  <c r="T247" i="15" s="1"/>
  <c r="V247" i="15" s="1"/>
  <c r="N286" i="15"/>
  <c r="T286" i="15" s="1"/>
  <c r="V286" i="15" s="1"/>
  <c r="N267" i="15"/>
  <c r="T267" i="15" s="1"/>
  <c r="N288" i="15"/>
  <c r="T288" i="15" s="1"/>
  <c r="V288" i="15" s="1"/>
  <c r="N281" i="15"/>
  <c r="T281" i="15" s="1"/>
  <c r="V281" i="15" s="1"/>
  <c r="N242" i="15"/>
  <c r="T242" i="15" s="1"/>
  <c r="V242" i="15" s="1"/>
  <c r="N293" i="15"/>
  <c r="T293" i="15" s="1"/>
  <c r="V293" i="15" s="1"/>
  <c r="N274" i="15"/>
  <c r="T274" i="15" s="1"/>
  <c r="V274" i="15" s="1"/>
  <c r="N239" i="15"/>
  <c r="T239" i="15" s="1"/>
  <c r="V239" i="15" s="1"/>
  <c r="N249" i="15"/>
  <c r="T249" i="15" s="1"/>
  <c r="V249" i="15" s="1"/>
  <c r="N254" i="15"/>
  <c r="T254" i="15" s="1"/>
  <c r="N283" i="15"/>
  <c r="T283" i="15" s="1"/>
  <c r="V283" i="15" s="1"/>
  <c r="L128" i="15"/>
  <c r="N277" i="15"/>
  <c r="T277" i="15" s="1"/>
  <c r="V277" i="15" s="1"/>
  <c r="N294" i="15"/>
  <c r="T294" i="15" s="1"/>
  <c r="V294" i="15" s="1"/>
  <c r="N285" i="15"/>
  <c r="T285" i="15" s="1"/>
  <c r="V285" i="15" s="1"/>
  <c r="N279" i="15"/>
  <c r="T279" i="15" s="1"/>
  <c r="V279" i="15" s="1"/>
  <c r="N245" i="15"/>
  <c r="T245" i="15" s="1"/>
  <c r="V245" i="15" s="1"/>
  <c r="N257" i="15"/>
  <c r="T257" i="15" s="1"/>
  <c r="V257" i="15" s="1"/>
  <c r="N244" i="15"/>
  <c r="T244" i="15" s="1"/>
  <c r="V244" i="15" s="1"/>
  <c r="N292" i="15"/>
  <c r="T292" i="15" s="1"/>
  <c r="V292" i="15" s="1"/>
  <c r="N250" i="15"/>
  <c r="T250" i="15" s="1"/>
  <c r="N301" i="15"/>
  <c r="T301" i="15" s="1"/>
  <c r="V301" i="15" s="1"/>
  <c r="N276" i="15"/>
  <c r="T276" i="15" s="1"/>
  <c r="V276" i="15" s="1"/>
  <c r="N289" i="15"/>
  <c r="T289" i="15" s="1"/>
  <c r="V289" i="15" s="1"/>
  <c r="N269" i="15"/>
  <c r="T269" i="15" s="1"/>
  <c r="V269" i="15" s="1"/>
  <c r="N259" i="15"/>
  <c r="T259" i="15" s="1"/>
  <c r="V259" i="15" s="1"/>
  <c r="N253" i="15"/>
  <c r="T253" i="15" s="1"/>
  <c r="V253" i="15" s="1"/>
  <c r="N266" i="15"/>
  <c r="T266" i="15" s="1"/>
  <c r="V266" i="15" s="1"/>
  <c r="N264" i="15"/>
  <c r="T264" i="15" s="1"/>
  <c r="V264" i="15" s="1"/>
  <c r="N256" i="15"/>
  <c r="T256" i="15" s="1"/>
  <c r="L302" i="15"/>
  <c r="L301" i="15"/>
  <c r="L300" i="15"/>
  <c r="L299" i="15"/>
  <c r="L298" i="15"/>
  <c r="L297" i="15"/>
  <c r="L296" i="15"/>
  <c r="L295" i="15"/>
  <c r="L294" i="15"/>
  <c r="L293" i="15"/>
  <c r="L292" i="15"/>
  <c r="L291" i="15"/>
  <c r="L290" i="15"/>
  <c r="L289" i="15"/>
  <c r="L288" i="15"/>
  <c r="L287" i="15"/>
  <c r="L286" i="15"/>
  <c r="L285" i="15"/>
  <c r="L284" i="15"/>
  <c r="L283" i="15"/>
  <c r="L282" i="15"/>
  <c r="L281" i="15"/>
  <c r="L280" i="15"/>
  <c r="L279" i="15"/>
  <c r="L278" i="15"/>
  <c r="L277" i="15"/>
  <c r="L276" i="15"/>
  <c r="L275" i="15"/>
  <c r="L274" i="15"/>
  <c r="L273" i="15"/>
  <c r="L272" i="15"/>
  <c r="L271" i="15"/>
  <c r="L270" i="15"/>
  <c r="L269" i="15"/>
  <c r="L268" i="15"/>
  <c r="L267" i="15"/>
  <c r="L266" i="15"/>
  <c r="L265" i="15"/>
  <c r="L264" i="15"/>
  <c r="L263" i="15"/>
  <c r="L262" i="15"/>
  <c r="L261" i="15"/>
  <c r="L260" i="15"/>
  <c r="L259" i="15"/>
  <c r="L258" i="15"/>
  <c r="L257" i="15"/>
  <c r="L256" i="15"/>
  <c r="L255" i="15"/>
  <c r="L254" i="15"/>
  <c r="L253" i="15"/>
  <c r="L252" i="15"/>
  <c r="L251" i="15"/>
  <c r="L250" i="15"/>
  <c r="L249" i="15"/>
  <c r="L248" i="15"/>
  <c r="L247" i="15"/>
  <c r="L246" i="15"/>
  <c r="L245" i="15"/>
  <c r="L244" i="15"/>
  <c r="L243" i="15"/>
  <c r="L242" i="15"/>
  <c r="L241" i="15"/>
  <c r="L240" i="15"/>
  <c r="L239" i="15"/>
  <c r="L238" i="15"/>
  <c r="L24" i="15"/>
  <c r="O24" i="15"/>
  <c r="O23" i="15"/>
  <c r="L23" i="15"/>
  <c r="L22" i="15"/>
  <c r="O22" i="15"/>
  <c r="L21" i="15"/>
  <c r="O21" i="15"/>
  <c r="L20" i="15"/>
  <c r="O20" i="15"/>
  <c r="O19" i="15"/>
  <c r="L19" i="15"/>
  <c r="O18" i="15"/>
  <c r="L18" i="15"/>
  <c r="O17" i="15"/>
  <c r="L17" i="15"/>
  <c r="L16" i="15"/>
  <c r="O16" i="15"/>
  <c r="L13" i="15"/>
  <c r="L11" i="15"/>
  <c r="O11" i="15"/>
  <c r="L10" i="15"/>
  <c r="O10" i="15"/>
  <c r="O9" i="15"/>
  <c r="L9" i="15"/>
  <c r="L8" i="15"/>
  <c r="O8" i="15"/>
  <c r="O7" i="15"/>
  <c r="L7" i="15"/>
  <c r="L6" i="15"/>
  <c r="O6" i="15"/>
  <c r="L5" i="15"/>
  <c r="O5" i="15"/>
  <c r="O4" i="15"/>
  <c r="L4" i="15"/>
  <c r="P38" i="14"/>
  <c r="P10" i="14"/>
  <c r="P12" i="14"/>
  <c r="P14" i="14"/>
  <c r="P16" i="14"/>
  <c r="P18" i="14"/>
  <c r="P21" i="14"/>
  <c r="P25" i="14"/>
  <c r="P37" i="14"/>
  <c r="P35" i="14"/>
  <c r="P4" i="14"/>
  <c r="P5" i="14"/>
  <c r="P6" i="14"/>
  <c r="P7" i="14"/>
  <c r="P8" i="14"/>
  <c r="P9" i="14"/>
  <c r="P11" i="14"/>
  <c r="P13" i="14"/>
  <c r="P15" i="14"/>
  <c r="P17" i="14"/>
  <c r="P19" i="14"/>
  <c r="P20" i="14"/>
  <c r="P22" i="14"/>
  <c r="P23" i="14"/>
  <c r="P24" i="14"/>
  <c r="P26" i="14"/>
  <c r="P27" i="14"/>
  <c r="P28" i="14"/>
  <c r="P29" i="14"/>
  <c r="P30" i="14"/>
  <c r="P31" i="14"/>
  <c r="P32" i="14"/>
  <c r="P33" i="14"/>
  <c r="P34" i="14"/>
  <c r="P36" i="14"/>
  <c r="L3" i="15"/>
  <c r="O3" i="15"/>
  <c r="S3" i="15"/>
  <c r="R3" i="15"/>
  <c r="R4" i="15" s="1"/>
  <c r="R5" i="15" s="1"/>
  <c r="R6" i="15" s="1"/>
  <c r="R7" i="15" s="1"/>
  <c r="R8" i="15" s="1"/>
  <c r="R9" i="15" s="1"/>
  <c r="R10" i="15" s="1"/>
  <c r="R11" i="15" s="1"/>
  <c r="R12" i="15" s="1"/>
  <c r="R13" i="15" s="1"/>
  <c r="R14" i="15" s="1"/>
  <c r="R15" i="15" s="1"/>
  <c r="R16" i="15" s="1"/>
  <c r="R17" i="15" s="1"/>
  <c r="R18" i="15" s="1"/>
  <c r="R19" i="15" s="1"/>
  <c r="R20" i="15" s="1"/>
  <c r="R21" i="15" s="1"/>
  <c r="R22" i="15" s="1"/>
  <c r="R23" i="15" s="1"/>
  <c r="R24" i="15" s="1"/>
  <c r="F23" i="2"/>
  <c r="F33" i="2"/>
  <c r="F34" i="2"/>
  <c r="F39" i="2"/>
  <c r="F51" i="2"/>
  <c r="F21" i="3"/>
  <c r="F23" i="3"/>
  <c r="F58" i="3"/>
  <c r="F60" i="3"/>
  <c r="F22" i="4"/>
  <c r="F23" i="4"/>
  <c r="F26" i="4"/>
  <c r="F29" i="4"/>
  <c r="F32" i="4"/>
  <c r="F29" i="5"/>
  <c r="F39" i="6"/>
  <c r="F47" i="6"/>
  <c r="F77" i="6"/>
  <c r="F27" i="7"/>
  <c r="F29" i="7"/>
  <c r="F32" i="7"/>
  <c r="F43" i="7"/>
  <c r="F44" i="7"/>
  <c r="F45" i="7"/>
  <c r="F54" i="7"/>
  <c r="F27" i="2"/>
  <c r="F28" i="2"/>
  <c r="F30" i="2"/>
  <c r="F42" i="2"/>
  <c r="F47" i="2"/>
  <c r="F48" i="2"/>
  <c r="F64" i="2"/>
  <c r="F66" i="2"/>
  <c r="F30" i="3"/>
  <c r="F31" i="3"/>
  <c r="F32" i="3"/>
  <c r="F46" i="3"/>
  <c r="F25" i="4"/>
  <c r="F53" i="4"/>
  <c r="F55" i="4"/>
  <c r="F69" i="4"/>
  <c r="F71" i="4"/>
  <c r="F20" i="5"/>
  <c r="F26" i="5"/>
  <c r="F32" i="5"/>
  <c r="F34" i="5"/>
  <c r="F24" i="6"/>
  <c r="F36" i="6"/>
  <c r="F44" i="6"/>
  <c r="F53" i="6"/>
  <c r="F54" i="6"/>
  <c r="F55" i="6"/>
  <c r="F25" i="7"/>
  <c r="F30" i="7"/>
  <c r="F33" i="7"/>
  <c r="F37" i="7"/>
  <c r="F38" i="7"/>
  <c r="F41" i="7"/>
  <c r="F42" i="7"/>
  <c r="F48" i="7"/>
  <c r="F51" i="7"/>
  <c r="F52" i="7"/>
  <c r="F22" i="2"/>
  <c r="F24" i="2"/>
  <c r="F49" i="2"/>
  <c r="F54" i="2"/>
  <c r="F55" i="2"/>
  <c r="F56" i="2"/>
  <c r="F60" i="2"/>
  <c r="F61" i="2"/>
  <c r="F22" i="3"/>
  <c r="F48" i="3"/>
  <c r="F50" i="3"/>
  <c r="F52" i="3"/>
  <c r="F54" i="3"/>
  <c r="F56" i="3"/>
  <c r="F27" i="4"/>
  <c r="F30" i="4"/>
  <c r="F41" i="4"/>
  <c r="F42" i="4"/>
  <c r="F46" i="4"/>
  <c r="F57" i="4"/>
  <c r="F58" i="4"/>
  <c r="F60" i="4"/>
  <c r="F62" i="4"/>
  <c r="F64" i="4"/>
  <c r="F66" i="4"/>
  <c r="F67" i="4"/>
  <c r="F70" i="4"/>
  <c r="F22" i="5"/>
  <c r="F24" i="5"/>
  <c r="F36" i="5"/>
  <c r="F31" i="6"/>
  <c r="F40" i="6"/>
  <c r="F56" i="6"/>
  <c r="F21" i="7"/>
  <c r="D136" i="11"/>
  <c r="H136" i="11"/>
  <c r="K136" i="11"/>
  <c r="E137" i="11"/>
  <c r="I137" i="11"/>
  <c r="C138" i="11"/>
  <c r="G138" i="11"/>
  <c r="F139" i="11"/>
  <c r="J139" i="11"/>
  <c r="C140" i="11"/>
  <c r="G140" i="11"/>
  <c r="J140" i="11"/>
  <c r="D141" i="11"/>
  <c r="G143" i="11"/>
  <c r="J143" i="11"/>
  <c r="I144" i="11"/>
  <c r="C146" i="11"/>
  <c r="G147" i="11"/>
  <c r="K147" i="11"/>
  <c r="F148" i="11"/>
  <c r="K148" i="11"/>
  <c r="F149" i="11"/>
  <c r="I149" i="11"/>
  <c r="C151" i="11"/>
  <c r="G152" i="11"/>
  <c r="K152" i="11"/>
  <c r="F153" i="11"/>
  <c r="J153" i="11"/>
  <c r="I154" i="11"/>
  <c r="H155" i="11"/>
  <c r="C156" i="11"/>
  <c r="G157" i="11"/>
  <c r="H158" i="11"/>
  <c r="C159" i="11"/>
  <c r="H159" i="11"/>
  <c r="F161" i="11"/>
  <c r="J161" i="11"/>
  <c r="I162" i="11"/>
  <c r="H163" i="11"/>
  <c r="K163" i="11"/>
  <c r="H165" i="11"/>
  <c r="C166" i="11"/>
  <c r="F168" i="11"/>
  <c r="J168" i="11"/>
  <c r="H172" i="11"/>
  <c r="J172" i="11"/>
  <c r="C174" i="11"/>
  <c r="F174" i="11"/>
  <c r="I174" i="11"/>
  <c r="C175" i="11"/>
  <c r="F175" i="11"/>
  <c r="I175" i="11"/>
  <c r="C176" i="11"/>
  <c r="F180" i="11"/>
  <c r="I180" i="11"/>
  <c r="C181" i="11"/>
  <c r="H183" i="11"/>
  <c r="K183" i="11"/>
  <c r="G184" i="11"/>
  <c r="J184" i="11"/>
  <c r="F185" i="11"/>
  <c r="G185" i="11"/>
  <c r="H185" i="11"/>
  <c r="I185" i="11"/>
  <c r="J185" i="11"/>
  <c r="K185" i="11"/>
  <c r="C186" i="11"/>
  <c r="F186" i="11"/>
  <c r="G186" i="11"/>
  <c r="H186" i="11"/>
  <c r="I186" i="11"/>
  <c r="J186" i="11"/>
  <c r="K186" i="11"/>
  <c r="C187" i="11"/>
  <c r="F187" i="11"/>
  <c r="G187" i="11"/>
  <c r="H187" i="11"/>
  <c r="I187" i="11"/>
  <c r="J187" i="11"/>
  <c r="K187" i="11"/>
  <c r="C188" i="11"/>
  <c r="F188" i="11"/>
  <c r="G188" i="11"/>
  <c r="H188" i="11"/>
  <c r="I188" i="11"/>
  <c r="J188" i="11"/>
  <c r="K188" i="11"/>
  <c r="C190" i="11"/>
  <c r="D190" i="11"/>
  <c r="E190" i="11"/>
  <c r="F190" i="11"/>
  <c r="G190" i="11"/>
  <c r="H190" i="11"/>
  <c r="I190" i="11"/>
  <c r="J190" i="11"/>
  <c r="K190" i="11"/>
  <c r="C191" i="11"/>
  <c r="D191" i="11"/>
  <c r="E191" i="11"/>
  <c r="F191" i="11"/>
  <c r="G191" i="11"/>
  <c r="H191" i="11"/>
  <c r="I191" i="11"/>
  <c r="J191" i="11"/>
  <c r="K191" i="11"/>
  <c r="C193" i="11"/>
  <c r="F193" i="11"/>
  <c r="G193" i="11"/>
  <c r="H193" i="11"/>
  <c r="I193" i="11"/>
  <c r="J193" i="11"/>
  <c r="K193" i="11"/>
  <c r="C194" i="11"/>
  <c r="F194" i="11"/>
  <c r="G194" i="11"/>
  <c r="H194" i="11"/>
  <c r="I194" i="11"/>
  <c r="J194" i="11"/>
  <c r="K194" i="11"/>
  <c r="C195" i="11"/>
  <c r="F195" i="11"/>
  <c r="G195" i="11"/>
  <c r="H195" i="11"/>
  <c r="I195" i="11"/>
  <c r="J195" i="11"/>
  <c r="K195" i="11"/>
  <c r="C196" i="11"/>
  <c r="F196" i="11"/>
  <c r="G196" i="11"/>
  <c r="H196" i="11"/>
  <c r="I196" i="11"/>
  <c r="J196" i="11"/>
  <c r="K196" i="11"/>
  <c r="C197" i="11"/>
  <c r="F197" i="11"/>
  <c r="G197" i="11"/>
  <c r="H197" i="11"/>
  <c r="I197" i="11"/>
  <c r="J197" i="11"/>
  <c r="K197" i="11"/>
  <c r="C198" i="11"/>
  <c r="F198" i="11"/>
  <c r="G198" i="11"/>
  <c r="H198" i="11"/>
  <c r="I198" i="11"/>
  <c r="J198" i="11"/>
  <c r="K198" i="11"/>
  <c r="C200" i="11"/>
  <c r="D200" i="11"/>
  <c r="E200" i="11"/>
  <c r="F200" i="11"/>
  <c r="G200" i="11"/>
  <c r="H200" i="11"/>
  <c r="I200" i="11"/>
  <c r="J200" i="11"/>
  <c r="K200" i="11"/>
  <c r="C201" i="11"/>
  <c r="D201" i="11"/>
  <c r="E201" i="11"/>
  <c r="F201" i="11"/>
  <c r="G201" i="11"/>
  <c r="H201" i="11"/>
  <c r="I201" i="11"/>
  <c r="J201" i="11"/>
  <c r="K201" i="11"/>
  <c r="C202" i="11"/>
  <c r="D202" i="11"/>
  <c r="E202" i="11"/>
  <c r="F202" i="11"/>
  <c r="G202" i="11"/>
  <c r="H202" i="11"/>
  <c r="I202" i="11"/>
  <c r="J202" i="11"/>
  <c r="K202" i="11"/>
  <c r="C203" i="11"/>
  <c r="D203" i="11"/>
  <c r="E203" i="11"/>
  <c r="F203" i="11"/>
  <c r="G203" i="11"/>
  <c r="H203" i="11"/>
  <c r="I203" i="11"/>
  <c r="J203" i="11"/>
  <c r="K203" i="11"/>
  <c r="C204" i="11"/>
  <c r="D204" i="11"/>
  <c r="E204" i="11"/>
  <c r="F204" i="11"/>
  <c r="G204" i="11"/>
  <c r="H204" i="11"/>
  <c r="I204" i="11"/>
  <c r="J204" i="11"/>
  <c r="K204" i="11"/>
  <c r="C205" i="11"/>
  <c r="D205" i="11"/>
  <c r="E205" i="11"/>
  <c r="F205" i="11"/>
  <c r="G205" i="11"/>
  <c r="H205" i="11"/>
  <c r="I205" i="11"/>
  <c r="J205" i="11"/>
  <c r="K205" i="11"/>
  <c r="C206" i="11"/>
  <c r="D206" i="11"/>
  <c r="E206" i="11"/>
  <c r="F206" i="11"/>
  <c r="G206" i="11"/>
  <c r="H206" i="11"/>
  <c r="I206" i="11"/>
  <c r="J206" i="11"/>
  <c r="K206" i="11"/>
  <c r="C208" i="11"/>
  <c r="F208" i="11"/>
  <c r="G208" i="11"/>
  <c r="H208" i="11"/>
  <c r="I208" i="11"/>
  <c r="J208" i="11"/>
  <c r="K208" i="11"/>
  <c r="C209" i="11"/>
  <c r="F209" i="11"/>
  <c r="G209" i="11"/>
  <c r="H209" i="11"/>
  <c r="I209" i="11"/>
  <c r="J209" i="11"/>
  <c r="K209" i="11"/>
  <c r="C210" i="11"/>
  <c r="F210" i="11"/>
  <c r="G210" i="11"/>
  <c r="H210" i="11"/>
  <c r="I210" i="11"/>
  <c r="J210" i="11"/>
  <c r="K210" i="11"/>
  <c r="C211" i="11"/>
  <c r="F211" i="11"/>
  <c r="G211" i="11"/>
  <c r="H211" i="11"/>
  <c r="I211" i="11"/>
  <c r="J211" i="11"/>
  <c r="K211" i="11"/>
  <c r="C213" i="11"/>
  <c r="F213" i="11"/>
  <c r="G213" i="11"/>
  <c r="H213" i="11"/>
  <c r="I213" i="11"/>
  <c r="J213" i="11"/>
  <c r="K213" i="11"/>
  <c r="C214" i="11"/>
  <c r="F214" i="11"/>
  <c r="G214" i="11"/>
  <c r="H214" i="11"/>
  <c r="I214" i="11"/>
  <c r="J214" i="11"/>
  <c r="K214" i="11"/>
  <c r="C215" i="11"/>
  <c r="F215" i="11"/>
  <c r="G215" i="11"/>
  <c r="H215" i="11"/>
  <c r="I215" i="11"/>
  <c r="J215" i="11"/>
  <c r="K215" i="11"/>
  <c r="F32" i="2"/>
  <c r="F38" i="2"/>
  <c r="F43" i="2"/>
  <c r="F44" i="2"/>
  <c r="F59" i="2"/>
  <c r="F20" i="3"/>
  <c r="F33" i="3"/>
  <c r="F35" i="3"/>
  <c r="F36" i="3"/>
  <c r="F39" i="3"/>
  <c r="F51" i="3"/>
  <c r="F59" i="3"/>
  <c r="F39" i="4"/>
  <c r="F40" i="4"/>
  <c r="F43" i="4"/>
  <c r="F45" i="4"/>
  <c r="F54" i="4"/>
  <c r="F72" i="4"/>
  <c r="F37" i="5"/>
  <c r="F25" i="6"/>
  <c r="F27" i="6"/>
  <c r="F67" i="6"/>
  <c r="F69" i="6"/>
  <c r="F136" i="11"/>
  <c r="F137" i="11"/>
  <c r="J137" i="11"/>
  <c r="D138" i="11"/>
  <c r="H138" i="11"/>
  <c r="K138" i="11"/>
  <c r="E139" i="11"/>
  <c r="I139" i="11"/>
  <c r="E140" i="11"/>
  <c r="H141" i="11"/>
  <c r="J141" i="11"/>
  <c r="G146" i="11"/>
  <c r="J146" i="11"/>
  <c r="E147" i="11"/>
  <c r="I147" i="11"/>
  <c r="C148" i="11"/>
  <c r="H148" i="11"/>
  <c r="C149" i="11"/>
  <c r="H149" i="11"/>
  <c r="K149" i="11"/>
  <c r="J151" i="11"/>
  <c r="I152" i="11"/>
  <c r="G153" i="11"/>
  <c r="K153" i="11"/>
  <c r="F154" i="11"/>
  <c r="J154" i="11"/>
  <c r="I155" i="11"/>
  <c r="H156" i="11"/>
  <c r="C157" i="11"/>
  <c r="H157" i="11"/>
  <c r="K157" i="11"/>
  <c r="F158" i="11"/>
  <c r="K158" i="11"/>
  <c r="K159" i="11"/>
  <c r="H161" i="11"/>
  <c r="H162" i="11"/>
  <c r="C163" i="11"/>
  <c r="G163" i="11"/>
  <c r="I163" i="11"/>
  <c r="C165" i="11"/>
  <c r="G165" i="11"/>
  <c r="K165" i="11"/>
  <c r="I166" i="11"/>
  <c r="H167" i="11"/>
  <c r="F169" i="11"/>
  <c r="E171" i="11"/>
  <c r="H171" i="11"/>
  <c r="J171" i="11"/>
  <c r="D172" i="11"/>
  <c r="F172" i="11"/>
  <c r="I172" i="11"/>
  <c r="K172" i="11"/>
  <c r="H174" i="11"/>
  <c r="K174" i="11"/>
  <c r="H175" i="11"/>
  <c r="K175" i="11"/>
  <c r="H176" i="11"/>
  <c r="K176" i="11"/>
  <c r="H177" i="11"/>
  <c r="J177" i="11"/>
  <c r="G178" i="11"/>
  <c r="J178" i="11"/>
  <c r="F179" i="11"/>
  <c r="H179" i="11"/>
  <c r="J179" i="11"/>
  <c r="H180" i="11"/>
  <c r="K180" i="11"/>
  <c r="G181" i="11"/>
  <c r="K181" i="11"/>
  <c r="G182" i="11"/>
  <c r="K182" i="11"/>
  <c r="G183" i="11"/>
  <c r="I183" i="11"/>
  <c r="C184" i="11"/>
  <c r="F184" i="11"/>
  <c r="I184" i="11"/>
  <c r="C185" i="11"/>
  <c r="G259" i="11"/>
  <c r="J259" i="11"/>
  <c r="E136" i="11"/>
  <c r="I136" i="11"/>
  <c r="C137" i="11"/>
  <c r="G137" i="11"/>
  <c r="K137" i="11"/>
  <c r="E138" i="11"/>
  <c r="I138" i="11"/>
  <c r="C139" i="11"/>
  <c r="G139" i="11"/>
  <c r="K139" i="11"/>
  <c r="D140" i="11"/>
  <c r="H140" i="11"/>
  <c r="K140" i="11"/>
  <c r="F141" i="11"/>
  <c r="K141" i="11"/>
  <c r="I143" i="11"/>
  <c r="H144" i="11"/>
  <c r="K144" i="11"/>
  <c r="E146" i="11"/>
  <c r="I146" i="11"/>
  <c r="D147" i="11"/>
  <c r="H147" i="11"/>
  <c r="E148" i="11"/>
  <c r="G149" i="11"/>
  <c r="J149" i="11"/>
  <c r="H151" i="11"/>
  <c r="C152" i="11"/>
  <c r="H152" i="11"/>
  <c r="C153" i="11"/>
  <c r="H153" i="11"/>
  <c r="C154" i="11"/>
  <c r="G154" i="11"/>
  <c r="K154" i="11"/>
  <c r="F155" i="11"/>
  <c r="J155" i="11"/>
  <c r="J156" i="11"/>
  <c r="I157" i="11"/>
  <c r="C158" i="11"/>
  <c r="F159" i="11"/>
  <c r="I159" i="11"/>
  <c r="C161" i="11"/>
  <c r="F165" i="11"/>
  <c r="J165" i="11"/>
  <c r="G166" i="11"/>
  <c r="K166" i="11"/>
  <c r="F167" i="11"/>
  <c r="J167" i="11"/>
  <c r="H168" i="11"/>
  <c r="G169" i="11"/>
  <c r="J169" i="11"/>
  <c r="C171" i="11"/>
  <c r="F171" i="11"/>
  <c r="I171" i="11"/>
  <c r="C172" i="11"/>
  <c r="G172" i="11"/>
  <c r="G174" i="11"/>
  <c r="J174" i="11"/>
  <c r="G175" i="11"/>
  <c r="J175" i="11"/>
  <c r="G176" i="11"/>
  <c r="J176" i="11"/>
  <c r="G177" i="11"/>
  <c r="K177" i="11"/>
  <c r="H178" i="11"/>
  <c r="K178" i="11"/>
  <c r="K179" i="11"/>
  <c r="G180" i="11"/>
  <c r="J180" i="11"/>
  <c r="H181" i="11"/>
  <c r="J181" i="11"/>
  <c r="H182" i="11"/>
  <c r="J182" i="11"/>
  <c r="C183" i="11"/>
  <c r="F183" i="11"/>
  <c r="J183" i="11"/>
  <c r="F259" i="11"/>
  <c r="H259" i="11"/>
  <c r="K259" i="11"/>
  <c r="F50" i="2"/>
  <c r="F67" i="2"/>
  <c r="F24" i="3"/>
  <c r="F25" i="3"/>
  <c r="F26" i="3"/>
  <c r="F27" i="3"/>
  <c r="F28" i="3"/>
  <c r="F29" i="3"/>
  <c r="F34" i="3"/>
  <c r="F41" i="3"/>
  <c r="F61" i="3"/>
  <c r="F24" i="4"/>
  <c r="F31" i="4"/>
  <c r="F37" i="4"/>
  <c r="F44" i="4"/>
  <c r="F47" i="4"/>
  <c r="F48" i="4"/>
  <c r="F49" i="4"/>
  <c r="F50" i="4"/>
  <c r="F65" i="4"/>
  <c r="F27" i="5"/>
  <c r="F33" i="5"/>
  <c r="F26" i="6"/>
  <c r="F29" i="6"/>
  <c r="F37" i="6"/>
  <c r="F45" i="6"/>
  <c r="F46" i="6"/>
  <c r="F48" i="6"/>
  <c r="F49" i="6"/>
  <c r="F57" i="6"/>
  <c r="F65" i="6"/>
  <c r="F73" i="6"/>
  <c r="F74" i="6"/>
  <c r="F76" i="6"/>
  <c r="F78" i="6"/>
  <c r="F20" i="7"/>
  <c r="F23" i="7"/>
  <c r="F24" i="7"/>
  <c r="F26" i="7"/>
  <c r="E141" i="11"/>
  <c r="I141" i="11"/>
  <c r="C143" i="11"/>
  <c r="H143" i="11"/>
  <c r="C144" i="11"/>
  <c r="G144" i="11"/>
  <c r="F146" i="11"/>
  <c r="K146" i="11"/>
  <c r="F147" i="11"/>
  <c r="J147" i="11"/>
  <c r="D148" i="11"/>
  <c r="I148" i="11"/>
  <c r="E149" i="11"/>
  <c r="F151" i="11"/>
  <c r="I151" i="11"/>
  <c r="G155" i="11"/>
  <c r="K155" i="11"/>
  <c r="F156" i="11"/>
  <c r="I156" i="11"/>
  <c r="G158" i="11"/>
  <c r="J158" i="11"/>
  <c r="G159" i="11"/>
  <c r="J159" i="11"/>
  <c r="I161" i="11"/>
  <c r="C162" i="11"/>
  <c r="G162" i="11"/>
  <c r="K162" i="11"/>
  <c r="F163" i="11"/>
  <c r="J163" i="11"/>
  <c r="F166" i="11"/>
  <c r="J166" i="11"/>
  <c r="I167" i="11"/>
  <c r="C168" i="11"/>
  <c r="G168" i="11"/>
  <c r="K168" i="11"/>
  <c r="I169" i="11"/>
  <c r="F40" i="2"/>
  <c r="F41" i="2"/>
  <c r="F46" i="2"/>
  <c r="F58" i="2"/>
  <c r="F63" i="2"/>
  <c r="F37" i="3"/>
  <c r="F57" i="3"/>
  <c r="F28" i="4"/>
  <c r="F36" i="4"/>
  <c r="F59" i="4"/>
  <c r="F61" i="4"/>
  <c r="F74" i="4"/>
  <c r="F23" i="5"/>
  <c r="F31" i="5"/>
  <c r="F30" i="6"/>
  <c r="F38" i="6"/>
  <c r="F52" i="6"/>
  <c r="F68" i="6"/>
  <c r="F81" i="6"/>
  <c r="F84" i="6"/>
  <c r="C136" i="11"/>
  <c r="G136" i="11"/>
  <c r="J136" i="11"/>
  <c r="D137" i="11"/>
  <c r="H137" i="11"/>
  <c r="F138" i="11"/>
  <c r="J138" i="11"/>
  <c r="D139" i="11"/>
  <c r="H139" i="11"/>
  <c r="F140" i="11"/>
  <c r="I140" i="11"/>
  <c r="C141" i="11"/>
  <c r="G141" i="11"/>
  <c r="F143" i="11"/>
  <c r="K143" i="11"/>
  <c r="F144" i="11"/>
  <c r="J144" i="11"/>
  <c r="D146" i="11"/>
  <c r="H146" i="11"/>
  <c r="C147" i="11"/>
  <c r="G148" i="11"/>
  <c r="J148" i="11"/>
  <c r="D149" i="11"/>
  <c r="G151" i="11"/>
  <c r="K151" i="11"/>
  <c r="F152" i="11"/>
  <c r="J152" i="11"/>
  <c r="I153" i="11"/>
  <c r="H154" i="11"/>
  <c r="C155" i="11"/>
  <c r="G156" i="11"/>
  <c r="K156" i="11"/>
  <c r="F157" i="11"/>
  <c r="J157" i="11"/>
  <c r="I158" i="11"/>
  <c r="G161" i="11"/>
  <c r="K161" i="11"/>
  <c r="F162" i="11"/>
  <c r="J162" i="11"/>
  <c r="I165" i="11"/>
  <c r="H166" i="11"/>
  <c r="C167" i="11"/>
  <c r="G167" i="11"/>
  <c r="K167" i="11"/>
  <c r="I168" i="11"/>
  <c r="C169" i="11"/>
  <c r="H169" i="11"/>
  <c r="K169" i="11"/>
  <c r="D171" i="11"/>
  <c r="G171" i="11"/>
  <c r="K171" i="11"/>
  <c r="E172" i="11"/>
  <c r="F176" i="11"/>
  <c r="I176" i="11"/>
  <c r="C177" i="11"/>
  <c r="F177" i="11"/>
  <c r="I177" i="11"/>
  <c r="C178" i="11"/>
  <c r="F178" i="11"/>
  <c r="I178" i="11"/>
  <c r="C179" i="11"/>
  <c r="G179" i="11"/>
  <c r="I179" i="11"/>
  <c r="C180" i="11"/>
  <c r="F181" i="11"/>
  <c r="I181" i="11"/>
  <c r="C182" i="11"/>
  <c r="F182" i="11"/>
  <c r="I182" i="11"/>
  <c r="H184" i="11"/>
  <c r="K184" i="11"/>
  <c r="I259" i="11"/>
  <c r="F26" i="2"/>
  <c r="F31" i="2"/>
  <c r="F36" i="2"/>
  <c r="F53" i="2"/>
  <c r="F65" i="2"/>
  <c r="F40" i="3"/>
  <c r="F42" i="3"/>
  <c r="F44" i="3"/>
  <c r="F53" i="3"/>
  <c r="F55" i="3"/>
  <c r="F20" i="4"/>
  <c r="F38" i="4"/>
  <c r="F56" i="4"/>
  <c r="F73" i="4"/>
  <c r="F25" i="5"/>
  <c r="F28" i="5"/>
  <c r="F28" i="6"/>
  <c r="F33" i="6"/>
  <c r="F35" i="6"/>
  <c r="F50" i="6"/>
  <c r="F59" i="6"/>
  <c r="F60" i="6"/>
  <c r="F61" i="6"/>
  <c r="F63" i="6"/>
  <c r="F64" i="6"/>
  <c r="F66" i="6"/>
  <c r="F83" i="6"/>
  <c r="F34" i="6"/>
  <c r="F25" i="2"/>
  <c r="F37" i="2"/>
  <c r="F45" i="2"/>
  <c r="F57" i="2"/>
  <c r="F62" i="2"/>
  <c r="F43" i="3"/>
  <c r="F45" i="3"/>
  <c r="F47" i="3"/>
  <c r="F49" i="3"/>
  <c r="F21" i="4"/>
  <c r="F33" i="4"/>
  <c r="F35" i="4"/>
  <c r="F52" i="4"/>
  <c r="F21" i="5"/>
  <c r="F30" i="5"/>
  <c r="F35" i="5"/>
  <c r="F23" i="6"/>
  <c r="F41" i="6"/>
  <c r="F42" i="6"/>
  <c r="F43" i="6"/>
  <c r="F51" i="6"/>
  <c r="F58" i="6"/>
  <c r="F70" i="6"/>
  <c r="F71" i="6"/>
  <c r="F72" i="6"/>
  <c r="F79" i="6"/>
  <c r="F80" i="6"/>
  <c r="F82" i="6"/>
  <c r="F85" i="6"/>
  <c r="F31" i="7"/>
  <c r="F35" i="7"/>
  <c r="F36" i="7"/>
  <c r="F39" i="7"/>
  <c r="F46" i="7"/>
  <c r="F47" i="7"/>
  <c r="F50" i="7"/>
  <c r="F53" i="7"/>
  <c r="F55" i="7"/>
  <c r="E29" i="5"/>
  <c r="E36" i="5"/>
  <c r="E18" i="5"/>
  <c r="E22" i="5"/>
  <c r="E24" i="5"/>
  <c r="E28" i="5"/>
  <c r="E30" i="5"/>
  <c r="E32" i="5"/>
  <c r="E33" i="5"/>
  <c r="E37" i="5"/>
  <c r="E34" i="5"/>
  <c r="E23" i="5"/>
  <c r="E27" i="5"/>
  <c r="E31" i="5"/>
  <c r="E35" i="5"/>
  <c r="E20" i="5"/>
  <c r="E21" i="5"/>
  <c r="E25" i="5"/>
  <c r="E26" i="5"/>
  <c r="E23" i="7"/>
  <c r="E31" i="7"/>
  <c r="E35" i="7"/>
  <c r="E36" i="7"/>
  <c r="E39" i="7"/>
  <c r="E42" i="7"/>
  <c r="E44" i="7"/>
  <c r="E46" i="7"/>
  <c r="E50" i="7"/>
  <c r="E53" i="7"/>
  <c r="E54" i="7"/>
  <c r="E20" i="7"/>
  <c r="E27" i="7"/>
  <c r="E29" i="7"/>
  <c r="E32" i="7"/>
  <c r="E38" i="7"/>
  <c r="E43" i="7"/>
  <c r="E48" i="7"/>
  <c r="E52" i="7"/>
  <c r="E24" i="7"/>
  <c r="E30" i="7"/>
  <c r="E33" i="7"/>
  <c r="E37" i="7"/>
  <c r="E41" i="7"/>
  <c r="E45" i="7"/>
  <c r="E47" i="7"/>
  <c r="E51" i="7"/>
  <c r="E55" i="7"/>
  <c r="E18" i="7"/>
  <c r="E25" i="7"/>
  <c r="E26" i="7"/>
  <c r="E21" i="7"/>
  <c r="E18" i="3"/>
  <c r="E23" i="3"/>
  <c r="E56" i="3"/>
  <c r="E57" i="3"/>
  <c r="E24" i="3"/>
  <c r="E27" i="3"/>
  <c r="E30" i="3"/>
  <c r="E39" i="3"/>
  <c r="E40" i="3"/>
  <c r="E51" i="3"/>
  <c r="E59" i="3"/>
  <c r="E22" i="3"/>
  <c r="E26" i="3"/>
  <c r="E29" i="3"/>
  <c r="E37" i="3"/>
  <c r="E43" i="3"/>
  <c r="E44" i="3"/>
  <c r="E47" i="3"/>
  <c r="E41" i="3"/>
  <c r="E53" i="3"/>
  <c r="E32" i="3"/>
  <c r="E34" i="3"/>
  <c r="E50" i="3"/>
  <c r="E52" i="3"/>
  <c r="E58" i="3"/>
  <c r="E33" i="3"/>
  <c r="E42" i="3"/>
  <c r="E48" i="3"/>
  <c r="E54" i="3"/>
  <c r="E55" i="3"/>
  <c r="E60" i="3"/>
  <c r="E21" i="3"/>
  <c r="E25" i="3"/>
  <c r="E28" i="3"/>
  <c r="E31" i="3"/>
  <c r="E35" i="3"/>
  <c r="E36" i="3"/>
  <c r="E49" i="3"/>
  <c r="E20" i="3"/>
  <c r="E45" i="3"/>
  <c r="E46" i="3"/>
  <c r="E61" i="3"/>
  <c r="E33" i="6"/>
  <c r="E40" i="6"/>
  <c r="E44" i="6"/>
  <c r="E59" i="6"/>
  <c r="E60" i="6"/>
  <c r="E38" i="6"/>
  <c r="E46" i="6"/>
  <c r="E54" i="6"/>
  <c r="E61" i="6"/>
  <c r="E37" i="6"/>
  <c r="E43" i="6"/>
  <c r="E45" i="6"/>
  <c r="E52" i="6"/>
  <c r="E56" i="6"/>
  <c r="E41" i="6"/>
  <c r="E48" i="6"/>
  <c r="E55" i="6"/>
  <c r="E57" i="6"/>
  <c r="E34" i="6"/>
  <c r="E35" i="6"/>
  <c r="E36" i="6"/>
  <c r="E47" i="6"/>
  <c r="E50" i="6"/>
  <c r="E58" i="6"/>
  <c r="E39" i="6"/>
  <c r="E51" i="6"/>
  <c r="E53" i="6"/>
  <c r="E19" i="6"/>
  <c r="E42" i="6"/>
  <c r="E49" i="6"/>
  <c r="E63" i="6"/>
  <c r="E69" i="6"/>
  <c r="E73" i="6"/>
  <c r="E64" i="6"/>
  <c r="E71" i="6"/>
  <c r="E68" i="6"/>
  <c r="E70" i="6"/>
  <c r="E66" i="6"/>
  <c r="E72" i="6"/>
  <c r="E65" i="6"/>
  <c r="E67" i="6"/>
  <c r="E74" i="6"/>
  <c r="E20" i="6"/>
  <c r="E18" i="4"/>
  <c r="E21" i="4"/>
  <c r="E30" i="4"/>
  <c r="E33" i="4"/>
  <c r="E65" i="4"/>
  <c r="E24" i="4"/>
  <c r="E54" i="4"/>
  <c r="E67" i="4"/>
  <c r="E70" i="4"/>
  <c r="E31" i="4"/>
  <c r="E56" i="4"/>
  <c r="E59" i="4"/>
  <c r="E61" i="4"/>
  <c r="E74" i="4"/>
  <c r="E26" i="4"/>
  <c r="E28" i="4"/>
  <c r="E29" i="4"/>
  <c r="E60" i="4"/>
  <c r="E64" i="4"/>
  <c r="E23" i="4"/>
  <c r="E57" i="4"/>
  <c r="E66" i="4"/>
  <c r="E22" i="4"/>
  <c r="E27" i="4"/>
  <c r="E52" i="4"/>
  <c r="E58" i="4"/>
  <c r="E69" i="4"/>
  <c r="E71" i="4"/>
  <c r="E72" i="4"/>
  <c r="E25" i="4"/>
  <c r="E32" i="4"/>
  <c r="E55" i="4"/>
  <c r="E62" i="4"/>
  <c r="E20" i="4"/>
  <c r="E53" i="4"/>
  <c r="E73" i="4"/>
  <c r="E27" i="6"/>
  <c r="E31" i="6"/>
  <c r="E26" i="6"/>
  <c r="E18" i="6"/>
  <c r="E23" i="6"/>
  <c r="E28" i="6"/>
  <c r="E29" i="6"/>
  <c r="E24" i="6"/>
  <c r="E25" i="6"/>
  <c r="E30" i="6"/>
  <c r="E90" i="8"/>
  <c r="E92" i="8"/>
  <c r="E93" i="8"/>
  <c r="E94" i="8"/>
  <c r="E95" i="8"/>
  <c r="E96" i="8"/>
  <c r="E97" i="8"/>
  <c r="E19" i="8"/>
  <c r="E91" i="8"/>
  <c r="E21" i="6"/>
  <c r="E80" i="6"/>
  <c r="E82" i="6"/>
  <c r="E85" i="6"/>
  <c r="E81" i="6"/>
  <c r="E84" i="6"/>
  <c r="E78" i="6"/>
  <c r="E79" i="6"/>
  <c r="E76" i="6"/>
  <c r="E83" i="6"/>
  <c r="E77" i="6"/>
  <c r="N290" i="15"/>
  <c r="T290" i="15" s="1"/>
  <c r="V290" i="15" s="1"/>
  <c r="N287" i="15"/>
  <c r="T287" i="15" s="1"/>
  <c r="V287" i="15" s="1"/>
  <c r="N263" i="15"/>
  <c r="T263" i="15" s="1"/>
  <c r="V263" i="15" s="1"/>
  <c r="N262" i="15"/>
  <c r="T262" i="15" s="1"/>
  <c r="V262" i="15" s="1"/>
  <c r="N246" i="15"/>
  <c r="T246" i="15" s="1"/>
  <c r="V246" i="15" s="1"/>
  <c r="N240" i="15"/>
  <c r="T240" i="15" s="1"/>
  <c r="V240" i="15" s="1"/>
  <c r="N284" i="15"/>
  <c r="T284" i="15" s="1"/>
  <c r="V284" i="15" s="1"/>
  <c r="N282" i="15"/>
  <c r="T282" i="15" s="1"/>
  <c r="V282" i="15" s="1"/>
  <c r="N280" i="15"/>
  <c r="T280" i="15" s="1"/>
  <c r="V280" i="15" s="1"/>
  <c r="N278" i="15"/>
  <c r="T278" i="15" s="1"/>
  <c r="V278" i="15" s="1"/>
  <c r="N275" i="15"/>
  <c r="T275" i="15" s="1"/>
  <c r="V275" i="15" s="1"/>
  <c r="N273" i="15"/>
  <c r="T273" i="15" s="1"/>
  <c r="N272" i="15"/>
  <c r="T272" i="15" s="1"/>
  <c r="V272" i="15" s="1"/>
  <c r="N271" i="15"/>
  <c r="T271" i="15" s="1"/>
  <c r="V271" i="15" s="1"/>
  <c r="N260" i="15"/>
  <c r="T260" i="15" s="1"/>
  <c r="V260" i="15" s="1"/>
  <c r="N24" i="15"/>
  <c r="T24" i="15" s="1"/>
  <c r="V24" i="15" s="1"/>
  <c r="N23" i="15"/>
  <c r="T23" i="15" s="1"/>
  <c r="V23" i="15" s="1"/>
  <c r="N18" i="15"/>
  <c r="T18" i="15" s="1"/>
  <c r="V18" i="15" s="1"/>
  <c r="N17" i="15"/>
  <c r="T17" i="15" s="1"/>
  <c r="V17" i="15" s="1"/>
  <c r="N8" i="15"/>
  <c r="T8" i="15" s="1"/>
  <c r="V8" i="15" s="1"/>
  <c r="N6" i="15"/>
  <c r="T6" i="15" s="1"/>
  <c r="V6" i="15" s="1"/>
  <c r="N5" i="15"/>
  <c r="T5" i="15" s="1"/>
  <c r="V5" i="15" s="1"/>
  <c r="N3" i="15"/>
  <c r="N265" i="15"/>
  <c r="T265" i="15" s="1"/>
  <c r="V265" i="15" s="1"/>
  <c r="N241" i="15"/>
  <c r="T241" i="15" s="1"/>
  <c r="V241" i="15" s="1"/>
  <c r="N302" i="15"/>
  <c r="T302" i="15" s="1"/>
  <c r="V302" i="15" s="1"/>
  <c r="N300" i="15"/>
  <c r="T300" i="15" s="1"/>
  <c r="V300" i="15" s="1"/>
  <c r="N299" i="15"/>
  <c r="T299" i="15" s="1"/>
  <c r="V299" i="15" s="1"/>
  <c r="N268" i="15"/>
  <c r="T268" i="15" s="1"/>
  <c r="V268" i="15" s="1"/>
  <c r="N261" i="15"/>
  <c r="T261" i="15" s="1"/>
  <c r="V261" i="15" s="1"/>
  <c r="N255" i="15"/>
  <c r="T255" i="15" s="1"/>
  <c r="N248" i="15"/>
  <c r="T248" i="15" s="1"/>
  <c r="V248" i="15" s="1"/>
  <c r="N298" i="15"/>
  <c r="T298" i="15" s="1"/>
  <c r="V298" i="15" s="1"/>
  <c r="N296" i="15"/>
  <c r="T296" i="15" s="1"/>
  <c r="N295" i="15"/>
  <c r="T295" i="15" s="1"/>
  <c r="V295" i="15" s="1"/>
  <c r="N258" i="15"/>
  <c r="T258" i="15" s="1"/>
  <c r="V258" i="15" s="1"/>
  <c r="N252" i="15"/>
  <c r="T252" i="15" s="1"/>
  <c r="V252" i="15" s="1"/>
  <c r="N251" i="15"/>
  <c r="T251" i="15" s="1"/>
  <c r="V251" i="15" s="1"/>
  <c r="N243" i="15"/>
  <c r="T243" i="15" s="1"/>
  <c r="M52" i="15"/>
  <c r="Q52" i="15" s="1"/>
  <c r="S52" i="15" s="1"/>
  <c r="J52" i="15"/>
  <c r="I333" i="15"/>
  <c r="K333" i="15" s="1"/>
  <c r="I52" i="15"/>
  <c r="K52" i="15" s="1"/>
  <c r="G333" i="15"/>
  <c r="H52" i="15"/>
  <c r="M333" i="15"/>
  <c r="Q333" i="15" s="1"/>
  <c r="S333" i="15" s="1"/>
  <c r="G52" i="15"/>
  <c r="J332" i="15"/>
  <c r="F52" i="15"/>
  <c r="H332" i="15"/>
  <c r="M51" i="15"/>
  <c r="Q51" i="15" s="1"/>
  <c r="S51" i="15" s="1"/>
  <c r="F332" i="15"/>
  <c r="J51" i="15"/>
  <c r="M330" i="15"/>
  <c r="Q330" i="15" s="1"/>
  <c r="S330" i="15" s="1"/>
  <c r="I51" i="15"/>
  <c r="K51" i="15" s="1"/>
  <c r="I330" i="15"/>
  <c r="K330" i="15" s="1"/>
  <c r="H51" i="15"/>
  <c r="M329" i="15"/>
  <c r="Q329" i="15" s="1"/>
  <c r="S329" i="15" s="1"/>
  <c r="G51" i="15"/>
  <c r="F217" i="15"/>
  <c r="I73" i="15"/>
  <c r="K73" i="15" s="1"/>
  <c r="M93" i="15"/>
  <c r="Q93" i="15" s="1"/>
  <c r="S93" i="15" s="1"/>
  <c r="C219" i="11"/>
  <c r="M105" i="15"/>
  <c r="Q105" i="15" s="1"/>
  <c r="S105" i="15" s="1"/>
  <c r="F220" i="15"/>
  <c r="G171" i="15"/>
  <c r="G317" i="15"/>
  <c r="J330" i="15"/>
  <c r="F41" i="15"/>
  <c r="I144" i="15"/>
  <c r="K144" i="15" s="1"/>
  <c r="M139" i="15"/>
  <c r="Q139" i="15" s="1"/>
  <c r="S139" i="15" s="1"/>
  <c r="F181" i="15"/>
  <c r="F240" i="11"/>
  <c r="J84" i="15"/>
  <c r="F95" i="15"/>
  <c r="G117" i="15"/>
  <c r="I99" i="15"/>
  <c r="K99" i="15" s="1"/>
  <c r="J62" i="15"/>
  <c r="I212" i="15"/>
  <c r="K212" i="15" s="1"/>
  <c r="I160" i="15"/>
  <c r="K160" i="15" s="1"/>
  <c r="I46" i="15"/>
  <c r="K46" i="15" s="1"/>
  <c r="G155" i="15"/>
  <c r="I35" i="15"/>
  <c r="K35" i="15" s="1"/>
  <c r="F25" i="15"/>
  <c r="I55" i="15"/>
  <c r="K55" i="15" s="1"/>
  <c r="H141" i="15"/>
  <c r="H195" i="15"/>
  <c r="H222" i="11"/>
  <c r="M130" i="15"/>
  <c r="Q130" i="15" s="1"/>
  <c r="S130" i="15" s="1"/>
  <c r="I229" i="11"/>
  <c r="G209" i="15"/>
  <c r="J236" i="11"/>
  <c r="H135" i="15"/>
  <c r="K243" i="11"/>
  <c r="J176" i="15"/>
  <c r="H191" i="15"/>
  <c r="M78" i="15"/>
  <c r="Q78" i="15" s="1"/>
  <c r="S78" i="15" s="1"/>
  <c r="I315" i="15"/>
  <c r="K315" i="15" s="1"/>
  <c r="I187" i="15"/>
  <c r="K187" i="15" s="1"/>
  <c r="M186" i="15"/>
  <c r="Q186" i="15" s="1"/>
  <c r="S186" i="15" s="1"/>
  <c r="G68" i="15"/>
  <c r="H331" i="15"/>
  <c r="M165" i="15"/>
  <c r="Q165" i="15" s="1"/>
  <c r="S165" i="15" s="1"/>
  <c r="M60" i="15"/>
  <c r="Q60" i="15" s="1"/>
  <c r="S60" i="15" s="1"/>
  <c r="F57" i="15"/>
  <c r="O57" i="15" s="1"/>
  <c r="H187" i="15"/>
  <c r="J103" i="15"/>
  <c r="F49" i="15"/>
  <c r="G157" i="15"/>
  <c r="J43" i="15"/>
  <c r="J233" i="15"/>
  <c r="G38" i="15"/>
  <c r="H152" i="15"/>
  <c r="F33" i="15"/>
  <c r="O33" i="15" s="1"/>
  <c r="P33" i="15" s="1"/>
  <c r="J27" i="15"/>
  <c r="J163" i="15"/>
  <c r="M209" i="15"/>
  <c r="Q209" i="15" s="1"/>
  <c r="S209" i="15" s="1"/>
  <c r="H198" i="15"/>
  <c r="F126" i="15"/>
  <c r="H217" i="15"/>
  <c r="J224" i="15"/>
  <c r="J220" i="11"/>
  <c r="J132" i="15"/>
  <c r="F224" i="11"/>
  <c r="J184" i="15"/>
  <c r="K227" i="11"/>
  <c r="H120" i="15"/>
  <c r="G231" i="11"/>
  <c r="G200" i="15"/>
  <c r="C235" i="11"/>
  <c r="G90" i="15"/>
  <c r="H238" i="11"/>
  <c r="H179" i="15"/>
  <c r="M86" i="15"/>
  <c r="Q86" i="15" s="1"/>
  <c r="S86" i="15" s="1"/>
  <c r="G237" i="15"/>
  <c r="G196" i="15"/>
  <c r="G207" i="15"/>
  <c r="M81" i="15"/>
  <c r="Q81" i="15" s="1"/>
  <c r="S81" i="15" s="1"/>
  <c r="H118" i="15"/>
  <c r="F173" i="15"/>
  <c r="F325" i="15"/>
  <c r="F76" i="15"/>
  <c r="O76" i="15" s="1"/>
  <c r="F74" i="15"/>
  <c r="M111" i="15"/>
  <c r="Q111" i="15" s="1"/>
  <c r="S111" i="15" s="1"/>
  <c r="J201" i="15"/>
  <c r="H70" i="15"/>
  <c r="G109" i="15"/>
  <c r="M168" i="15"/>
  <c r="Q168" i="15" s="1"/>
  <c r="S168" i="15" s="1"/>
  <c r="H325" i="15"/>
  <c r="H65" i="15"/>
  <c r="J323" i="15"/>
  <c r="F327" i="15"/>
  <c r="F310" i="15"/>
  <c r="M116" i="15"/>
  <c r="Q116" i="15" s="1"/>
  <c r="S116" i="15" s="1"/>
  <c r="G218" i="15"/>
  <c r="G163" i="15"/>
  <c r="H199" i="15"/>
  <c r="H54" i="15"/>
  <c r="G112" i="15"/>
  <c r="F114" i="15"/>
  <c r="I50" i="15"/>
  <c r="K50" i="15" s="1"/>
  <c r="H159" i="15"/>
  <c r="J47" i="15"/>
  <c r="J97" i="15"/>
  <c r="H45" i="15"/>
  <c r="J156" i="15"/>
  <c r="J42" i="15"/>
  <c r="I109" i="15"/>
  <c r="K109" i="15" s="1"/>
  <c r="I39" i="15"/>
  <c r="K39" i="15" s="1"/>
  <c r="M153" i="15"/>
  <c r="Q153" i="15" s="1"/>
  <c r="S153" i="15" s="1"/>
  <c r="J37" i="15"/>
  <c r="I232" i="15"/>
  <c r="K232" i="15" s="1"/>
  <c r="H34" i="15"/>
  <c r="H151" i="15"/>
  <c r="H31" i="15"/>
  <c r="G29" i="15"/>
  <c r="F148" i="15"/>
  <c r="H26" i="15"/>
  <c r="G58" i="15"/>
  <c r="F146" i="15"/>
  <c r="M56" i="15"/>
  <c r="Q56" i="15" s="1"/>
  <c r="S56" i="15" s="1"/>
  <c r="F201" i="15"/>
  <c r="H116" i="15"/>
  <c r="F190" i="15"/>
  <c r="G54" i="15"/>
  <c r="I142" i="15"/>
  <c r="K142" i="15" s="1"/>
  <c r="G227" i="15"/>
  <c r="I140" i="15"/>
  <c r="K140" i="15" s="1"/>
  <c r="M205" i="15"/>
  <c r="Q205" i="15" s="1"/>
  <c r="S205" i="15" s="1"/>
  <c r="K219" i="11"/>
  <c r="M137" i="15"/>
  <c r="Q137" i="15" s="1"/>
  <c r="S137" i="15" s="1"/>
  <c r="I221" i="11"/>
  <c r="F185" i="15"/>
  <c r="G223" i="11"/>
  <c r="G131" i="15"/>
  <c r="H256" i="11"/>
  <c r="G221" i="15"/>
  <c r="C227" i="11"/>
  <c r="H124" i="15"/>
  <c r="J228" i="11"/>
  <c r="H183" i="15"/>
  <c r="H230" i="11"/>
  <c r="I110" i="15"/>
  <c r="K110" i="15" s="1"/>
  <c r="F232" i="11"/>
  <c r="I308" i="15"/>
  <c r="K308" i="15" s="1"/>
  <c r="M97" i="15"/>
  <c r="Q97" i="15" s="1"/>
  <c r="S97" i="15" s="1"/>
  <c r="K235" i="11"/>
  <c r="M180" i="15"/>
  <c r="Q180" i="15" s="1"/>
  <c r="S180" i="15" s="1"/>
  <c r="I237" i="11"/>
  <c r="H136" i="15"/>
  <c r="G239" i="11"/>
  <c r="J203" i="15"/>
  <c r="M134" i="15"/>
  <c r="Q134" i="15" s="1"/>
  <c r="S134" i="15" s="1"/>
  <c r="C243" i="11"/>
  <c r="F177" i="15"/>
  <c r="J244" i="11"/>
  <c r="F85" i="15"/>
  <c r="G224" i="15"/>
  <c r="M192" i="15"/>
  <c r="Q192" i="15" s="1"/>
  <c r="S192" i="15" s="1"/>
  <c r="F212" i="15"/>
  <c r="M82" i="15"/>
  <c r="Q82" i="15" s="1"/>
  <c r="S82" i="15" s="1"/>
  <c r="H196" i="15"/>
  <c r="H175" i="15"/>
  <c r="G124" i="15"/>
  <c r="G80" i="15"/>
  <c r="I105" i="15"/>
  <c r="K105" i="15" s="1"/>
  <c r="G187" i="15"/>
  <c r="I89" i="15"/>
  <c r="K89" i="15" s="1"/>
  <c r="M77" i="15"/>
  <c r="Q77" i="15" s="1"/>
  <c r="S77" i="15" s="1"/>
  <c r="H323" i="15"/>
  <c r="J172" i="15"/>
  <c r="I305" i="15"/>
  <c r="K305" i="15" s="1"/>
  <c r="H303" i="15"/>
  <c r="I226" i="15"/>
  <c r="K226" i="15" s="1"/>
  <c r="G53" i="15"/>
  <c r="M207" i="15"/>
  <c r="Q207" i="15" s="1"/>
  <c r="S207" i="15" s="1"/>
  <c r="J72" i="15"/>
  <c r="M194" i="15"/>
  <c r="Q194" i="15" s="1"/>
  <c r="S194" i="15" s="1"/>
  <c r="M169" i="15"/>
  <c r="Q169" i="15" s="1"/>
  <c r="S169" i="15" s="1"/>
  <c r="F118" i="15"/>
  <c r="H69" i="15"/>
  <c r="J104" i="15"/>
  <c r="F102" i="15"/>
  <c r="F94" i="15"/>
  <c r="G66" i="15"/>
  <c r="H305" i="15"/>
  <c r="G167" i="15"/>
  <c r="M327" i="15"/>
  <c r="Q327" i="15" s="1"/>
  <c r="S327" i="15" s="1"/>
  <c r="I64" i="15"/>
  <c r="K64" i="15" s="1"/>
  <c r="M318" i="15"/>
  <c r="Q318" i="15" s="1"/>
  <c r="S318" i="15" s="1"/>
  <c r="H88" i="15"/>
  <c r="H314" i="15"/>
  <c r="G61" i="15"/>
  <c r="M307" i="15"/>
  <c r="Q307" i="15" s="1"/>
  <c r="S307" i="15" s="1"/>
  <c r="I118" i="15"/>
  <c r="K118" i="15" s="1"/>
  <c r="F226" i="15"/>
  <c r="H58" i="15"/>
  <c r="I215" i="15"/>
  <c r="K215" i="15" s="1"/>
  <c r="M114" i="15"/>
  <c r="Q114" i="15" s="1"/>
  <c r="S114" i="15" s="1"/>
  <c r="F206" i="15"/>
  <c r="J55" i="15"/>
  <c r="N55" i="15" s="1"/>
  <c r="T55" i="15" s="1"/>
  <c r="F193" i="15"/>
  <c r="G161" i="15"/>
  <c r="J124" i="15"/>
  <c r="F53" i="15"/>
  <c r="G104" i="15"/>
  <c r="F227" i="15"/>
  <c r="F51" i="15"/>
  <c r="G159" i="15"/>
  <c r="M49" i="15"/>
  <c r="Q49" i="15" s="1"/>
  <c r="S49" i="15" s="1"/>
  <c r="G100" i="15"/>
  <c r="H48" i="15"/>
  <c r="I158" i="15"/>
  <c r="K158" i="15" s="1"/>
  <c r="F47" i="15"/>
  <c r="H111" i="15"/>
  <c r="J45" i="15"/>
  <c r="I157" i="15"/>
  <c r="K157" i="15" s="1"/>
  <c r="H44" i="15"/>
  <c r="M89" i="15"/>
  <c r="Q89" i="15" s="1"/>
  <c r="S89" i="15" s="1"/>
  <c r="F43" i="15"/>
  <c r="M155" i="15"/>
  <c r="Q155" i="15" s="1"/>
  <c r="S155" i="15" s="1"/>
  <c r="J41" i="15"/>
  <c r="G223" i="15"/>
  <c r="I40" i="15"/>
  <c r="K40" i="15" s="1"/>
  <c r="M154" i="15"/>
  <c r="Q154" i="15" s="1"/>
  <c r="S154" i="15" s="1"/>
  <c r="F39" i="15"/>
  <c r="G233" i="15"/>
  <c r="F37" i="15"/>
  <c r="I153" i="15"/>
  <c r="K153" i="15" s="1"/>
  <c r="M36" i="15"/>
  <c r="Q36" i="15" s="1"/>
  <c r="S36" i="15" s="1"/>
  <c r="F104" i="15"/>
  <c r="F35" i="15"/>
  <c r="O35" i="15" s="1"/>
  <c r="P35" i="15" s="1"/>
  <c r="G151" i="15"/>
  <c r="G33" i="15"/>
  <c r="M231" i="15"/>
  <c r="Q231" i="15" s="1"/>
  <c r="S231" i="15" s="1"/>
  <c r="G32" i="15"/>
  <c r="G150" i="15"/>
  <c r="J31" i="15"/>
  <c r="M29" i="15"/>
  <c r="Q29" i="15" s="1"/>
  <c r="S29" i="15" s="1"/>
  <c r="G149" i="15"/>
  <c r="J28" i="15"/>
  <c r="H230" i="15"/>
  <c r="F27" i="15"/>
  <c r="I147" i="15"/>
  <c r="K147" i="15" s="1"/>
  <c r="J25" i="15"/>
  <c r="J218" i="15"/>
  <c r="M229" i="15"/>
  <c r="Q229" i="15" s="1"/>
  <c r="S229" i="15" s="1"/>
  <c r="H214" i="15"/>
  <c r="M146" i="15"/>
  <c r="Q146" i="15" s="1"/>
  <c r="S146" i="15" s="1"/>
  <c r="G212" i="15"/>
  <c r="I145" i="15"/>
  <c r="K145" i="15" s="1"/>
  <c r="G56" i="15"/>
  <c r="F88" i="15"/>
  <c r="J199" i="15"/>
  <c r="M144" i="15"/>
  <c r="Q144" i="15" s="1"/>
  <c r="S144" i="15" s="1"/>
  <c r="M54" i="15"/>
  <c r="Q54" i="15" s="1"/>
  <c r="S54" i="15" s="1"/>
  <c r="F213" i="15"/>
  <c r="H127" i="15"/>
  <c r="H227" i="15"/>
  <c r="M112" i="15"/>
  <c r="Q112" i="15" s="1"/>
  <c r="S112" i="15" s="1"/>
  <c r="G142" i="15"/>
  <c r="J210" i="15"/>
  <c r="H250" i="11"/>
  <c r="J141" i="15"/>
  <c r="I249" i="11"/>
  <c r="J211" i="15"/>
  <c r="I216" i="11"/>
  <c r="H139" i="15"/>
  <c r="H218" i="11"/>
  <c r="I309" i="15"/>
  <c r="K309" i="15" s="1"/>
  <c r="G219" i="11"/>
  <c r="F138" i="15"/>
  <c r="F220" i="11"/>
  <c r="G89" i="15"/>
  <c r="H133" i="15"/>
  <c r="G222" i="15"/>
  <c r="C223" i="11"/>
  <c r="F132" i="15"/>
  <c r="K223" i="11"/>
  <c r="H185" i="15"/>
  <c r="J224" i="11"/>
  <c r="I130" i="15"/>
  <c r="K130" i="15" s="1"/>
  <c r="I225" i="11"/>
  <c r="J202" i="15"/>
  <c r="H226" i="11"/>
  <c r="H129" i="15"/>
  <c r="G227" i="11"/>
  <c r="F183" i="15"/>
  <c r="F228" i="11"/>
  <c r="I123" i="15"/>
  <c r="K123" i="15" s="1"/>
  <c r="M216" i="15"/>
  <c r="Q216" i="15" s="1"/>
  <c r="S216" i="15" s="1"/>
  <c r="H115" i="15"/>
  <c r="C231" i="11"/>
  <c r="J182" i="15"/>
  <c r="K231" i="11"/>
  <c r="I107" i="15"/>
  <c r="K107" i="15" s="1"/>
  <c r="J232" i="11"/>
  <c r="F319" i="15"/>
  <c r="I233" i="11"/>
  <c r="G102" i="15"/>
  <c r="H234" i="11"/>
  <c r="H181" i="15"/>
  <c r="G235" i="11"/>
  <c r="I94" i="15"/>
  <c r="K94" i="15" s="1"/>
  <c r="F236" i="11"/>
  <c r="H205" i="15"/>
  <c r="F137" i="15"/>
  <c r="F179" i="15"/>
  <c r="C239" i="11"/>
  <c r="M136" i="15"/>
  <c r="Q136" i="15" s="1"/>
  <c r="S136" i="15" s="1"/>
  <c r="K239" i="11"/>
  <c r="G195" i="15"/>
  <c r="J240" i="11"/>
  <c r="J134" i="15"/>
  <c r="I241" i="11"/>
  <c r="J178" i="15"/>
  <c r="H242" i="11"/>
  <c r="G87" i="15"/>
  <c r="G243" i="11"/>
  <c r="I198" i="15"/>
  <c r="K198" i="15" s="1"/>
  <c r="F244" i="11"/>
  <c r="G86" i="15"/>
  <c r="H177" i="15"/>
  <c r="J234" i="15"/>
  <c r="F84" i="15"/>
  <c r="J222" i="15"/>
  <c r="F306" i="15"/>
  <c r="J213" i="15"/>
  <c r="M83" i="15"/>
  <c r="Q83" i="15" s="1"/>
  <c r="S83" i="15" s="1"/>
  <c r="M210" i="15"/>
  <c r="Q210" i="15" s="1"/>
  <c r="S210" i="15" s="1"/>
  <c r="F175" i="15"/>
  <c r="H202" i="15"/>
  <c r="G82" i="15"/>
  <c r="M193" i="15"/>
  <c r="Q193" i="15" s="1"/>
  <c r="S193" i="15" s="1"/>
  <c r="H190" i="15"/>
  <c r="J186" i="15"/>
  <c r="M80" i="15"/>
  <c r="Q80" i="15" s="1"/>
  <c r="S80" i="15" s="1"/>
  <c r="G122" i="15"/>
  <c r="J174" i="15"/>
  <c r="F116" i="15"/>
  <c r="M79" i="15"/>
  <c r="Q79" i="15" s="1"/>
  <c r="S79" i="15" s="1"/>
  <c r="H98" i="15"/>
  <c r="G189" i="15"/>
  <c r="F92" i="15"/>
  <c r="G78" i="15"/>
  <c r="J328" i="15"/>
  <c r="H173" i="15"/>
  <c r="F324" i="15"/>
  <c r="J76" i="15"/>
  <c r="J320" i="15"/>
  <c r="M121" i="15"/>
  <c r="Q121" i="15" s="1"/>
  <c r="S121" i="15" s="1"/>
  <c r="H308" i="15"/>
  <c r="H75" i="15"/>
  <c r="J304" i="15"/>
  <c r="G321" i="15"/>
  <c r="I171" i="15"/>
  <c r="K171" i="15" s="1"/>
  <c r="J74" i="15"/>
  <c r="J219" i="15"/>
  <c r="M115" i="15"/>
  <c r="Q115" i="15" s="1"/>
  <c r="S115" i="15" s="1"/>
  <c r="J209" i="15"/>
  <c r="F72" i="15"/>
  <c r="G205" i="15"/>
  <c r="G170" i="15"/>
  <c r="F199" i="15"/>
  <c r="H71" i="15"/>
  <c r="H192" i="15"/>
  <c r="M108" i="15"/>
  <c r="Q108" i="15" s="1"/>
  <c r="S108" i="15" s="1"/>
  <c r="J122" i="15"/>
  <c r="J70" i="15"/>
  <c r="I113" i="15"/>
  <c r="K113" i="15" s="1"/>
  <c r="G169" i="15"/>
  <c r="J107" i="15"/>
  <c r="M68" i="15"/>
  <c r="Q68" i="15" s="1"/>
  <c r="S68" i="15" s="1"/>
  <c r="F101" i="15"/>
  <c r="I332" i="15"/>
  <c r="K332" i="15" s="1"/>
  <c r="H96" i="15"/>
  <c r="F67" i="15"/>
  <c r="H91" i="15"/>
  <c r="M167" i="15"/>
  <c r="Q167" i="15" s="1"/>
  <c r="S167" i="15" s="1"/>
  <c r="J315" i="15"/>
  <c r="J66" i="15"/>
  <c r="F65" i="15"/>
  <c r="H321" i="15"/>
  <c r="I329" i="15"/>
  <c r="K329" i="15" s="1"/>
  <c r="H64" i="15"/>
  <c r="M325" i="15"/>
  <c r="Q325" i="15" s="1"/>
  <c r="S325" i="15" s="1"/>
  <c r="J166" i="15"/>
  <c r="G319" i="15"/>
  <c r="I63" i="15"/>
  <c r="K63" i="15" s="1"/>
  <c r="H317" i="15"/>
  <c r="G91" i="15"/>
  <c r="H316" i="15"/>
  <c r="G62" i="15"/>
  <c r="I312" i="15"/>
  <c r="K312" i="15" s="1"/>
  <c r="G165" i="15"/>
  <c r="J310" i="15"/>
  <c r="H60" i="15"/>
  <c r="J306" i="15"/>
  <c r="F235" i="15"/>
  <c r="O235" i="15" s="1"/>
  <c r="P235" i="15" s="1"/>
  <c r="H235" i="15"/>
  <c r="F59" i="15"/>
  <c r="O59" i="15" s="1"/>
  <c r="H224" i="15"/>
  <c r="M163" i="15"/>
  <c r="Q163" i="15" s="1"/>
  <c r="S163" i="15" s="1"/>
  <c r="I216" i="15"/>
  <c r="K216" i="15" s="1"/>
  <c r="J57" i="15"/>
  <c r="M214" i="15"/>
  <c r="Q214" i="15" s="1"/>
  <c r="S214" i="15" s="1"/>
  <c r="J117" i="15"/>
  <c r="M208" i="15"/>
  <c r="Q208" i="15" s="1"/>
  <c r="S208" i="15" s="1"/>
  <c r="H56" i="15"/>
  <c r="I201" i="15"/>
  <c r="K201" i="15" s="1"/>
  <c r="I162" i="15"/>
  <c r="K162" i="15" s="1"/>
  <c r="M196" i="15"/>
  <c r="Q196" i="15" s="1"/>
  <c r="S196" i="15" s="1"/>
  <c r="F55" i="15"/>
  <c r="O55" i="15" s="1"/>
  <c r="M188" i="15"/>
  <c r="Q188" i="15" s="1"/>
  <c r="S188" i="15" s="1"/>
  <c r="J109" i="15"/>
  <c r="H126" i="15"/>
  <c r="J53" i="15"/>
  <c r="J118" i="15"/>
  <c r="M161" i="15"/>
  <c r="Q161" i="15" s="1"/>
  <c r="S161" i="15" s="1"/>
  <c r="I108" i="15"/>
  <c r="K108" i="15" s="1"/>
  <c r="M332" i="15"/>
  <c r="Q332" i="15" s="1"/>
  <c r="S332" i="15" s="1"/>
  <c r="J99" i="15"/>
  <c r="I313" i="15"/>
  <c r="K313" i="15" s="1"/>
  <c r="F90" i="15"/>
  <c r="G160" i="15"/>
  <c r="G50" i="15"/>
  <c r="G101" i="15"/>
  <c r="M50" i="15"/>
  <c r="Q50" i="15" s="1"/>
  <c r="S50" i="15" s="1"/>
  <c r="J159" i="15"/>
  <c r="I49" i="15"/>
  <c r="K49" i="15" s="1"/>
  <c r="H113" i="15"/>
  <c r="J48" i="15"/>
  <c r="M158" i="15"/>
  <c r="Q158" i="15" s="1"/>
  <c r="S158" i="15" s="1"/>
  <c r="F48" i="15"/>
  <c r="H99" i="15"/>
  <c r="H47" i="15"/>
  <c r="G158" i="15"/>
  <c r="M46" i="15"/>
  <c r="Q46" i="15" s="1"/>
  <c r="S46" i="15" s="1"/>
  <c r="J225" i="15"/>
  <c r="F46" i="15"/>
  <c r="M157" i="15"/>
  <c r="Q157" i="15" s="1"/>
  <c r="S157" i="15" s="1"/>
  <c r="F45" i="15"/>
  <c r="H95" i="15"/>
  <c r="J44" i="15"/>
  <c r="G156" i="15"/>
  <c r="F44" i="15"/>
  <c r="H110" i="15"/>
  <c r="H43" i="15"/>
  <c r="H156" i="15"/>
  <c r="G42" i="15"/>
  <c r="M88" i="15"/>
  <c r="Q88" i="15" s="1"/>
  <c r="S88" i="15" s="1"/>
  <c r="H42" i="15"/>
  <c r="I155" i="15"/>
  <c r="K155" i="15" s="1"/>
  <c r="H41" i="15"/>
  <c r="M312" i="15"/>
  <c r="Q312" i="15" s="1"/>
  <c r="S312" i="15" s="1"/>
  <c r="M40" i="15"/>
  <c r="Q40" i="15" s="1"/>
  <c r="S40" i="15" s="1"/>
  <c r="F154" i="15"/>
  <c r="F40" i="15"/>
  <c r="I233" i="15"/>
  <c r="K233" i="15" s="1"/>
  <c r="H39" i="15"/>
  <c r="I154" i="15"/>
  <c r="K154" i="15" s="1"/>
  <c r="J38" i="15"/>
  <c r="G105" i="15"/>
  <c r="I38" i="15"/>
  <c r="K38" i="15" s="1"/>
  <c r="G153" i="15"/>
  <c r="H37" i="15"/>
  <c r="J232" i="15"/>
  <c r="F36" i="15"/>
  <c r="O36" i="15" s="1"/>
  <c r="P36" i="15" s="1"/>
  <c r="J152" i="15"/>
  <c r="H36" i="15"/>
  <c r="J221" i="15"/>
  <c r="J35" i="15"/>
  <c r="F152" i="15"/>
  <c r="J34" i="15"/>
  <c r="G232" i="15"/>
  <c r="G34" i="15"/>
  <c r="M151" i="15"/>
  <c r="Q151" i="15" s="1"/>
  <c r="S151" i="15" s="1"/>
  <c r="J33" i="15"/>
  <c r="H103" i="15"/>
  <c r="J32" i="15"/>
  <c r="J150" i="15"/>
  <c r="I32" i="15"/>
  <c r="K32" i="15" s="1"/>
  <c r="J231" i="15"/>
  <c r="G31" i="15"/>
  <c r="M150" i="15"/>
  <c r="Q150" i="15" s="1"/>
  <c r="S150" i="15" s="1"/>
  <c r="I30" i="15"/>
  <c r="K30" i="15" s="1"/>
  <c r="M30" i="15"/>
  <c r="Q30" i="15" s="1"/>
  <c r="S30" i="15" s="1"/>
  <c r="I149" i="15"/>
  <c r="K149" i="15" s="1"/>
  <c r="I29" i="15"/>
  <c r="K29" i="15" s="1"/>
  <c r="G230" i="15"/>
  <c r="M28" i="15"/>
  <c r="Q28" i="15" s="1"/>
  <c r="S28" i="15" s="1"/>
  <c r="J148" i="15"/>
  <c r="H28" i="15"/>
  <c r="G96" i="15"/>
  <c r="H27" i="15"/>
  <c r="M148" i="15"/>
  <c r="Q148" i="15" s="1"/>
  <c r="S148" i="15" s="1"/>
  <c r="G26" i="15"/>
  <c r="M230" i="15"/>
  <c r="Q230" i="15" s="1"/>
  <c r="S230" i="15" s="1"/>
  <c r="I26" i="15"/>
  <c r="K26" i="15" s="1"/>
  <c r="G147" i="15"/>
  <c r="H25" i="15"/>
  <c r="H117" i="15"/>
  <c r="H147" i="15"/>
  <c r="M57" i="15"/>
  <c r="Q57" i="15" s="1"/>
  <c r="S57" i="15" s="1"/>
  <c r="G146" i="15"/>
  <c r="F214" i="15"/>
  <c r="J229" i="15"/>
  <c r="H213" i="15"/>
  <c r="I229" i="15"/>
  <c r="K229" i="15" s="1"/>
  <c r="J313" i="15"/>
  <c r="N313" i="15" s="1"/>
  <c r="T313" i="15" s="1"/>
  <c r="J145" i="15"/>
  <c r="I56" i="15"/>
  <c r="K56" i="15" s="1"/>
  <c r="G229" i="15"/>
  <c r="F205" i="15"/>
  <c r="G228" i="15"/>
  <c r="I310" i="15"/>
  <c r="K310" i="15" s="1"/>
  <c r="J228" i="15"/>
  <c r="M55" i="15"/>
  <c r="Q55" i="15" s="1"/>
  <c r="S55" i="15" s="1"/>
  <c r="F228" i="15"/>
  <c r="O228" i="15" s="1"/>
  <c r="G55" i="15"/>
  <c r="I228" i="15"/>
  <c r="K228" i="15" s="1"/>
  <c r="M191" i="15"/>
  <c r="Q191" i="15" s="1"/>
  <c r="S191" i="15" s="1"/>
  <c r="M228" i="15"/>
  <c r="Q228" i="15" s="1"/>
  <c r="S228" i="15" s="1"/>
  <c r="I54" i="15"/>
  <c r="K54" i="15" s="1"/>
  <c r="H228" i="15"/>
  <c r="J235" i="15"/>
  <c r="M143" i="15"/>
  <c r="Q143" i="15" s="1"/>
  <c r="S143" i="15" s="1"/>
  <c r="M53" i="15"/>
  <c r="Q53" i="15" s="1"/>
  <c r="S53" i="15" s="1"/>
  <c r="J236" i="15"/>
  <c r="J123" i="15"/>
  <c r="H221" i="15"/>
  <c r="J309" i="15"/>
  <c r="F142" i="15"/>
  <c r="M309" i="15"/>
  <c r="Q309" i="15" s="1"/>
  <c r="S309" i="15" s="1"/>
  <c r="J250" i="11"/>
  <c r="F141" i="15"/>
  <c r="F250" i="11"/>
  <c r="M215" i="15"/>
  <c r="Q215" i="15" s="1"/>
  <c r="S215" i="15" s="1"/>
  <c r="K249" i="11"/>
  <c r="M140" i="15"/>
  <c r="Q140" i="15" s="1"/>
  <c r="S140" i="15" s="1"/>
  <c r="C216" i="11"/>
  <c r="G225" i="15"/>
  <c r="G216" i="11"/>
  <c r="G140" i="15"/>
  <c r="K216" i="11"/>
  <c r="M203" i="15"/>
  <c r="Q203" i="15" s="1"/>
  <c r="S203" i="15" s="1"/>
  <c r="F218" i="11"/>
  <c r="F139" i="15"/>
  <c r="O139" i="15" s="1"/>
  <c r="J218" i="11"/>
  <c r="F320" i="15"/>
  <c r="H138" i="15"/>
  <c r="I219" i="11"/>
  <c r="M190" i="15"/>
  <c r="Q190" i="15" s="1"/>
  <c r="S190" i="15" s="1"/>
  <c r="J138" i="15"/>
  <c r="H220" i="11"/>
  <c r="I223" i="15"/>
  <c r="K223" i="15" s="1"/>
  <c r="C221" i="11"/>
  <c r="J133" i="15"/>
  <c r="G221" i="11"/>
  <c r="H186" i="15"/>
  <c r="K221" i="11"/>
  <c r="M133" i="15"/>
  <c r="Q133" i="15" s="1"/>
  <c r="S133" i="15" s="1"/>
  <c r="F222" i="11"/>
  <c r="F203" i="15"/>
  <c r="J222" i="11"/>
  <c r="H132" i="15"/>
  <c r="J185" i="15"/>
  <c r="I223" i="11"/>
  <c r="I131" i="15"/>
  <c r="K131" i="15" s="1"/>
  <c r="H222" i="15"/>
  <c r="H224" i="11"/>
  <c r="F131" i="15"/>
  <c r="C225" i="11"/>
  <c r="F184" i="15"/>
  <c r="G225" i="11"/>
  <c r="G130" i="15"/>
  <c r="K225" i="11"/>
  <c r="G309" i="15"/>
  <c r="F226" i="11"/>
  <c r="F129" i="15"/>
  <c r="J226" i="11"/>
  <c r="H184" i="15"/>
  <c r="G129" i="15"/>
  <c r="I227" i="11"/>
  <c r="I219" i="15"/>
  <c r="K219" i="15" s="1"/>
  <c r="F123" i="15"/>
  <c r="H228" i="11"/>
  <c r="J183" i="15"/>
  <c r="C229" i="11"/>
  <c r="H121" i="15"/>
  <c r="G229" i="11"/>
  <c r="M201" i="15"/>
  <c r="Q201" i="15" s="1"/>
  <c r="S201" i="15" s="1"/>
  <c r="K229" i="11"/>
  <c r="M118" i="15"/>
  <c r="Q118" i="15" s="1"/>
  <c r="S118" i="15" s="1"/>
  <c r="F230" i="11"/>
  <c r="F182" i="15"/>
  <c r="J230" i="11"/>
  <c r="J113" i="15"/>
  <c r="J215" i="15"/>
  <c r="I231" i="11"/>
  <c r="F108" i="15"/>
  <c r="H182" i="15"/>
  <c r="H232" i="11"/>
  <c r="G106" i="15"/>
  <c r="C233" i="11"/>
  <c r="F321" i="15"/>
  <c r="G233" i="11"/>
  <c r="H104" i="15"/>
  <c r="K233" i="11"/>
  <c r="J181" i="15"/>
  <c r="F234" i="11"/>
  <c r="J98" i="15"/>
  <c r="J234" i="11"/>
  <c r="H207" i="15"/>
  <c r="M96" i="15"/>
  <c r="Q96" i="15" s="1"/>
  <c r="S96" i="15" s="1"/>
  <c r="I235" i="11"/>
  <c r="J180" i="15"/>
  <c r="I93" i="15"/>
  <c r="K93" i="15" s="1"/>
  <c r="H236" i="11"/>
  <c r="F198" i="15"/>
  <c r="C237" i="11"/>
  <c r="I137" i="15"/>
  <c r="K137" i="15" s="1"/>
  <c r="G237" i="11"/>
  <c r="H180" i="15"/>
  <c r="K237" i="11"/>
  <c r="H137" i="15"/>
  <c r="F238" i="11"/>
  <c r="J204" i="15"/>
  <c r="J238" i="11"/>
  <c r="F136" i="15"/>
  <c r="J179" i="15"/>
  <c r="I239" i="11"/>
  <c r="J135" i="15"/>
  <c r="J307" i="15"/>
  <c r="H240" i="11"/>
  <c r="F135" i="15"/>
  <c r="C241" i="11"/>
  <c r="F178" i="15"/>
  <c r="G241" i="11"/>
  <c r="H134" i="15"/>
  <c r="K241" i="11"/>
  <c r="I200" i="15"/>
  <c r="K200" i="15" s="1"/>
  <c r="F242" i="11"/>
  <c r="I87" i="15"/>
  <c r="K87" i="15" s="1"/>
  <c r="J242" i="11"/>
  <c r="H178" i="15"/>
  <c r="M87" i="15"/>
  <c r="Q87" i="15" s="1"/>
  <c r="S87" i="15" s="1"/>
  <c r="I243" i="11"/>
  <c r="H193" i="15"/>
  <c r="I86" i="15"/>
  <c r="K86" i="15" s="1"/>
  <c r="H244" i="11"/>
  <c r="J177" i="15"/>
  <c r="C245" i="11"/>
  <c r="J85" i="15"/>
  <c r="G245" i="11"/>
  <c r="J197" i="15"/>
  <c r="F234" i="15"/>
  <c r="O234" i="15" s="1"/>
  <c r="I85" i="15"/>
  <c r="K85" i="15" s="1"/>
  <c r="H234" i="15"/>
  <c r="F176" i="15"/>
  <c r="F224" i="15"/>
  <c r="H84" i="15"/>
  <c r="G220" i="15"/>
  <c r="H315" i="15"/>
  <c r="I218" i="15"/>
  <c r="K218" i="15" s="1"/>
  <c r="G83" i="15"/>
  <c r="J212" i="15"/>
  <c r="N212" i="15" s="1"/>
  <c r="T212" i="15" s="1"/>
  <c r="V212" i="15" s="1"/>
  <c r="H176" i="15"/>
  <c r="G210" i="15"/>
  <c r="I83" i="15"/>
  <c r="K83" i="15" s="1"/>
  <c r="F209" i="15"/>
  <c r="H194" i="15"/>
  <c r="J205" i="15"/>
  <c r="I82" i="15"/>
  <c r="K82" i="15" s="1"/>
  <c r="M198" i="15"/>
  <c r="Q198" i="15" s="1"/>
  <c r="S198" i="15" s="1"/>
  <c r="J175" i="15"/>
  <c r="F195" i="15"/>
  <c r="G81" i="15"/>
  <c r="G193" i="15"/>
  <c r="G192" i="15"/>
  <c r="H189" i="15"/>
  <c r="I81" i="15"/>
  <c r="K81" i="15" s="1"/>
  <c r="J126" i="15"/>
  <c r="F174" i="15"/>
  <c r="M122" i="15"/>
  <c r="Q122" i="15" s="1"/>
  <c r="S122" i="15" s="1"/>
  <c r="I80" i="15"/>
  <c r="K80" i="15" s="1"/>
  <c r="J119" i="15"/>
  <c r="I189" i="15"/>
  <c r="K189" i="15" s="1"/>
  <c r="I117" i="15"/>
  <c r="K117" i="15" s="1"/>
  <c r="G79" i="15"/>
  <c r="I112" i="15"/>
  <c r="K112" i="15" s="1"/>
  <c r="H174" i="15"/>
  <c r="I101" i="15"/>
  <c r="K101" i="15" s="1"/>
  <c r="I79" i="15"/>
  <c r="K79" i="15" s="1"/>
  <c r="J96" i="15"/>
  <c r="M303" i="15"/>
  <c r="Q303" i="15" s="1"/>
  <c r="S303" i="15" s="1"/>
  <c r="F93" i="15"/>
  <c r="I78" i="15"/>
  <c r="K78" i="15" s="1"/>
  <c r="F91" i="15"/>
  <c r="J173" i="15"/>
  <c r="H329" i="15"/>
  <c r="G77" i="15"/>
  <c r="H326" i="15"/>
  <c r="I124" i="15"/>
  <c r="K124" i="15" s="1"/>
  <c r="G324" i="15"/>
  <c r="I77" i="15"/>
  <c r="K77" i="15" s="1"/>
  <c r="G323" i="15"/>
  <c r="F172" i="15"/>
  <c r="H322" i="15"/>
  <c r="H76" i="15"/>
  <c r="F318" i="15"/>
  <c r="H188" i="15"/>
  <c r="M311" i="15"/>
  <c r="Q311" i="15" s="1"/>
  <c r="S311" i="15" s="1"/>
  <c r="F75" i="15"/>
  <c r="M306" i="15"/>
  <c r="Q306" i="15" s="1"/>
  <c r="S306" i="15" s="1"/>
  <c r="H172" i="15"/>
  <c r="G305" i="15"/>
  <c r="J75" i="15"/>
  <c r="F304" i="15"/>
  <c r="I328" i="15"/>
  <c r="K328" i="15" s="1"/>
  <c r="G74" i="15"/>
  <c r="F187" i="15"/>
  <c r="H237" i="15"/>
  <c r="M171" i="15"/>
  <c r="Q171" i="15" s="1"/>
  <c r="S171" i="15" s="1"/>
  <c r="M221" i="15"/>
  <c r="Q221" i="15" s="1"/>
  <c r="S221" i="15" s="1"/>
  <c r="G73" i="15"/>
  <c r="J217" i="15"/>
  <c r="H161" i="15"/>
  <c r="H211" i="15"/>
  <c r="F73" i="15"/>
  <c r="I208" i="15"/>
  <c r="K208" i="15" s="1"/>
  <c r="H170" i="15"/>
  <c r="H206" i="15"/>
  <c r="H72" i="15"/>
  <c r="M204" i="15"/>
  <c r="Q204" i="15" s="1"/>
  <c r="S204" i="15" s="1"/>
  <c r="G303" i="15"/>
  <c r="I199" i="15"/>
  <c r="K199" i="15" s="1"/>
  <c r="F71" i="15"/>
  <c r="I197" i="15"/>
  <c r="K197" i="15" s="1"/>
  <c r="J170" i="15"/>
  <c r="G194" i="15"/>
  <c r="J71" i="15"/>
  <c r="I190" i="15"/>
  <c r="K190" i="15" s="1"/>
  <c r="F161" i="15"/>
  <c r="J127" i="15"/>
  <c r="I70" i="15"/>
  <c r="K70" i="15" s="1"/>
  <c r="M120" i="15"/>
  <c r="Q120" i="15" s="1"/>
  <c r="S120" i="15" s="1"/>
  <c r="I169" i="15"/>
  <c r="K169" i="15" s="1"/>
  <c r="J115" i="15"/>
  <c r="F69" i="15"/>
  <c r="J112" i="15"/>
  <c r="F237" i="15"/>
  <c r="O237" i="15" s="1"/>
  <c r="G108" i="15"/>
  <c r="M69" i="15"/>
  <c r="Q69" i="15" s="1"/>
  <c r="S69" i="15" s="1"/>
  <c r="M106" i="15"/>
  <c r="Q106" i="15" s="1"/>
  <c r="S106" i="15" s="1"/>
  <c r="G168" i="15"/>
  <c r="I102" i="15"/>
  <c r="K102" i="15" s="1"/>
  <c r="I68" i="15"/>
  <c r="K68" i="15" s="1"/>
  <c r="J100" i="15"/>
  <c r="H106" i="15"/>
  <c r="M98" i="15"/>
  <c r="Q98" i="15" s="1"/>
  <c r="S98" i="15" s="1"/>
  <c r="I67" i="15"/>
  <c r="K67" i="15" s="1"/>
  <c r="J95" i="15"/>
  <c r="I168" i="15"/>
  <c r="K168" i="15" s="1"/>
  <c r="H93" i="15"/>
  <c r="M67" i="15"/>
  <c r="Q67" i="15" s="1"/>
  <c r="S67" i="15" s="1"/>
  <c r="J88" i="15"/>
  <c r="M237" i="15"/>
  <c r="Q237" i="15" s="1"/>
  <c r="S237" i="15" s="1"/>
  <c r="F317" i="15"/>
  <c r="H66" i="15"/>
  <c r="H311" i="15"/>
  <c r="I167" i="15"/>
  <c r="K167" i="15" s="1"/>
  <c r="I303" i="15"/>
  <c r="K303" i="15" s="1"/>
  <c r="H167" i="15"/>
  <c r="J331" i="15"/>
  <c r="G93" i="15"/>
  <c r="H330" i="15"/>
  <c r="J65" i="15"/>
  <c r="H328" i="15"/>
  <c r="G166" i="15"/>
  <c r="I326" i="15"/>
  <c r="K326" i="15" s="1"/>
  <c r="G64" i="15"/>
  <c r="I325" i="15"/>
  <c r="K325" i="15" s="1"/>
  <c r="I237" i="15"/>
  <c r="K237" i="15" s="1"/>
  <c r="J322" i="15"/>
  <c r="M63" i="15"/>
  <c r="Q63" i="15" s="1"/>
  <c r="S63" i="15" s="1"/>
  <c r="M319" i="15"/>
  <c r="Q319" i="15" s="1"/>
  <c r="S319" i="15" s="1"/>
  <c r="H166" i="15"/>
  <c r="G318" i="15"/>
  <c r="G63" i="15"/>
  <c r="M317" i="15"/>
  <c r="Q317" i="15" s="1"/>
  <c r="S317" i="15" s="1"/>
  <c r="G330" i="15"/>
  <c r="M316" i="15"/>
  <c r="Q316" i="15" s="1"/>
  <c r="S316" i="15" s="1"/>
  <c r="H62" i="15"/>
  <c r="G315" i="15"/>
  <c r="I165" i="15"/>
  <c r="K165" i="15" s="1"/>
  <c r="M313" i="15"/>
  <c r="Q313" i="15" s="1"/>
  <c r="S313" i="15" s="1"/>
  <c r="F61" i="15"/>
  <c r="O61" i="15" s="1"/>
  <c r="F312" i="15"/>
  <c r="I236" i="15"/>
  <c r="K236" i="15" s="1"/>
  <c r="G310" i="15"/>
  <c r="J61" i="15"/>
  <c r="M308" i="15"/>
  <c r="Q308" i="15" s="1"/>
  <c r="S308" i="15" s="1"/>
  <c r="M164" i="15"/>
  <c r="Q164" i="15" s="1"/>
  <c r="S164" i="15" s="1"/>
  <c r="G307" i="15"/>
  <c r="F60" i="15"/>
  <c r="O60" i="15" s="1"/>
  <c r="G304" i="15"/>
  <c r="G313" i="15"/>
  <c r="I235" i="15"/>
  <c r="K235" i="15" s="1"/>
  <c r="H59" i="15"/>
  <c r="G226" i="15"/>
  <c r="F164" i="15"/>
  <c r="J226" i="15"/>
  <c r="J58" i="15"/>
  <c r="G219" i="15"/>
  <c r="H114" i="15"/>
  <c r="J216" i="15"/>
  <c r="F58" i="15"/>
  <c r="O58" i="15" s="1"/>
  <c r="G215" i="15"/>
  <c r="I163" i="15"/>
  <c r="K163" i="15" s="1"/>
  <c r="G214" i="15"/>
  <c r="H57" i="15"/>
  <c r="M213" i="15"/>
  <c r="Q213" i="15" s="1"/>
  <c r="S213" i="15" s="1"/>
  <c r="G235" i="15"/>
  <c r="G211" i="15"/>
  <c r="J56" i="15"/>
  <c r="J206" i="15"/>
  <c r="M162" i="15"/>
  <c r="Q162" i="15" s="1"/>
  <c r="S162" i="15" s="1"/>
  <c r="H203" i="15"/>
  <c r="F56" i="15"/>
  <c r="O56" i="15" s="1"/>
  <c r="J200" i="15"/>
  <c r="J110" i="15"/>
  <c r="G198" i="15"/>
  <c r="H55" i="15"/>
  <c r="M195" i="15"/>
  <c r="Q195" i="15" s="1"/>
  <c r="S195" i="15" s="1"/>
  <c r="G162" i="15"/>
  <c r="I191" i="15"/>
  <c r="K191" i="15" s="1"/>
  <c r="J54" i="15"/>
  <c r="G188" i="15"/>
  <c r="F115" i="15"/>
  <c r="I126" i="15"/>
  <c r="K126" i="15" s="1"/>
  <c r="F54" i="15"/>
  <c r="I125" i="15"/>
  <c r="K125" i="15" s="1"/>
  <c r="I161" i="15"/>
  <c r="K161" i="15" s="1"/>
  <c r="H122" i="15"/>
  <c r="H53" i="15"/>
  <c r="G113" i="15"/>
  <c r="J105" i="15"/>
  <c r="F110" i="15"/>
  <c r="H333" i="15"/>
  <c r="H107" i="15"/>
  <c r="M160" i="15"/>
  <c r="Q160" i="15" s="1"/>
  <c r="S160" i="15" s="1"/>
  <c r="H102" i="15"/>
  <c r="G332" i="15"/>
  <c r="I95" i="15"/>
  <c r="K95" i="15" s="1"/>
  <c r="J321" i="15"/>
  <c r="M91" i="15"/>
  <c r="Q91" i="15" s="1"/>
  <c r="S91" i="15" s="1"/>
  <c r="J329" i="15"/>
  <c r="G329" i="15"/>
  <c r="M102" i="15"/>
  <c r="Q102" i="15" s="1"/>
  <c r="S102" i="15" s="1"/>
  <c r="F50" i="15"/>
  <c r="F160" i="15"/>
  <c r="O160" i="15" s="1"/>
  <c r="P160" i="15" s="1"/>
  <c r="H50" i="15"/>
  <c r="M113" i="15"/>
  <c r="Q113" i="15" s="1"/>
  <c r="S113" i="15" s="1"/>
  <c r="J50" i="15"/>
  <c r="M159" i="15"/>
  <c r="Q159" i="15" s="1"/>
  <c r="S159" i="15" s="1"/>
  <c r="G49" i="15"/>
  <c r="M101" i="15"/>
  <c r="Q101" i="15" s="1"/>
  <c r="S101" i="15" s="1"/>
  <c r="J49" i="15"/>
  <c r="I159" i="15"/>
  <c r="K159" i="15" s="1"/>
  <c r="H49" i="15"/>
  <c r="I227" i="15"/>
  <c r="K227" i="15" s="1"/>
  <c r="M48" i="15"/>
  <c r="Q48" i="15" s="1"/>
  <c r="S48" i="15" s="1"/>
  <c r="F159" i="15"/>
  <c r="I48" i="15"/>
  <c r="K48" i="15" s="1"/>
  <c r="M99" i="15"/>
  <c r="Q99" i="15" s="1"/>
  <c r="S99" i="15" s="1"/>
  <c r="G48" i="15"/>
  <c r="J158" i="15"/>
  <c r="M47" i="15"/>
  <c r="Q47" i="15" s="1"/>
  <c r="S47" i="15" s="1"/>
  <c r="J111" i="15"/>
  <c r="I47" i="15"/>
  <c r="K47" i="15" s="1"/>
  <c r="H158" i="15"/>
  <c r="G47" i="15"/>
  <c r="G98" i="15"/>
  <c r="G46" i="15"/>
  <c r="F158" i="15"/>
  <c r="J46" i="15"/>
  <c r="J312" i="15"/>
  <c r="H46" i="15"/>
  <c r="J157" i="15"/>
  <c r="G45" i="15"/>
  <c r="G97" i="15"/>
  <c r="M45" i="15"/>
  <c r="Q45" i="15" s="1"/>
  <c r="S45" i="15" s="1"/>
  <c r="H157" i="15"/>
  <c r="I45" i="15"/>
  <c r="K45" i="15" s="1"/>
  <c r="G111" i="15"/>
  <c r="M44" i="15"/>
  <c r="Q44" i="15" s="1"/>
  <c r="S44" i="15" s="1"/>
  <c r="F157" i="15"/>
  <c r="I44" i="15"/>
  <c r="K44" i="15" s="1"/>
  <c r="H92" i="15"/>
  <c r="G44" i="15"/>
  <c r="M156" i="15"/>
  <c r="Q156" i="15" s="1"/>
  <c r="S156" i="15" s="1"/>
  <c r="M43" i="15"/>
  <c r="Q43" i="15" s="1"/>
  <c r="S43" i="15" s="1"/>
  <c r="I224" i="15"/>
  <c r="K224" i="15" s="1"/>
  <c r="I43" i="15"/>
  <c r="K43" i="15" s="1"/>
  <c r="I156" i="15"/>
  <c r="K156" i="15" s="1"/>
  <c r="G43" i="15"/>
  <c r="F89" i="15"/>
  <c r="M42" i="15"/>
  <c r="Q42" i="15" s="1"/>
  <c r="S42" i="15" s="1"/>
  <c r="F156" i="15"/>
  <c r="F42" i="15"/>
  <c r="F109" i="15"/>
  <c r="I42" i="15"/>
  <c r="K42" i="15" s="1"/>
  <c r="J155" i="15"/>
  <c r="M41" i="15"/>
  <c r="Q41" i="15" s="1"/>
  <c r="S41" i="15" s="1"/>
  <c r="G234" i="15"/>
  <c r="I41" i="15"/>
  <c r="K41" i="15" s="1"/>
  <c r="H155" i="15"/>
  <c r="G41" i="15"/>
  <c r="M321" i="15"/>
  <c r="Q321" i="15" s="1"/>
  <c r="S321" i="15" s="1"/>
  <c r="H40" i="15"/>
  <c r="F155" i="15"/>
  <c r="J40" i="15"/>
  <c r="M233" i="15"/>
  <c r="Q233" i="15" s="1"/>
  <c r="S233" i="15" s="1"/>
  <c r="G40" i="15"/>
  <c r="G154" i="15"/>
  <c r="J39" i="15"/>
  <c r="F107" i="15"/>
  <c r="M39" i="15"/>
  <c r="Q39" i="15" s="1"/>
  <c r="S39" i="15" s="1"/>
  <c r="J154" i="15"/>
  <c r="G39" i="15"/>
  <c r="H233" i="15"/>
  <c r="H38" i="15"/>
  <c r="H154" i="15"/>
  <c r="M38" i="15"/>
  <c r="Q38" i="15" s="1"/>
  <c r="S38" i="15" s="1"/>
  <c r="I222" i="15"/>
  <c r="K222" i="15" s="1"/>
  <c r="F38" i="15"/>
  <c r="F153" i="15"/>
  <c r="M37" i="15"/>
  <c r="Q37" i="15" s="1"/>
  <c r="S37" i="15" s="1"/>
  <c r="F233" i="15"/>
  <c r="O233" i="15" s="1"/>
  <c r="G37" i="15"/>
  <c r="H153" i="15"/>
  <c r="I37" i="15"/>
  <c r="K37" i="15" s="1"/>
  <c r="I104" i="15"/>
  <c r="K104" i="15" s="1"/>
  <c r="J36" i="15"/>
  <c r="J153" i="15"/>
  <c r="I36" i="15"/>
  <c r="K36" i="15" s="1"/>
  <c r="M232" i="15"/>
  <c r="Q232" i="15" s="1"/>
  <c r="S232" i="15" s="1"/>
  <c r="G36" i="15"/>
  <c r="I152" i="15"/>
  <c r="K152" i="15" s="1"/>
  <c r="G35" i="15"/>
  <c r="I311" i="15"/>
  <c r="K311" i="15" s="1"/>
  <c r="H35" i="15"/>
  <c r="G152" i="15"/>
  <c r="M35" i="15"/>
  <c r="Q35" i="15" s="1"/>
  <c r="S35" i="15" s="1"/>
  <c r="H232" i="15"/>
  <c r="F34" i="15"/>
  <c r="O34" i="15" s="1"/>
  <c r="P34" i="15" s="1"/>
  <c r="M152" i="15"/>
  <c r="Q152" i="15" s="1"/>
  <c r="S152" i="15" s="1"/>
  <c r="I34" i="15"/>
  <c r="K34" i="15" s="1"/>
  <c r="M103" i="15"/>
  <c r="Q103" i="15" s="1"/>
  <c r="S103" i="15" s="1"/>
  <c r="M34" i="15"/>
  <c r="Q34" i="15" s="1"/>
  <c r="S34" i="15" s="1"/>
  <c r="F151" i="15"/>
  <c r="H33" i="15"/>
  <c r="F232" i="15"/>
  <c r="O232" i="15" s="1"/>
  <c r="I33" i="15"/>
  <c r="K33" i="15" s="1"/>
  <c r="J151" i="15"/>
  <c r="M33" i="15"/>
  <c r="Q33" i="15" s="1"/>
  <c r="S33" i="15" s="1"/>
  <c r="M220" i="15"/>
  <c r="Q220" i="15" s="1"/>
  <c r="S220" i="15" s="1"/>
  <c r="H32" i="15"/>
  <c r="I151" i="15"/>
  <c r="K151" i="15" s="1"/>
  <c r="F32" i="15"/>
  <c r="O32" i="15" s="1"/>
  <c r="G231" i="15"/>
  <c r="M32" i="15"/>
  <c r="Q32" i="15" s="1"/>
  <c r="S32" i="15" s="1"/>
  <c r="H150" i="15"/>
  <c r="I31" i="15"/>
  <c r="K31" i="15" s="1"/>
  <c r="I100" i="15"/>
  <c r="K100" i="15" s="1"/>
  <c r="F31" i="15"/>
  <c r="F150" i="15"/>
  <c r="M31" i="15"/>
  <c r="Q31" i="15" s="1"/>
  <c r="S31" i="15" s="1"/>
  <c r="I231" i="15"/>
  <c r="K231" i="15" s="1"/>
  <c r="F30" i="15"/>
  <c r="I150" i="15"/>
  <c r="K150" i="15" s="1"/>
  <c r="J30" i="15"/>
  <c r="H30" i="15"/>
  <c r="J149" i="15"/>
  <c r="F29" i="15"/>
  <c r="F231" i="15"/>
  <c r="J29" i="15"/>
  <c r="H149" i="15"/>
  <c r="H29" i="15"/>
  <c r="F97" i="15"/>
  <c r="G28" i="15"/>
  <c r="F149" i="15"/>
  <c r="F28" i="15"/>
  <c r="F230" i="15"/>
  <c r="O230" i="15" s="1"/>
  <c r="I28" i="15"/>
  <c r="K28" i="15" s="1"/>
  <c r="G148" i="15"/>
  <c r="M27" i="15"/>
  <c r="Q27" i="15" s="1"/>
  <c r="S27" i="15" s="1"/>
  <c r="G217" i="15"/>
  <c r="I27" i="15"/>
  <c r="K27" i="15" s="1"/>
  <c r="I148" i="15"/>
  <c r="K148" i="15" s="1"/>
  <c r="G27" i="15"/>
  <c r="I230" i="15"/>
  <c r="K230" i="15" s="1"/>
  <c r="J26" i="15"/>
  <c r="H148" i="15"/>
  <c r="F26" i="15"/>
  <c r="I92" i="15"/>
  <c r="K92" i="15" s="1"/>
  <c r="M26" i="15"/>
  <c r="Q26" i="15" s="1"/>
  <c r="S26" i="15" s="1"/>
  <c r="J147" i="15"/>
  <c r="M25" i="15"/>
  <c r="Q25" i="15" s="1"/>
  <c r="J230" i="15"/>
  <c r="I25" i="15"/>
  <c r="K25" i="15" s="1"/>
  <c r="F147" i="15"/>
  <c r="G25" i="15"/>
  <c r="F219" i="15"/>
  <c r="M147" i="15"/>
  <c r="Q147" i="15" s="1"/>
  <c r="S147" i="15" s="1"/>
  <c r="F216" i="15"/>
  <c r="F229" i="15"/>
  <c r="O229" i="15" s="1"/>
  <c r="G216" i="15"/>
  <c r="H146" i="15"/>
  <c r="F215" i="15"/>
  <c r="G92" i="15"/>
  <c r="J114" i="15"/>
  <c r="M212" i="15"/>
  <c r="Q212" i="15" s="1"/>
  <c r="S212" i="15" s="1"/>
  <c r="I57" i="15"/>
  <c r="K57" i="15" s="1"/>
  <c r="J146" i="15"/>
  <c r="H163" i="15"/>
  <c r="J214" i="15"/>
  <c r="J91" i="15"/>
  <c r="I146" i="15"/>
  <c r="K146" i="15" s="1"/>
  <c r="G57" i="15"/>
  <c r="M145" i="15"/>
  <c r="Q145" i="15" s="1"/>
  <c r="S145" i="15" s="1"/>
  <c r="F163" i="15"/>
  <c r="H229" i="15"/>
  <c r="H208" i="15"/>
  <c r="H90" i="15"/>
  <c r="G206" i="15"/>
  <c r="H145" i="15"/>
  <c r="F112" i="15"/>
  <c r="G145" i="15"/>
  <c r="J162" i="15"/>
  <c r="F145" i="15"/>
  <c r="M320" i="15"/>
  <c r="Q320" i="15" s="1"/>
  <c r="S320" i="15" s="1"/>
  <c r="G144" i="15"/>
  <c r="I213" i="15"/>
  <c r="K213" i="15" s="1"/>
  <c r="F144" i="15"/>
  <c r="O144" i="15" s="1"/>
  <c r="G201" i="15"/>
  <c r="M197" i="15"/>
  <c r="Q197" i="15" s="1"/>
  <c r="S197" i="15" s="1"/>
  <c r="I196" i="15"/>
  <c r="K196" i="15" s="1"/>
  <c r="J144" i="15"/>
  <c r="N144" i="15" s="1"/>
  <c r="T144" i="15" s="1"/>
  <c r="H162" i="15"/>
  <c r="I194" i="15"/>
  <c r="K194" i="15" s="1"/>
  <c r="H236" i="15"/>
  <c r="H144" i="15"/>
  <c r="G110" i="15"/>
  <c r="I143" i="15"/>
  <c r="K143" i="15" s="1"/>
  <c r="F162" i="15"/>
  <c r="H143" i="15"/>
  <c r="I188" i="15"/>
  <c r="K188" i="15" s="1"/>
  <c r="G143" i="15"/>
  <c r="M236" i="15"/>
  <c r="Q236" i="15" s="1"/>
  <c r="S236" i="15" s="1"/>
  <c r="F143" i="15"/>
  <c r="M187" i="15"/>
  <c r="Q187" i="15" s="1"/>
  <c r="S187" i="15" s="1"/>
  <c r="J143" i="15"/>
  <c r="J161" i="15"/>
  <c r="N161" i="15" s="1"/>
  <c r="T161" i="15" s="1"/>
  <c r="V161" i="15" s="1"/>
  <c r="J227" i="15"/>
  <c r="N227" i="15" s="1"/>
  <c r="T227" i="15" s="1"/>
  <c r="V227" i="15" s="1"/>
  <c r="M125" i="15"/>
  <c r="Q125" i="15" s="1"/>
  <c r="S125" i="15" s="1"/>
  <c r="M142" i="15"/>
  <c r="Q142" i="15" s="1"/>
  <c r="S142" i="15" s="1"/>
  <c r="F125" i="15"/>
  <c r="J142" i="15"/>
  <c r="I106" i="15"/>
  <c r="K106" i="15" s="1"/>
  <c r="I320" i="15"/>
  <c r="K320" i="15" s="1"/>
  <c r="I53" i="15"/>
  <c r="K53" i="15" s="1"/>
  <c r="H142" i="15"/>
  <c r="M324" i="15"/>
  <c r="Q324" i="15" s="1"/>
  <c r="S324" i="15" s="1"/>
  <c r="H210" i="15"/>
  <c r="F236" i="15"/>
  <c r="O236" i="15" s="1"/>
  <c r="P236" i="15" s="1"/>
  <c r="I220" i="15"/>
  <c r="K220" i="15" s="1"/>
  <c r="G327" i="15"/>
  <c r="I128" i="15"/>
  <c r="G141" i="15"/>
  <c r="I250" i="11"/>
  <c r="H216" i="15"/>
  <c r="G250" i="11"/>
  <c r="I141" i="15"/>
  <c r="K141" i="15" s="1"/>
  <c r="F225" i="15"/>
  <c r="C250" i="11"/>
  <c r="M141" i="15"/>
  <c r="Q141" i="15" s="1"/>
  <c r="S141" i="15" s="1"/>
  <c r="J249" i="11"/>
  <c r="F211" i="15"/>
  <c r="H249" i="11"/>
  <c r="J140" i="15"/>
  <c r="F208" i="15"/>
  <c r="F216" i="11"/>
  <c r="H140" i="15"/>
  <c r="H216" i="11"/>
  <c r="I207" i="15"/>
  <c r="K207" i="15" s="1"/>
  <c r="J216" i="11"/>
  <c r="F140" i="15"/>
  <c r="O140" i="15" s="1"/>
  <c r="C218" i="11"/>
  <c r="M225" i="15"/>
  <c r="Q225" i="15" s="1"/>
  <c r="S225" i="15" s="1"/>
  <c r="G139" i="15"/>
  <c r="G218" i="11"/>
  <c r="I202" i="15"/>
  <c r="K202" i="15" s="1"/>
  <c r="I218" i="11"/>
  <c r="I139" i="15"/>
  <c r="K139" i="15" s="1"/>
  <c r="K218" i="11"/>
  <c r="F322" i="15"/>
  <c r="J139" i="15"/>
  <c r="F219" i="11"/>
  <c r="G191" i="15"/>
  <c r="H219" i="11"/>
  <c r="G138" i="15"/>
  <c r="J219" i="11"/>
  <c r="H223" i="15"/>
  <c r="C220" i="11"/>
  <c r="I138" i="15"/>
  <c r="K138" i="15" s="1"/>
  <c r="J90" i="15"/>
  <c r="G220" i="11"/>
  <c r="M138" i="15"/>
  <c r="Q138" i="15" s="1"/>
  <c r="S138" i="15" s="1"/>
  <c r="I220" i="11"/>
  <c r="I203" i="15"/>
  <c r="K203" i="15" s="1"/>
  <c r="K220" i="11"/>
  <c r="F133" i="15"/>
  <c r="I186" i="15"/>
  <c r="K186" i="15" s="1"/>
  <c r="F221" i="11"/>
  <c r="I133" i="15"/>
  <c r="K133" i="15" s="1"/>
  <c r="H221" i="11"/>
  <c r="J223" i="15"/>
  <c r="J221" i="11"/>
  <c r="G133" i="15"/>
  <c r="C222" i="11"/>
  <c r="G186" i="15"/>
  <c r="M132" i="15"/>
  <c r="Q132" i="15" s="1"/>
  <c r="S132" i="15" s="1"/>
  <c r="G222" i="11"/>
  <c r="F309" i="15"/>
  <c r="I222" i="11"/>
  <c r="I132" i="15"/>
  <c r="K132" i="15" s="1"/>
  <c r="K222" i="11"/>
  <c r="M185" i="15"/>
  <c r="Q185" i="15" s="1"/>
  <c r="S185" i="15" s="1"/>
  <c r="G132" i="15"/>
  <c r="F223" i="11"/>
  <c r="F222" i="15"/>
  <c r="G249" i="11"/>
  <c r="M131" i="15"/>
  <c r="Q131" i="15" s="1"/>
  <c r="S131" i="15" s="1"/>
  <c r="F249" i="11"/>
  <c r="I185" i="15"/>
  <c r="K185" i="15" s="1"/>
  <c r="C224" i="11"/>
  <c r="H131" i="15"/>
  <c r="M202" i="15"/>
  <c r="Q202" i="15" s="1"/>
  <c r="S202" i="15" s="1"/>
  <c r="G224" i="11"/>
  <c r="J131" i="15"/>
  <c r="I224" i="11"/>
  <c r="G185" i="15"/>
  <c r="K224" i="11"/>
  <c r="J130" i="15"/>
  <c r="I221" i="15"/>
  <c r="K221" i="15" s="1"/>
  <c r="F225" i="11"/>
  <c r="F130" i="15"/>
  <c r="H225" i="11"/>
  <c r="M184" i="15"/>
  <c r="Q184" i="15" s="1"/>
  <c r="S184" i="15" s="1"/>
  <c r="J225" i="11"/>
  <c r="H130" i="15"/>
  <c r="C226" i="11"/>
  <c r="J319" i="15"/>
  <c r="J129" i="15"/>
  <c r="G226" i="11"/>
  <c r="I184" i="15"/>
  <c r="K184" i="15" s="1"/>
  <c r="I226" i="11"/>
  <c r="I129" i="15"/>
  <c r="K129" i="15" s="1"/>
  <c r="K226" i="11"/>
  <c r="M219" i="15"/>
  <c r="Q219" i="15" s="1"/>
  <c r="S219" i="15" s="1"/>
  <c r="M129" i="15"/>
  <c r="Q129" i="15" s="1"/>
  <c r="S129" i="15" s="1"/>
  <c r="F227" i="11"/>
  <c r="G184" i="15"/>
  <c r="H227" i="11"/>
  <c r="G125" i="15"/>
  <c r="J227" i="11"/>
  <c r="F202" i="15"/>
  <c r="C228" i="11"/>
  <c r="M123" i="15"/>
  <c r="Q123" i="15" s="1"/>
  <c r="S123" i="15" s="1"/>
  <c r="M183" i="15"/>
  <c r="Q183" i="15" s="1"/>
  <c r="S183" i="15" s="1"/>
  <c r="G228" i="11"/>
  <c r="G123" i="15"/>
  <c r="I228" i="11"/>
  <c r="H218" i="15"/>
  <c r="K228" i="11"/>
  <c r="I122" i="15"/>
  <c r="K122" i="15" s="1"/>
  <c r="I183" i="15"/>
  <c r="K183" i="15" s="1"/>
  <c r="F229" i="11"/>
  <c r="F120" i="15"/>
  <c r="H229" i="11"/>
  <c r="H309" i="15"/>
  <c r="J229" i="11"/>
  <c r="M119" i="15"/>
  <c r="Q119" i="15" s="1"/>
  <c r="S119" i="15" s="1"/>
  <c r="C230" i="11"/>
  <c r="G183" i="15"/>
  <c r="I116" i="15"/>
  <c r="K116" i="15" s="1"/>
  <c r="G230" i="11"/>
  <c r="H215" i="15"/>
  <c r="I230" i="11"/>
  <c r="G114" i="15"/>
  <c r="K230" i="11"/>
  <c r="M182" i="15"/>
  <c r="Q182" i="15" s="1"/>
  <c r="S182" i="15" s="1"/>
  <c r="F111" i="15"/>
  <c r="F231" i="11"/>
  <c r="M200" i="15"/>
  <c r="Q200" i="15" s="1"/>
  <c r="S200" i="15" s="1"/>
  <c r="H231" i="11"/>
  <c r="M110" i="15"/>
  <c r="Q110" i="15" s="1"/>
  <c r="S110" i="15" s="1"/>
  <c r="J231" i="11"/>
  <c r="I182" i="15"/>
  <c r="K182" i="15" s="1"/>
  <c r="C232" i="11"/>
  <c r="J108" i="15"/>
  <c r="F210" i="15"/>
  <c r="G232" i="11"/>
  <c r="F106" i="15"/>
  <c r="I232" i="11"/>
  <c r="G182" i="15"/>
  <c r="K232" i="11"/>
  <c r="J106" i="15"/>
  <c r="I114" i="15"/>
  <c r="K114" i="15" s="1"/>
  <c r="F233" i="11"/>
  <c r="F105" i="15"/>
  <c r="H233" i="11"/>
  <c r="M181" i="15"/>
  <c r="Q181" i="15" s="1"/>
  <c r="S181" i="15" s="1"/>
  <c r="J233" i="11"/>
  <c r="G103" i="15"/>
  <c r="C234" i="11"/>
  <c r="F207" i="15"/>
  <c r="H100" i="15"/>
  <c r="G234" i="11"/>
  <c r="I181" i="15"/>
  <c r="K181" i="15" s="1"/>
  <c r="I234" i="11"/>
  <c r="F98" i="15"/>
  <c r="K234" i="11"/>
  <c r="H200" i="15"/>
  <c r="H97" i="15"/>
  <c r="F235" i="11"/>
  <c r="G181" i="15"/>
  <c r="H235" i="11"/>
  <c r="G95" i="15"/>
  <c r="J235" i="11"/>
  <c r="I206" i="15"/>
  <c r="K206" i="15" s="1"/>
  <c r="C236" i="11"/>
  <c r="G94" i="15"/>
  <c r="G180" i="15"/>
  <c r="G236" i="11"/>
  <c r="M90" i="15"/>
  <c r="Q90" i="15" s="1"/>
  <c r="S90" i="15" s="1"/>
  <c r="I236" i="11"/>
  <c r="J308" i="15"/>
  <c r="K236" i="11"/>
  <c r="H89" i="15"/>
  <c r="I180" i="15"/>
  <c r="K180" i="15" s="1"/>
  <c r="F237" i="11"/>
  <c r="G137" i="15"/>
  <c r="H237" i="11"/>
  <c r="H204" i="15"/>
  <c r="J237" i="11"/>
  <c r="J137" i="15"/>
  <c r="C238" i="11"/>
  <c r="F180" i="15"/>
  <c r="I136" i="15"/>
  <c r="K136" i="15" s="1"/>
  <c r="G238" i="11"/>
  <c r="J198" i="15"/>
  <c r="I238" i="11"/>
  <c r="G136" i="15"/>
  <c r="K238" i="11"/>
  <c r="M179" i="15"/>
  <c r="Q179" i="15" s="1"/>
  <c r="S179" i="15" s="1"/>
  <c r="J136" i="15"/>
  <c r="N136" i="15" s="1"/>
  <c r="T136" i="15" s="1"/>
  <c r="V136" i="15" s="1"/>
  <c r="F239" i="11"/>
  <c r="F204" i="15"/>
  <c r="H239" i="11"/>
  <c r="M135" i="15"/>
  <c r="Q135" i="15" s="1"/>
  <c r="S135" i="15" s="1"/>
  <c r="J239" i="11"/>
  <c r="I179" i="15"/>
  <c r="K179" i="15" s="1"/>
  <c r="C240" i="11"/>
  <c r="I135" i="15"/>
  <c r="K135" i="15" s="1"/>
  <c r="F316" i="15"/>
  <c r="G240" i="11"/>
  <c r="G135" i="15"/>
  <c r="I240" i="11"/>
  <c r="G179" i="15"/>
  <c r="K240" i="11"/>
  <c r="F134" i="15"/>
  <c r="H201" i="15"/>
  <c r="F241" i="11"/>
  <c r="I134" i="15"/>
  <c r="K134" i="15" s="1"/>
  <c r="H241" i="11"/>
  <c r="M178" i="15"/>
  <c r="Q178" i="15" s="1"/>
  <c r="S178" i="15" s="1"/>
  <c r="J241" i="11"/>
  <c r="G134" i="15"/>
  <c r="C242" i="11"/>
  <c r="J193" i="15"/>
  <c r="I88" i="15"/>
  <c r="K88" i="15" s="1"/>
  <c r="G242" i="11"/>
  <c r="I178" i="15"/>
  <c r="K178" i="15" s="1"/>
  <c r="I242" i="11"/>
  <c r="H87" i="15"/>
  <c r="K242" i="11"/>
  <c r="F200" i="15"/>
  <c r="F87" i="15"/>
  <c r="O87" i="15" s="1"/>
  <c r="P87" i="15" s="1"/>
  <c r="F243" i="11"/>
  <c r="G178" i="15"/>
  <c r="H243" i="11"/>
  <c r="J87" i="15"/>
  <c r="J243" i="11"/>
  <c r="H307" i="15"/>
  <c r="C244" i="11"/>
  <c r="J86" i="15"/>
  <c r="M177" i="15"/>
  <c r="Q177" i="15" s="1"/>
  <c r="S177" i="15" s="1"/>
  <c r="G244" i="11"/>
  <c r="H86" i="15"/>
  <c r="I244" i="11"/>
  <c r="H197" i="15"/>
  <c r="K244" i="11"/>
  <c r="F86" i="15"/>
  <c r="I177" i="15"/>
  <c r="K177" i="15" s="1"/>
  <c r="F245" i="11"/>
  <c r="G85" i="15"/>
  <c r="F192" i="15"/>
  <c r="G236" i="15"/>
  <c r="M85" i="15"/>
  <c r="Q85" i="15" s="1"/>
  <c r="S85" i="15" s="1"/>
  <c r="M234" i="15"/>
  <c r="Q234" i="15" s="1"/>
  <c r="S234" i="15" s="1"/>
  <c r="G177" i="15"/>
  <c r="I234" i="15"/>
  <c r="K234" i="15" s="1"/>
  <c r="H85" i="15"/>
  <c r="I225" i="15"/>
  <c r="K225" i="15" s="1"/>
  <c r="F196" i="15"/>
  <c r="M224" i="15"/>
  <c r="Q224" i="15" s="1"/>
  <c r="S224" i="15" s="1"/>
  <c r="G84" i="15"/>
  <c r="M222" i="15"/>
  <c r="Q222" i="15" s="1"/>
  <c r="S222" i="15" s="1"/>
  <c r="M176" i="15"/>
  <c r="Q176" i="15" s="1"/>
  <c r="S176" i="15" s="1"/>
  <c r="J220" i="15"/>
  <c r="I84" i="15"/>
  <c r="K84" i="15" s="1"/>
  <c r="H220" i="15"/>
  <c r="J160" i="15"/>
  <c r="H219" i="15"/>
  <c r="M84" i="15"/>
  <c r="Q84" i="15" s="1"/>
  <c r="S84" i="15" s="1"/>
  <c r="M218" i="15"/>
  <c r="Q218" i="15" s="1"/>
  <c r="S218" i="15" s="1"/>
  <c r="I176" i="15"/>
  <c r="K176" i="15" s="1"/>
  <c r="G213" i="15"/>
  <c r="F83" i="15"/>
  <c r="H212" i="15"/>
  <c r="I195" i="15"/>
  <c r="K195" i="15" s="1"/>
  <c r="I211" i="15"/>
  <c r="K211" i="15" s="1"/>
  <c r="J83" i="15"/>
  <c r="I210" i="15"/>
  <c r="K210" i="15" s="1"/>
  <c r="G176" i="15"/>
  <c r="H209" i="15"/>
  <c r="H83" i="15"/>
  <c r="G208" i="15"/>
  <c r="I192" i="15"/>
  <c r="K192" i="15" s="1"/>
  <c r="J207" i="15"/>
  <c r="J82" i="15"/>
  <c r="G203" i="15"/>
  <c r="M175" i="15"/>
  <c r="Q175" i="15" s="1"/>
  <c r="S175" i="15" s="1"/>
  <c r="G202" i="15"/>
  <c r="H82" i="15"/>
  <c r="J196" i="15"/>
  <c r="J190" i="15"/>
  <c r="J195" i="15"/>
  <c r="N195" i="15" s="1"/>
  <c r="T195" i="15" s="1"/>
  <c r="V195" i="15" s="1"/>
  <c r="F82" i="15"/>
  <c r="F194" i="15"/>
  <c r="I175" i="15"/>
  <c r="K175" i="15" s="1"/>
  <c r="I193" i="15"/>
  <c r="K193" i="15" s="1"/>
  <c r="F81" i="15"/>
  <c r="J191" i="15"/>
  <c r="I306" i="15"/>
  <c r="K306" i="15" s="1"/>
  <c r="M189" i="15"/>
  <c r="Q189" i="15" s="1"/>
  <c r="S189" i="15" s="1"/>
  <c r="J81" i="15"/>
  <c r="J187" i="15"/>
  <c r="G175" i="15"/>
  <c r="I127" i="15"/>
  <c r="K127" i="15" s="1"/>
  <c r="H81" i="15"/>
  <c r="M124" i="15"/>
  <c r="Q124" i="15" s="1"/>
  <c r="S124" i="15" s="1"/>
  <c r="F189" i="15"/>
  <c r="H123" i="15"/>
  <c r="J80" i="15"/>
  <c r="F122" i="15"/>
  <c r="M174" i="15"/>
  <c r="Q174" i="15" s="1"/>
  <c r="S174" i="15" s="1"/>
  <c r="G120" i="15"/>
  <c r="H80" i="15"/>
  <c r="G119" i="15"/>
  <c r="J189" i="15"/>
  <c r="F117" i="15"/>
  <c r="F80" i="15"/>
  <c r="J116" i="15"/>
  <c r="I174" i="15"/>
  <c r="K174" i="15" s="1"/>
  <c r="I115" i="15"/>
  <c r="K115" i="15" s="1"/>
  <c r="F79" i="15"/>
  <c r="G107" i="15"/>
  <c r="F188" i="15"/>
  <c r="H101" i="15"/>
  <c r="J79" i="15"/>
  <c r="M100" i="15"/>
  <c r="Q100" i="15" s="1"/>
  <c r="S100" i="15" s="1"/>
  <c r="G174" i="15"/>
  <c r="I96" i="15"/>
  <c r="K96" i="15" s="1"/>
  <c r="H79" i="15"/>
  <c r="M95" i="15"/>
  <c r="Q95" i="15" s="1"/>
  <c r="S95" i="15" s="1"/>
  <c r="G331" i="15"/>
  <c r="J93" i="15"/>
  <c r="J78" i="15"/>
  <c r="M92" i="15"/>
  <c r="Q92" i="15" s="1"/>
  <c r="S92" i="15" s="1"/>
  <c r="M173" i="15"/>
  <c r="Q173" i="15" s="1"/>
  <c r="S173" i="15" s="1"/>
  <c r="I91" i="15"/>
  <c r="K91" i="15" s="1"/>
  <c r="H78" i="15"/>
  <c r="I90" i="15"/>
  <c r="K90" i="15" s="1"/>
  <c r="F186" i="15"/>
  <c r="G88" i="15"/>
  <c r="F78" i="15"/>
  <c r="G328" i="15"/>
  <c r="I173" i="15"/>
  <c r="K173" i="15" s="1"/>
  <c r="J327" i="15"/>
  <c r="F77" i="15"/>
  <c r="J326" i="15"/>
  <c r="J188" i="15"/>
  <c r="J325" i="15"/>
  <c r="J77" i="15"/>
  <c r="J324" i="15"/>
  <c r="G173" i="15"/>
  <c r="M323" i="15"/>
  <c r="Q323" i="15" s="1"/>
  <c r="S323" i="15" s="1"/>
  <c r="H77" i="15"/>
  <c r="I323" i="15"/>
  <c r="K323" i="15" s="1"/>
  <c r="F124" i="15"/>
  <c r="F323" i="15"/>
  <c r="I76" i="15"/>
  <c r="K76" i="15" s="1"/>
  <c r="H320" i="15"/>
  <c r="M172" i="15"/>
  <c r="Q172" i="15" s="1"/>
  <c r="S172" i="15" s="1"/>
  <c r="G320" i="15"/>
  <c r="G76" i="15"/>
  <c r="J318" i="15"/>
  <c r="M94" i="15"/>
  <c r="Q94" i="15" s="1"/>
  <c r="S94" i="15" s="1"/>
  <c r="I314" i="15"/>
  <c r="K314" i="15" s="1"/>
  <c r="M76" i="15"/>
  <c r="Q76" i="15" s="1"/>
  <c r="S76" i="15" s="1"/>
  <c r="F311" i="15"/>
  <c r="I172" i="15"/>
  <c r="K172" i="15" s="1"/>
  <c r="H306" i="15"/>
  <c r="G75" i="15"/>
  <c r="J305" i="15"/>
  <c r="J120" i="15"/>
  <c r="F305" i="15"/>
  <c r="M75" i="15"/>
  <c r="Q75" i="15" s="1"/>
  <c r="S75" i="15" s="1"/>
  <c r="M304" i="15"/>
  <c r="Q304" i="15" s="1"/>
  <c r="S304" i="15" s="1"/>
  <c r="G172" i="15"/>
  <c r="H304" i="15"/>
  <c r="I75" i="15"/>
  <c r="K75" i="15" s="1"/>
  <c r="J303" i="15"/>
  <c r="F328" i="15"/>
  <c r="F119" i="15"/>
  <c r="J314" i="15"/>
  <c r="H171" i="15"/>
  <c r="H327" i="15"/>
  <c r="H74" i="15"/>
  <c r="I74" i="15"/>
  <c r="K74" i="15" s="1"/>
  <c r="J237" i="15"/>
  <c r="G118" i="15"/>
  <c r="M223" i="15"/>
  <c r="Q223" i="15" s="1"/>
  <c r="S223" i="15" s="1"/>
  <c r="M74" i="15"/>
  <c r="Q74" i="15" s="1"/>
  <c r="S74" i="15" s="1"/>
  <c r="F221" i="15"/>
  <c r="F171" i="15"/>
  <c r="F218" i="15"/>
  <c r="H73" i="15"/>
  <c r="M217" i="15"/>
  <c r="Q217" i="15" s="1"/>
  <c r="S217" i="15" s="1"/>
  <c r="G121" i="15"/>
  <c r="I214" i="15"/>
  <c r="K214" i="15" s="1"/>
  <c r="J73" i="15"/>
  <c r="M211" i="15"/>
  <c r="Q211" i="15" s="1"/>
  <c r="S211" i="15" s="1"/>
  <c r="J171" i="15"/>
  <c r="I209" i="15"/>
  <c r="K209" i="15" s="1"/>
  <c r="M73" i="15"/>
  <c r="Q73" i="15" s="1"/>
  <c r="S73" i="15" s="1"/>
  <c r="J208" i="15"/>
  <c r="M117" i="15"/>
  <c r="Q117" i="15" s="1"/>
  <c r="S117" i="15" s="1"/>
  <c r="M206" i="15"/>
  <c r="Q206" i="15" s="1"/>
  <c r="S206" i="15" s="1"/>
  <c r="G72" i="15"/>
  <c r="I205" i="15"/>
  <c r="K205" i="15" s="1"/>
  <c r="I170" i="15"/>
  <c r="K170" i="15" s="1"/>
  <c r="I204" i="15"/>
  <c r="K204" i="15" s="1"/>
  <c r="I72" i="15"/>
  <c r="K72" i="15" s="1"/>
  <c r="G204" i="15"/>
  <c r="L204" i="15" s="1"/>
  <c r="J333" i="15"/>
  <c r="M199" i="15"/>
  <c r="Q199" i="15" s="1"/>
  <c r="S199" i="15" s="1"/>
  <c r="M72" i="15"/>
  <c r="Q72" i="15" s="1"/>
  <c r="S72" i="15" s="1"/>
  <c r="G199" i="15"/>
  <c r="F170" i="15"/>
  <c r="G197" i="15"/>
  <c r="G71" i="15"/>
  <c r="F197" i="15"/>
  <c r="G127" i="15"/>
  <c r="J194" i="15"/>
  <c r="I71" i="15"/>
  <c r="K71" i="15" s="1"/>
  <c r="J192" i="15"/>
  <c r="M170" i="15"/>
  <c r="Q170" i="15" s="1"/>
  <c r="S170" i="15" s="1"/>
  <c r="F191" i="15"/>
  <c r="M71" i="15"/>
  <c r="Q71" i="15" s="1"/>
  <c r="S71" i="15" s="1"/>
  <c r="G190" i="15"/>
  <c r="H109" i="15"/>
  <c r="F127" i="15"/>
  <c r="F70" i="15"/>
  <c r="M126" i="15"/>
  <c r="Q126" i="15" s="1"/>
  <c r="S126" i="15" s="1"/>
  <c r="J169" i="15"/>
  <c r="J121" i="15"/>
  <c r="G70" i="15"/>
  <c r="I119" i="15"/>
  <c r="K119" i="15" s="1"/>
  <c r="M127" i="15"/>
  <c r="Q127" i="15" s="1"/>
  <c r="S127" i="15" s="1"/>
  <c r="G116" i="15"/>
  <c r="M70" i="15"/>
  <c r="Q70" i="15" s="1"/>
  <c r="S70" i="15" s="1"/>
  <c r="F113" i="15"/>
  <c r="H169" i="15"/>
  <c r="H112" i="15"/>
  <c r="G69" i="15"/>
  <c r="I111" i="15"/>
  <c r="K111" i="15" s="1"/>
  <c r="F314" i="15"/>
  <c r="M109" i="15"/>
  <c r="Q109" i="15" s="1"/>
  <c r="S109" i="15" s="1"/>
  <c r="I69" i="15"/>
  <c r="K69" i="15" s="1"/>
  <c r="H108" i="15"/>
  <c r="F169" i="15"/>
  <c r="M107" i="15"/>
  <c r="Q107" i="15" s="1"/>
  <c r="S107" i="15" s="1"/>
  <c r="J69" i="15"/>
  <c r="H105" i="15"/>
  <c r="G126" i="15"/>
  <c r="I103" i="15"/>
  <c r="K103" i="15" s="1"/>
  <c r="J68" i="15"/>
  <c r="J102" i="15"/>
  <c r="J168" i="15"/>
  <c r="J101" i="15"/>
  <c r="H68" i="15"/>
  <c r="F100" i="15"/>
  <c r="F333" i="15"/>
  <c r="F99" i="15"/>
  <c r="F68" i="15"/>
  <c r="I98" i="15"/>
  <c r="K98" i="15" s="1"/>
  <c r="H168" i="15"/>
  <c r="F96" i="15"/>
  <c r="G67" i="15"/>
  <c r="H94" i="15"/>
  <c r="J125" i="15"/>
  <c r="J94" i="15"/>
  <c r="J67" i="15"/>
  <c r="J92" i="15"/>
  <c r="F168" i="15"/>
  <c r="J89" i="15"/>
  <c r="H67" i="15"/>
  <c r="G326" i="15"/>
  <c r="F103" i="15"/>
  <c r="O103" i="15" s="1"/>
  <c r="I322" i="15"/>
  <c r="K322" i="15" s="1"/>
  <c r="F66" i="15"/>
  <c r="F315" i="15"/>
  <c r="J167" i="15"/>
  <c r="G312" i="15"/>
  <c r="I66" i="15"/>
  <c r="K66" i="15" s="1"/>
  <c r="F307" i="15"/>
  <c r="G99" i="15"/>
  <c r="I304" i="15"/>
  <c r="K304" i="15" s="1"/>
  <c r="M66" i="15"/>
  <c r="Q66" i="15" s="1"/>
  <c r="S66" i="15" s="1"/>
  <c r="F303" i="15"/>
  <c r="H125" i="15"/>
  <c r="M331" i="15"/>
  <c r="Q331" i="15" s="1"/>
  <c r="S331" i="15" s="1"/>
  <c r="G65" i="15"/>
  <c r="I331" i="15"/>
  <c r="K331" i="15" s="1"/>
  <c r="H324" i="15"/>
  <c r="F331" i="15"/>
  <c r="I65" i="15"/>
  <c r="K65" i="15" s="1"/>
  <c r="F330" i="15"/>
  <c r="F167" i="15"/>
  <c r="F329" i="15"/>
  <c r="M65" i="15"/>
  <c r="Q65" i="15" s="1"/>
  <c r="S65" i="15" s="1"/>
  <c r="M328" i="15"/>
  <c r="Q328" i="15" s="1"/>
  <c r="S328" i="15" s="1"/>
  <c r="F121" i="15"/>
  <c r="F326" i="15"/>
  <c r="M64" i="15"/>
  <c r="Q64" i="15" s="1"/>
  <c r="S64" i="15" s="1"/>
  <c r="M326" i="15"/>
  <c r="Q326" i="15" s="1"/>
  <c r="S326" i="15" s="1"/>
  <c r="M166" i="15"/>
  <c r="Q166" i="15" s="1"/>
  <c r="S166" i="15" s="1"/>
  <c r="G325" i="15"/>
  <c r="F64" i="15"/>
  <c r="I324" i="15"/>
  <c r="K324" i="15" s="1"/>
  <c r="G314" i="15"/>
  <c r="G322" i="15"/>
  <c r="J64" i="15"/>
  <c r="M322" i="15"/>
  <c r="Q322" i="15" s="1"/>
  <c r="S322" i="15" s="1"/>
  <c r="I166" i="15"/>
  <c r="K166" i="15" s="1"/>
  <c r="H319" i="15"/>
  <c r="J63" i="15"/>
  <c r="I319" i="15"/>
  <c r="K319" i="15" s="1"/>
  <c r="I121" i="15"/>
  <c r="K121" i="15" s="1"/>
  <c r="H318" i="15"/>
  <c r="H63" i="15"/>
  <c r="I318" i="15"/>
  <c r="K318" i="15" s="1"/>
  <c r="F166" i="15"/>
  <c r="I317" i="15"/>
  <c r="K317" i="15" s="1"/>
  <c r="F63" i="15"/>
  <c r="O63" i="15" s="1"/>
  <c r="J317" i="15"/>
  <c r="M104" i="15"/>
  <c r="Q104" i="15" s="1"/>
  <c r="S104" i="15" s="1"/>
  <c r="G316" i="15"/>
  <c r="I62" i="15"/>
  <c r="K62" i="15" s="1"/>
  <c r="I316" i="15"/>
  <c r="K316" i="15" s="1"/>
  <c r="J165" i="15"/>
  <c r="J316" i="15"/>
  <c r="F62" i="15"/>
  <c r="O62" i="15" s="1"/>
  <c r="M315" i="15"/>
  <c r="Q315" i="15" s="1"/>
  <c r="S315" i="15" s="1"/>
  <c r="I120" i="15"/>
  <c r="K120" i="15" s="1"/>
  <c r="H313" i="15"/>
  <c r="M62" i="15"/>
  <c r="Q62" i="15" s="1"/>
  <c r="S62" i="15" s="1"/>
  <c r="F313" i="15"/>
  <c r="H165" i="15"/>
  <c r="H312" i="15"/>
  <c r="H61" i="15"/>
  <c r="J311" i="15"/>
  <c r="H160" i="15"/>
  <c r="H310" i="15"/>
  <c r="M61" i="15"/>
  <c r="Q61" i="15" s="1"/>
  <c r="S61" i="15" s="1"/>
  <c r="M310" i="15"/>
  <c r="Q310" i="15" s="1"/>
  <c r="S310" i="15" s="1"/>
  <c r="F165" i="15"/>
  <c r="F308" i="15"/>
  <c r="I61" i="15"/>
  <c r="K61" i="15" s="1"/>
  <c r="G308" i="15"/>
  <c r="I327" i="15"/>
  <c r="K327" i="15" s="1"/>
  <c r="I307" i="15"/>
  <c r="K307" i="15" s="1"/>
  <c r="J60" i="15"/>
  <c r="G306" i="15"/>
  <c r="H119" i="15"/>
  <c r="M305" i="15"/>
  <c r="Q305" i="15" s="1"/>
  <c r="S305" i="15" s="1"/>
  <c r="I164" i="15"/>
  <c r="K164" i="15" s="1"/>
  <c r="I60" i="15"/>
  <c r="K60" i="15" s="1"/>
  <c r="I321" i="15"/>
  <c r="K321" i="15" s="1"/>
  <c r="H164" i="15"/>
  <c r="G60" i="15"/>
  <c r="M235" i="15"/>
  <c r="Q235" i="15" s="1"/>
  <c r="S235" i="15" s="1"/>
  <c r="G164" i="15"/>
  <c r="M227" i="15"/>
  <c r="Q227" i="15" s="1"/>
  <c r="S227" i="15" s="1"/>
  <c r="G59" i="15"/>
  <c r="M226" i="15"/>
  <c r="Q226" i="15" s="1"/>
  <c r="S226" i="15" s="1"/>
  <c r="G115" i="15"/>
  <c r="H226" i="15"/>
  <c r="M58" i="15"/>
  <c r="Q58" i="15" s="1"/>
  <c r="S58" i="15" s="1"/>
  <c r="H225" i="15"/>
  <c r="J164" i="15"/>
  <c r="F223" i="15"/>
  <c r="I58" i="15"/>
  <c r="K58" i="15" s="1"/>
  <c r="G311" i="15"/>
  <c r="I217" i="15"/>
  <c r="K217" i="15" s="1"/>
  <c r="I97" i="15"/>
  <c r="K97" i="15" s="1"/>
  <c r="H231" i="15"/>
  <c r="M149" i="15"/>
  <c r="Q149" i="15" s="1"/>
  <c r="S149" i="15" s="1"/>
  <c r="G30" i="15"/>
  <c r="C134" i="11"/>
  <c r="F24" i="15"/>
  <c r="C133" i="11"/>
  <c r="F22" i="15"/>
  <c r="G133" i="11"/>
  <c r="G22" i="15"/>
  <c r="I133" i="11"/>
  <c r="I22" i="15"/>
  <c r="C132" i="11"/>
  <c r="F21" i="15"/>
  <c r="I132" i="11"/>
  <c r="I21" i="15"/>
  <c r="G132" i="11"/>
  <c r="G21" i="15"/>
  <c r="C131" i="11"/>
  <c r="F20" i="15"/>
  <c r="G131" i="11"/>
  <c r="G20" i="15"/>
  <c r="I131" i="11"/>
  <c r="I20" i="15"/>
  <c r="N19" i="15"/>
  <c r="T19" i="15" s="1"/>
  <c r="V19" i="15" s="1"/>
  <c r="K19" i="15"/>
  <c r="N16" i="15"/>
  <c r="T16" i="15" s="1"/>
  <c r="V16" i="15" s="1"/>
  <c r="K16" i="15"/>
  <c r="I129" i="11"/>
  <c r="I15" i="15"/>
  <c r="G129" i="11"/>
  <c r="G15" i="15"/>
  <c r="C129" i="11"/>
  <c r="F15" i="15"/>
  <c r="I128" i="11"/>
  <c r="I14" i="15"/>
  <c r="G128" i="11"/>
  <c r="G14" i="15"/>
  <c r="C128" i="11"/>
  <c r="F14" i="15"/>
  <c r="I127" i="11"/>
  <c r="I13" i="15"/>
  <c r="G127" i="11"/>
  <c r="G13" i="15"/>
  <c r="C127" i="11"/>
  <c r="F13" i="15"/>
  <c r="O13" i="15" s="1"/>
  <c r="P13" i="15" s="1"/>
  <c r="I126" i="11"/>
  <c r="I12" i="15"/>
  <c r="G126" i="11"/>
  <c r="G12" i="15"/>
  <c r="C126" i="11"/>
  <c r="F12" i="15"/>
  <c r="N11" i="15"/>
  <c r="T11" i="15" s="1"/>
  <c r="V11" i="15" s="1"/>
  <c r="K11" i="15"/>
  <c r="N10" i="15"/>
  <c r="T10" i="15" s="1"/>
  <c r="V10" i="15" s="1"/>
  <c r="K10" i="15"/>
  <c r="N9" i="15"/>
  <c r="T9" i="15" s="1"/>
  <c r="V9" i="15" s="1"/>
  <c r="K9" i="15"/>
  <c r="N7" i="15"/>
  <c r="T7" i="15" s="1"/>
  <c r="V7" i="15" s="1"/>
  <c r="K7" i="15"/>
  <c r="N4" i="15"/>
  <c r="T4" i="15" s="1"/>
  <c r="V4" i="15" s="1"/>
  <c r="K4" i="15"/>
  <c r="L30" i="15" l="1"/>
  <c r="N230" i="15"/>
  <c r="T230" i="15" s="1"/>
  <c r="V230" i="15" s="1"/>
  <c r="P3" i="15"/>
  <c r="N162" i="15"/>
  <c r="T162" i="15" s="1"/>
  <c r="O162" i="15"/>
  <c r="N187" i="15"/>
  <c r="T187" i="15" s="1"/>
  <c r="N314" i="15"/>
  <c r="T314" i="15" s="1"/>
  <c r="V314" i="15" s="1"/>
  <c r="N160" i="15"/>
  <c r="T160" i="15" s="1"/>
  <c r="V160" i="15" s="1"/>
  <c r="N316" i="15"/>
  <c r="T316" i="15" s="1"/>
  <c r="N191" i="15"/>
  <c r="T191" i="15" s="1"/>
  <c r="V191" i="15" s="1"/>
  <c r="N139" i="15"/>
  <c r="T139" i="15" s="1"/>
  <c r="V139" i="15" s="1"/>
  <c r="P24" i="15"/>
  <c r="P8" i="15"/>
  <c r="L58" i="15"/>
  <c r="P58" i="15" s="1"/>
  <c r="P10" i="15"/>
  <c r="P11" i="15"/>
  <c r="L46" i="15"/>
  <c r="N29" i="15"/>
  <c r="T29" i="15" s="1"/>
  <c r="V29" i="15" s="1"/>
  <c r="N26" i="15"/>
  <c r="T26" i="15" s="1"/>
  <c r="O26" i="15"/>
  <c r="L229" i="15"/>
  <c r="P229" i="15" s="1"/>
  <c r="P6" i="15"/>
  <c r="P5" i="15"/>
  <c r="N69" i="15"/>
  <c r="T69" i="15" s="1"/>
  <c r="L228" i="15"/>
  <c r="P228" i="15" s="1"/>
  <c r="N325" i="15"/>
  <c r="T325" i="15" s="1"/>
  <c r="V325" i="15" s="1"/>
  <c r="N305" i="15"/>
  <c r="T305" i="15" s="1"/>
  <c r="N237" i="15"/>
  <c r="T237" i="15" s="1"/>
  <c r="V237" i="15" s="1"/>
  <c r="L191" i="15"/>
  <c r="N164" i="15"/>
  <c r="T164" i="15" s="1"/>
  <c r="N317" i="15"/>
  <c r="T317" i="15" s="1"/>
  <c r="P23" i="15"/>
  <c r="P21" i="15"/>
  <c r="N120" i="15"/>
  <c r="T120" i="15" s="1"/>
  <c r="V120" i="15" s="1"/>
  <c r="N327" i="15"/>
  <c r="T327" i="15" s="1"/>
  <c r="V327" i="15" s="1"/>
  <c r="N235" i="15"/>
  <c r="T235" i="15" s="1"/>
  <c r="V235" i="15" s="1"/>
  <c r="N236" i="15"/>
  <c r="T236" i="15" s="1"/>
  <c r="V236" i="15" s="1"/>
  <c r="N307" i="15"/>
  <c r="T307" i="15" s="1"/>
  <c r="L134" i="15"/>
  <c r="N324" i="15"/>
  <c r="T324" i="15" s="1"/>
  <c r="V324" i="15" s="1"/>
  <c r="L126" i="15"/>
  <c r="N99" i="15"/>
  <c r="T99" i="15" s="1"/>
  <c r="V99" i="15" s="1"/>
  <c r="N35" i="15"/>
  <c r="T35" i="15" s="1"/>
  <c r="V35" i="15" s="1"/>
  <c r="L184" i="15"/>
  <c r="O123" i="15"/>
  <c r="N183" i="15"/>
  <c r="T183" i="15" s="1"/>
  <c r="O182" i="15"/>
  <c r="N113" i="15"/>
  <c r="T113" i="15" s="1"/>
  <c r="N215" i="15"/>
  <c r="T215" i="15" s="1"/>
  <c r="V215" i="15" s="1"/>
  <c r="O108" i="15"/>
  <c r="L104" i="15"/>
  <c r="N181" i="15"/>
  <c r="T181" i="15" s="1"/>
  <c r="L207" i="15"/>
  <c r="L49" i="15"/>
  <c r="N46" i="15"/>
  <c r="T46" i="15" s="1"/>
  <c r="V46" i="15" s="1"/>
  <c r="N312" i="15"/>
  <c r="T312" i="15" s="1"/>
  <c r="O109" i="15"/>
  <c r="N39" i="15"/>
  <c r="T39" i="15" s="1"/>
  <c r="L29" i="15"/>
  <c r="O97" i="15"/>
  <c r="N147" i="15"/>
  <c r="T147" i="15" s="1"/>
  <c r="V147" i="15" s="1"/>
  <c r="N114" i="15"/>
  <c r="T114" i="15" s="1"/>
  <c r="O163" i="15"/>
  <c r="L90" i="15"/>
  <c r="O112" i="15"/>
  <c r="N134" i="15"/>
  <c r="T134" i="15" s="1"/>
  <c r="V134" i="15" s="1"/>
  <c r="N180" i="15"/>
  <c r="T180" i="15" s="1"/>
  <c r="V180" i="15" s="1"/>
  <c r="N204" i="15"/>
  <c r="T204" i="15" s="1"/>
  <c r="V204" i="15" s="1"/>
  <c r="L178" i="15"/>
  <c r="O73" i="15"/>
  <c r="N170" i="15"/>
  <c r="T170" i="15" s="1"/>
  <c r="V170" i="15" s="1"/>
  <c r="N71" i="15"/>
  <c r="T71" i="15" s="1"/>
  <c r="V71" i="15" s="1"/>
  <c r="N318" i="15"/>
  <c r="T318" i="15" s="1"/>
  <c r="V318" i="15" s="1"/>
  <c r="L70" i="15"/>
  <c r="N178" i="15"/>
  <c r="T178" i="15" s="1"/>
  <c r="V178" i="15" s="1"/>
  <c r="N135" i="15"/>
  <c r="T135" i="15" s="1"/>
  <c r="V135" i="15" s="1"/>
  <c r="O178" i="15"/>
  <c r="P178" i="15" s="1"/>
  <c r="N205" i="15"/>
  <c r="T205" i="15" s="1"/>
  <c r="V205" i="15" s="1"/>
  <c r="N119" i="15"/>
  <c r="T119" i="15" s="1"/>
  <c r="L106" i="15"/>
  <c r="L170" i="15"/>
  <c r="N179" i="15"/>
  <c r="T179" i="15" s="1"/>
  <c r="V179" i="15" s="1"/>
  <c r="P16" i="15"/>
  <c r="N182" i="15"/>
  <c r="T182" i="15" s="1"/>
  <c r="L181" i="15"/>
  <c r="L180" i="15"/>
  <c r="L176" i="15"/>
  <c r="L330" i="15"/>
  <c r="L68" i="15"/>
  <c r="O176" i="15"/>
  <c r="N203" i="15"/>
  <c r="T203" i="15" s="1"/>
  <c r="V203" i="15" s="1"/>
  <c r="L98" i="15"/>
  <c r="O52" i="15"/>
  <c r="L51" i="15"/>
  <c r="L185" i="15"/>
  <c r="N98" i="15"/>
  <c r="T98" i="15" s="1"/>
  <c r="N216" i="15"/>
  <c r="T216" i="15" s="1"/>
  <c r="L50" i="15"/>
  <c r="N49" i="15"/>
  <c r="T49" i="15" s="1"/>
  <c r="V49" i="15" s="1"/>
  <c r="N111" i="15"/>
  <c r="T111" i="15" s="1"/>
  <c r="V111" i="15" s="1"/>
  <c r="N108" i="15"/>
  <c r="T108" i="15" s="1"/>
  <c r="V108" i="15" s="1"/>
  <c r="L307" i="15"/>
  <c r="L197" i="15"/>
  <c r="L85" i="15"/>
  <c r="L212" i="15"/>
  <c r="N82" i="15"/>
  <c r="T82" i="15" s="1"/>
  <c r="N190" i="15"/>
  <c r="T190" i="15" s="1"/>
  <c r="O82" i="15"/>
  <c r="N81" i="15"/>
  <c r="T81" i="15" s="1"/>
  <c r="L81" i="15"/>
  <c r="L123" i="15"/>
  <c r="N80" i="15"/>
  <c r="T80" i="15" s="1"/>
  <c r="O122" i="15"/>
  <c r="N189" i="15"/>
  <c r="T189" i="15" s="1"/>
  <c r="O117" i="15"/>
  <c r="O80" i="15"/>
  <c r="O79" i="15"/>
  <c r="L101" i="15"/>
  <c r="N79" i="15"/>
  <c r="T79" i="15" s="1"/>
  <c r="L79" i="15"/>
  <c r="N93" i="15"/>
  <c r="T93" i="15" s="1"/>
  <c r="V93" i="15" s="1"/>
  <c r="N78" i="15"/>
  <c r="T78" i="15" s="1"/>
  <c r="O186" i="15"/>
  <c r="O78" i="15"/>
  <c r="N326" i="15"/>
  <c r="T326" i="15" s="1"/>
  <c r="V326" i="15" s="1"/>
  <c r="N188" i="15"/>
  <c r="T188" i="15" s="1"/>
  <c r="N77" i="15"/>
  <c r="T77" i="15" s="1"/>
  <c r="V77" i="15" s="1"/>
  <c r="L77" i="15"/>
  <c r="O124" i="15"/>
  <c r="L320" i="15"/>
  <c r="L76" i="15"/>
  <c r="P76" i="15" s="1"/>
  <c r="L306" i="15"/>
  <c r="N303" i="15"/>
  <c r="T303" i="15" s="1"/>
  <c r="V303" i="15" s="1"/>
  <c r="O119" i="15"/>
  <c r="L327" i="15"/>
  <c r="L74" i="15"/>
  <c r="L221" i="15"/>
  <c r="O171" i="15"/>
  <c r="L73" i="15"/>
  <c r="O167" i="15"/>
  <c r="L312" i="15"/>
  <c r="L310" i="15"/>
  <c r="O165" i="15"/>
  <c r="N132" i="15"/>
  <c r="T132" i="15" s="1"/>
  <c r="V132" i="15" s="1"/>
  <c r="L314" i="15"/>
  <c r="O47" i="15"/>
  <c r="O104" i="15"/>
  <c r="P104" i="15" s="1"/>
  <c r="O88" i="15"/>
  <c r="L127" i="15"/>
  <c r="L190" i="15"/>
  <c r="O65" i="15"/>
  <c r="L64" i="15"/>
  <c r="L99" i="15"/>
  <c r="O152" i="15"/>
  <c r="N133" i="15"/>
  <c r="T133" i="15" s="1"/>
  <c r="V133" i="15" s="1"/>
  <c r="N201" i="15"/>
  <c r="T201" i="15" s="1"/>
  <c r="V201" i="15" s="1"/>
  <c r="L48" i="15"/>
  <c r="L44" i="15"/>
  <c r="L199" i="15"/>
  <c r="L96" i="15"/>
  <c r="O44" i="15"/>
  <c r="O184" i="15"/>
  <c r="L315" i="15"/>
  <c r="L322" i="15"/>
  <c r="L161" i="15"/>
  <c r="N143" i="15"/>
  <c r="T143" i="15" s="1"/>
  <c r="V143" i="15" s="1"/>
  <c r="P22" i="15"/>
  <c r="N72" i="15"/>
  <c r="T72" i="15" s="1"/>
  <c r="V72" i="15" s="1"/>
  <c r="L111" i="15"/>
  <c r="O43" i="15"/>
  <c r="O39" i="15"/>
  <c r="N202" i="15"/>
  <c r="T202" i="15" s="1"/>
  <c r="V202" i="15" s="1"/>
  <c r="L324" i="15"/>
  <c r="L67" i="15"/>
  <c r="N138" i="15"/>
  <c r="T138" i="15" s="1"/>
  <c r="V138" i="15" s="1"/>
  <c r="L93" i="15"/>
  <c r="L211" i="15"/>
  <c r="O37" i="15"/>
  <c r="L133" i="15"/>
  <c r="O72" i="15"/>
  <c r="L71" i="15"/>
  <c r="L41" i="15"/>
  <c r="N221" i="15"/>
  <c r="T221" i="15" s="1"/>
  <c r="V221" i="15" s="1"/>
  <c r="L103" i="15"/>
  <c r="P103" i="15" s="1"/>
  <c r="N185" i="15"/>
  <c r="T185" i="15" s="1"/>
  <c r="V185" i="15" s="1"/>
  <c r="L130" i="15"/>
  <c r="O129" i="15"/>
  <c r="L234" i="15"/>
  <c r="N197" i="15"/>
  <c r="T197" i="15" s="1"/>
  <c r="V197" i="15" s="1"/>
  <c r="L80" i="15"/>
  <c r="N330" i="15"/>
  <c r="T330" i="15" s="1"/>
  <c r="O41" i="15"/>
  <c r="O181" i="15"/>
  <c r="O84" i="15"/>
  <c r="O95" i="15"/>
  <c r="O25" i="15"/>
  <c r="L195" i="15"/>
  <c r="L187" i="15"/>
  <c r="O49" i="15"/>
  <c r="L198" i="15"/>
  <c r="O126" i="15"/>
  <c r="L217" i="15"/>
  <c r="L118" i="15"/>
  <c r="O173" i="15"/>
  <c r="O74" i="15"/>
  <c r="L65" i="15"/>
  <c r="L54" i="15"/>
  <c r="O114" i="15"/>
  <c r="L31" i="15"/>
  <c r="O148" i="15"/>
  <c r="L26" i="15"/>
  <c r="O146" i="15"/>
  <c r="L116" i="15"/>
  <c r="O185" i="15"/>
  <c r="O177" i="15"/>
  <c r="O85" i="15"/>
  <c r="L175" i="15"/>
  <c r="O118" i="15"/>
  <c r="P118" i="15" s="1"/>
  <c r="O102" i="15"/>
  <c r="O94" i="15"/>
  <c r="N124" i="15"/>
  <c r="T124" i="15" s="1"/>
  <c r="V124" i="15" s="1"/>
  <c r="O53" i="15"/>
  <c r="O51" i="15"/>
  <c r="O27" i="15"/>
  <c r="L214" i="15"/>
  <c r="O179" i="15"/>
  <c r="L213" i="15"/>
  <c r="N53" i="15"/>
  <c r="T53" i="15" s="1"/>
  <c r="O90" i="15"/>
  <c r="O48" i="15"/>
  <c r="O46" i="15"/>
  <c r="O45" i="15"/>
  <c r="L95" i="15"/>
  <c r="L110" i="15"/>
  <c r="O154" i="15"/>
  <c r="O40" i="15"/>
  <c r="L37" i="15"/>
  <c r="L28" i="15"/>
  <c r="L27" i="15"/>
  <c r="L25" i="15"/>
  <c r="P25" i="15" s="1"/>
  <c r="L117" i="15"/>
  <c r="O91" i="15"/>
  <c r="L171" i="15"/>
  <c r="L167" i="15"/>
  <c r="N331" i="15"/>
  <c r="T331" i="15" s="1"/>
  <c r="N65" i="15"/>
  <c r="T65" i="15" s="1"/>
  <c r="N322" i="15"/>
  <c r="T322" i="15" s="1"/>
  <c r="V322" i="15" s="1"/>
  <c r="L166" i="15"/>
  <c r="L59" i="15"/>
  <c r="O164" i="15"/>
  <c r="L114" i="15"/>
  <c r="N56" i="15"/>
  <c r="T56" i="15" s="1"/>
  <c r="L203" i="15"/>
  <c r="N110" i="15"/>
  <c r="T110" i="15" s="1"/>
  <c r="V110" i="15" s="1"/>
  <c r="L55" i="15"/>
  <c r="P55" i="15" s="1"/>
  <c r="N54" i="15"/>
  <c r="T54" i="15" s="1"/>
  <c r="V54" i="15" s="1"/>
  <c r="O115" i="15"/>
  <c r="O54" i="15"/>
  <c r="L122" i="15"/>
  <c r="L53" i="15"/>
  <c r="L113" i="15"/>
  <c r="N105" i="15"/>
  <c r="T105" i="15" s="1"/>
  <c r="V105" i="15" s="1"/>
  <c r="O110" i="15"/>
  <c r="P110" i="15" s="1"/>
  <c r="L333" i="15"/>
  <c r="L107" i="15"/>
  <c r="L102" i="15"/>
  <c r="N321" i="15"/>
  <c r="T321" i="15" s="1"/>
  <c r="N329" i="15"/>
  <c r="T329" i="15" s="1"/>
  <c r="O50" i="15"/>
  <c r="N50" i="15"/>
  <c r="T50" i="15" s="1"/>
  <c r="N158" i="15"/>
  <c r="T158" i="15" s="1"/>
  <c r="V158" i="15" s="1"/>
  <c r="L158" i="15"/>
  <c r="O158" i="15"/>
  <c r="N157" i="15"/>
  <c r="T157" i="15" s="1"/>
  <c r="V157" i="15" s="1"/>
  <c r="L157" i="15"/>
  <c r="O157" i="15"/>
  <c r="L92" i="15"/>
  <c r="O89" i="15"/>
  <c r="O42" i="15"/>
  <c r="N155" i="15"/>
  <c r="T155" i="15" s="1"/>
  <c r="L155" i="15"/>
  <c r="O155" i="15"/>
  <c r="N40" i="15"/>
  <c r="T40" i="15" s="1"/>
  <c r="O107" i="15"/>
  <c r="N154" i="15"/>
  <c r="T154" i="15" s="1"/>
  <c r="L38" i="15"/>
  <c r="L154" i="15"/>
  <c r="P154" i="15" s="1"/>
  <c r="O38" i="15"/>
  <c r="O153" i="15"/>
  <c r="L153" i="15"/>
  <c r="N153" i="15"/>
  <c r="T153" i="15" s="1"/>
  <c r="L152" i="15"/>
  <c r="L232" i="15"/>
  <c r="P232" i="15" s="1"/>
  <c r="O151" i="15"/>
  <c r="O31" i="15"/>
  <c r="O30" i="15"/>
  <c r="N30" i="15"/>
  <c r="T30" i="15" s="1"/>
  <c r="V30" i="15" s="1"/>
  <c r="N149" i="15"/>
  <c r="T149" i="15" s="1"/>
  <c r="V149" i="15" s="1"/>
  <c r="O29" i="15"/>
  <c r="O28" i="15"/>
  <c r="L163" i="15"/>
  <c r="L223" i="15"/>
  <c r="O133" i="15"/>
  <c r="O130" i="15"/>
  <c r="O120" i="15"/>
  <c r="L309" i="15"/>
  <c r="L215" i="15"/>
  <c r="O111" i="15"/>
  <c r="L210" i="15"/>
  <c r="O106" i="15"/>
  <c r="N106" i="15"/>
  <c r="T106" i="15" s="1"/>
  <c r="V106" i="15" s="1"/>
  <c r="O105" i="15"/>
  <c r="L100" i="15"/>
  <c r="O98" i="15"/>
  <c r="L200" i="15"/>
  <c r="L97" i="15"/>
  <c r="N308" i="15"/>
  <c r="T308" i="15" s="1"/>
  <c r="V308" i="15" s="1"/>
  <c r="L89" i="15"/>
  <c r="P89" i="15" s="1"/>
  <c r="O180" i="15"/>
  <c r="O134" i="15"/>
  <c r="N86" i="15"/>
  <c r="T86" i="15" s="1"/>
  <c r="L86" i="15"/>
  <c r="O86" i="15"/>
  <c r="L177" i="15"/>
  <c r="P177" i="15" s="1"/>
  <c r="N220" i="15"/>
  <c r="T220" i="15" s="1"/>
  <c r="V220" i="15" s="1"/>
  <c r="L220" i="15"/>
  <c r="L219" i="15"/>
  <c r="O83" i="15"/>
  <c r="N83" i="15"/>
  <c r="T83" i="15" s="1"/>
  <c r="L209" i="15"/>
  <c r="L83" i="15"/>
  <c r="N207" i="15"/>
  <c r="T207" i="15" s="1"/>
  <c r="V207" i="15" s="1"/>
  <c r="L82" i="15"/>
  <c r="N196" i="15"/>
  <c r="T196" i="15" s="1"/>
  <c r="V196" i="15" s="1"/>
  <c r="O81" i="15"/>
  <c r="N73" i="15"/>
  <c r="T73" i="15" s="1"/>
  <c r="V73" i="15" s="1"/>
  <c r="N171" i="15"/>
  <c r="T171" i="15" s="1"/>
  <c r="V171" i="15" s="1"/>
  <c r="N208" i="15"/>
  <c r="T208" i="15" s="1"/>
  <c r="V208" i="15" s="1"/>
  <c r="N333" i="15"/>
  <c r="T333" i="15" s="1"/>
  <c r="V333" i="15" s="1"/>
  <c r="O170" i="15"/>
  <c r="L109" i="15"/>
  <c r="O127" i="15"/>
  <c r="O70" i="15"/>
  <c r="O113" i="15"/>
  <c r="L169" i="15"/>
  <c r="L108" i="15"/>
  <c r="O169" i="15"/>
  <c r="L105" i="15"/>
  <c r="N101" i="15"/>
  <c r="T101" i="15" s="1"/>
  <c r="V101" i="15" s="1"/>
  <c r="O100" i="15"/>
  <c r="P100" i="15" s="1"/>
  <c r="O99" i="15"/>
  <c r="O68" i="15"/>
  <c r="L168" i="15"/>
  <c r="O96" i="15"/>
  <c r="L94" i="15"/>
  <c r="P94" i="15" s="1"/>
  <c r="O125" i="15"/>
  <c r="O92" i="15"/>
  <c r="O168" i="15"/>
  <c r="O66" i="15"/>
  <c r="L125" i="15"/>
  <c r="O121" i="15"/>
  <c r="O64" i="15"/>
  <c r="L319" i="15"/>
  <c r="N63" i="15"/>
  <c r="T63" i="15" s="1"/>
  <c r="V63" i="15" s="1"/>
  <c r="L63" i="15"/>
  <c r="P63" i="15" s="1"/>
  <c r="O166" i="15"/>
  <c r="L165" i="15"/>
  <c r="L61" i="15"/>
  <c r="P61" i="15" s="1"/>
  <c r="L119" i="15"/>
  <c r="L164" i="15"/>
  <c r="L202" i="15"/>
  <c r="O174" i="15"/>
  <c r="L188" i="15"/>
  <c r="O93" i="15"/>
  <c r="O75" i="15"/>
  <c r="O101" i="15"/>
  <c r="L174" i="15"/>
  <c r="L172" i="15"/>
  <c r="O77" i="15"/>
  <c r="L52" i="15"/>
  <c r="L91" i="15"/>
  <c r="O142" i="15"/>
  <c r="L182" i="15"/>
  <c r="P9" i="15"/>
  <c r="L129" i="15"/>
  <c r="L205" i="15"/>
  <c r="L173" i="15"/>
  <c r="L321" i="15"/>
  <c r="L193" i="15"/>
  <c r="L189" i="15"/>
  <c r="O172" i="15"/>
  <c r="P172" i="15" s="1"/>
  <c r="O161" i="15"/>
  <c r="N199" i="15"/>
  <c r="T199" i="15" s="1"/>
  <c r="V199" i="15" s="1"/>
  <c r="O137" i="15"/>
  <c r="O175" i="15"/>
  <c r="N320" i="15"/>
  <c r="T320" i="15" s="1"/>
  <c r="O71" i="15"/>
  <c r="L162" i="15"/>
  <c r="L230" i="15"/>
  <c r="P230" i="15" s="1"/>
  <c r="N141" i="15"/>
  <c r="T141" i="15" s="1"/>
  <c r="V141" i="15" s="1"/>
  <c r="O67" i="15"/>
  <c r="L78" i="15"/>
  <c r="O131" i="15"/>
  <c r="L131" i="15"/>
  <c r="O69" i="15"/>
  <c r="L69" i="15"/>
  <c r="E236" i="9"/>
  <c r="D236" i="9"/>
  <c r="D243" i="9"/>
  <c r="E243" i="9"/>
  <c r="E229" i="9"/>
  <c r="D229" i="9"/>
  <c r="D231" i="9"/>
  <c r="D143" i="11" s="1"/>
  <c r="E231" i="9"/>
  <c r="E143" i="11" s="1"/>
  <c r="D235" i="9"/>
  <c r="E235" i="9"/>
  <c r="D237" i="9"/>
  <c r="E237" i="9"/>
  <c r="D239" i="9"/>
  <c r="E239" i="9"/>
  <c r="E240" i="9"/>
  <c r="D240" i="9"/>
  <c r="D244" i="9"/>
  <c r="E244" i="9"/>
  <c r="E241" i="9"/>
  <c r="D241" i="9"/>
  <c r="D230" i="9"/>
  <c r="E230" i="9"/>
  <c r="E234" i="9"/>
  <c r="D234" i="9"/>
  <c r="E238" i="9"/>
  <c r="D238" i="9"/>
  <c r="E242" i="9"/>
  <c r="D242" i="9"/>
  <c r="D227" i="9"/>
  <c r="E227" i="9"/>
  <c r="D228" i="9"/>
  <c r="E228" i="9"/>
  <c r="E232" i="9"/>
  <c r="D232" i="9"/>
  <c r="D233" i="9"/>
  <c r="D144" i="11" s="1"/>
  <c r="E233" i="9"/>
  <c r="E144" i="11" s="1"/>
  <c r="D313" i="9"/>
  <c r="E313" i="9"/>
  <c r="D321" i="9"/>
  <c r="E321" i="9"/>
  <c r="E325" i="9"/>
  <c r="D325" i="9"/>
  <c r="E326" i="9"/>
  <c r="D326" i="9"/>
  <c r="D329" i="9"/>
  <c r="E329" i="9"/>
  <c r="E332" i="9"/>
  <c r="D332" i="9"/>
  <c r="E334" i="9"/>
  <c r="D334" i="9"/>
  <c r="D336" i="9"/>
  <c r="E336" i="9"/>
  <c r="E340" i="9"/>
  <c r="D340" i="9"/>
  <c r="D343" i="9"/>
  <c r="E343" i="9"/>
  <c r="D344" i="9"/>
  <c r="E344" i="9"/>
  <c r="D310" i="9"/>
  <c r="E310" i="9"/>
  <c r="D317" i="9"/>
  <c r="E317" i="9"/>
  <c r="D319" i="9"/>
  <c r="E319" i="9"/>
  <c r="D322" i="9"/>
  <c r="E322" i="9"/>
  <c r="D328" i="9"/>
  <c r="E328" i="9"/>
  <c r="E333" i="9"/>
  <c r="D333" i="9"/>
  <c r="D338" i="9"/>
  <c r="E338" i="9"/>
  <c r="D342" i="9"/>
  <c r="E342" i="9"/>
  <c r="D314" i="9"/>
  <c r="E314" i="9"/>
  <c r="E320" i="9"/>
  <c r="D320" i="9"/>
  <c r="D323" i="9"/>
  <c r="E323" i="9"/>
  <c r="E327" i="9"/>
  <c r="D327" i="9"/>
  <c r="D331" i="9"/>
  <c r="E331" i="9"/>
  <c r="E335" i="9"/>
  <c r="D335" i="9"/>
  <c r="D337" i="9"/>
  <c r="E337" i="9"/>
  <c r="D341" i="9"/>
  <c r="E341" i="9"/>
  <c r="D345" i="9"/>
  <c r="E345" i="9"/>
  <c r="D315" i="9"/>
  <c r="E315" i="9"/>
  <c r="D316" i="9"/>
  <c r="E316" i="9"/>
  <c r="D311" i="9"/>
  <c r="E311" i="9"/>
  <c r="D131" i="9"/>
  <c r="E131" i="9"/>
  <c r="E164" i="9"/>
  <c r="D164" i="9"/>
  <c r="D165" i="9"/>
  <c r="E165" i="9"/>
  <c r="E132" i="9"/>
  <c r="D132" i="9"/>
  <c r="D135" i="9"/>
  <c r="E135" i="9"/>
  <c r="E138" i="9"/>
  <c r="D138" i="9"/>
  <c r="E147" i="9"/>
  <c r="D147" i="9"/>
  <c r="D148" i="9"/>
  <c r="E148" i="9"/>
  <c r="D159" i="9"/>
  <c r="D183" i="11" s="1"/>
  <c r="E159" i="9"/>
  <c r="E183" i="11" s="1"/>
  <c r="E167" i="9"/>
  <c r="D167" i="9"/>
  <c r="E130" i="9"/>
  <c r="D130" i="9"/>
  <c r="E134" i="9"/>
  <c r="D134" i="9"/>
  <c r="D137" i="9"/>
  <c r="E137" i="9"/>
  <c r="D145" i="9"/>
  <c r="E145" i="9"/>
  <c r="D151" i="9"/>
  <c r="E151" i="9"/>
  <c r="D152" i="9"/>
  <c r="D176" i="11" s="1"/>
  <c r="E152" i="9"/>
  <c r="E176" i="11" s="1"/>
  <c r="D155" i="9"/>
  <c r="D179" i="11" s="1"/>
  <c r="E155" i="9"/>
  <c r="E179" i="11" s="1"/>
  <c r="D149" i="9"/>
  <c r="D174" i="11" s="1"/>
  <c r="E149" i="9"/>
  <c r="E174" i="11" s="1"/>
  <c r="D161" i="9"/>
  <c r="D185" i="11" s="1"/>
  <c r="E161" i="9"/>
  <c r="E185" i="11" s="1"/>
  <c r="D140" i="9"/>
  <c r="D168" i="11" s="1"/>
  <c r="E140" i="9"/>
  <c r="E168" i="11" s="1"/>
  <c r="E142" i="9"/>
  <c r="D142" i="9"/>
  <c r="D158" i="9"/>
  <c r="D182" i="11" s="1"/>
  <c r="E158" i="9"/>
  <c r="E182" i="11" s="1"/>
  <c r="D160" i="9"/>
  <c r="D184" i="11" s="1"/>
  <c r="E160" i="9"/>
  <c r="E184" i="11" s="1"/>
  <c r="D166" i="9"/>
  <c r="E166" i="9"/>
  <c r="E141" i="9"/>
  <c r="D141" i="9"/>
  <c r="D150" i="9"/>
  <c r="D175" i="11" s="1"/>
  <c r="E150" i="9"/>
  <c r="E175" i="11" s="1"/>
  <c r="D156" i="9"/>
  <c r="D180" i="11" s="1"/>
  <c r="E156" i="9"/>
  <c r="E180" i="11" s="1"/>
  <c r="D162" i="9"/>
  <c r="E162" i="9"/>
  <c r="D163" i="9"/>
  <c r="D186" i="11" s="1"/>
  <c r="E163" i="9"/>
  <c r="E186" i="11" s="1"/>
  <c r="D168" i="9"/>
  <c r="D187" i="11" s="1"/>
  <c r="E168" i="9"/>
  <c r="E187" i="11" s="1"/>
  <c r="E129" i="9"/>
  <c r="E166" i="11" s="1"/>
  <c r="D129" i="9"/>
  <c r="D166" i="11" s="1"/>
  <c r="D133" i="9"/>
  <c r="E133" i="9"/>
  <c r="E136" i="9"/>
  <c r="D136" i="9"/>
  <c r="E139" i="9"/>
  <c r="E167" i="11" s="1"/>
  <c r="D139" i="9"/>
  <c r="D167" i="11" s="1"/>
  <c r="E143" i="9"/>
  <c r="D143" i="9"/>
  <c r="E144" i="9"/>
  <c r="E169" i="11" s="1"/>
  <c r="D144" i="9"/>
  <c r="D169" i="11" s="1"/>
  <c r="D157" i="9"/>
  <c r="D181" i="11" s="1"/>
  <c r="E157" i="9"/>
  <c r="E181" i="11" s="1"/>
  <c r="D128" i="9"/>
  <c r="D165" i="11" s="1"/>
  <c r="E128" i="9"/>
  <c r="E165" i="11" s="1"/>
  <c r="D153" i="9"/>
  <c r="D177" i="11" s="1"/>
  <c r="E153" i="9"/>
  <c r="E177" i="11" s="1"/>
  <c r="D154" i="9"/>
  <c r="D178" i="11" s="1"/>
  <c r="E154" i="9"/>
  <c r="E178" i="11" s="1"/>
  <c r="E169" i="9"/>
  <c r="E188" i="11" s="1"/>
  <c r="D169" i="9"/>
  <c r="D188" i="11" s="1"/>
  <c r="D256" i="9"/>
  <c r="D218" i="11" s="1"/>
  <c r="E256" i="9"/>
  <c r="E218" i="11" s="1"/>
  <c r="D263" i="9"/>
  <c r="D225" i="11" s="1"/>
  <c r="E263" i="9"/>
  <c r="E225" i="11" s="1"/>
  <c r="D267" i="9"/>
  <c r="D229" i="11" s="1"/>
  <c r="E267" i="9"/>
  <c r="E229" i="11" s="1"/>
  <c r="D282" i="9"/>
  <c r="D244" i="11" s="1"/>
  <c r="E282" i="9"/>
  <c r="E244" i="11" s="1"/>
  <c r="D283" i="9"/>
  <c r="D245" i="11" s="1"/>
  <c r="E283" i="9"/>
  <c r="E245" i="11" s="1"/>
  <c r="D261" i="9"/>
  <c r="D223" i="11" s="1"/>
  <c r="E261" i="9"/>
  <c r="E223" i="11" s="1"/>
  <c r="D269" i="9"/>
  <c r="D231" i="11" s="1"/>
  <c r="E269" i="9"/>
  <c r="E231" i="11" s="1"/>
  <c r="D277" i="9"/>
  <c r="D239" i="11" s="1"/>
  <c r="E277" i="9"/>
  <c r="E239" i="11" s="1"/>
  <c r="D284" i="9"/>
  <c r="D246" i="11" s="1"/>
  <c r="E284" i="9"/>
  <c r="E246" i="11" s="1"/>
  <c r="E260" i="9"/>
  <c r="E222" i="11" s="1"/>
  <c r="D260" i="9"/>
  <c r="D222" i="11" s="1"/>
  <c r="D266" i="9"/>
  <c r="D228" i="11" s="1"/>
  <c r="E266" i="9"/>
  <c r="E228" i="11" s="1"/>
  <c r="E268" i="9"/>
  <c r="E230" i="11" s="1"/>
  <c r="D268" i="9"/>
  <c r="D230" i="11" s="1"/>
  <c r="D275" i="9"/>
  <c r="D237" i="11" s="1"/>
  <c r="E275" i="9"/>
  <c r="E237" i="11" s="1"/>
  <c r="D279" i="9"/>
  <c r="D241" i="11" s="1"/>
  <c r="E279" i="9"/>
  <c r="E241" i="11" s="1"/>
  <c r="D264" i="9"/>
  <c r="D226" i="11" s="1"/>
  <c r="E264" i="9"/>
  <c r="E226" i="11" s="1"/>
  <c r="D271" i="9"/>
  <c r="D233" i="11" s="1"/>
  <c r="E271" i="9"/>
  <c r="E233" i="11" s="1"/>
  <c r="D278" i="9"/>
  <c r="D240" i="11" s="1"/>
  <c r="E278" i="9"/>
  <c r="E240" i="11" s="1"/>
  <c r="D280" i="9"/>
  <c r="D242" i="11" s="1"/>
  <c r="E280" i="9"/>
  <c r="E242" i="11" s="1"/>
  <c r="D257" i="9"/>
  <c r="D219" i="11" s="1"/>
  <c r="E257" i="9"/>
  <c r="E219" i="11" s="1"/>
  <c r="D258" i="9"/>
  <c r="D220" i="11" s="1"/>
  <c r="E258" i="9"/>
  <c r="E220" i="11" s="1"/>
  <c r="D259" i="9"/>
  <c r="D221" i="11" s="1"/>
  <c r="E259" i="9"/>
  <c r="E221" i="11" s="1"/>
  <c r="D270" i="9"/>
  <c r="D232" i="11" s="1"/>
  <c r="E270" i="9"/>
  <c r="E232" i="11" s="1"/>
  <c r="D273" i="9"/>
  <c r="D235" i="11" s="1"/>
  <c r="E273" i="9"/>
  <c r="E235" i="11" s="1"/>
  <c r="D281" i="9"/>
  <c r="D243" i="11" s="1"/>
  <c r="E281" i="9"/>
  <c r="E243" i="11" s="1"/>
  <c r="D262" i="9"/>
  <c r="D224" i="11" s="1"/>
  <c r="E262" i="9"/>
  <c r="E224" i="11" s="1"/>
  <c r="D274" i="9"/>
  <c r="D236" i="11" s="1"/>
  <c r="E274" i="9"/>
  <c r="E236" i="11" s="1"/>
  <c r="D276" i="9"/>
  <c r="D238" i="11" s="1"/>
  <c r="E276" i="9"/>
  <c r="E238" i="11" s="1"/>
  <c r="D265" i="9"/>
  <c r="D227" i="11" s="1"/>
  <c r="E265" i="9"/>
  <c r="E227" i="11" s="1"/>
  <c r="D272" i="9"/>
  <c r="D234" i="11" s="1"/>
  <c r="E272" i="9"/>
  <c r="E234" i="11" s="1"/>
  <c r="D286" i="9"/>
  <c r="D248" i="11" s="1"/>
  <c r="E286" i="9"/>
  <c r="E248" i="11" s="1"/>
  <c r="D292" i="9"/>
  <c r="D254" i="11" s="1"/>
  <c r="E292" i="9"/>
  <c r="E254" i="11" s="1"/>
  <c r="D296" i="9"/>
  <c r="D258" i="11" s="1"/>
  <c r="E296" i="9"/>
  <c r="E258" i="11" s="1"/>
  <c r="D287" i="9"/>
  <c r="D249" i="11" s="1"/>
  <c r="E287" i="9"/>
  <c r="E249" i="11" s="1"/>
  <c r="D294" i="9"/>
  <c r="D256" i="11" s="1"/>
  <c r="E294" i="9"/>
  <c r="E256" i="11" s="1"/>
  <c r="D291" i="9"/>
  <c r="D253" i="11" s="1"/>
  <c r="E291" i="9"/>
  <c r="E253" i="11" s="1"/>
  <c r="D293" i="9"/>
  <c r="D255" i="11" s="1"/>
  <c r="E293" i="9"/>
  <c r="E255" i="11" s="1"/>
  <c r="D289" i="9"/>
  <c r="D251" i="11" s="1"/>
  <c r="E289" i="9"/>
  <c r="E251" i="11" s="1"/>
  <c r="D295" i="9"/>
  <c r="D257" i="11" s="1"/>
  <c r="E295" i="9"/>
  <c r="E257" i="11" s="1"/>
  <c r="D288" i="9"/>
  <c r="D250" i="11" s="1"/>
  <c r="E288" i="9"/>
  <c r="E250" i="11" s="1"/>
  <c r="D290" i="9"/>
  <c r="D252" i="11" s="1"/>
  <c r="E290" i="9"/>
  <c r="E252" i="11" s="1"/>
  <c r="D297" i="9"/>
  <c r="D259" i="11" s="1"/>
  <c r="E297" i="9"/>
  <c r="E259" i="11" s="1"/>
  <c r="D172" i="9"/>
  <c r="D162" i="11" s="1"/>
  <c r="E172" i="9"/>
  <c r="E162" i="11" s="1"/>
  <c r="E181" i="9"/>
  <c r="D181" i="9"/>
  <c r="D184" i="9"/>
  <c r="E184" i="9"/>
  <c r="E216" i="9"/>
  <c r="E209" i="11" s="1"/>
  <c r="D216" i="9"/>
  <c r="D209" i="11" s="1"/>
  <c r="E175" i="9"/>
  <c r="D175" i="9"/>
  <c r="E205" i="9"/>
  <c r="E195" i="11" s="1"/>
  <c r="D205" i="9"/>
  <c r="D195" i="11" s="1"/>
  <c r="D218" i="9"/>
  <c r="D211" i="11" s="1"/>
  <c r="E218" i="9"/>
  <c r="E211" i="11" s="1"/>
  <c r="D221" i="9"/>
  <c r="D214" i="11" s="1"/>
  <c r="E221" i="9"/>
  <c r="E214" i="11" s="1"/>
  <c r="E182" i="9"/>
  <c r="D182" i="9"/>
  <c r="D207" i="9"/>
  <c r="D197" i="11" s="1"/>
  <c r="E207" i="9"/>
  <c r="E197" i="11" s="1"/>
  <c r="D210" i="9"/>
  <c r="E210" i="9"/>
  <c r="D212" i="9"/>
  <c r="E212" i="9"/>
  <c r="D225" i="9"/>
  <c r="D216" i="11" s="1"/>
  <c r="E225" i="9"/>
  <c r="E216" i="11" s="1"/>
  <c r="E177" i="9"/>
  <c r="D177" i="9"/>
  <c r="D179" i="9"/>
  <c r="E179" i="9"/>
  <c r="E180" i="9"/>
  <c r="D180" i="9"/>
  <c r="D211" i="9"/>
  <c r="D198" i="11" s="1"/>
  <c r="E211" i="9"/>
  <c r="E198" i="11" s="1"/>
  <c r="D215" i="9"/>
  <c r="D208" i="11" s="1"/>
  <c r="E215" i="9"/>
  <c r="E208" i="11" s="1"/>
  <c r="E174" i="9"/>
  <c r="D174" i="9"/>
  <c r="D208" i="9"/>
  <c r="E208" i="9"/>
  <c r="D217" i="9"/>
  <c r="D210" i="11" s="1"/>
  <c r="E217" i="9"/>
  <c r="E210" i="11" s="1"/>
  <c r="D173" i="9"/>
  <c r="E173" i="9"/>
  <c r="D178" i="9"/>
  <c r="D163" i="11" s="1"/>
  <c r="E178" i="9"/>
  <c r="E163" i="11" s="1"/>
  <c r="D203" i="9"/>
  <c r="D193" i="11" s="1"/>
  <c r="E203" i="9"/>
  <c r="E193" i="11" s="1"/>
  <c r="E209" i="9"/>
  <c r="D209" i="9"/>
  <c r="D220" i="9"/>
  <c r="D213" i="11" s="1"/>
  <c r="E220" i="9"/>
  <c r="E213" i="11" s="1"/>
  <c r="D222" i="9"/>
  <c r="E222" i="9"/>
  <c r="E223" i="9"/>
  <c r="E215" i="11" s="1"/>
  <c r="D223" i="9"/>
  <c r="D215" i="11" s="1"/>
  <c r="E176" i="9"/>
  <c r="D176" i="9"/>
  <c r="D183" i="9"/>
  <c r="E183" i="9"/>
  <c r="D206" i="9"/>
  <c r="D196" i="11" s="1"/>
  <c r="E206" i="9"/>
  <c r="E196" i="11" s="1"/>
  <c r="D213" i="9"/>
  <c r="E213" i="9"/>
  <c r="D171" i="9"/>
  <c r="D161" i="11" s="1"/>
  <c r="E171" i="9"/>
  <c r="E161" i="11" s="1"/>
  <c r="E204" i="9"/>
  <c r="E194" i="11" s="1"/>
  <c r="D204" i="9"/>
  <c r="D194" i="11" s="1"/>
  <c r="D224" i="9"/>
  <c r="E224" i="9"/>
  <c r="D250" i="9"/>
  <c r="D155" i="11" s="1"/>
  <c r="E250" i="9"/>
  <c r="E155" i="11" s="1"/>
  <c r="D254" i="9"/>
  <c r="D159" i="11" s="1"/>
  <c r="E254" i="9"/>
  <c r="E159" i="11" s="1"/>
  <c r="D249" i="9"/>
  <c r="D154" i="11" s="1"/>
  <c r="E249" i="9"/>
  <c r="E154" i="11" s="1"/>
  <c r="D246" i="9"/>
  <c r="D151" i="11" s="1"/>
  <c r="E246" i="9"/>
  <c r="E151" i="11" s="1"/>
  <c r="D251" i="9"/>
  <c r="D156" i="11" s="1"/>
  <c r="E251" i="9"/>
  <c r="E156" i="11" s="1"/>
  <c r="D252" i="9"/>
  <c r="D157" i="11" s="1"/>
  <c r="E252" i="9"/>
  <c r="E157" i="11" s="1"/>
  <c r="D247" i="9"/>
  <c r="D152" i="11" s="1"/>
  <c r="E247" i="9"/>
  <c r="E152" i="11" s="1"/>
  <c r="E248" i="9"/>
  <c r="E153" i="11" s="1"/>
  <c r="D248" i="9"/>
  <c r="D153" i="11" s="1"/>
  <c r="D253" i="9"/>
  <c r="D158" i="11" s="1"/>
  <c r="E253" i="9"/>
  <c r="E158" i="11" s="1"/>
  <c r="E113" i="11"/>
  <c r="D113" i="11"/>
  <c r="D115" i="11"/>
  <c r="E115" i="11"/>
  <c r="D116" i="11"/>
  <c r="E116" i="11"/>
  <c r="E117" i="11"/>
  <c r="D117" i="11"/>
  <c r="E118" i="11"/>
  <c r="D118" i="11"/>
  <c r="E119" i="11"/>
  <c r="D119" i="11"/>
  <c r="E120" i="11"/>
  <c r="D120" i="11"/>
  <c r="D114" i="11"/>
  <c r="E114" i="11"/>
  <c r="D303" i="9"/>
  <c r="E303" i="9"/>
  <c r="D305" i="9"/>
  <c r="E305" i="9"/>
  <c r="D308" i="9"/>
  <c r="E308" i="9"/>
  <c r="D304" i="9"/>
  <c r="E304" i="9"/>
  <c r="D307" i="9"/>
  <c r="E307" i="9"/>
  <c r="D301" i="9"/>
  <c r="E301" i="9"/>
  <c r="D302" i="9"/>
  <c r="E302" i="9"/>
  <c r="D299" i="9"/>
  <c r="E299" i="9"/>
  <c r="D306" i="9"/>
  <c r="E306" i="9"/>
  <c r="D300" i="9"/>
  <c r="E300" i="9"/>
  <c r="T3" i="15"/>
  <c r="N128" i="15"/>
  <c r="T128" i="15" s="1"/>
  <c r="V128" i="15" s="1"/>
  <c r="K128" i="15"/>
  <c r="O128" i="15" s="1"/>
  <c r="P128" i="15" s="1"/>
  <c r="O227" i="15"/>
  <c r="P227" i="15" s="1"/>
  <c r="O226" i="15"/>
  <c r="O225" i="15"/>
  <c r="P225" i="15" s="1"/>
  <c r="O223" i="15"/>
  <c r="O221" i="15"/>
  <c r="O219" i="15"/>
  <c r="O222" i="15"/>
  <c r="O217" i="15"/>
  <c r="O216" i="15"/>
  <c r="O224" i="15"/>
  <c r="P224" i="15" s="1"/>
  <c r="O220" i="15"/>
  <c r="O218" i="15"/>
  <c r="N22" i="15"/>
  <c r="T22" i="15" s="1"/>
  <c r="V22" i="15" s="1"/>
  <c r="K22" i="15"/>
  <c r="O209" i="15"/>
  <c r="O202" i="15"/>
  <c r="O199" i="15"/>
  <c r="O198" i="15"/>
  <c r="O197" i="15"/>
  <c r="O214" i="15"/>
  <c r="O205" i="15"/>
  <c r="O203" i="15"/>
  <c r="O200" i="15"/>
  <c r="O215" i="15"/>
  <c r="O213" i="15"/>
  <c r="O212" i="15"/>
  <c r="O211" i="15"/>
  <c r="O210" i="15"/>
  <c r="O208" i="15"/>
  <c r="O207" i="15"/>
  <c r="P207" i="15" s="1"/>
  <c r="O206" i="15"/>
  <c r="O204" i="15"/>
  <c r="P204" i="15" s="1"/>
  <c r="O201" i="15"/>
  <c r="O196" i="15"/>
  <c r="O195" i="15"/>
  <c r="O194" i="15"/>
  <c r="O193" i="15"/>
  <c r="O192" i="15"/>
  <c r="O191" i="15"/>
  <c r="P191" i="15" s="1"/>
  <c r="O190" i="15"/>
  <c r="O189" i="15"/>
  <c r="O188" i="15"/>
  <c r="O187" i="15"/>
  <c r="N21" i="15"/>
  <c r="T21" i="15" s="1"/>
  <c r="V21" i="15" s="1"/>
  <c r="K21" i="15"/>
  <c r="O327" i="15"/>
  <c r="P327" i="15" s="1"/>
  <c r="O323" i="15"/>
  <c r="O321" i="15"/>
  <c r="O320" i="15"/>
  <c r="P320" i="15" s="1"/>
  <c r="O319" i="15"/>
  <c r="O318" i="15"/>
  <c r="P318" i="15" s="1"/>
  <c r="O316" i="15"/>
  <c r="O333" i="15"/>
  <c r="O332" i="15"/>
  <c r="O331" i="15"/>
  <c r="O330" i="15"/>
  <c r="P330" i="15" s="1"/>
  <c r="O329" i="15"/>
  <c r="O328" i="15"/>
  <c r="O325" i="15"/>
  <c r="O315" i="15"/>
  <c r="P315" i="15" s="1"/>
  <c r="O311" i="15"/>
  <c r="O310" i="15"/>
  <c r="P310" i="15" s="1"/>
  <c r="O307" i="15"/>
  <c r="P307" i="15" s="1"/>
  <c r="O306" i="15"/>
  <c r="P306" i="15" s="1"/>
  <c r="O305" i="15"/>
  <c r="O303" i="15"/>
  <c r="P303" i="15" s="1"/>
  <c r="O326" i="15"/>
  <c r="O324" i="15"/>
  <c r="P324" i="15" s="1"/>
  <c r="O322" i="15"/>
  <c r="P322" i="15" s="1"/>
  <c r="O317" i="15"/>
  <c r="O314" i="15"/>
  <c r="P314" i="15" s="1"/>
  <c r="O313" i="15"/>
  <c r="O312" i="15"/>
  <c r="O309" i="15"/>
  <c r="O308" i="15"/>
  <c r="P308" i="15" s="1"/>
  <c r="O304" i="15"/>
  <c r="P304" i="15" s="1"/>
  <c r="N20" i="15"/>
  <c r="T20" i="15" s="1"/>
  <c r="V20" i="15" s="1"/>
  <c r="K20" i="15"/>
  <c r="N15" i="15"/>
  <c r="T15" i="15" s="1"/>
  <c r="V15" i="15" s="1"/>
  <c r="K15" i="15"/>
  <c r="O15" i="15" s="1"/>
  <c r="N14" i="15"/>
  <c r="T14" i="15" s="1"/>
  <c r="V14" i="15" s="1"/>
  <c r="K14" i="15"/>
  <c r="O14" i="15" s="1"/>
  <c r="N13" i="15"/>
  <c r="T13" i="15" s="1"/>
  <c r="V13" i="15" s="1"/>
  <c r="K13" i="15"/>
  <c r="N12" i="15"/>
  <c r="K12" i="15"/>
  <c r="O12" i="15" s="1"/>
  <c r="P19" i="15"/>
  <c r="R25" i="15"/>
  <c r="R26" i="15" s="1"/>
  <c r="R27" i="15" s="1"/>
  <c r="R28" i="15" s="1"/>
  <c r="R29" i="15" s="1"/>
  <c r="R30" i="15" s="1"/>
  <c r="R31" i="15" s="1"/>
  <c r="R32" i="15" s="1"/>
  <c r="R33" i="15" s="1"/>
  <c r="R34" i="15" s="1"/>
  <c r="R35" i="15" s="1"/>
  <c r="R36" i="15" s="1"/>
  <c r="R37" i="15" s="1"/>
  <c r="R38" i="15" s="1"/>
  <c r="R39" i="15" s="1"/>
  <c r="R40" i="15" s="1"/>
  <c r="R41" i="15" s="1"/>
  <c r="R42" i="15" s="1"/>
  <c r="R43" i="15" s="1"/>
  <c r="R44" i="15" s="1"/>
  <c r="R45" i="15" s="1"/>
  <c r="R46" i="15" s="1"/>
  <c r="R47" i="15" s="1"/>
  <c r="R48" i="15" s="1"/>
  <c r="R49" i="15" s="1"/>
  <c r="R50" i="15" s="1"/>
  <c r="R51" i="15" s="1"/>
  <c r="R52" i="15" s="1"/>
  <c r="R53" i="15" s="1"/>
  <c r="R54" i="15" s="1"/>
  <c r="R55" i="15" s="1"/>
  <c r="R56" i="15" s="1"/>
  <c r="R57" i="15" s="1"/>
  <c r="R58" i="15" s="1"/>
  <c r="R59" i="15" s="1"/>
  <c r="R60" i="15" s="1"/>
  <c r="R61" i="15" s="1"/>
  <c r="R62" i="15" s="1"/>
  <c r="R63" i="15" s="1"/>
  <c r="R64" i="15" s="1"/>
  <c r="R65" i="15" s="1"/>
  <c r="R66" i="15" s="1"/>
  <c r="R67" i="15" s="1"/>
  <c r="R68" i="15" s="1"/>
  <c r="R69" i="15" s="1"/>
  <c r="R70" i="15" s="1"/>
  <c r="R71" i="15" s="1"/>
  <c r="R72" i="15" s="1"/>
  <c r="R73" i="15" s="1"/>
  <c r="R74" i="15" s="1"/>
  <c r="R75" i="15" s="1"/>
  <c r="R76" i="15" s="1"/>
  <c r="R77" i="15" s="1"/>
  <c r="R78" i="15" s="1"/>
  <c r="R79" i="15" s="1"/>
  <c r="R80" i="15" s="1"/>
  <c r="R81" i="15" s="1"/>
  <c r="R82" i="15" s="1"/>
  <c r="R83" i="15" s="1"/>
  <c r="R84" i="15" s="1"/>
  <c r="R85" i="15" s="1"/>
  <c r="R86" i="15" s="1"/>
  <c r="R87" i="15" s="1"/>
  <c r="R88" i="15" s="1"/>
  <c r="R89" i="15" s="1"/>
  <c r="R90" i="15" s="1"/>
  <c r="R91" i="15" s="1"/>
  <c r="R92" i="15" s="1"/>
  <c r="R93" i="15" s="1"/>
  <c r="R94" i="15" s="1"/>
  <c r="R95" i="15" s="1"/>
  <c r="R96" i="15" s="1"/>
  <c r="R97" i="15" s="1"/>
  <c r="R98" i="15" s="1"/>
  <c r="R99" i="15" s="1"/>
  <c r="R100" i="15" s="1"/>
  <c r="R101" i="15" s="1"/>
  <c r="R102" i="15" s="1"/>
  <c r="R103" i="15" s="1"/>
  <c r="R104" i="15" s="1"/>
  <c r="R105" i="15" s="1"/>
  <c r="R106" i="15" s="1"/>
  <c r="R107" i="15" s="1"/>
  <c r="R108" i="15" s="1"/>
  <c r="R109" i="15" s="1"/>
  <c r="R110" i="15" s="1"/>
  <c r="R111" i="15" s="1"/>
  <c r="R112" i="15" s="1"/>
  <c r="R113" i="15" s="1"/>
  <c r="R114" i="15" s="1"/>
  <c r="R115" i="15" s="1"/>
  <c r="R116" i="15" s="1"/>
  <c r="R117" i="15" s="1"/>
  <c r="R118" i="15" s="1"/>
  <c r="R119" i="15" s="1"/>
  <c r="R120" i="15" s="1"/>
  <c r="R121" i="15" s="1"/>
  <c r="R122" i="15" s="1"/>
  <c r="R123" i="15" s="1"/>
  <c r="R124" i="15" s="1"/>
  <c r="R125" i="15" s="1"/>
  <c r="R126" i="15" s="1"/>
  <c r="R127" i="15" s="1"/>
  <c r="R128" i="15" s="1"/>
  <c r="R129" i="15" s="1"/>
  <c r="R130" i="15" s="1"/>
  <c r="R131" i="15" s="1"/>
  <c r="R132" i="15" s="1"/>
  <c r="R133" i="15" s="1"/>
  <c r="R134" i="15" s="1"/>
  <c r="R135" i="15" s="1"/>
  <c r="R136" i="15" s="1"/>
  <c r="R137" i="15" s="1"/>
  <c r="R138" i="15" s="1"/>
  <c r="R139" i="15" s="1"/>
  <c r="R140" i="15" s="1"/>
  <c r="R141" i="15" s="1"/>
  <c r="R142" i="15" s="1"/>
  <c r="R143" i="15" s="1"/>
  <c r="R144" i="15" s="1"/>
  <c r="R145" i="15" s="1"/>
  <c r="R146" i="15" s="1"/>
  <c r="R147" i="15" s="1"/>
  <c r="R148" i="15" s="1"/>
  <c r="R149" i="15" s="1"/>
  <c r="R150" i="15" s="1"/>
  <c r="R151" i="15" s="1"/>
  <c r="R152" i="15" s="1"/>
  <c r="R153" i="15" s="1"/>
  <c r="R154" i="15" s="1"/>
  <c r="R155" i="15" s="1"/>
  <c r="R156" i="15" s="1"/>
  <c r="R157" i="15" s="1"/>
  <c r="R158" i="15" s="1"/>
  <c r="R159" i="15" s="1"/>
  <c r="R160" i="15" s="1"/>
  <c r="R161" i="15" s="1"/>
  <c r="R162" i="15" s="1"/>
  <c r="R163" i="15" s="1"/>
  <c r="R164" i="15" s="1"/>
  <c r="R165" i="15" s="1"/>
  <c r="R166" i="15" s="1"/>
  <c r="R167" i="15" s="1"/>
  <c r="R168" i="15" s="1"/>
  <c r="R169" i="15" s="1"/>
  <c r="R170" i="15" s="1"/>
  <c r="R171" i="15" s="1"/>
  <c r="R172" i="15" s="1"/>
  <c r="R173" i="15" s="1"/>
  <c r="R174" i="15" s="1"/>
  <c r="R175" i="15" s="1"/>
  <c r="R176" i="15" s="1"/>
  <c r="R177" i="15" s="1"/>
  <c r="R178" i="15" s="1"/>
  <c r="R179" i="15" s="1"/>
  <c r="R180" i="15" s="1"/>
  <c r="R181" i="15" s="1"/>
  <c r="R182" i="15" s="1"/>
  <c r="R183" i="15" s="1"/>
  <c r="R184" i="15" s="1"/>
  <c r="R185" i="15" s="1"/>
  <c r="R186" i="15" s="1"/>
  <c r="R187" i="15" s="1"/>
  <c r="R188" i="15" s="1"/>
  <c r="R189" i="15" s="1"/>
  <c r="R190" i="15" s="1"/>
  <c r="R191" i="15" s="1"/>
  <c r="R192" i="15" s="1"/>
  <c r="R193" i="15" s="1"/>
  <c r="R194" i="15" s="1"/>
  <c r="R195" i="15" s="1"/>
  <c r="R196" i="15" s="1"/>
  <c r="R197" i="15" s="1"/>
  <c r="R198" i="15" s="1"/>
  <c r="R199" i="15" s="1"/>
  <c r="R200" i="15" s="1"/>
  <c r="R201" i="15" s="1"/>
  <c r="R202" i="15" s="1"/>
  <c r="R203" i="15" s="1"/>
  <c r="R204" i="15" s="1"/>
  <c r="R205" i="15" s="1"/>
  <c r="R206" i="15" s="1"/>
  <c r="R207" i="15" s="1"/>
  <c r="R208" i="15" s="1"/>
  <c r="R209" i="15" s="1"/>
  <c r="R210" i="15" s="1"/>
  <c r="R211" i="15" s="1"/>
  <c r="R212" i="15" s="1"/>
  <c r="R213" i="15" s="1"/>
  <c r="R214" i="15" s="1"/>
  <c r="R215" i="15" s="1"/>
  <c r="R216" i="15" s="1"/>
  <c r="R217" i="15" s="1"/>
  <c r="R218" i="15" s="1"/>
  <c r="R219" i="15" s="1"/>
  <c r="R220" i="15" s="1"/>
  <c r="R221" i="15" s="1"/>
  <c r="R222" i="15" s="1"/>
  <c r="R223" i="15" s="1"/>
  <c r="R224" i="15" s="1"/>
  <c r="R225" i="15" s="1"/>
  <c r="R226" i="15" s="1"/>
  <c r="R227" i="15" s="1"/>
  <c r="R228" i="15" s="1"/>
  <c r="R229" i="15" s="1"/>
  <c r="R230" i="15" s="1"/>
  <c r="R231" i="15" s="1"/>
  <c r="R232" i="15" s="1"/>
  <c r="R233" i="15" s="1"/>
  <c r="R234" i="15" s="1"/>
  <c r="R235" i="15" s="1"/>
  <c r="R236" i="15" s="1"/>
  <c r="R237" i="15" s="1"/>
  <c r="R238" i="15" s="1"/>
  <c r="R239" i="15" s="1"/>
  <c r="R240" i="15" s="1"/>
  <c r="R241" i="15" s="1"/>
  <c r="R242" i="15" s="1"/>
  <c r="R243" i="15" s="1"/>
  <c r="R244" i="15" s="1"/>
  <c r="R245" i="15" s="1"/>
  <c r="R246" i="15" s="1"/>
  <c r="R247" i="15" s="1"/>
  <c r="R248" i="15" s="1"/>
  <c r="R249" i="15" s="1"/>
  <c r="R250" i="15" s="1"/>
  <c r="R251" i="15" s="1"/>
  <c r="R252" i="15" s="1"/>
  <c r="R253" i="15" s="1"/>
  <c r="R254" i="15" s="1"/>
  <c r="R255" i="15" s="1"/>
  <c r="R256" i="15" s="1"/>
  <c r="R257" i="15" s="1"/>
  <c r="R258" i="15" s="1"/>
  <c r="R259" i="15" s="1"/>
  <c r="R260" i="15" s="1"/>
  <c r="R261" i="15" s="1"/>
  <c r="R262" i="15" s="1"/>
  <c r="R263" i="15" s="1"/>
  <c r="R264" i="15" s="1"/>
  <c r="R265" i="15" s="1"/>
  <c r="R266" i="15" s="1"/>
  <c r="R267" i="15" s="1"/>
  <c r="R268" i="15" s="1"/>
  <c r="R269" i="15" s="1"/>
  <c r="R270" i="15" s="1"/>
  <c r="R271" i="15" s="1"/>
  <c r="R272" i="15" s="1"/>
  <c r="R273" i="15" s="1"/>
  <c r="R274" i="15" s="1"/>
  <c r="R275" i="15" s="1"/>
  <c r="R276" i="15" s="1"/>
  <c r="R277" i="15" s="1"/>
  <c r="R278" i="15" s="1"/>
  <c r="R279" i="15" s="1"/>
  <c r="R280" i="15" s="1"/>
  <c r="R281" i="15" s="1"/>
  <c r="R282" i="15" s="1"/>
  <c r="R283" i="15" s="1"/>
  <c r="R284" i="15" s="1"/>
  <c r="R285" i="15" s="1"/>
  <c r="R286" i="15" s="1"/>
  <c r="R287" i="15" s="1"/>
  <c r="R288" i="15" s="1"/>
  <c r="R289" i="15" s="1"/>
  <c r="R290" i="15" s="1"/>
  <c r="R291" i="15" s="1"/>
  <c r="R292" i="15" s="1"/>
  <c r="R293" i="15" s="1"/>
  <c r="R294" i="15" s="1"/>
  <c r="R295" i="15" s="1"/>
  <c r="R296" i="15" s="1"/>
  <c r="R297" i="15" s="1"/>
  <c r="R298" i="15" s="1"/>
  <c r="R299" i="15" s="1"/>
  <c r="R300" i="15" s="1"/>
  <c r="R301" i="15" s="1"/>
  <c r="R302" i="15" s="1"/>
  <c r="R303" i="15" s="1"/>
  <c r="R304" i="15" s="1"/>
  <c r="R305" i="15" s="1"/>
  <c r="R306" i="15" s="1"/>
  <c r="R307" i="15" s="1"/>
  <c r="R308" i="15" s="1"/>
  <c r="R309" i="15" s="1"/>
  <c r="R310" i="15" s="1"/>
  <c r="R311" i="15" s="1"/>
  <c r="R312" i="15" s="1"/>
  <c r="R313" i="15" s="1"/>
  <c r="R314" i="15" s="1"/>
  <c r="R315" i="15" s="1"/>
  <c r="R316" i="15" s="1"/>
  <c r="R317" i="15" s="1"/>
  <c r="R318" i="15" s="1"/>
  <c r="R319" i="15" s="1"/>
  <c r="R320" i="15" s="1"/>
  <c r="R321" i="15" s="1"/>
  <c r="R322" i="15" s="1"/>
  <c r="R323" i="15" s="1"/>
  <c r="R324" i="15" s="1"/>
  <c r="R325" i="15" s="1"/>
  <c r="R326" i="15" s="1"/>
  <c r="R327" i="15" s="1"/>
  <c r="R328" i="15" s="1"/>
  <c r="R329" i="15" s="1"/>
  <c r="R330" i="15" s="1"/>
  <c r="R331" i="15" s="1"/>
  <c r="R332" i="15" s="1"/>
  <c r="R333" i="15" s="1"/>
  <c r="L115" i="15"/>
  <c r="N175" i="15"/>
  <c r="T175" i="15" s="1"/>
  <c r="V175" i="15" s="1"/>
  <c r="N85" i="15"/>
  <c r="T85" i="15" s="1"/>
  <c r="N91" i="15"/>
  <c r="T91" i="15" s="1"/>
  <c r="V91" i="15" s="1"/>
  <c r="L208" i="15"/>
  <c r="N31" i="15"/>
  <c r="T31" i="15" s="1"/>
  <c r="V31" i="15" s="1"/>
  <c r="N211" i="15"/>
  <c r="T211" i="15" s="1"/>
  <c r="V211" i="15" s="1"/>
  <c r="L194" i="15"/>
  <c r="N126" i="15"/>
  <c r="T126" i="15" s="1"/>
  <c r="V126" i="15" s="1"/>
  <c r="L40" i="15"/>
  <c r="N36" i="15"/>
  <c r="T36" i="15" s="1"/>
  <c r="V36" i="15" s="1"/>
  <c r="N52" i="15"/>
  <c r="T52" i="15" s="1"/>
  <c r="N332" i="15"/>
  <c r="T332" i="15" s="1"/>
  <c r="V332" i="15" s="1"/>
  <c r="L332" i="15"/>
  <c r="N51" i="15"/>
  <c r="T51" i="15" s="1"/>
  <c r="N84" i="15"/>
  <c r="T84" i="15" s="1"/>
  <c r="N62" i="15"/>
  <c r="T62" i="15" s="1"/>
  <c r="V62" i="15" s="1"/>
  <c r="N176" i="15"/>
  <c r="T176" i="15" s="1"/>
  <c r="V176" i="15" s="1"/>
  <c r="L331" i="15"/>
  <c r="N103" i="15"/>
  <c r="T103" i="15" s="1"/>
  <c r="V103" i="15" s="1"/>
  <c r="N43" i="15"/>
  <c r="T43" i="15" s="1"/>
  <c r="V43" i="15" s="1"/>
  <c r="N233" i="15"/>
  <c r="T233" i="15" s="1"/>
  <c r="V233" i="15" s="1"/>
  <c r="N27" i="15"/>
  <c r="T27" i="15" s="1"/>
  <c r="V27" i="15" s="1"/>
  <c r="N163" i="15"/>
  <c r="T163" i="15" s="1"/>
  <c r="N224" i="15"/>
  <c r="T224" i="15" s="1"/>
  <c r="V224" i="15" s="1"/>
  <c r="N184" i="15"/>
  <c r="T184" i="15" s="1"/>
  <c r="V184" i="15" s="1"/>
  <c r="L120" i="15"/>
  <c r="L179" i="15"/>
  <c r="L325" i="15"/>
  <c r="N323" i="15"/>
  <c r="T323" i="15" s="1"/>
  <c r="V323" i="15" s="1"/>
  <c r="N47" i="15"/>
  <c r="T47" i="15" s="1"/>
  <c r="V47" i="15" s="1"/>
  <c r="N97" i="15"/>
  <c r="T97" i="15" s="1"/>
  <c r="L45" i="15"/>
  <c r="N156" i="15"/>
  <c r="T156" i="15" s="1"/>
  <c r="V156" i="15" s="1"/>
  <c r="N42" i="15"/>
  <c r="T42" i="15" s="1"/>
  <c r="V42" i="15" s="1"/>
  <c r="N37" i="15"/>
  <c r="T37" i="15" s="1"/>
  <c r="L151" i="15"/>
  <c r="L148" i="15"/>
  <c r="L146" i="15"/>
  <c r="L124" i="15"/>
  <c r="L196" i="15"/>
  <c r="L323" i="15"/>
  <c r="N172" i="15"/>
  <c r="T172" i="15" s="1"/>
  <c r="V172" i="15" s="1"/>
  <c r="N104" i="15"/>
  <c r="T104" i="15" s="1"/>
  <c r="V104" i="15" s="1"/>
  <c r="L305" i="15"/>
  <c r="L88" i="15"/>
  <c r="N45" i="15"/>
  <c r="T45" i="15" s="1"/>
  <c r="V45" i="15" s="1"/>
  <c r="N41" i="15"/>
  <c r="T41" i="15" s="1"/>
  <c r="V41" i="15" s="1"/>
  <c r="L233" i="15"/>
  <c r="P233" i="15" s="1"/>
  <c r="N214" i="15"/>
  <c r="T214" i="15" s="1"/>
  <c r="V214" i="15" s="1"/>
  <c r="N234" i="15"/>
  <c r="T234" i="15" s="1"/>
  <c r="V234" i="15" s="1"/>
  <c r="N222" i="15"/>
  <c r="T222" i="15" s="1"/>
  <c r="V222" i="15" s="1"/>
  <c r="N213" i="15"/>
  <c r="T213" i="15" s="1"/>
  <c r="V213" i="15" s="1"/>
  <c r="N186" i="15"/>
  <c r="T186" i="15" s="1"/>
  <c r="V186" i="15" s="1"/>
  <c r="N174" i="15"/>
  <c r="T174" i="15" s="1"/>
  <c r="V174" i="15" s="1"/>
  <c r="N328" i="15"/>
  <c r="T328" i="15" s="1"/>
  <c r="N76" i="15"/>
  <c r="T76" i="15" s="1"/>
  <c r="V76" i="15" s="1"/>
  <c r="L75" i="15"/>
  <c r="N304" i="15"/>
  <c r="T304" i="15" s="1"/>
  <c r="V304" i="15" s="1"/>
  <c r="N74" i="15"/>
  <c r="T74" i="15" s="1"/>
  <c r="V74" i="15" s="1"/>
  <c r="N219" i="15"/>
  <c r="T219" i="15" s="1"/>
  <c r="V219" i="15" s="1"/>
  <c r="N209" i="15"/>
  <c r="T209" i="15" s="1"/>
  <c r="V209" i="15" s="1"/>
  <c r="L192" i="15"/>
  <c r="N122" i="15"/>
  <c r="T122" i="15" s="1"/>
  <c r="V122" i="15" s="1"/>
  <c r="N70" i="15"/>
  <c r="T70" i="15" s="1"/>
  <c r="N107" i="15"/>
  <c r="T107" i="15" s="1"/>
  <c r="V107" i="15" s="1"/>
  <c r="N315" i="15"/>
  <c r="T315" i="15" s="1"/>
  <c r="N66" i="15"/>
  <c r="T66" i="15" s="1"/>
  <c r="N166" i="15"/>
  <c r="T166" i="15" s="1"/>
  <c r="V166" i="15" s="1"/>
  <c r="L317" i="15"/>
  <c r="L316" i="15"/>
  <c r="N310" i="15"/>
  <c r="T310" i="15" s="1"/>
  <c r="L60" i="15"/>
  <c r="P60" i="15" s="1"/>
  <c r="N306" i="15"/>
  <c r="T306" i="15" s="1"/>
  <c r="N57" i="15"/>
  <c r="T57" i="15" s="1"/>
  <c r="N117" i="15"/>
  <c r="T117" i="15" s="1"/>
  <c r="L56" i="15"/>
  <c r="P56" i="15" s="1"/>
  <c r="N109" i="15"/>
  <c r="T109" i="15" s="1"/>
  <c r="V109" i="15" s="1"/>
  <c r="N118" i="15"/>
  <c r="T118" i="15" s="1"/>
  <c r="N159" i="15"/>
  <c r="T159" i="15" s="1"/>
  <c r="V159" i="15" s="1"/>
  <c r="N48" i="15"/>
  <c r="T48" i="15" s="1"/>
  <c r="V48" i="15" s="1"/>
  <c r="L47" i="15"/>
  <c r="N225" i="15"/>
  <c r="T225" i="15" s="1"/>
  <c r="V225" i="15" s="1"/>
  <c r="N44" i="15"/>
  <c r="T44" i="15" s="1"/>
  <c r="V44" i="15" s="1"/>
  <c r="L43" i="15"/>
  <c r="L42" i="15"/>
  <c r="L39" i="15"/>
  <c r="N38" i="15"/>
  <c r="T38" i="15" s="1"/>
  <c r="N232" i="15"/>
  <c r="T232" i="15" s="1"/>
  <c r="V232" i="15" s="1"/>
  <c r="N152" i="15"/>
  <c r="T152" i="15" s="1"/>
  <c r="N34" i="15"/>
  <c r="T34" i="15" s="1"/>
  <c r="V34" i="15" s="1"/>
  <c r="N33" i="15"/>
  <c r="T33" i="15" s="1"/>
  <c r="V33" i="15" s="1"/>
  <c r="N32" i="15"/>
  <c r="T32" i="15" s="1"/>
  <c r="V32" i="15" s="1"/>
  <c r="N150" i="15"/>
  <c r="T150" i="15" s="1"/>
  <c r="V150" i="15" s="1"/>
  <c r="N231" i="15"/>
  <c r="T231" i="15" s="1"/>
  <c r="V231" i="15" s="1"/>
  <c r="N148" i="15"/>
  <c r="T148" i="15" s="1"/>
  <c r="V148" i="15" s="1"/>
  <c r="N229" i="15"/>
  <c r="T229" i="15" s="1"/>
  <c r="V229" i="15" s="1"/>
  <c r="N145" i="15"/>
  <c r="T145" i="15" s="1"/>
  <c r="V145" i="15" s="1"/>
  <c r="N228" i="15"/>
  <c r="T228" i="15" s="1"/>
  <c r="V228" i="15" s="1"/>
  <c r="N123" i="15"/>
  <c r="T123" i="15" s="1"/>
  <c r="V123" i="15" s="1"/>
  <c r="N309" i="15"/>
  <c r="T309" i="15" s="1"/>
  <c r="V309" i="15" s="1"/>
  <c r="L142" i="15"/>
  <c r="L139" i="15"/>
  <c r="P139" i="15" s="1"/>
  <c r="L186" i="15"/>
  <c r="L222" i="15"/>
  <c r="L121" i="15"/>
  <c r="N177" i="15"/>
  <c r="T177" i="15" s="1"/>
  <c r="V177" i="15" s="1"/>
  <c r="N96" i="15"/>
  <c r="T96" i="15" s="1"/>
  <c r="N173" i="15"/>
  <c r="T173" i="15" s="1"/>
  <c r="V173" i="15" s="1"/>
  <c r="L329" i="15"/>
  <c r="L326" i="15"/>
  <c r="N75" i="15"/>
  <c r="T75" i="15" s="1"/>
  <c r="V75" i="15" s="1"/>
  <c r="L237" i="15"/>
  <c r="P237" i="15" s="1"/>
  <c r="N217" i="15"/>
  <c r="T217" i="15" s="1"/>
  <c r="L206" i="15"/>
  <c r="L72" i="15"/>
  <c r="N127" i="15"/>
  <c r="T127" i="15" s="1"/>
  <c r="V127" i="15" s="1"/>
  <c r="N115" i="15"/>
  <c r="T115" i="15" s="1"/>
  <c r="N112" i="15"/>
  <c r="T112" i="15" s="1"/>
  <c r="N100" i="15"/>
  <c r="T100" i="15" s="1"/>
  <c r="V100" i="15" s="1"/>
  <c r="N95" i="15"/>
  <c r="T95" i="15" s="1"/>
  <c r="V95" i="15" s="1"/>
  <c r="N88" i="15"/>
  <c r="T88" i="15" s="1"/>
  <c r="L66" i="15"/>
  <c r="L311" i="15"/>
  <c r="L328" i="15"/>
  <c r="L62" i="15"/>
  <c r="P62" i="15" s="1"/>
  <c r="N61" i="15"/>
  <c r="T61" i="15" s="1"/>
  <c r="V61" i="15" s="1"/>
  <c r="N226" i="15"/>
  <c r="T226" i="15" s="1"/>
  <c r="V226" i="15" s="1"/>
  <c r="N58" i="15"/>
  <c r="T58" i="15" s="1"/>
  <c r="L57" i="15"/>
  <c r="P57" i="15" s="1"/>
  <c r="N206" i="15"/>
  <c r="T206" i="15" s="1"/>
  <c r="V206" i="15" s="1"/>
  <c r="N200" i="15"/>
  <c r="T200" i="15" s="1"/>
  <c r="V200" i="15" s="1"/>
  <c r="N142" i="15"/>
  <c r="T142" i="15" s="1"/>
  <c r="V142" i="15" s="1"/>
  <c r="L216" i="15"/>
  <c r="N140" i="15"/>
  <c r="T140" i="15" s="1"/>
  <c r="L140" i="15"/>
  <c r="P140" i="15" s="1"/>
  <c r="N90" i="15"/>
  <c r="T90" i="15" s="1"/>
  <c r="V90" i="15" s="1"/>
  <c r="N223" i="15"/>
  <c r="T223" i="15" s="1"/>
  <c r="V223" i="15" s="1"/>
  <c r="N131" i="15"/>
  <c r="T131" i="15" s="1"/>
  <c r="V131" i="15" s="1"/>
  <c r="N130" i="15"/>
  <c r="T130" i="15" s="1"/>
  <c r="V130" i="15" s="1"/>
  <c r="N319" i="15"/>
  <c r="T319" i="15" s="1"/>
  <c r="V319" i="15" s="1"/>
  <c r="N129" i="15"/>
  <c r="T129" i="15" s="1"/>
  <c r="V129" i="15" s="1"/>
  <c r="L218" i="15"/>
  <c r="N137" i="15"/>
  <c r="T137" i="15" s="1"/>
  <c r="V137" i="15" s="1"/>
  <c r="N198" i="15"/>
  <c r="T198" i="15" s="1"/>
  <c r="V198" i="15" s="1"/>
  <c r="L201" i="15"/>
  <c r="N193" i="15"/>
  <c r="T193" i="15" s="1"/>
  <c r="V193" i="15" s="1"/>
  <c r="N87" i="15"/>
  <c r="T87" i="15" s="1"/>
  <c r="V87" i="15" s="1"/>
  <c r="N194" i="15"/>
  <c r="T194" i="15" s="1"/>
  <c r="V194" i="15" s="1"/>
  <c r="N192" i="15"/>
  <c r="T192" i="15" s="1"/>
  <c r="V192" i="15" s="1"/>
  <c r="N169" i="15"/>
  <c r="T169" i="15" s="1"/>
  <c r="V169" i="15" s="1"/>
  <c r="N121" i="15"/>
  <c r="T121" i="15" s="1"/>
  <c r="V121" i="15" s="1"/>
  <c r="L112" i="15"/>
  <c r="N68" i="15"/>
  <c r="T68" i="15" s="1"/>
  <c r="N102" i="15"/>
  <c r="T102" i="15" s="1"/>
  <c r="V102" i="15" s="1"/>
  <c r="N168" i="15"/>
  <c r="T168" i="15" s="1"/>
  <c r="V168" i="15" s="1"/>
  <c r="N125" i="15"/>
  <c r="T125" i="15" s="1"/>
  <c r="V125" i="15" s="1"/>
  <c r="N94" i="15"/>
  <c r="T94" i="15" s="1"/>
  <c r="V94" i="15" s="1"/>
  <c r="N67" i="15"/>
  <c r="T67" i="15" s="1"/>
  <c r="N92" i="15"/>
  <c r="T92" i="15" s="1"/>
  <c r="V92" i="15" s="1"/>
  <c r="N89" i="15"/>
  <c r="T89" i="15" s="1"/>
  <c r="V89" i="15" s="1"/>
  <c r="N167" i="15"/>
  <c r="T167" i="15" s="1"/>
  <c r="V167" i="15" s="1"/>
  <c r="N64" i="15"/>
  <c r="T64" i="15" s="1"/>
  <c r="N165" i="15"/>
  <c r="T165" i="15" s="1"/>
  <c r="V165" i="15" s="1"/>
  <c r="L313" i="15"/>
  <c r="N311" i="15"/>
  <c r="T311" i="15" s="1"/>
  <c r="N60" i="15"/>
  <c r="T60" i="15" s="1"/>
  <c r="V60" i="15" s="1"/>
  <c r="L226" i="15"/>
  <c r="P18" i="15"/>
  <c r="N210" i="15"/>
  <c r="T210" i="15" s="1"/>
  <c r="V210" i="15" s="1"/>
  <c r="L137" i="15"/>
  <c r="P7" i="15"/>
  <c r="N218" i="15"/>
  <c r="T218" i="15" s="1"/>
  <c r="N146" i="15"/>
  <c r="T146" i="15" s="1"/>
  <c r="V146" i="15" s="1"/>
  <c r="P4" i="15"/>
  <c r="N28" i="15"/>
  <c r="T28" i="15" s="1"/>
  <c r="V28" i="15" s="1"/>
  <c r="N25" i="15"/>
  <c r="T25" i="15" s="1"/>
  <c r="P20" i="15"/>
  <c r="P17" i="15"/>
  <c r="L84" i="15"/>
  <c r="N151" i="15"/>
  <c r="T151" i="15" s="1"/>
  <c r="L144" i="15"/>
  <c r="P144" i="15" s="1"/>
  <c r="L138" i="15"/>
  <c r="O138" i="15"/>
  <c r="L132" i="15"/>
  <c r="O132" i="15"/>
  <c r="O183" i="15"/>
  <c r="L183" i="15"/>
  <c r="D33" i="9"/>
  <c r="L141" i="15"/>
  <c r="O141" i="15"/>
  <c r="L136" i="15"/>
  <c r="O136" i="15"/>
  <c r="L135" i="15"/>
  <c r="O135" i="15"/>
  <c r="L159" i="15"/>
  <c r="O159" i="15"/>
  <c r="O156" i="15"/>
  <c r="L156" i="15"/>
  <c r="P32" i="15"/>
  <c r="L150" i="15"/>
  <c r="O150" i="15"/>
  <c r="L231" i="15"/>
  <c r="O231" i="15"/>
  <c r="L149" i="15"/>
  <c r="O149" i="15"/>
  <c r="S25" i="15"/>
  <c r="I25" i="10" s="1"/>
  <c r="D19" i="10"/>
  <c r="F19" i="10" s="1"/>
  <c r="E19" i="10"/>
  <c r="Q335" i="15"/>
  <c r="H26" i="10" s="1"/>
  <c r="C19" i="10"/>
  <c r="L147" i="15"/>
  <c r="O147" i="15"/>
  <c r="L145" i="15"/>
  <c r="O145" i="15"/>
  <c r="L143" i="15"/>
  <c r="O143" i="15"/>
  <c r="N116" i="15"/>
  <c r="T116" i="15" s="1"/>
  <c r="O116" i="15"/>
  <c r="O302" i="15"/>
  <c r="P302" i="15" s="1"/>
  <c r="O248" i="15"/>
  <c r="P248" i="15" s="1"/>
  <c r="O260" i="15"/>
  <c r="P260" i="15" s="1"/>
  <c r="O238" i="15"/>
  <c r="P238" i="15" s="1"/>
  <c r="O250" i="15"/>
  <c r="O261" i="15"/>
  <c r="P261" i="15" s="1"/>
  <c r="O262" i="15"/>
  <c r="O254" i="15"/>
  <c r="O264" i="15"/>
  <c r="P264" i="15" s="1"/>
  <c r="O263" i="15"/>
  <c r="P263" i="15" s="1"/>
  <c r="O271" i="15"/>
  <c r="P271" i="15" s="1"/>
  <c r="O274" i="15"/>
  <c r="P274" i="15" s="1"/>
  <c r="O278" i="15"/>
  <c r="P278" i="15" s="1"/>
  <c r="O282" i="15"/>
  <c r="P282" i="15" s="1"/>
  <c r="O285" i="15"/>
  <c r="P285" i="15" s="1"/>
  <c r="O290" i="15"/>
  <c r="P290" i="15" s="1"/>
  <c r="O267" i="15"/>
  <c r="P267" i="15" s="1"/>
  <c r="O301" i="15"/>
  <c r="P301" i="15" s="1"/>
  <c r="O294" i="15"/>
  <c r="P294" i="15" s="1"/>
  <c r="O293" i="15"/>
  <c r="P293" i="15" s="1"/>
  <c r="O289" i="15"/>
  <c r="P289" i="15" s="1"/>
  <c r="O288" i="15"/>
  <c r="P288" i="15" s="1"/>
  <c r="O287" i="15"/>
  <c r="P287" i="15" s="1"/>
  <c r="O280" i="15"/>
  <c r="O279" i="15"/>
  <c r="P279" i="15" s="1"/>
  <c r="O275" i="15"/>
  <c r="O270" i="15"/>
  <c r="P270" i="15" s="1"/>
  <c r="O266" i="15"/>
  <c r="P266" i="15" s="1"/>
  <c r="O259" i="15"/>
  <c r="P259" i="15" s="1"/>
  <c r="O251" i="15"/>
  <c r="P251" i="15" s="1"/>
  <c r="O247" i="15"/>
  <c r="O246" i="15"/>
  <c r="P246" i="15" s="1"/>
  <c r="O245" i="15"/>
  <c r="P245" i="15" s="1"/>
  <c r="O242" i="15"/>
  <c r="P242" i="15" s="1"/>
  <c r="O241" i="15"/>
  <c r="P241" i="15" s="1"/>
  <c r="O240" i="15"/>
  <c r="P240" i="15" s="1"/>
  <c r="O239" i="15"/>
  <c r="P239" i="15" s="1"/>
  <c r="O292" i="15"/>
  <c r="P292" i="15" s="1"/>
  <c r="O295" i="15"/>
  <c r="O268" i="15"/>
  <c r="P268" i="15" s="1"/>
  <c r="O272" i="15"/>
  <c r="P272" i="15" s="1"/>
  <c r="O276" i="15"/>
  <c r="P276" i="15" s="1"/>
  <c r="O255" i="15"/>
  <c r="P255" i="15" s="1"/>
  <c r="O283" i="15"/>
  <c r="P283" i="15" s="1"/>
  <c r="O284" i="15"/>
  <c r="P284" i="15" s="1"/>
  <c r="O297" i="15"/>
  <c r="P297" i="15" s="1"/>
  <c r="O298" i="15"/>
  <c r="P298" i="15" s="1"/>
  <c r="O299" i="15"/>
  <c r="P299" i="15" s="1"/>
  <c r="O291" i="15"/>
  <c r="P291" i="15" s="1"/>
  <c r="O286" i="15"/>
  <c r="P286" i="15" s="1"/>
  <c r="O281" i="15"/>
  <c r="P281" i="15" s="1"/>
  <c r="O296" i="15"/>
  <c r="P296" i="15" s="1"/>
  <c r="O300" i="15"/>
  <c r="P300" i="15" s="1"/>
  <c r="O277" i="15"/>
  <c r="P277" i="15" s="1"/>
  <c r="O273" i="15"/>
  <c r="P273" i="15" s="1"/>
  <c r="O269" i="15"/>
  <c r="P269" i="15" s="1"/>
  <c r="O265" i="15"/>
  <c r="P265" i="15" s="1"/>
  <c r="O258" i="15"/>
  <c r="P258" i="15" s="1"/>
  <c r="O243" i="15"/>
  <c r="O244" i="15"/>
  <c r="P244" i="15" s="1"/>
  <c r="O257" i="15"/>
  <c r="P257" i="15" s="1"/>
  <c r="O253" i="15"/>
  <c r="P253" i="15" s="1"/>
  <c r="O252" i="15"/>
  <c r="O249" i="15"/>
  <c r="P249" i="15" s="1"/>
  <c r="O256" i="15"/>
  <c r="P256" i="15" s="1"/>
  <c r="L15" i="15"/>
  <c r="L14" i="15"/>
  <c r="L12" i="15"/>
  <c r="P95" i="15"/>
  <c r="P59" i="15"/>
  <c r="P234" i="15"/>
  <c r="P54" i="15"/>
  <c r="P153" i="15" l="1"/>
  <c r="P164" i="15"/>
  <c r="P173" i="15"/>
  <c r="P86" i="15"/>
  <c r="P105" i="15"/>
  <c r="P83" i="15"/>
  <c r="P125" i="15"/>
  <c r="P174" i="15"/>
  <c r="P44" i="15"/>
  <c r="P176" i="15"/>
  <c r="P30" i="15"/>
  <c r="P46" i="15"/>
  <c r="P90" i="15"/>
  <c r="P73" i="15"/>
  <c r="P101" i="15"/>
  <c r="P119" i="15"/>
  <c r="P48" i="15"/>
  <c r="P108" i="15"/>
  <c r="P49" i="15"/>
  <c r="P29" i="15"/>
  <c r="P170" i="15"/>
  <c r="P81" i="15"/>
  <c r="P79" i="15"/>
  <c r="P77" i="15"/>
  <c r="P171" i="15"/>
  <c r="P182" i="15"/>
  <c r="P109" i="15"/>
  <c r="P97" i="15"/>
  <c r="P163" i="15"/>
  <c r="P185" i="15"/>
  <c r="P82" i="15"/>
  <c r="P80" i="15"/>
  <c r="P152" i="15"/>
  <c r="P126" i="15"/>
  <c r="P26" i="15"/>
  <c r="P117" i="15"/>
  <c r="P167" i="15"/>
  <c r="P122" i="15"/>
  <c r="D37" i="9"/>
  <c r="P106" i="15"/>
  <c r="P98" i="15"/>
  <c r="P134" i="15"/>
  <c r="P127" i="15"/>
  <c r="P70" i="15"/>
  <c r="P99" i="15"/>
  <c r="P68" i="15"/>
  <c r="P162" i="15"/>
  <c r="P112" i="15"/>
  <c r="P51" i="15"/>
  <c r="P92" i="15"/>
  <c r="P312" i="15"/>
  <c r="P186" i="15"/>
  <c r="P64" i="15"/>
  <c r="D25" i="9"/>
  <c r="P131" i="15"/>
  <c r="P69" i="15"/>
  <c r="P165" i="15"/>
  <c r="P72" i="15"/>
  <c r="P123" i="15"/>
  <c r="P93" i="15"/>
  <c r="P52" i="15"/>
  <c r="P85" i="15"/>
  <c r="P184" i="15"/>
  <c r="P151" i="15"/>
  <c r="P74" i="15"/>
  <c r="P65" i="15"/>
  <c r="P37" i="15"/>
  <c r="P41" i="15"/>
  <c r="P181" i="15"/>
  <c r="P129" i="15"/>
  <c r="P124" i="15"/>
  <c r="D32" i="9"/>
  <c r="P50" i="15"/>
  <c r="D23" i="9"/>
  <c r="P143" i="15"/>
  <c r="P175" i="15"/>
  <c r="P71" i="15"/>
  <c r="P67" i="15"/>
  <c r="P78" i="15"/>
  <c r="P147" i="15"/>
  <c r="P84" i="15"/>
  <c r="P180" i="15"/>
  <c r="D31" i="9"/>
  <c r="P332" i="15"/>
  <c r="P317" i="15"/>
  <c r="P136" i="15"/>
  <c r="P150" i="15"/>
  <c r="P38" i="15"/>
  <c r="P138" i="15"/>
  <c r="P132" i="15"/>
  <c r="P141" i="15"/>
  <c r="P226" i="15"/>
  <c r="P223" i="15"/>
  <c r="P221" i="15"/>
  <c r="P219" i="15"/>
  <c r="P222" i="15"/>
  <c r="P217" i="15"/>
  <c r="P220" i="15"/>
  <c r="P218" i="15"/>
  <c r="P209" i="15"/>
  <c r="P202" i="15"/>
  <c r="P199" i="15"/>
  <c r="P198" i="15"/>
  <c r="P197" i="15"/>
  <c r="P214" i="15"/>
  <c r="P205" i="15"/>
  <c r="P203" i="15"/>
  <c r="P200" i="15"/>
  <c r="P215" i="15"/>
  <c r="P213" i="15"/>
  <c r="P212" i="15"/>
  <c r="P211" i="15"/>
  <c r="P210" i="15"/>
  <c r="P208" i="15"/>
  <c r="P206" i="15"/>
  <c r="P201" i="15"/>
  <c r="P196" i="15"/>
  <c r="P195" i="15"/>
  <c r="P194" i="15"/>
  <c r="P190" i="15"/>
  <c r="P323" i="15"/>
  <c r="P331" i="15"/>
  <c r="P325" i="15"/>
  <c r="P309" i="15"/>
  <c r="P88" i="15"/>
  <c r="P47" i="15"/>
  <c r="P43" i="15"/>
  <c r="P39" i="15"/>
  <c r="P66" i="15"/>
  <c r="P137" i="15"/>
  <c r="D22" i="9"/>
  <c r="P168" i="15"/>
  <c r="P161" i="15"/>
  <c r="D30" i="9"/>
  <c r="P107" i="15"/>
  <c r="P31" i="15"/>
  <c r="P28" i="15"/>
  <c r="P133" i="15"/>
  <c r="P130" i="15"/>
  <c r="P111" i="15"/>
  <c r="D26" i="9"/>
  <c r="P113" i="15"/>
  <c r="P193" i="15"/>
  <c r="P192" i="15"/>
  <c r="P189" i="15"/>
  <c r="P188" i="15"/>
  <c r="P321" i="15"/>
  <c r="P319" i="15"/>
  <c r="P316" i="15"/>
  <c r="P333" i="15"/>
  <c r="P329" i="15"/>
  <c r="P328" i="15"/>
  <c r="P311" i="15"/>
  <c r="P326" i="15"/>
  <c r="P313" i="15"/>
  <c r="P15" i="15"/>
  <c r="P14" i="15"/>
  <c r="P149" i="15"/>
  <c r="P179" i="15"/>
  <c r="P45" i="15"/>
  <c r="P148" i="15"/>
  <c r="P146" i="15"/>
  <c r="P75" i="15"/>
  <c r="P121" i="15"/>
  <c r="P145" i="15"/>
  <c r="P42" i="15"/>
  <c r="P142" i="15"/>
  <c r="P159" i="15"/>
  <c r="E33" i="9"/>
  <c r="F33" i="9" s="1"/>
  <c r="D28" i="9"/>
  <c r="P114" i="15"/>
  <c r="P166" i="15"/>
  <c r="P115" i="15"/>
  <c r="P40" i="15"/>
  <c r="P120" i="15"/>
  <c r="P53" i="15"/>
  <c r="P27" i="15"/>
  <c r="P91" i="15"/>
  <c r="P102" i="15"/>
  <c r="P158" i="15"/>
  <c r="P155" i="15"/>
  <c r="P157" i="15"/>
  <c r="P169" i="15"/>
  <c r="D24" i="9"/>
  <c r="P96" i="15"/>
  <c r="U3" i="15"/>
  <c r="U4" i="15" s="1"/>
  <c r="U5" i="15" s="1"/>
  <c r="U6" i="15" s="1"/>
  <c r="U7" i="15" s="1"/>
  <c r="U8" i="15" s="1"/>
  <c r="U9" i="15" s="1"/>
  <c r="U10" i="15" s="1"/>
  <c r="U11" i="15" s="1"/>
  <c r="V3" i="15"/>
  <c r="D35" i="9"/>
  <c r="P216" i="15"/>
  <c r="D34" i="9"/>
  <c r="P187" i="15"/>
  <c r="D38" i="9"/>
  <c r="P305" i="15"/>
  <c r="E38" i="9" s="1"/>
  <c r="D29" i="9"/>
  <c r="P135" i="15"/>
  <c r="M25" i="10"/>
  <c r="L25" i="10"/>
  <c r="K25" i="10"/>
  <c r="J25" i="10"/>
  <c r="H27" i="10"/>
  <c r="I26" i="10"/>
  <c r="D24" i="11"/>
  <c r="P250" i="15"/>
  <c r="E24" i="11" s="1"/>
  <c r="D27" i="11"/>
  <c r="P262" i="15"/>
  <c r="E27" i="11" s="1"/>
  <c r="D26" i="11"/>
  <c r="P254" i="15"/>
  <c r="E26" i="11" s="1"/>
  <c r="D29" i="11"/>
  <c r="P280" i="15"/>
  <c r="E29" i="11" s="1"/>
  <c r="D28" i="11"/>
  <c r="P275" i="15"/>
  <c r="E28" i="11" s="1"/>
  <c r="D23" i="11"/>
  <c r="P247" i="15"/>
  <c r="E23" i="11" s="1"/>
  <c r="D30" i="11"/>
  <c r="P295" i="15"/>
  <c r="E30" i="11" s="1"/>
  <c r="D22" i="11"/>
  <c r="P243" i="15"/>
  <c r="E22" i="11" s="1"/>
  <c r="D25" i="11"/>
  <c r="P252" i="15"/>
  <c r="E25" i="11" s="1"/>
  <c r="D21" i="9"/>
  <c r="P12" i="15"/>
  <c r="E21" i="9" s="1"/>
  <c r="P183" i="15"/>
  <c r="E32" i="9" s="1"/>
  <c r="P156" i="15"/>
  <c r="T12" i="15"/>
  <c r="D20" i="10"/>
  <c r="P231" i="15"/>
  <c r="E36" i="9" s="1"/>
  <c r="D36" i="9"/>
  <c r="P116" i="15"/>
  <c r="E27" i="9" s="1"/>
  <c r="D27" i="9"/>
  <c r="F32" i="9" l="1"/>
  <c r="F30" i="11"/>
  <c r="E34" i="9"/>
  <c r="F34" i="9" s="1"/>
  <c r="E23" i="9"/>
  <c r="F23" i="9" s="1"/>
  <c r="E24" i="9"/>
  <c r="F24" i="9" s="1"/>
  <c r="E22" i="9"/>
  <c r="F22" i="9" s="1"/>
  <c r="E28" i="9"/>
  <c r="F28" i="9" s="1"/>
  <c r="F23" i="11"/>
  <c r="E35" i="9"/>
  <c r="F35" i="9" s="1"/>
  <c r="E31" i="9"/>
  <c r="F31" i="9" s="1"/>
  <c r="E29" i="9"/>
  <c r="F29" i="9" s="1"/>
  <c r="F25" i="11"/>
  <c r="E37" i="9"/>
  <c r="F37" i="9" s="1"/>
  <c r="E26" i="9"/>
  <c r="F26" i="9" s="1"/>
  <c r="E30" i="9"/>
  <c r="F30" i="9" s="1"/>
  <c r="F29" i="11"/>
  <c r="E25" i="9"/>
  <c r="F25" i="9" s="1"/>
  <c r="E20" i="10"/>
  <c r="F20" i="10" s="1"/>
  <c r="D31" i="11"/>
  <c r="D39" i="9" s="1"/>
  <c r="D40" i="9" s="1"/>
  <c r="F27" i="11"/>
  <c r="F28" i="11"/>
  <c r="F38" i="9"/>
  <c r="F26" i="11"/>
  <c r="U12" i="15"/>
  <c r="U13" i="15" s="1"/>
  <c r="U14" i="15" s="1"/>
  <c r="U15" i="15" s="1"/>
  <c r="U16" i="15" s="1"/>
  <c r="U17" i="15" s="1"/>
  <c r="U18" i="15" s="1"/>
  <c r="U19" i="15" s="1"/>
  <c r="U20" i="15" s="1"/>
  <c r="U21" i="15" s="1"/>
  <c r="U22" i="15" s="1"/>
  <c r="U23" i="15" s="1"/>
  <c r="U24" i="15" s="1"/>
  <c r="U25" i="15" s="1"/>
  <c r="V12" i="15"/>
  <c r="T335" i="15"/>
  <c r="A26" i="10" s="1"/>
  <c r="A27" i="10" s="1"/>
  <c r="C20" i="10"/>
  <c r="I27" i="10"/>
  <c r="H28" i="10"/>
  <c r="J26" i="10"/>
  <c r="K26" i="10"/>
  <c r="L26" i="10"/>
  <c r="M26" i="10"/>
  <c r="F22" i="11"/>
  <c r="E31" i="11"/>
  <c r="F21" i="9"/>
  <c r="F27" i="9"/>
  <c r="F36" i="9"/>
  <c r="F24" i="11"/>
  <c r="U26" i="15" l="1"/>
  <c r="V25" i="15"/>
  <c r="B25" i="10" s="1"/>
  <c r="A28" i="10"/>
  <c r="J27" i="10"/>
  <c r="K27" i="10"/>
  <c r="L27" i="10"/>
  <c r="M27" i="10"/>
  <c r="I28" i="10"/>
  <c r="H29" i="10"/>
  <c r="E39" i="9"/>
  <c r="F31" i="11"/>
  <c r="V26" i="15" l="1"/>
  <c r="B26" i="10" s="1"/>
  <c r="U27" i="15"/>
  <c r="U28" i="15" s="1"/>
  <c r="U29" i="15" s="1"/>
  <c r="U30" i="15" s="1"/>
  <c r="U31" i="15" s="1"/>
  <c r="U32" i="15" s="1"/>
  <c r="U33" i="15" s="1"/>
  <c r="U34" i="15" s="1"/>
  <c r="U35" i="15" s="1"/>
  <c r="U36" i="15" s="1"/>
  <c r="U37" i="15" s="1"/>
  <c r="C25" i="10"/>
  <c r="F25" i="10"/>
  <c r="D25" i="10"/>
  <c r="E25" i="10"/>
  <c r="A29" i="10"/>
  <c r="J28" i="10"/>
  <c r="K28" i="10"/>
  <c r="L28" i="10"/>
  <c r="M28" i="10"/>
  <c r="I29" i="10"/>
  <c r="H30" i="10"/>
  <c r="E40" i="9"/>
  <c r="F40" i="9" s="1"/>
  <c r="F39" i="9"/>
  <c r="F26" i="10" l="1"/>
  <c r="E26" i="10"/>
  <c r="D26" i="10"/>
  <c r="C26" i="10"/>
  <c r="V37" i="15"/>
  <c r="B27" i="10" s="1"/>
  <c r="U38" i="15"/>
  <c r="A30" i="10"/>
  <c r="J29" i="10"/>
  <c r="K29" i="10"/>
  <c r="L29" i="10"/>
  <c r="M29" i="10"/>
  <c r="I30" i="10"/>
  <c r="H31" i="10"/>
  <c r="U39" i="15" l="1"/>
  <c r="V38" i="15"/>
  <c r="B28" i="10" s="1"/>
  <c r="E27" i="10"/>
  <c r="C27" i="10"/>
  <c r="D27" i="10"/>
  <c r="F27" i="10"/>
  <c r="A31" i="10"/>
  <c r="J30" i="10"/>
  <c r="K30" i="10"/>
  <c r="L30" i="10"/>
  <c r="M30" i="10"/>
  <c r="I31" i="10"/>
  <c r="H32" i="10"/>
  <c r="V39" i="15" l="1"/>
  <c r="B29" i="10" s="1"/>
  <c r="U40" i="15"/>
  <c r="C28" i="10"/>
  <c r="F28" i="10"/>
  <c r="D28" i="10"/>
  <c r="E28" i="10"/>
  <c r="A32" i="10"/>
  <c r="J31" i="10"/>
  <c r="K31" i="10"/>
  <c r="L31" i="10"/>
  <c r="M31" i="10"/>
  <c r="I32" i="10"/>
  <c r="H33" i="10"/>
  <c r="C29" i="10" l="1"/>
  <c r="D29" i="10"/>
  <c r="E29" i="10"/>
  <c r="F29" i="10"/>
  <c r="V40" i="15"/>
  <c r="B30" i="10" s="1"/>
  <c r="U41" i="15"/>
  <c r="U42" i="15" s="1"/>
  <c r="U43" i="15" s="1"/>
  <c r="U44" i="15" s="1"/>
  <c r="U45" i="15" s="1"/>
  <c r="U46" i="15" s="1"/>
  <c r="U47" i="15" s="1"/>
  <c r="U48" i="15" s="1"/>
  <c r="U49" i="15" s="1"/>
  <c r="U50" i="15" s="1"/>
  <c r="A33" i="10"/>
  <c r="J32" i="10"/>
  <c r="K32" i="10"/>
  <c r="L32" i="10"/>
  <c r="M32" i="10"/>
  <c r="I33" i="10"/>
  <c r="H34" i="10"/>
  <c r="F30" i="10" l="1"/>
  <c r="C30" i="10"/>
  <c r="E30" i="10"/>
  <c r="D30" i="10"/>
  <c r="V50" i="15"/>
  <c r="B31" i="10" s="1"/>
  <c r="U51" i="15"/>
  <c r="A34" i="10"/>
  <c r="J33" i="10"/>
  <c r="K33" i="10"/>
  <c r="L33" i="10"/>
  <c r="M33" i="10"/>
  <c r="I34" i="10"/>
  <c r="H35" i="10"/>
  <c r="C31" i="10" l="1"/>
  <c r="D31" i="10"/>
  <c r="E31" i="10"/>
  <c r="F31" i="10"/>
  <c r="V51" i="15"/>
  <c r="B32" i="10" s="1"/>
  <c r="U52" i="15"/>
  <c r="A35" i="10"/>
  <c r="J34" i="10"/>
  <c r="K34" i="10"/>
  <c r="L34" i="10"/>
  <c r="M34" i="10"/>
  <c r="I35" i="10"/>
  <c r="H36" i="10"/>
  <c r="D32" i="10" l="1"/>
  <c r="C32" i="10"/>
  <c r="E32" i="10"/>
  <c r="F32" i="10"/>
  <c r="V52" i="15"/>
  <c r="B33" i="10" s="1"/>
  <c r="U53" i="15"/>
  <c r="A36" i="10"/>
  <c r="J35" i="10"/>
  <c r="K35" i="10"/>
  <c r="L35" i="10"/>
  <c r="M35" i="10"/>
  <c r="I36" i="10"/>
  <c r="H37" i="10"/>
  <c r="F33" i="10" l="1"/>
  <c r="D33" i="10"/>
  <c r="C33" i="10"/>
  <c r="E33" i="10"/>
  <c r="V53" i="15"/>
  <c r="B34" i="10" s="1"/>
  <c r="U54" i="15"/>
  <c r="U55" i="15" s="1"/>
  <c r="A37" i="10"/>
  <c r="J36" i="10"/>
  <c r="K36" i="10"/>
  <c r="L36" i="10"/>
  <c r="M36" i="10"/>
  <c r="I37" i="10"/>
  <c r="H38" i="10"/>
  <c r="V55" i="15" l="1"/>
  <c r="B35" i="10" s="1"/>
  <c r="U56" i="15"/>
  <c r="F34" i="10"/>
  <c r="D34" i="10"/>
  <c r="C34" i="10"/>
  <c r="E34" i="10"/>
  <c r="V56" i="15"/>
  <c r="U57" i="15"/>
  <c r="A38" i="10"/>
  <c r="J37" i="10"/>
  <c r="K37" i="10"/>
  <c r="L37" i="10"/>
  <c r="M37" i="10"/>
  <c r="I38" i="10"/>
  <c r="H39" i="10"/>
  <c r="B36" i="10" l="1"/>
  <c r="D35" i="10"/>
  <c r="F35" i="10"/>
  <c r="C35" i="10"/>
  <c r="E35" i="10"/>
  <c r="V57" i="15"/>
  <c r="B37" i="10" s="1"/>
  <c r="U58" i="15"/>
  <c r="A39" i="10"/>
  <c r="J38" i="10"/>
  <c r="K38" i="10"/>
  <c r="L38" i="10"/>
  <c r="M38" i="10"/>
  <c r="I39" i="10"/>
  <c r="H40" i="10"/>
  <c r="C36" i="10" l="1"/>
  <c r="D36" i="10"/>
  <c r="E36" i="10"/>
  <c r="F36" i="10"/>
  <c r="V58" i="15"/>
  <c r="B38" i="10" s="1"/>
  <c r="U59" i="15"/>
  <c r="U60" i="15" s="1"/>
  <c r="U61" i="15" s="1"/>
  <c r="U62" i="15" s="1"/>
  <c r="U63" i="15" s="1"/>
  <c r="U64" i="15" s="1"/>
  <c r="A40" i="10"/>
  <c r="J39" i="10"/>
  <c r="K39" i="10"/>
  <c r="L39" i="10"/>
  <c r="M39" i="10"/>
  <c r="I40" i="10"/>
  <c r="H41" i="10"/>
  <c r="C37" i="10"/>
  <c r="D37" i="10"/>
  <c r="E37" i="10"/>
  <c r="F37" i="10"/>
  <c r="V64" i="15" l="1"/>
  <c r="B39" i="10" s="1"/>
  <c r="U65" i="15"/>
  <c r="A41" i="10"/>
  <c r="J40" i="10"/>
  <c r="K40" i="10"/>
  <c r="L40" i="10"/>
  <c r="M40" i="10"/>
  <c r="I41" i="10"/>
  <c r="H42" i="10"/>
  <c r="D38" i="10"/>
  <c r="C38" i="10"/>
  <c r="E38" i="10"/>
  <c r="F38" i="10"/>
  <c r="V65" i="15" l="1"/>
  <c r="B40" i="10" s="1"/>
  <c r="U66" i="15"/>
  <c r="A42" i="10"/>
  <c r="J41" i="10"/>
  <c r="K41" i="10"/>
  <c r="L41" i="10"/>
  <c r="M41" i="10"/>
  <c r="I42" i="10"/>
  <c r="H43" i="10"/>
  <c r="C39" i="10"/>
  <c r="F39" i="10"/>
  <c r="D39" i="10"/>
  <c r="E39" i="10"/>
  <c r="V66" i="15" l="1"/>
  <c r="B41" i="10" s="1"/>
  <c r="U67" i="15"/>
  <c r="A43" i="10"/>
  <c r="J42" i="10"/>
  <c r="K42" i="10"/>
  <c r="L42" i="10"/>
  <c r="M42" i="10"/>
  <c r="I43" i="10"/>
  <c r="H44" i="10"/>
  <c r="D40" i="10"/>
  <c r="C40" i="10"/>
  <c r="E40" i="10"/>
  <c r="F40" i="10"/>
  <c r="V67" i="15" l="1"/>
  <c r="B42" i="10" s="1"/>
  <c r="U68" i="15"/>
  <c r="A44" i="10"/>
  <c r="J43" i="10"/>
  <c r="K43" i="10"/>
  <c r="L43" i="10"/>
  <c r="M43" i="10"/>
  <c r="I44" i="10"/>
  <c r="H45" i="10"/>
  <c r="D41" i="10"/>
  <c r="C41" i="10"/>
  <c r="E41" i="10"/>
  <c r="F41" i="10"/>
  <c r="V68" i="15" l="1"/>
  <c r="B43" i="10" s="1"/>
  <c r="U69" i="15"/>
  <c r="A45" i="10"/>
  <c r="J44" i="10"/>
  <c r="K44" i="10"/>
  <c r="L44" i="10"/>
  <c r="M44" i="10"/>
  <c r="I45" i="10"/>
  <c r="H46" i="10"/>
  <c r="C42" i="10"/>
  <c r="D42" i="10"/>
  <c r="E42" i="10"/>
  <c r="F42" i="10"/>
  <c r="V69" i="15" l="1"/>
  <c r="B44" i="10" s="1"/>
  <c r="U70" i="15"/>
  <c r="A46" i="10"/>
  <c r="J45" i="10"/>
  <c r="K45" i="10"/>
  <c r="L45" i="10"/>
  <c r="M45" i="10"/>
  <c r="I46" i="10"/>
  <c r="H47" i="10"/>
  <c r="D43" i="10"/>
  <c r="F43" i="10"/>
  <c r="C43" i="10"/>
  <c r="E43" i="10"/>
  <c r="V70" i="15" l="1"/>
  <c r="B45" i="10" s="1"/>
  <c r="U71" i="15"/>
  <c r="U72" i="15" s="1"/>
  <c r="U73" i="15" s="1"/>
  <c r="U74" i="15" s="1"/>
  <c r="U75" i="15" s="1"/>
  <c r="U76" i="15" s="1"/>
  <c r="U77" i="15" s="1"/>
  <c r="U78" i="15" s="1"/>
  <c r="A47" i="10"/>
  <c r="J46" i="10"/>
  <c r="K46" i="10"/>
  <c r="L46" i="10"/>
  <c r="M46" i="10"/>
  <c r="I47" i="10"/>
  <c r="H48" i="10"/>
  <c r="C44" i="10"/>
  <c r="D44" i="10"/>
  <c r="E44" i="10"/>
  <c r="F44" i="10"/>
  <c r="V78" i="15" l="1"/>
  <c r="B46" i="10" s="1"/>
  <c r="U79" i="15"/>
  <c r="A48" i="10"/>
  <c r="J47" i="10"/>
  <c r="K47" i="10"/>
  <c r="L47" i="10"/>
  <c r="M47" i="10"/>
  <c r="I48" i="10"/>
  <c r="H49" i="10"/>
  <c r="C45" i="10"/>
  <c r="D45" i="10"/>
  <c r="E45" i="10"/>
  <c r="F45" i="10"/>
  <c r="V79" i="15" l="1"/>
  <c r="B47" i="10" s="1"/>
  <c r="U80" i="15"/>
  <c r="A49" i="10"/>
  <c r="J48" i="10"/>
  <c r="K48" i="10"/>
  <c r="L48" i="10"/>
  <c r="M48" i="10"/>
  <c r="I49" i="10"/>
  <c r="H50" i="10"/>
  <c r="C46" i="10"/>
  <c r="D46" i="10"/>
  <c r="E46" i="10"/>
  <c r="F46" i="10"/>
  <c r="V80" i="15" l="1"/>
  <c r="B48" i="10" s="1"/>
  <c r="U81" i="15"/>
  <c r="A50" i="10"/>
  <c r="J49" i="10"/>
  <c r="K49" i="10"/>
  <c r="L49" i="10"/>
  <c r="M49" i="10"/>
  <c r="I50" i="10"/>
  <c r="H51" i="10"/>
  <c r="D47" i="10"/>
  <c r="F47" i="10"/>
  <c r="C47" i="10"/>
  <c r="E47" i="10"/>
  <c r="V81" i="15" l="1"/>
  <c r="B49" i="10" s="1"/>
  <c r="U82" i="15"/>
  <c r="A51" i="10"/>
  <c r="J50" i="10"/>
  <c r="K50" i="10"/>
  <c r="L50" i="10"/>
  <c r="M50" i="10"/>
  <c r="I51" i="10"/>
  <c r="H52" i="10"/>
  <c r="C48" i="10"/>
  <c r="D48" i="10"/>
  <c r="E48" i="10"/>
  <c r="F48" i="10"/>
  <c r="V82" i="15" l="1"/>
  <c r="B50" i="10" s="1"/>
  <c r="U83" i="15"/>
  <c r="A52" i="10"/>
  <c r="J51" i="10"/>
  <c r="K51" i="10"/>
  <c r="L51" i="10"/>
  <c r="M51" i="10"/>
  <c r="I52" i="10"/>
  <c r="H53" i="10"/>
  <c r="C49" i="10"/>
  <c r="D49" i="10"/>
  <c r="E49" i="10"/>
  <c r="F49" i="10"/>
  <c r="V83" i="15" l="1"/>
  <c r="B51" i="10" s="1"/>
  <c r="U84" i="15"/>
  <c r="A53" i="10"/>
  <c r="J52" i="10"/>
  <c r="K52" i="10"/>
  <c r="L52" i="10"/>
  <c r="M52" i="10"/>
  <c r="I53" i="10"/>
  <c r="H54" i="10"/>
  <c r="C50" i="10"/>
  <c r="D50" i="10"/>
  <c r="E50" i="10"/>
  <c r="F50" i="10"/>
  <c r="V84" i="15" l="1"/>
  <c r="B52" i="10" s="1"/>
  <c r="U85" i="15"/>
  <c r="A54" i="10"/>
  <c r="J53" i="10"/>
  <c r="K53" i="10"/>
  <c r="L53" i="10"/>
  <c r="M53" i="10"/>
  <c r="I54" i="10"/>
  <c r="H55" i="10"/>
  <c r="C51" i="10"/>
  <c r="D51" i="10"/>
  <c r="E51" i="10"/>
  <c r="F51" i="10"/>
  <c r="V85" i="15" l="1"/>
  <c r="B53" i="10" s="1"/>
  <c r="U86" i="15"/>
  <c r="A55" i="10"/>
  <c r="J54" i="10"/>
  <c r="K54" i="10"/>
  <c r="L54" i="10"/>
  <c r="M54" i="10"/>
  <c r="I55" i="10"/>
  <c r="H56" i="10"/>
  <c r="C52" i="10"/>
  <c r="D52" i="10"/>
  <c r="E52" i="10"/>
  <c r="F52" i="10"/>
  <c r="V86" i="15" l="1"/>
  <c r="B54" i="10" s="1"/>
  <c r="U87" i="15"/>
  <c r="U88" i="15" s="1"/>
  <c r="A56" i="10"/>
  <c r="J55" i="10"/>
  <c r="K55" i="10"/>
  <c r="L55" i="10"/>
  <c r="M55" i="10"/>
  <c r="I56" i="10"/>
  <c r="H57" i="10"/>
  <c r="D53" i="10"/>
  <c r="C53" i="10"/>
  <c r="E53" i="10"/>
  <c r="F53" i="10"/>
  <c r="V88" i="15" l="1"/>
  <c r="B55" i="10" s="1"/>
  <c r="U89" i="15"/>
  <c r="U90" i="15" s="1"/>
  <c r="U91" i="15" s="1"/>
  <c r="U92" i="15" s="1"/>
  <c r="U93" i="15" s="1"/>
  <c r="U94" i="15" s="1"/>
  <c r="U95" i="15" s="1"/>
  <c r="U96" i="15" s="1"/>
  <c r="A57" i="10"/>
  <c r="J56" i="10"/>
  <c r="K56" i="10"/>
  <c r="L56" i="10"/>
  <c r="M56" i="10"/>
  <c r="I57" i="10"/>
  <c r="H58" i="10"/>
  <c r="D54" i="10"/>
  <c r="C54" i="10"/>
  <c r="E54" i="10"/>
  <c r="F54" i="10"/>
  <c r="V96" i="15" l="1"/>
  <c r="B56" i="10" s="1"/>
  <c r="U97" i="15"/>
  <c r="A58" i="10"/>
  <c r="J57" i="10"/>
  <c r="K57" i="10"/>
  <c r="L57" i="10"/>
  <c r="M57" i="10"/>
  <c r="I58" i="10"/>
  <c r="H59" i="10"/>
  <c r="C55" i="10"/>
  <c r="E55" i="10"/>
  <c r="F55" i="10"/>
  <c r="D55" i="10"/>
  <c r="V97" i="15" l="1"/>
  <c r="B57" i="10" s="1"/>
  <c r="U98" i="15"/>
  <c r="A59" i="10"/>
  <c r="J58" i="10"/>
  <c r="K58" i="10"/>
  <c r="L58" i="10"/>
  <c r="M58" i="10"/>
  <c r="I59" i="10"/>
  <c r="H60" i="10"/>
  <c r="C56" i="10"/>
  <c r="D56" i="10"/>
  <c r="E56" i="10"/>
  <c r="F56" i="10"/>
  <c r="V98" i="15" l="1"/>
  <c r="B58" i="10" s="1"/>
  <c r="U99" i="15"/>
  <c r="U100" i="15" s="1"/>
  <c r="U101" i="15" s="1"/>
  <c r="U102" i="15" s="1"/>
  <c r="U103" i="15" s="1"/>
  <c r="U104" i="15" s="1"/>
  <c r="U105" i="15" s="1"/>
  <c r="U106" i="15" s="1"/>
  <c r="U107" i="15" s="1"/>
  <c r="U108" i="15" s="1"/>
  <c r="U109" i="15" s="1"/>
  <c r="U110" i="15" s="1"/>
  <c r="U111" i="15" s="1"/>
  <c r="U112" i="15" s="1"/>
  <c r="A60" i="10"/>
  <c r="J59" i="10"/>
  <c r="K59" i="10"/>
  <c r="L59" i="10"/>
  <c r="M59" i="10"/>
  <c r="I60" i="10"/>
  <c r="H61" i="10"/>
  <c r="C57" i="10"/>
  <c r="D57" i="10"/>
  <c r="E57" i="10"/>
  <c r="F57" i="10"/>
  <c r="V112" i="15" l="1"/>
  <c r="B59" i="10" s="1"/>
  <c r="U113" i="15"/>
  <c r="A61" i="10"/>
  <c r="J60" i="10"/>
  <c r="K60" i="10"/>
  <c r="L60" i="10"/>
  <c r="M60" i="10"/>
  <c r="I61" i="10"/>
  <c r="H62" i="10"/>
  <c r="E58" i="10"/>
  <c r="D58" i="10"/>
  <c r="C58" i="10"/>
  <c r="F58" i="10"/>
  <c r="V113" i="15" l="1"/>
  <c r="B60" i="10" s="1"/>
  <c r="U114" i="15"/>
  <c r="A62" i="10"/>
  <c r="J61" i="10"/>
  <c r="K61" i="10"/>
  <c r="L61" i="10"/>
  <c r="M61" i="10"/>
  <c r="I62" i="10"/>
  <c r="H63" i="10"/>
  <c r="C59" i="10"/>
  <c r="E59" i="10"/>
  <c r="D59" i="10"/>
  <c r="F59" i="10"/>
  <c r="V114" i="15" l="1"/>
  <c r="B61" i="10" s="1"/>
  <c r="U115" i="15"/>
  <c r="A63" i="10"/>
  <c r="J62" i="10"/>
  <c r="K62" i="10"/>
  <c r="L62" i="10"/>
  <c r="M62" i="10"/>
  <c r="I63" i="10"/>
  <c r="H64" i="10"/>
  <c r="C60" i="10"/>
  <c r="D60" i="10"/>
  <c r="E60" i="10"/>
  <c r="F60" i="10"/>
  <c r="V115" i="15" l="1"/>
  <c r="B62" i="10" s="1"/>
  <c r="U116" i="15"/>
  <c r="A64" i="10"/>
  <c r="J63" i="10"/>
  <c r="K63" i="10"/>
  <c r="L63" i="10"/>
  <c r="M63" i="10"/>
  <c r="I64" i="10"/>
  <c r="H65" i="10"/>
  <c r="C61" i="10"/>
  <c r="D61" i="10"/>
  <c r="E61" i="10"/>
  <c r="F61" i="10"/>
  <c r="V116" i="15" l="1"/>
  <c r="B63" i="10" s="1"/>
  <c r="U117" i="15"/>
  <c r="A65" i="10"/>
  <c r="J64" i="10"/>
  <c r="K64" i="10"/>
  <c r="L64" i="10"/>
  <c r="M64" i="10"/>
  <c r="I65" i="10"/>
  <c r="H66" i="10"/>
  <c r="C62" i="10"/>
  <c r="D62" i="10"/>
  <c r="E62" i="10"/>
  <c r="F62" i="10"/>
  <c r="V117" i="15" l="1"/>
  <c r="B64" i="10" s="1"/>
  <c r="U118" i="15"/>
  <c r="A66" i="10"/>
  <c r="J65" i="10"/>
  <c r="K65" i="10"/>
  <c r="L65" i="10"/>
  <c r="M65" i="10"/>
  <c r="I66" i="10"/>
  <c r="H67" i="10"/>
  <c r="C63" i="10"/>
  <c r="D63" i="10"/>
  <c r="E63" i="10"/>
  <c r="F63" i="10"/>
  <c r="V118" i="15" l="1"/>
  <c r="B65" i="10" s="1"/>
  <c r="U119" i="15"/>
  <c r="A67" i="10"/>
  <c r="J66" i="10"/>
  <c r="K66" i="10"/>
  <c r="L66" i="10"/>
  <c r="M66" i="10"/>
  <c r="I67" i="10"/>
  <c r="H68" i="10"/>
  <c r="C64" i="10"/>
  <c r="D64" i="10"/>
  <c r="E64" i="10"/>
  <c r="F64" i="10"/>
  <c r="V119" i="15" l="1"/>
  <c r="B66" i="10" s="1"/>
  <c r="U120" i="15"/>
  <c r="U121" i="15" s="1"/>
  <c r="U122" i="15" s="1"/>
  <c r="U123" i="15" s="1"/>
  <c r="U124" i="15" s="1"/>
  <c r="U125" i="15" s="1"/>
  <c r="U126" i="15" s="1"/>
  <c r="U127" i="15" s="1"/>
  <c r="U128" i="15" s="1"/>
  <c r="U129" i="15" s="1"/>
  <c r="U130" i="15" s="1"/>
  <c r="U131" i="15" s="1"/>
  <c r="U132" i="15" s="1"/>
  <c r="U133" i="15" s="1"/>
  <c r="U134" i="15" s="1"/>
  <c r="U135" i="15" s="1"/>
  <c r="U136" i="15" s="1"/>
  <c r="U137" i="15" s="1"/>
  <c r="U138" i="15" s="1"/>
  <c r="U139" i="15" s="1"/>
  <c r="U140" i="15" s="1"/>
  <c r="A68" i="10"/>
  <c r="J67" i="10"/>
  <c r="K67" i="10"/>
  <c r="L67" i="10"/>
  <c r="M67" i="10"/>
  <c r="I68" i="10"/>
  <c r="H69" i="10"/>
  <c r="C65" i="10"/>
  <c r="D65" i="10"/>
  <c r="E65" i="10"/>
  <c r="F65" i="10"/>
  <c r="V140" i="15" l="1"/>
  <c r="B67" i="10" s="1"/>
  <c r="U141" i="15"/>
  <c r="U142" i="15" s="1"/>
  <c r="U143" i="15" s="1"/>
  <c r="U144" i="15" s="1"/>
  <c r="A69" i="10"/>
  <c r="J68" i="10"/>
  <c r="K68" i="10"/>
  <c r="L68" i="10"/>
  <c r="M68" i="10"/>
  <c r="I69" i="10"/>
  <c r="H70" i="10"/>
  <c r="C66" i="10"/>
  <c r="D66" i="10"/>
  <c r="E66" i="10"/>
  <c r="F66" i="10"/>
  <c r="V144" i="15" l="1"/>
  <c r="B68" i="10" s="1"/>
  <c r="U145" i="15"/>
  <c r="U146" i="15" s="1"/>
  <c r="U147" i="15" s="1"/>
  <c r="U148" i="15" s="1"/>
  <c r="U149" i="15" s="1"/>
  <c r="U150" i="15" s="1"/>
  <c r="U151" i="15" s="1"/>
  <c r="A70" i="10"/>
  <c r="J69" i="10"/>
  <c r="K69" i="10"/>
  <c r="L69" i="10"/>
  <c r="M69" i="10"/>
  <c r="I70" i="10"/>
  <c r="H71" i="10"/>
  <c r="D67" i="10"/>
  <c r="E67" i="10"/>
  <c r="C67" i="10"/>
  <c r="F67" i="10"/>
  <c r="V151" i="15" l="1"/>
  <c r="B69" i="10" s="1"/>
  <c r="U152" i="15"/>
  <c r="A71" i="10"/>
  <c r="J70" i="10"/>
  <c r="K70" i="10"/>
  <c r="L70" i="10"/>
  <c r="M70" i="10"/>
  <c r="I71" i="10"/>
  <c r="H72" i="10"/>
  <c r="C68" i="10"/>
  <c r="D68" i="10"/>
  <c r="E68" i="10"/>
  <c r="F68" i="10"/>
  <c r="V152" i="15" l="1"/>
  <c r="B70" i="10" s="1"/>
  <c r="U153" i="15"/>
  <c r="A72" i="10"/>
  <c r="J71" i="10"/>
  <c r="K71" i="10"/>
  <c r="L71" i="10"/>
  <c r="M71" i="10"/>
  <c r="I72" i="10"/>
  <c r="H73" i="10"/>
  <c r="E69" i="10"/>
  <c r="F69" i="10"/>
  <c r="C69" i="10"/>
  <c r="D69" i="10"/>
  <c r="V153" i="15" l="1"/>
  <c r="B71" i="10" s="1"/>
  <c r="U154" i="15"/>
  <c r="A73" i="10"/>
  <c r="J72" i="10"/>
  <c r="K72" i="10"/>
  <c r="L72" i="10"/>
  <c r="M72" i="10"/>
  <c r="I73" i="10"/>
  <c r="H74" i="10"/>
  <c r="C70" i="10"/>
  <c r="E70" i="10"/>
  <c r="F70" i="10"/>
  <c r="D70" i="10"/>
  <c r="V154" i="15" l="1"/>
  <c r="B72" i="10" s="1"/>
  <c r="U155" i="15"/>
  <c r="A74" i="10"/>
  <c r="J73" i="10"/>
  <c r="K73" i="10"/>
  <c r="L73" i="10"/>
  <c r="M73" i="10"/>
  <c r="I74" i="10"/>
  <c r="H75" i="10"/>
  <c r="E71" i="10"/>
  <c r="F71" i="10"/>
  <c r="C71" i="10"/>
  <c r="D71" i="10"/>
  <c r="V155" i="15" l="1"/>
  <c r="B73" i="10" s="1"/>
  <c r="U156" i="15"/>
  <c r="U157" i="15" s="1"/>
  <c r="U158" i="15" s="1"/>
  <c r="U159" i="15" s="1"/>
  <c r="U160" i="15" s="1"/>
  <c r="U161" i="15" s="1"/>
  <c r="U162" i="15" s="1"/>
  <c r="A75" i="10"/>
  <c r="J74" i="10"/>
  <c r="K74" i="10"/>
  <c r="L74" i="10"/>
  <c r="M74" i="10"/>
  <c r="I75" i="10"/>
  <c r="H76" i="10"/>
  <c r="D72" i="10"/>
  <c r="E72" i="10"/>
  <c r="F72" i="10"/>
  <c r="C72" i="10"/>
  <c r="V162" i="15" l="1"/>
  <c r="B74" i="10" s="1"/>
  <c r="U163" i="15"/>
  <c r="A76" i="10"/>
  <c r="J75" i="10"/>
  <c r="K75" i="10"/>
  <c r="L75" i="10"/>
  <c r="M75" i="10"/>
  <c r="I76" i="10"/>
  <c r="H77" i="10"/>
  <c r="C73" i="10"/>
  <c r="D73" i="10"/>
  <c r="E73" i="10"/>
  <c r="F73" i="10"/>
  <c r="V163" i="15" l="1"/>
  <c r="B75" i="10" s="1"/>
  <c r="U164" i="15"/>
  <c r="A77" i="10"/>
  <c r="J76" i="10"/>
  <c r="K76" i="10"/>
  <c r="L76" i="10"/>
  <c r="M76" i="10"/>
  <c r="I77" i="10"/>
  <c r="H78" i="10"/>
  <c r="C74" i="10"/>
  <c r="D74" i="10"/>
  <c r="E74" i="10"/>
  <c r="F74" i="10"/>
  <c r="V164" i="15" l="1"/>
  <c r="B76" i="10" s="1"/>
  <c r="U165" i="15"/>
  <c r="U166" i="15" s="1"/>
  <c r="U167" i="15" s="1"/>
  <c r="U168" i="15" s="1"/>
  <c r="U169" i="15" s="1"/>
  <c r="U170" i="15" s="1"/>
  <c r="U171" i="15" s="1"/>
  <c r="U172" i="15" s="1"/>
  <c r="U173" i="15" s="1"/>
  <c r="U174" i="15" s="1"/>
  <c r="U175" i="15" s="1"/>
  <c r="U176" i="15" s="1"/>
  <c r="U177" i="15" s="1"/>
  <c r="U178" i="15" s="1"/>
  <c r="U179" i="15" s="1"/>
  <c r="U180" i="15" s="1"/>
  <c r="U181" i="15" s="1"/>
  <c r="A78" i="10"/>
  <c r="J77" i="10"/>
  <c r="K77" i="10"/>
  <c r="L77" i="10"/>
  <c r="M77" i="10"/>
  <c r="I78" i="10"/>
  <c r="H79" i="10"/>
  <c r="C75" i="10"/>
  <c r="D75" i="10"/>
  <c r="E75" i="10"/>
  <c r="F75" i="10"/>
  <c r="V181" i="15" l="1"/>
  <c r="B77" i="10" s="1"/>
  <c r="U182" i="15"/>
  <c r="A79" i="10"/>
  <c r="J78" i="10"/>
  <c r="K78" i="10"/>
  <c r="L78" i="10"/>
  <c r="M78" i="10"/>
  <c r="I79" i="10"/>
  <c r="H80" i="10"/>
  <c r="C76" i="10"/>
  <c r="D76" i="10"/>
  <c r="E76" i="10"/>
  <c r="F76" i="10"/>
  <c r="V182" i="15" l="1"/>
  <c r="B78" i="10" s="1"/>
  <c r="U183" i="15"/>
  <c r="A80" i="10"/>
  <c r="J79" i="10"/>
  <c r="K79" i="10"/>
  <c r="L79" i="10"/>
  <c r="M79" i="10"/>
  <c r="I80" i="10"/>
  <c r="H81" i="10"/>
  <c r="C77" i="10"/>
  <c r="D77" i="10"/>
  <c r="E77" i="10"/>
  <c r="F77" i="10"/>
  <c r="V183" i="15" l="1"/>
  <c r="B79" i="10" s="1"/>
  <c r="U184" i="15"/>
  <c r="U185" i="15" s="1"/>
  <c r="U186" i="15" s="1"/>
  <c r="U187" i="15" s="1"/>
  <c r="A81" i="10"/>
  <c r="J80" i="10"/>
  <c r="K80" i="10"/>
  <c r="L80" i="10"/>
  <c r="M80" i="10"/>
  <c r="I81" i="10"/>
  <c r="H82" i="10"/>
  <c r="C78" i="10"/>
  <c r="D78" i="10"/>
  <c r="E78" i="10"/>
  <c r="F78" i="10"/>
  <c r="V187" i="15" l="1"/>
  <c r="B80" i="10" s="1"/>
  <c r="U188" i="15"/>
  <c r="A82" i="10"/>
  <c r="J81" i="10"/>
  <c r="K81" i="10"/>
  <c r="L81" i="10"/>
  <c r="M81" i="10"/>
  <c r="I82" i="10"/>
  <c r="H83" i="10"/>
  <c r="C79" i="10"/>
  <c r="D79" i="10"/>
  <c r="E79" i="10"/>
  <c r="F79" i="10"/>
  <c r="V188" i="15" l="1"/>
  <c r="B81" i="10" s="1"/>
  <c r="U189" i="15"/>
  <c r="A83" i="10"/>
  <c r="J82" i="10"/>
  <c r="K82" i="10"/>
  <c r="L82" i="10"/>
  <c r="M82" i="10"/>
  <c r="I83" i="10"/>
  <c r="H84" i="10"/>
  <c r="C80" i="10"/>
  <c r="D80" i="10"/>
  <c r="E80" i="10"/>
  <c r="F80" i="10"/>
  <c r="V189" i="15" l="1"/>
  <c r="B82" i="10" s="1"/>
  <c r="U190" i="15"/>
  <c r="A84" i="10"/>
  <c r="J83" i="10"/>
  <c r="K83" i="10"/>
  <c r="L83" i="10"/>
  <c r="M83" i="10"/>
  <c r="I84" i="10"/>
  <c r="H85" i="10"/>
  <c r="D81" i="10"/>
  <c r="C81" i="10"/>
  <c r="E81" i="10"/>
  <c r="F81" i="10"/>
  <c r="V190" i="15" l="1"/>
  <c r="B83" i="10" s="1"/>
  <c r="U191" i="15"/>
  <c r="U192" i="15" s="1"/>
  <c r="U193" i="15" s="1"/>
  <c r="U194" i="15" s="1"/>
  <c r="U195" i="15" s="1"/>
  <c r="U196" i="15" s="1"/>
  <c r="U197" i="15" s="1"/>
  <c r="U198" i="15" s="1"/>
  <c r="U199" i="15" s="1"/>
  <c r="U200" i="15" s="1"/>
  <c r="U201" i="15" s="1"/>
  <c r="U202" i="15" s="1"/>
  <c r="U203" i="15" s="1"/>
  <c r="U204" i="15" s="1"/>
  <c r="U205" i="15" s="1"/>
  <c r="U206" i="15" s="1"/>
  <c r="U207" i="15" s="1"/>
  <c r="U208" i="15" s="1"/>
  <c r="U209" i="15" s="1"/>
  <c r="U210" i="15" s="1"/>
  <c r="U211" i="15" s="1"/>
  <c r="U212" i="15" s="1"/>
  <c r="U213" i="15" s="1"/>
  <c r="U214" i="15" s="1"/>
  <c r="U215" i="15" s="1"/>
  <c r="U216" i="15" s="1"/>
  <c r="A85" i="10"/>
  <c r="J84" i="10"/>
  <c r="K84" i="10"/>
  <c r="L84" i="10"/>
  <c r="M84" i="10"/>
  <c r="I85" i="10"/>
  <c r="H86" i="10"/>
  <c r="C82" i="10"/>
  <c r="D82" i="10"/>
  <c r="E82" i="10"/>
  <c r="F82" i="10"/>
  <c r="V216" i="15" l="1"/>
  <c r="B84" i="10" s="1"/>
  <c r="U217" i="15"/>
  <c r="A86" i="10"/>
  <c r="J85" i="10"/>
  <c r="K85" i="10"/>
  <c r="L85" i="10"/>
  <c r="M85" i="10"/>
  <c r="I86" i="10"/>
  <c r="H87" i="10"/>
  <c r="C83" i="10"/>
  <c r="D83" i="10"/>
  <c r="E83" i="10"/>
  <c r="F83" i="10"/>
  <c r="V217" i="15" l="1"/>
  <c r="B85" i="10" s="1"/>
  <c r="U218" i="15"/>
  <c r="A87" i="10"/>
  <c r="J86" i="10"/>
  <c r="K86" i="10"/>
  <c r="L86" i="10"/>
  <c r="M86" i="10"/>
  <c r="I87" i="10"/>
  <c r="H88" i="10"/>
  <c r="E84" i="10"/>
  <c r="F84" i="10"/>
  <c r="C84" i="10"/>
  <c r="D84" i="10"/>
  <c r="V218" i="15" l="1"/>
  <c r="B86" i="10" s="1"/>
  <c r="U219" i="15"/>
  <c r="U220" i="15" s="1"/>
  <c r="U221" i="15" s="1"/>
  <c r="U222" i="15" s="1"/>
  <c r="U223" i="15" s="1"/>
  <c r="U224" i="15" s="1"/>
  <c r="U225" i="15" s="1"/>
  <c r="U226" i="15" s="1"/>
  <c r="U227" i="15" s="1"/>
  <c r="U228" i="15" s="1"/>
  <c r="U229" i="15" s="1"/>
  <c r="U230" i="15" s="1"/>
  <c r="U231" i="15" s="1"/>
  <c r="U232" i="15" s="1"/>
  <c r="U233" i="15" s="1"/>
  <c r="U234" i="15" s="1"/>
  <c r="U235" i="15" s="1"/>
  <c r="U236" i="15" s="1"/>
  <c r="U237" i="15" s="1"/>
  <c r="U238" i="15" s="1"/>
  <c r="U239" i="15" s="1"/>
  <c r="U240" i="15" s="1"/>
  <c r="U241" i="15" s="1"/>
  <c r="U242" i="15" s="1"/>
  <c r="U243" i="15" s="1"/>
  <c r="A88" i="10"/>
  <c r="J87" i="10"/>
  <c r="K87" i="10"/>
  <c r="L87" i="10"/>
  <c r="M87" i="10"/>
  <c r="I88" i="10"/>
  <c r="H89" i="10"/>
  <c r="C85" i="10"/>
  <c r="E85" i="10"/>
  <c r="F85" i="10"/>
  <c r="D85" i="10"/>
  <c r="V243" i="15" l="1"/>
  <c r="B87" i="10" s="1"/>
  <c r="U244" i="15"/>
  <c r="U245" i="15" s="1"/>
  <c r="U246" i="15" s="1"/>
  <c r="U247" i="15" s="1"/>
  <c r="U248" i="15" s="1"/>
  <c r="U249" i="15" s="1"/>
  <c r="U250" i="15" s="1"/>
  <c r="A89" i="10"/>
  <c r="J88" i="10"/>
  <c r="K88" i="10"/>
  <c r="L88" i="10"/>
  <c r="M88" i="10"/>
  <c r="I89" i="10"/>
  <c r="H90" i="10"/>
  <c r="F86" i="10"/>
  <c r="C86" i="10"/>
  <c r="D86" i="10"/>
  <c r="E86" i="10"/>
  <c r="V250" i="15" l="1"/>
  <c r="B88" i="10" s="1"/>
  <c r="U251" i="15"/>
  <c r="U252" i="15" s="1"/>
  <c r="U253" i="15" s="1"/>
  <c r="U254" i="15" s="1"/>
  <c r="A90" i="10"/>
  <c r="J89" i="10"/>
  <c r="K89" i="10"/>
  <c r="L89" i="10"/>
  <c r="M89" i="10"/>
  <c r="I90" i="10"/>
  <c r="H91" i="10"/>
  <c r="E87" i="10"/>
  <c r="F87" i="10"/>
  <c r="D87" i="10"/>
  <c r="C87" i="10"/>
  <c r="V254" i="15" l="1"/>
  <c r="B89" i="10" s="1"/>
  <c r="U255" i="15"/>
  <c r="A91" i="10"/>
  <c r="J90" i="10"/>
  <c r="K90" i="10"/>
  <c r="L90" i="10"/>
  <c r="M90" i="10"/>
  <c r="I91" i="10"/>
  <c r="H92" i="10"/>
  <c r="C88" i="10"/>
  <c r="D88" i="10"/>
  <c r="E88" i="10"/>
  <c r="F88" i="10"/>
  <c r="V255" i="15" l="1"/>
  <c r="B90" i="10" s="1"/>
  <c r="U256" i="15"/>
  <c r="A92" i="10"/>
  <c r="J91" i="10"/>
  <c r="K91" i="10"/>
  <c r="L91" i="10"/>
  <c r="M91" i="10"/>
  <c r="I92" i="10"/>
  <c r="H93" i="10"/>
  <c r="C89" i="10"/>
  <c r="D89" i="10"/>
  <c r="E89" i="10"/>
  <c r="F89" i="10"/>
  <c r="V256" i="15" l="1"/>
  <c r="B91" i="10" s="1"/>
  <c r="U257" i="15"/>
  <c r="U258" i="15" s="1"/>
  <c r="U259" i="15" s="1"/>
  <c r="U260" i="15" s="1"/>
  <c r="U261" i="15" s="1"/>
  <c r="U262" i="15" s="1"/>
  <c r="U263" i="15" s="1"/>
  <c r="U264" i="15" s="1"/>
  <c r="U265" i="15" s="1"/>
  <c r="U266" i="15" s="1"/>
  <c r="U267" i="15" s="1"/>
  <c r="A93" i="10"/>
  <c r="J92" i="10"/>
  <c r="K92" i="10"/>
  <c r="L92" i="10"/>
  <c r="M92" i="10"/>
  <c r="I93" i="10"/>
  <c r="H94" i="10"/>
  <c r="E90" i="10"/>
  <c r="F90" i="10"/>
  <c r="C90" i="10"/>
  <c r="D90" i="10"/>
  <c r="V267" i="15" l="1"/>
  <c r="B92" i="10" s="1"/>
  <c r="U268" i="15"/>
  <c r="U269" i="15" s="1"/>
  <c r="U270" i="15" s="1"/>
  <c r="U271" i="15" s="1"/>
  <c r="U272" i="15" s="1"/>
  <c r="U273" i="15" s="1"/>
  <c r="A94" i="10"/>
  <c r="J93" i="10"/>
  <c r="K93" i="10"/>
  <c r="L93" i="10"/>
  <c r="M93" i="10"/>
  <c r="I94" i="10"/>
  <c r="H95" i="10"/>
  <c r="C91" i="10"/>
  <c r="D91" i="10"/>
  <c r="E91" i="10"/>
  <c r="F91" i="10"/>
  <c r="V273" i="15" l="1"/>
  <c r="B93" i="10" s="1"/>
  <c r="U274" i="15"/>
  <c r="U275" i="15" s="1"/>
  <c r="U276" i="15" s="1"/>
  <c r="U277" i="15" s="1"/>
  <c r="U278" i="15" s="1"/>
  <c r="U279" i="15" s="1"/>
  <c r="U280" i="15" s="1"/>
  <c r="U281" i="15" s="1"/>
  <c r="U282" i="15" s="1"/>
  <c r="U283" i="15" s="1"/>
  <c r="U284" i="15" s="1"/>
  <c r="U285" i="15" s="1"/>
  <c r="U286" i="15" s="1"/>
  <c r="U287" i="15" s="1"/>
  <c r="U288" i="15" s="1"/>
  <c r="U289" i="15" s="1"/>
  <c r="U290" i="15" s="1"/>
  <c r="U291" i="15" s="1"/>
  <c r="U292" i="15" s="1"/>
  <c r="U293" i="15" s="1"/>
  <c r="U294" i="15" s="1"/>
  <c r="U295" i="15" s="1"/>
  <c r="U296" i="15" s="1"/>
  <c r="A95" i="10"/>
  <c r="J94" i="10"/>
  <c r="K94" i="10"/>
  <c r="L94" i="10"/>
  <c r="M94" i="10"/>
  <c r="I95" i="10"/>
  <c r="H96" i="10"/>
  <c r="C92" i="10"/>
  <c r="D92" i="10"/>
  <c r="E92" i="10"/>
  <c r="F92" i="10"/>
  <c r="V296" i="15" l="1"/>
  <c r="B94" i="10" s="1"/>
  <c r="U297" i="15"/>
  <c r="A96" i="10"/>
  <c r="J95" i="10"/>
  <c r="K95" i="10"/>
  <c r="L95" i="10"/>
  <c r="M95" i="10"/>
  <c r="I96" i="10"/>
  <c r="H97" i="10"/>
  <c r="C93" i="10"/>
  <c r="D93" i="10"/>
  <c r="E93" i="10"/>
  <c r="F93" i="10"/>
  <c r="V297" i="15" l="1"/>
  <c r="B95" i="10" s="1"/>
  <c r="U298" i="15"/>
  <c r="U299" i="15" s="1"/>
  <c r="U300" i="15" s="1"/>
  <c r="U301" i="15" s="1"/>
  <c r="U302" i="15" s="1"/>
  <c r="U303" i="15" s="1"/>
  <c r="U304" i="15" s="1"/>
  <c r="U305" i="15" s="1"/>
  <c r="A97" i="10"/>
  <c r="J96" i="10"/>
  <c r="K96" i="10"/>
  <c r="L96" i="10"/>
  <c r="M96" i="10"/>
  <c r="I97" i="10"/>
  <c r="H98" i="10"/>
  <c r="D94" i="10"/>
  <c r="C94" i="10"/>
  <c r="E94" i="10"/>
  <c r="F94" i="10"/>
  <c r="V305" i="15" l="1"/>
  <c r="B96" i="10" s="1"/>
  <c r="U306" i="15"/>
  <c r="A98" i="10"/>
  <c r="J97" i="10"/>
  <c r="K97" i="10"/>
  <c r="L97" i="10"/>
  <c r="M97" i="10"/>
  <c r="I98" i="10"/>
  <c r="H99" i="10"/>
  <c r="C95" i="10"/>
  <c r="D95" i="10"/>
  <c r="E95" i="10"/>
  <c r="F95" i="10"/>
  <c r="V306" i="15" l="1"/>
  <c r="B97" i="10" s="1"/>
  <c r="U307" i="15"/>
  <c r="A99" i="10"/>
  <c r="J98" i="10"/>
  <c r="K98" i="10"/>
  <c r="L98" i="10"/>
  <c r="M98" i="10"/>
  <c r="I99" i="10"/>
  <c r="H100" i="10"/>
  <c r="C96" i="10"/>
  <c r="D96" i="10"/>
  <c r="E96" i="10"/>
  <c r="F96" i="10"/>
  <c r="V307" i="15" l="1"/>
  <c r="B98" i="10" s="1"/>
  <c r="U308" i="15"/>
  <c r="U309" i="15" s="1"/>
  <c r="U310" i="15" s="1"/>
  <c r="A100" i="10"/>
  <c r="J99" i="10"/>
  <c r="K99" i="10"/>
  <c r="L99" i="10"/>
  <c r="M99" i="10"/>
  <c r="I100" i="10"/>
  <c r="H101" i="10"/>
  <c r="C97" i="10"/>
  <c r="D97" i="10"/>
  <c r="E97" i="10"/>
  <c r="F97" i="10"/>
  <c r="V310" i="15" l="1"/>
  <c r="B99" i="10" s="1"/>
  <c r="U311" i="15"/>
  <c r="A101" i="10"/>
  <c r="J100" i="10"/>
  <c r="K100" i="10"/>
  <c r="L100" i="10"/>
  <c r="M100" i="10"/>
  <c r="I101" i="10"/>
  <c r="H102" i="10"/>
  <c r="D98" i="10"/>
  <c r="C98" i="10"/>
  <c r="E98" i="10"/>
  <c r="F98" i="10"/>
  <c r="V311" i="15" l="1"/>
  <c r="B100" i="10" s="1"/>
  <c r="U312" i="15"/>
  <c r="A102" i="10"/>
  <c r="J101" i="10"/>
  <c r="K101" i="10"/>
  <c r="L101" i="10"/>
  <c r="M101" i="10"/>
  <c r="I102" i="10"/>
  <c r="H103" i="10"/>
  <c r="E99" i="10"/>
  <c r="F99" i="10"/>
  <c r="D99" i="10"/>
  <c r="C99" i="10"/>
  <c r="V312" i="15" l="1"/>
  <c r="B101" i="10" s="1"/>
  <c r="U313" i="15"/>
  <c r="A103" i="10"/>
  <c r="J102" i="10"/>
  <c r="K102" i="10"/>
  <c r="L102" i="10"/>
  <c r="M102" i="10"/>
  <c r="I103" i="10"/>
  <c r="H104" i="10"/>
  <c r="C100" i="10"/>
  <c r="D100" i="10"/>
  <c r="E100" i="10"/>
  <c r="F100" i="10"/>
  <c r="V313" i="15" l="1"/>
  <c r="B102" i="10" s="1"/>
  <c r="U314" i="15"/>
  <c r="U315" i="15" s="1"/>
  <c r="A104" i="10"/>
  <c r="J103" i="10"/>
  <c r="K103" i="10"/>
  <c r="L103" i="10"/>
  <c r="M103" i="10"/>
  <c r="I104" i="10"/>
  <c r="H105" i="10"/>
  <c r="E101" i="10"/>
  <c r="F101" i="10"/>
  <c r="C101" i="10"/>
  <c r="D101" i="10"/>
  <c r="V315" i="15" l="1"/>
  <c r="B103" i="10" s="1"/>
  <c r="U316" i="15"/>
  <c r="A105" i="10"/>
  <c r="J104" i="10"/>
  <c r="K104" i="10"/>
  <c r="L104" i="10"/>
  <c r="M104" i="10"/>
  <c r="I105" i="10"/>
  <c r="H106" i="10"/>
  <c r="C102" i="10"/>
  <c r="D102" i="10"/>
  <c r="E102" i="10"/>
  <c r="F102" i="10"/>
  <c r="V316" i="15" l="1"/>
  <c r="B104" i="10" s="1"/>
  <c r="U317" i="15"/>
  <c r="A106" i="10"/>
  <c r="J105" i="10"/>
  <c r="K105" i="10"/>
  <c r="L105" i="10"/>
  <c r="M105" i="10"/>
  <c r="I106" i="10"/>
  <c r="H107" i="10"/>
  <c r="C103" i="10"/>
  <c r="E103" i="10"/>
  <c r="F103" i="10"/>
  <c r="D103" i="10"/>
  <c r="V317" i="15" l="1"/>
  <c r="B105" i="10" s="1"/>
  <c r="U318" i="15"/>
  <c r="U319" i="15" s="1"/>
  <c r="U320" i="15" s="1"/>
  <c r="A107" i="10"/>
  <c r="J106" i="10"/>
  <c r="K106" i="10"/>
  <c r="L106" i="10"/>
  <c r="M106" i="10"/>
  <c r="I107" i="10"/>
  <c r="H108" i="10"/>
  <c r="C104" i="10"/>
  <c r="D104" i="10"/>
  <c r="E104" i="10"/>
  <c r="F104" i="10"/>
  <c r="V320" i="15" l="1"/>
  <c r="B106" i="10" s="1"/>
  <c r="U321" i="15"/>
  <c r="A108" i="10"/>
  <c r="J107" i="10"/>
  <c r="K107" i="10"/>
  <c r="L107" i="10"/>
  <c r="M107" i="10"/>
  <c r="I108" i="10"/>
  <c r="H109" i="10"/>
  <c r="D105" i="10"/>
  <c r="F105" i="10"/>
  <c r="E105" i="10"/>
  <c r="C105" i="10"/>
  <c r="V321" i="15" l="1"/>
  <c r="B107" i="10" s="1"/>
  <c r="U322" i="15"/>
  <c r="U323" i="15" s="1"/>
  <c r="U324" i="15" s="1"/>
  <c r="U325" i="15" s="1"/>
  <c r="U326" i="15" s="1"/>
  <c r="U327" i="15" s="1"/>
  <c r="U328" i="15" s="1"/>
  <c r="A109" i="10"/>
  <c r="J108" i="10"/>
  <c r="K108" i="10"/>
  <c r="L108" i="10"/>
  <c r="M108" i="10"/>
  <c r="I109" i="10"/>
  <c r="H110" i="10"/>
  <c r="C106" i="10"/>
  <c r="E106" i="10"/>
  <c r="D106" i="10"/>
  <c r="F106" i="10"/>
  <c r="V328" i="15" l="1"/>
  <c r="B108" i="10" s="1"/>
  <c r="U329" i="15"/>
  <c r="A110" i="10"/>
  <c r="J109" i="10"/>
  <c r="K109" i="10"/>
  <c r="L109" i="10"/>
  <c r="M109" i="10"/>
  <c r="I110" i="10"/>
  <c r="H111" i="10"/>
  <c r="C107" i="10"/>
  <c r="D107" i="10"/>
  <c r="E107" i="10"/>
  <c r="F107" i="10"/>
  <c r="V329" i="15" l="1"/>
  <c r="B109" i="10" s="1"/>
  <c r="U330" i="15"/>
  <c r="A111" i="10"/>
  <c r="J110" i="10"/>
  <c r="K110" i="10"/>
  <c r="L110" i="10"/>
  <c r="M110" i="10"/>
  <c r="I111" i="10"/>
  <c r="H112" i="10"/>
  <c r="D108" i="10"/>
  <c r="E108" i="10"/>
  <c r="F108" i="10"/>
  <c r="C108" i="10"/>
  <c r="V330" i="15" l="1"/>
  <c r="B110" i="10" s="1"/>
  <c r="U331" i="15"/>
  <c r="A112" i="10"/>
  <c r="J111" i="10"/>
  <c r="K111" i="10"/>
  <c r="L111" i="10"/>
  <c r="M111" i="10"/>
  <c r="I112" i="10"/>
  <c r="H113" i="10"/>
  <c r="C109" i="10"/>
  <c r="D109" i="10"/>
  <c r="E109" i="10"/>
  <c r="F109" i="10"/>
  <c r="V331" i="15" l="1"/>
  <c r="U332" i="15"/>
  <c r="U333" i="15" s="1"/>
  <c r="A113" i="10"/>
  <c r="J112" i="10"/>
  <c r="K112" i="10"/>
  <c r="L112" i="10"/>
  <c r="M112" i="10"/>
  <c r="I113" i="10"/>
  <c r="H114" i="10"/>
  <c r="C110" i="10"/>
  <c r="D110" i="10"/>
  <c r="E110" i="10"/>
  <c r="F110" i="10"/>
  <c r="B111" i="10" l="1"/>
  <c r="B112" i="10"/>
  <c r="B113" i="10"/>
  <c r="A114" i="10"/>
  <c r="J113" i="10"/>
  <c r="K113" i="10"/>
  <c r="L113" i="10"/>
  <c r="M113" i="10"/>
  <c r="I114" i="10"/>
  <c r="H115" i="10"/>
  <c r="F111" i="10" l="1"/>
  <c r="C111" i="10"/>
  <c r="E111" i="10"/>
  <c r="D111" i="10"/>
  <c r="C112" i="10"/>
  <c r="D112" i="10"/>
  <c r="E112" i="10"/>
  <c r="F112" i="10"/>
  <c r="C113" i="10"/>
  <c r="D113" i="10"/>
  <c r="E113" i="10"/>
  <c r="F113" i="10"/>
  <c r="B114" i="10"/>
  <c r="A115" i="10"/>
  <c r="J114" i="10"/>
  <c r="K114" i="10"/>
  <c r="L114" i="10"/>
  <c r="M114" i="10"/>
  <c r="I115" i="10"/>
  <c r="H116" i="10"/>
  <c r="C114" i="10" l="1"/>
  <c r="D114" i="10"/>
  <c r="E114" i="10"/>
  <c r="F114" i="10"/>
  <c r="B115" i="10"/>
  <c r="A116" i="10"/>
  <c r="J115" i="10"/>
  <c r="K115" i="10"/>
  <c r="L115" i="10"/>
  <c r="M115" i="10"/>
  <c r="I116" i="10"/>
  <c r="H117" i="10"/>
  <c r="C115" i="10" l="1"/>
  <c r="D115" i="10"/>
  <c r="E115" i="10"/>
  <c r="F115" i="10"/>
  <c r="B116" i="10"/>
  <c r="A117" i="10"/>
  <c r="J116" i="10"/>
  <c r="K116" i="10"/>
  <c r="L116" i="10"/>
  <c r="M116" i="10"/>
  <c r="I117" i="10"/>
  <c r="H118" i="10"/>
  <c r="C116" i="10" l="1"/>
  <c r="D116" i="10"/>
  <c r="E116" i="10"/>
  <c r="F116" i="10"/>
  <c r="B117" i="10"/>
  <c r="A118" i="10"/>
  <c r="J117" i="10"/>
  <c r="K117" i="10"/>
  <c r="L117" i="10"/>
  <c r="M117" i="10"/>
  <c r="I118" i="10"/>
  <c r="H119" i="10"/>
  <c r="C117" i="10" l="1"/>
  <c r="D117" i="10"/>
  <c r="E117" i="10"/>
  <c r="F117" i="10"/>
  <c r="B118" i="10"/>
  <c r="A119" i="10"/>
  <c r="J118" i="10"/>
  <c r="K118" i="10"/>
  <c r="L118" i="10"/>
  <c r="M118" i="10"/>
  <c r="I119" i="10"/>
  <c r="H120" i="10"/>
  <c r="C118" i="10" l="1"/>
  <c r="D118" i="10"/>
  <c r="E118" i="10"/>
  <c r="F118" i="10"/>
  <c r="B119" i="10"/>
  <c r="A120" i="10"/>
  <c r="J119" i="10"/>
  <c r="K119" i="10"/>
  <c r="L119" i="10"/>
  <c r="M119" i="10"/>
  <c r="I120" i="10"/>
  <c r="H121" i="10"/>
  <c r="C119" i="10" l="1"/>
  <c r="D119" i="10"/>
  <c r="E119" i="10"/>
  <c r="F119" i="10"/>
  <c r="B120" i="10"/>
  <c r="A121" i="10"/>
  <c r="J120" i="10"/>
  <c r="K120" i="10"/>
  <c r="L120" i="10"/>
  <c r="M120" i="10"/>
  <c r="I121" i="10"/>
  <c r="H122" i="10"/>
  <c r="C120" i="10" l="1"/>
  <c r="D120" i="10"/>
  <c r="E120" i="10"/>
  <c r="F120" i="10"/>
  <c r="B121" i="10"/>
  <c r="A122" i="10"/>
  <c r="J121" i="10"/>
  <c r="K121" i="10"/>
  <c r="L121" i="10"/>
  <c r="M121" i="10"/>
  <c r="I122" i="10"/>
  <c r="H123" i="10"/>
  <c r="C121" i="10" l="1"/>
  <c r="D121" i="10"/>
  <c r="E121" i="10"/>
  <c r="F121" i="10"/>
  <c r="B122" i="10"/>
  <c r="A123" i="10"/>
  <c r="J122" i="10"/>
  <c r="K122" i="10"/>
  <c r="L122" i="10"/>
  <c r="M122" i="10"/>
  <c r="I123" i="10"/>
  <c r="H124" i="10"/>
  <c r="C122" i="10" l="1"/>
  <c r="D122" i="10"/>
  <c r="E122" i="10"/>
  <c r="F122" i="10"/>
  <c r="B123" i="10"/>
  <c r="A124" i="10"/>
  <c r="J123" i="10"/>
  <c r="K123" i="10"/>
  <c r="L123" i="10"/>
  <c r="M123" i="10"/>
  <c r="I124" i="10"/>
  <c r="H125" i="10"/>
  <c r="C123" i="10" l="1"/>
  <c r="D123" i="10"/>
  <c r="E123" i="10"/>
  <c r="F123" i="10"/>
  <c r="B124" i="10"/>
  <c r="A125" i="10"/>
  <c r="J124" i="10"/>
  <c r="K124" i="10"/>
  <c r="L124" i="10"/>
  <c r="M124" i="10"/>
  <c r="I125" i="10"/>
  <c r="H126" i="10"/>
  <c r="C124" i="10" l="1"/>
  <c r="D124" i="10"/>
  <c r="E124" i="10"/>
  <c r="F124" i="10"/>
  <c r="B125" i="10"/>
  <c r="A126" i="10"/>
  <c r="J125" i="10"/>
  <c r="K125" i="10"/>
  <c r="L125" i="10"/>
  <c r="M125" i="10"/>
  <c r="I126" i="10"/>
  <c r="H127" i="10"/>
  <c r="C125" i="10" l="1"/>
  <c r="D125" i="10"/>
  <c r="E125" i="10"/>
  <c r="F125" i="10"/>
  <c r="B126" i="10"/>
  <c r="A127" i="10"/>
  <c r="J126" i="10"/>
  <c r="K126" i="10"/>
  <c r="L126" i="10"/>
  <c r="M126" i="10"/>
  <c r="I127" i="10"/>
  <c r="H128" i="10"/>
  <c r="C126" i="10" l="1"/>
  <c r="D126" i="10"/>
  <c r="E126" i="10"/>
  <c r="F126" i="10"/>
  <c r="B127" i="10"/>
  <c r="A128" i="10"/>
  <c r="J127" i="10"/>
  <c r="K127" i="10"/>
  <c r="L127" i="10"/>
  <c r="M127" i="10"/>
  <c r="I128" i="10"/>
  <c r="H129" i="10"/>
  <c r="C127" i="10" l="1"/>
  <c r="D127" i="10"/>
  <c r="E127" i="10"/>
  <c r="F127" i="10"/>
  <c r="B128" i="10"/>
  <c r="A129" i="10"/>
  <c r="J128" i="10"/>
  <c r="K128" i="10"/>
  <c r="L128" i="10"/>
  <c r="M128" i="10"/>
  <c r="I129" i="10"/>
  <c r="H130" i="10"/>
  <c r="C128" i="10" l="1"/>
  <c r="D128" i="10"/>
  <c r="E128" i="10"/>
  <c r="F128" i="10"/>
  <c r="B129" i="10"/>
  <c r="A130" i="10"/>
  <c r="J129" i="10"/>
  <c r="K129" i="10"/>
  <c r="L129" i="10"/>
  <c r="M129" i="10"/>
  <c r="H131" i="10"/>
  <c r="I130" i="10"/>
  <c r="C129" i="10" l="1"/>
  <c r="D129" i="10"/>
  <c r="E129" i="10"/>
  <c r="F129" i="10"/>
  <c r="B130" i="10"/>
  <c r="A131" i="10"/>
  <c r="H132" i="10"/>
  <c r="I131" i="10"/>
  <c r="J130" i="10"/>
  <c r="K130" i="10"/>
  <c r="L130" i="10"/>
  <c r="M130" i="10"/>
  <c r="C130" i="10" l="1"/>
  <c r="D130" i="10"/>
  <c r="E130" i="10"/>
  <c r="F130" i="10"/>
  <c r="A132" i="10"/>
  <c r="B131" i="10"/>
  <c r="H133" i="10"/>
  <c r="I132" i="10"/>
  <c r="K131" i="10"/>
  <c r="J131" i="10"/>
  <c r="L131" i="10"/>
  <c r="M131" i="10"/>
  <c r="B132" i="10" l="1"/>
  <c r="A133" i="10"/>
  <c r="D131" i="10"/>
  <c r="E131" i="10"/>
  <c r="C131" i="10"/>
  <c r="F131" i="10"/>
  <c r="I133" i="10"/>
  <c r="H134" i="10"/>
  <c r="K132" i="10"/>
  <c r="M132" i="10"/>
  <c r="J132" i="10"/>
  <c r="L132" i="10"/>
  <c r="D132" i="10" l="1"/>
  <c r="C132" i="10"/>
  <c r="E132" i="10"/>
  <c r="F132" i="10"/>
  <c r="A134" i="10"/>
  <c r="B133" i="10"/>
  <c r="K133" i="10"/>
  <c r="M133" i="10"/>
  <c r="J133" i="10"/>
  <c r="L133" i="10"/>
  <c r="I134" i="10"/>
  <c r="H135" i="10"/>
  <c r="B134" i="10" l="1"/>
  <c r="A135" i="10"/>
  <c r="E133" i="10"/>
  <c r="F133" i="10"/>
  <c r="C133" i="10"/>
  <c r="D133" i="10"/>
  <c r="J134" i="10"/>
  <c r="L134" i="10"/>
  <c r="M134" i="10"/>
  <c r="K134" i="10"/>
  <c r="I135" i="10"/>
  <c r="H136" i="10"/>
  <c r="D134" i="10" l="1"/>
  <c r="C134" i="10"/>
  <c r="E134" i="10"/>
  <c r="F134" i="10"/>
  <c r="A136" i="10"/>
  <c r="B135" i="10"/>
  <c r="K135" i="10"/>
  <c r="M135" i="10"/>
  <c r="J135" i="10"/>
  <c r="L135" i="10"/>
  <c r="I136" i="10"/>
  <c r="H137" i="10"/>
  <c r="A137" i="10" l="1"/>
  <c r="B136" i="10"/>
  <c r="D135" i="10"/>
  <c r="F135" i="10"/>
  <c r="C135" i="10"/>
  <c r="E135" i="10"/>
  <c r="K136" i="10"/>
  <c r="L136" i="10"/>
  <c r="M136" i="10"/>
  <c r="J136" i="10"/>
  <c r="I137" i="10"/>
  <c r="H138" i="10"/>
  <c r="B137" i="10" l="1"/>
  <c r="A138" i="10"/>
  <c r="C136" i="10"/>
  <c r="D136" i="10"/>
  <c r="E136" i="10"/>
  <c r="F136" i="10"/>
  <c r="J137" i="10"/>
  <c r="K137" i="10"/>
  <c r="L137" i="10"/>
  <c r="M137" i="10"/>
  <c r="I138" i="10"/>
  <c r="H139" i="10"/>
  <c r="C137" i="10" l="1"/>
  <c r="D137" i="10"/>
  <c r="E137" i="10"/>
  <c r="F137" i="10"/>
  <c r="B138" i="10"/>
  <c r="A139" i="10"/>
  <c r="J138" i="10"/>
  <c r="K138" i="10"/>
  <c r="L138" i="10"/>
  <c r="M138" i="10"/>
  <c r="I139" i="10"/>
  <c r="H140" i="10"/>
  <c r="C138" i="10" l="1"/>
  <c r="D138" i="10"/>
  <c r="E138" i="10"/>
  <c r="F138" i="10"/>
  <c r="B139" i="10"/>
  <c r="A140" i="10"/>
  <c r="J139" i="10"/>
  <c r="K139" i="10"/>
  <c r="M139" i="10"/>
  <c r="L139" i="10"/>
  <c r="H141" i="10"/>
  <c r="I140" i="10"/>
  <c r="D139" i="10" l="1"/>
  <c r="F139" i="10"/>
  <c r="C139" i="10"/>
  <c r="E139" i="10"/>
  <c r="B140" i="10"/>
  <c r="A141" i="10"/>
  <c r="H142" i="10"/>
  <c r="I141" i="10"/>
  <c r="K140" i="10"/>
  <c r="L140" i="10"/>
  <c r="J140" i="10"/>
  <c r="M140" i="10"/>
  <c r="D140" i="10" l="1"/>
  <c r="F140" i="10"/>
  <c r="C140" i="10"/>
  <c r="E140" i="10"/>
  <c r="A142" i="10"/>
  <c r="B141" i="10"/>
  <c r="I142" i="10"/>
  <c r="H143" i="10"/>
  <c r="K141" i="10"/>
  <c r="M141" i="10"/>
  <c r="J141" i="10"/>
  <c r="L141" i="10"/>
  <c r="B142" i="10" l="1"/>
  <c r="A143" i="10"/>
  <c r="C141" i="10"/>
  <c r="D141" i="10"/>
  <c r="E141" i="10"/>
  <c r="F141" i="10"/>
  <c r="J142" i="10"/>
  <c r="K142" i="10"/>
  <c r="L142" i="10"/>
  <c r="M142" i="10"/>
  <c r="I143" i="10"/>
  <c r="H144" i="10"/>
  <c r="C142" i="10" l="1"/>
  <c r="D142" i="10"/>
  <c r="E142" i="10"/>
  <c r="F142" i="10"/>
  <c r="B143" i="10"/>
  <c r="A144" i="10"/>
  <c r="J143" i="10"/>
  <c r="K143" i="10"/>
  <c r="M143" i="10"/>
  <c r="L143" i="10"/>
  <c r="I144" i="10"/>
  <c r="H145" i="10"/>
  <c r="C143" i="10" l="1"/>
  <c r="D143" i="10"/>
  <c r="E143" i="10"/>
  <c r="F143" i="10"/>
  <c r="A145" i="10"/>
  <c r="B144" i="10"/>
  <c r="K144" i="10"/>
  <c r="L144" i="10"/>
  <c r="M144" i="10"/>
  <c r="J144" i="10"/>
  <c r="I145" i="10"/>
  <c r="H146" i="10"/>
  <c r="B145" i="10" l="1"/>
  <c r="A146" i="10"/>
  <c r="C144" i="10"/>
  <c r="D144" i="10"/>
  <c r="E144" i="10"/>
  <c r="F144" i="10"/>
  <c r="J145" i="10"/>
  <c r="K145" i="10"/>
  <c r="M145" i="10"/>
  <c r="L145" i="10"/>
  <c r="I146" i="10"/>
  <c r="H147" i="10"/>
  <c r="C145" i="10" l="1"/>
  <c r="D145" i="10"/>
  <c r="E145" i="10"/>
  <c r="F145" i="10"/>
  <c r="A147" i="10"/>
  <c r="B146" i="10"/>
  <c r="K146" i="10"/>
  <c r="M146" i="10"/>
  <c r="J146" i="10"/>
  <c r="L146" i="10"/>
  <c r="I147" i="10"/>
  <c r="H148" i="10"/>
  <c r="B147" i="10" l="1"/>
  <c r="A148" i="10"/>
  <c r="D146" i="10"/>
  <c r="F146" i="10"/>
  <c r="C146" i="10"/>
  <c r="E146" i="10"/>
  <c r="K147" i="10"/>
  <c r="M147" i="10"/>
  <c r="J147" i="10"/>
  <c r="L147" i="10"/>
  <c r="I148" i="10"/>
  <c r="H149" i="10"/>
  <c r="C147" i="10" l="1"/>
  <c r="D147" i="10"/>
  <c r="E147" i="10"/>
  <c r="F147" i="10"/>
  <c r="B148" i="10"/>
  <c r="A149" i="10"/>
  <c r="J148" i="10"/>
  <c r="K148" i="10"/>
  <c r="L148" i="10"/>
  <c r="M148" i="10"/>
  <c r="I149" i="10"/>
  <c r="H150" i="10"/>
  <c r="C148" i="10" l="1"/>
  <c r="D148" i="10"/>
  <c r="E148" i="10"/>
  <c r="F148" i="10"/>
  <c r="A150" i="10"/>
  <c r="B149" i="10"/>
  <c r="J149" i="10"/>
  <c r="K149" i="10"/>
  <c r="L149" i="10"/>
  <c r="M149" i="10"/>
  <c r="H151" i="10"/>
  <c r="I150" i="10"/>
  <c r="A151" i="10" l="1"/>
  <c r="B150" i="10"/>
  <c r="C149" i="10"/>
  <c r="D149" i="10"/>
  <c r="E149" i="10"/>
  <c r="F149" i="10"/>
  <c r="H152" i="10"/>
  <c r="I151" i="10"/>
  <c r="J150" i="10"/>
  <c r="K150" i="10"/>
  <c r="L150" i="10"/>
  <c r="M150" i="10"/>
  <c r="B151" i="10" l="1"/>
  <c r="A152" i="10"/>
  <c r="C150" i="10"/>
  <c r="E150" i="10"/>
  <c r="F150" i="10"/>
  <c r="D150" i="10"/>
  <c r="I152" i="10"/>
  <c r="H153" i="10"/>
  <c r="J151" i="10"/>
  <c r="K151" i="10"/>
  <c r="L151" i="10"/>
  <c r="M151" i="10"/>
  <c r="E151" i="10" l="1"/>
  <c r="F151" i="10"/>
  <c r="C151" i="10"/>
  <c r="D151" i="10"/>
  <c r="B152" i="10"/>
  <c r="A153" i="10"/>
  <c r="J152" i="10"/>
  <c r="K152" i="10"/>
  <c r="L152" i="10"/>
  <c r="M152" i="10"/>
  <c r="I153" i="10"/>
  <c r="H154" i="10"/>
  <c r="D152" i="10" l="1"/>
  <c r="C152" i="10"/>
  <c r="E152" i="10"/>
  <c r="F152" i="10"/>
  <c r="B153" i="10"/>
  <c r="A154" i="10"/>
  <c r="J153" i="10"/>
  <c r="L153" i="10"/>
  <c r="K153" i="10"/>
  <c r="M153" i="10"/>
  <c r="I154" i="10"/>
  <c r="H155" i="10"/>
  <c r="C153" i="10" l="1"/>
  <c r="D153" i="10"/>
  <c r="F153" i="10"/>
  <c r="E153" i="10"/>
  <c r="B154" i="10"/>
  <c r="A155" i="10"/>
  <c r="J154" i="10"/>
  <c r="K154" i="10"/>
  <c r="L154" i="10"/>
  <c r="M154" i="10"/>
  <c r="I155" i="10"/>
  <c r="H156" i="10"/>
  <c r="D154" i="10" l="1"/>
  <c r="E154" i="10"/>
  <c r="F154" i="10"/>
  <c r="C154" i="10"/>
  <c r="B155" i="10"/>
  <c r="A156" i="10"/>
  <c r="J155" i="10"/>
  <c r="K155" i="10"/>
  <c r="L155" i="10"/>
  <c r="M155" i="10"/>
  <c r="I156" i="10"/>
  <c r="H157" i="10"/>
  <c r="C155" i="10" l="1"/>
  <c r="D155" i="10"/>
  <c r="E155" i="10"/>
  <c r="F155" i="10"/>
  <c r="B156" i="10"/>
  <c r="A157" i="10"/>
  <c r="J156" i="10"/>
  <c r="K156" i="10"/>
  <c r="L156" i="10"/>
  <c r="M156" i="10"/>
  <c r="I157" i="10"/>
  <c r="H158" i="10"/>
  <c r="C156" i="10" l="1"/>
  <c r="D156" i="10"/>
  <c r="E156" i="10"/>
  <c r="F156" i="10"/>
  <c r="B157" i="10"/>
  <c r="A158" i="10"/>
  <c r="J157" i="10"/>
  <c r="K157" i="10"/>
  <c r="L157" i="10"/>
  <c r="M157" i="10"/>
  <c r="I158" i="10"/>
  <c r="H159" i="10"/>
  <c r="C157" i="10" l="1"/>
  <c r="D157" i="10"/>
  <c r="E157" i="10"/>
  <c r="F157" i="10"/>
  <c r="B158" i="10"/>
  <c r="A159" i="10"/>
  <c r="J158" i="10"/>
  <c r="K158" i="10"/>
  <c r="L158" i="10"/>
  <c r="M158" i="10"/>
  <c r="I159" i="10"/>
  <c r="H160" i="10"/>
  <c r="C158" i="10" l="1"/>
  <c r="D158" i="10"/>
  <c r="E158" i="10"/>
  <c r="F158" i="10"/>
  <c r="B159" i="10"/>
  <c r="A160" i="10"/>
  <c r="J159" i="10"/>
  <c r="K159" i="10"/>
  <c r="L159" i="10"/>
  <c r="M159" i="10"/>
  <c r="I160" i="10"/>
  <c r="H161" i="10"/>
  <c r="C159" i="10" l="1"/>
  <c r="D159" i="10"/>
  <c r="E159" i="10"/>
  <c r="F159" i="10"/>
  <c r="B160" i="10"/>
  <c r="A161" i="10"/>
  <c r="J160" i="10"/>
  <c r="K160" i="10"/>
  <c r="L160" i="10"/>
  <c r="M160" i="10"/>
  <c r="I161" i="10"/>
  <c r="H162" i="10"/>
  <c r="C160" i="10" l="1"/>
  <c r="D160" i="10"/>
  <c r="E160" i="10"/>
  <c r="F160" i="10"/>
  <c r="B161" i="10"/>
  <c r="A162" i="10"/>
  <c r="J161" i="10"/>
  <c r="K161" i="10"/>
  <c r="L161" i="10"/>
  <c r="M161" i="10"/>
  <c r="I162" i="10"/>
  <c r="H163" i="10"/>
  <c r="C161" i="10" l="1"/>
  <c r="D161" i="10"/>
  <c r="E161" i="10"/>
  <c r="F161" i="10"/>
  <c r="B162" i="10"/>
  <c r="A163" i="10"/>
  <c r="J162" i="10"/>
  <c r="K162" i="10"/>
  <c r="L162" i="10"/>
  <c r="M162" i="10"/>
  <c r="I163" i="10"/>
  <c r="H164" i="10"/>
  <c r="C162" i="10" l="1"/>
  <c r="D162" i="10"/>
  <c r="E162" i="10"/>
  <c r="F162" i="10"/>
  <c r="B163" i="10"/>
  <c r="A164" i="10"/>
  <c r="J163" i="10"/>
  <c r="K163" i="10"/>
  <c r="L163" i="10"/>
  <c r="M163" i="10"/>
  <c r="I164" i="10"/>
  <c r="H165" i="10"/>
  <c r="C163" i="10" l="1"/>
  <c r="D163" i="10"/>
  <c r="E163" i="10"/>
  <c r="F163" i="10"/>
  <c r="B164" i="10"/>
  <c r="A165" i="10"/>
  <c r="J164" i="10"/>
  <c r="K164" i="10"/>
  <c r="L164" i="10"/>
  <c r="M164" i="10"/>
  <c r="I165" i="10"/>
  <c r="H166" i="10"/>
  <c r="C164" i="10" l="1"/>
  <c r="D164" i="10"/>
  <c r="E164" i="10"/>
  <c r="F164" i="10"/>
  <c r="B165" i="10"/>
  <c r="A166" i="10"/>
  <c r="J165" i="10"/>
  <c r="K165" i="10"/>
  <c r="L165" i="10"/>
  <c r="M165" i="10"/>
  <c r="I166" i="10"/>
  <c r="H167" i="10"/>
  <c r="C165" i="10" l="1"/>
  <c r="D165" i="10"/>
  <c r="E165" i="10"/>
  <c r="F165" i="10"/>
  <c r="B166" i="10"/>
  <c r="A167" i="10"/>
  <c r="J166" i="10"/>
  <c r="K166" i="10"/>
  <c r="L166" i="10"/>
  <c r="M166" i="10"/>
  <c r="I167" i="10"/>
  <c r="H168" i="10"/>
  <c r="C166" i="10" l="1"/>
  <c r="D166" i="10"/>
  <c r="E166" i="10"/>
  <c r="F166" i="10"/>
  <c r="B167" i="10"/>
  <c r="A168" i="10"/>
  <c r="J167" i="10"/>
  <c r="K167" i="10"/>
  <c r="L167" i="10"/>
  <c r="M167" i="10"/>
  <c r="I168" i="10"/>
  <c r="H169" i="10"/>
  <c r="C167" i="10" l="1"/>
  <c r="D167" i="10"/>
  <c r="E167" i="10"/>
  <c r="F167" i="10"/>
  <c r="B168" i="10"/>
  <c r="A169" i="10"/>
  <c r="J168" i="10"/>
  <c r="K168" i="10"/>
  <c r="L168" i="10"/>
  <c r="M168" i="10"/>
  <c r="I169" i="10"/>
  <c r="H170" i="10"/>
  <c r="C168" i="10" l="1"/>
  <c r="D168" i="10"/>
  <c r="E168" i="10"/>
  <c r="F168" i="10"/>
  <c r="B169" i="10"/>
  <c r="A170" i="10"/>
  <c r="J169" i="10"/>
  <c r="K169" i="10"/>
  <c r="L169" i="10"/>
  <c r="M169" i="10"/>
  <c r="I170" i="10"/>
  <c r="H171" i="10"/>
  <c r="C169" i="10" l="1"/>
  <c r="D169" i="10"/>
  <c r="E169" i="10"/>
  <c r="F169" i="10"/>
  <c r="B170" i="10"/>
  <c r="A171" i="10"/>
  <c r="J170" i="10"/>
  <c r="K170" i="10"/>
  <c r="L170" i="10"/>
  <c r="M170" i="10"/>
  <c r="I171" i="10"/>
  <c r="H172" i="10"/>
  <c r="C170" i="10" l="1"/>
  <c r="D170" i="10"/>
  <c r="E170" i="10"/>
  <c r="F170" i="10"/>
  <c r="B171" i="10"/>
  <c r="A172" i="10"/>
  <c r="J171" i="10"/>
  <c r="K171" i="10"/>
  <c r="L171" i="10"/>
  <c r="M171" i="10"/>
  <c r="I172" i="10"/>
  <c r="H173" i="10"/>
  <c r="C171" i="10" l="1"/>
  <c r="D171" i="10"/>
  <c r="E171" i="10"/>
  <c r="F171" i="10"/>
  <c r="B172" i="10"/>
  <c r="A173" i="10"/>
  <c r="J172" i="10"/>
  <c r="K172" i="10"/>
  <c r="L172" i="10"/>
  <c r="M172" i="10"/>
  <c r="I173" i="10"/>
  <c r="H174" i="10"/>
  <c r="C172" i="10" l="1"/>
  <c r="D172" i="10"/>
  <c r="E172" i="10"/>
  <c r="F172" i="10"/>
  <c r="B173" i="10"/>
  <c r="A174" i="10"/>
  <c r="J173" i="10"/>
  <c r="K173" i="10"/>
  <c r="L173" i="10"/>
  <c r="M173" i="10"/>
  <c r="I174" i="10"/>
  <c r="H175" i="10"/>
  <c r="C173" i="10" l="1"/>
  <c r="D173" i="10"/>
  <c r="E173" i="10"/>
  <c r="F173" i="10"/>
  <c r="B174" i="10"/>
  <c r="A175" i="10"/>
  <c r="J174" i="10"/>
  <c r="K174" i="10"/>
  <c r="L174" i="10"/>
  <c r="M174" i="10"/>
  <c r="I175" i="10"/>
  <c r="H176" i="10"/>
  <c r="C174" i="10" l="1"/>
  <c r="D174" i="10"/>
  <c r="E174" i="10"/>
  <c r="F174" i="10"/>
  <c r="B175" i="10"/>
  <c r="A176" i="10"/>
  <c r="J175" i="10"/>
  <c r="K175" i="10"/>
  <c r="L175" i="10"/>
  <c r="M175" i="10"/>
  <c r="I176" i="10"/>
  <c r="H177" i="10"/>
  <c r="C175" i="10" l="1"/>
  <c r="D175" i="10"/>
  <c r="E175" i="10"/>
  <c r="F175" i="10"/>
  <c r="B176" i="10"/>
  <c r="A177" i="10"/>
  <c r="J176" i="10"/>
  <c r="K176" i="10"/>
  <c r="L176" i="10"/>
  <c r="M176" i="10"/>
  <c r="I177" i="10"/>
  <c r="H178" i="10"/>
  <c r="C176" i="10" l="1"/>
  <c r="D176" i="10"/>
  <c r="E176" i="10"/>
  <c r="F176" i="10"/>
  <c r="B177" i="10"/>
  <c r="A178" i="10"/>
  <c r="J177" i="10"/>
  <c r="K177" i="10"/>
  <c r="L177" i="10"/>
  <c r="M177" i="10"/>
  <c r="I178" i="10"/>
  <c r="H179" i="10"/>
  <c r="C177" i="10" l="1"/>
  <c r="D177" i="10"/>
  <c r="E177" i="10"/>
  <c r="F177" i="10"/>
  <c r="B178" i="10"/>
  <c r="A179" i="10"/>
  <c r="J178" i="10"/>
  <c r="K178" i="10"/>
  <c r="L178" i="10"/>
  <c r="M178" i="10"/>
  <c r="I179" i="10"/>
  <c r="H180" i="10"/>
  <c r="C178" i="10" l="1"/>
  <c r="D178" i="10"/>
  <c r="E178" i="10"/>
  <c r="F178" i="10"/>
  <c r="B179" i="10"/>
  <c r="A180" i="10"/>
  <c r="J179" i="10"/>
  <c r="K179" i="10"/>
  <c r="L179" i="10"/>
  <c r="M179" i="10"/>
  <c r="I180" i="10"/>
  <c r="H181" i="10"/>
  <c r="C179" i="10" l="1"/>
  <c r="D179" i="10"/>
  <c r="E179" i="10"/>
  <c r="F179" i="10"/>
  <c r="B180" i="10"/>
  <c r="A181" i="10"/>
  <c r="J180" i="10"/>
  <c r="K180" i="10"/>
  <c r="L180" i="10"/>
  <c r="M180" i="10"/>
  <c r="I181" i="10"/>
  <c r="H182" i="10"/>
  <c r="C180" i="10" l="1"/>
  <c r="D180" i="10"/>
  <c r="E180" i="10"/>
  <c r="F180" i="10"/>
  <c r="B181" i="10"/>
  <c r="A182" i="10"/>
  <c r="J181" i="10"/>
  <c r="K181" i="10"/>
  <c r="L181" i="10"/>
  <c r="M181" i="10"/>
  <c r="I182" i="10"/>
  <c r="H183" i="10"/>
  <c r="C181" i="10" l="1"/>
  <c r="D181" i="10"/>
  <c r="E181" i="10"/>
  <c r="F181" i="10"/>
  <c r="B182" i="10"/>
  <c r="A183" i="10"/>
  <c r="J182" i="10"/>
  <c r="K182" i="10"/>
  <c r="L182" i="10"/>
  <c r="M182" i="10"/>
  <c r="I183" i="10"/>
  <c r="H184" i="10"/>
  <c r="C182" i="10" l="1"/>
  <c r="D182" i="10"/>
  <c r="E182" i="10"/>
  <c r="F182" i="10"/>
  <c r="B183" i="10"/>
  <c r="A184" i="10"/>
  <c r="J183" i="10"/>
  <c r="K183" i="10"/>
  <c r="L183" i="10"/>
  <c r="M183" i="10"/>
  <c r="I184" i="10"/>
  <c r="H185" i="10"/>
  <c r="C183" i="10" l="1"/>
  <c r="D183" i="10"/>
  <c r="E183" i="10"/>
  <c r="F183" i="10"/>
  <c r="B184" i="10"/>
  <c r="A185" i="10"/>
  <c r="J184" i="10"/>
  <c r="K184" i="10"/>
  <c r="L184" i="10"/>
  <c r="M184" i="10"/>
  <c r="I185" i="10"/>
  <c r="H186" i="10"/>
  <c r="C184" i="10" l="1"/>
  <c r="D184" i="10"/>
  <c r="E184" i="10"/>
  <c r="F184" i="10"/>
  <c r="B185" i="10"/>
  <c r="A186" i="10"/>
  <c r="J185" i="10"/>
  <c r="K185" i="10"/>
  <c r="L185" i="10"/>
  <c r="M185" i="10"/>
  <c r="I186" i="10"/>
  <c r="H187" i="10"/>
  <c r="C185" i="10" l="1"/>
  <c r="D185" i="10"/>
  <c r="E185" i="10"/>
  <c r="F185" i="10"/>
  <c r="B186" i="10"/>
  <c r="A187" i="10"/>
  <c r="J186" i="10"/>
  <c r="K186" i="10"/>
  <c r="L186" i="10"/>
  <c r="M186" i="10"/>
  <c r="I187" i="10"/>
  <c r="H188" i="10"/>
  <c r="C186" i="10" l="1"/>
  <c r="D186" i="10"/>
  <c r="E186" i="10"/>
  <c r="F186" i="10"/>
  <c r="B187" i="10"/>
  <c r="A188" i="10"/>
  <c r="J187" i="10"/>
  <c r="K187" i="10"/>
  <c r="L187" i="10"/>
  <c r="M187" i="10"/>
  <c r="I188" i="10"/>
  <c r="H189" i="10"/>
  <c r="C187" i="10" l="1"/>
  <c r="D187" i="10"/>
  <c r="E187" i="10"/>
  <c r="F187" i="10"/>
  <c r="B188" i="10"/>
  <c r="A189" i="10"/>
  <c r="J188" i="10"/>
  <c r="K188" i="10"/>
  <c r="L188" i="10"/>
  <c r="M188" i="10"/>
  <c r="I189" i="10"/>
  <c r="H190" i="10"/>
  <c r="C188" i="10" l="1"/>
  <c r="D188" i="10"/>
  <c r="E188" i="10"/>
  <c r="F188" i="10"/>
  <c r="B189" i="10"/>
  <c r="A190" i="10"/>
  <c r="J189" i="10"/>
  <c r="K189" i="10"/>
  <c r="L189" i="10"/>
  <c r="M189" i="10"/>
  <c r="I190" i="10"/>
  <c r="H191" i="10"/>
  <c r="C189" i="10" l="1"/>
  <c r="D189" i="10"/>
  <c r="E189" i="10"/>
  <c r="F189" i="10"/>
  <c r="B190" i="10"/>
  <c r="A191" i="10"/>
  <c r="J190" i="10"/>
  <c r="K190" i="10"/>
  <c r="L190" i="10"/>
  <c r="M190" i="10"/>
  <c r="I191" i="10"/>
  <c r="H192" i="10"/>
  <c r="C190" i="10" l="1"/>
  <c r="D190" i="10"/>
  <c r="E190" i="10"/>
  <c r="F190" i="10"/>
  <c r="B191" i="10"/>
  <c r="A192" i="10"/>
  <c r="J191" i="10"/>
  <c r="K191" i="10"/>
  <c r="L191" i="10"/>
  <c r="M191" i="10"/>
  <c r="I192" i="10"/>
  <c r="H193" i="10"/>
  <c r="C191" i="10" l="1"/>
  <c r="D191" i="10"/>
  <c r="E191" i="10"/>
  <c r="F191" i="10"/>
  <c r="B192" i="10"/>
  <c r="A193" i="10"/>
  <c r="J192" i="10"/>
  <c r="K192" i="10"/>
  <c r="L192" i="10"/>
  <c r="M192" i="10"/>
  <c r="I193" i="10"/>
  <c r="H194" i="10"/>
  <c r="C192" i="10" l="1"/>
  <c r="D192" i="10"/>
  <c r="E192" i="10"/>
  <c r="F192" i="10"/>
  <c r="B193" i="10"/>
  <c r="A194" i="10"/>
  <c r="J193" i="10"/>
  <c r="K193" i="10"/>
  <c r="L193" i="10"/>
  <c r="M193" i="10"/>
  <c r="I194" i="10"/>
  <c r="H195" i="10"/>
  <c r="C193" i="10" l="1"/>
  <c r="D193" i="10"/>
  <c r="E193" i="10"/>
  <c r="F193" i="10"/>
  <c r="B194" i="10"/>
  <c r="A195" i="10"/>
  <c r="J194" i="10"/>
  <c r="K194" i="10"/>
  <c r="L194" i="10"/>
  <c r="M194" i="10"/>
  <c r="I195" i="10"/>
  <c r="H196" i="10"/>
  <c r="C194" i="10" l="1"/>
  <c r="D194" i="10"/>
  <c r="E194" i="10"/>
  <c r="F194" i="10"/>
  <c r="B195" i="10"/>
  <c r="A196" i="10"/>
  <c r="J195" i="10"/>
  <c r="K195" i="10"/>
  <c r="L195" i="10"/>
  <c r="M195" i="10"/>
  <c r="I196" i="10"/>
  <c r="H197" i="10"/>
  <c r="C195" i="10" l="1"/>
  <c r="D195" i="10"/>
  <c r="E195" i="10"/>
  <c r="F195" i="10"/>
  <c r="B196" i="10"/>
  <c r="A197" i="10"/>
  <c r="J196" i="10"/>
  <c r="K196" i="10"/>
  <c r="L196" i="10"/>
  <c r="M196" i="10"/>
  <c r="I197" i="10"/>
  <c r="H198" i="10"/>
  <c r="C196" i="10" l="1"/>
  <c r="D196" i="10"/>
  <c r="E196" i="10"/>
  <c r="F196" i="10"/>
  <c r="B197" i="10"/>
  <c r="A198" i="10"/>
  <c r="J197" i="10"/>
  <c r="K197" i="10"/>
  <c r="L197" i="10"/>
  <c r="M197" i="10"/>
  <c r="I198" i="10"/>
  <c r="H199" i="10"/>
  <c r="C197" i="10" l="1"/>
  <c r="D197" i="10"/>
  <c r="E197" i="10"/>
  <c r="F197" i="10"/>
  <c r="B198" i="10"/>
  <c r="A199" i="10"/>
  <c r="J198" i="10"/>
  <c r="K198" i="10"/>
  <c r="L198" i="10"/>
  <c r="M198" i="10"/>
  <c r="I199" i="10"/>
  <c r="H200" i="10"/>
  <c r="C198" i="10" l="1"/>
  <c r="D198" i="10"/>
  <c r="E198" i="10"/>
  <c r="F198" i="10"/>
  <c r="B199" i="10"/>
  <c r="A200" i="10"/>
  <c r="J199" i="10"/>
  <c r="K199" i="10"/>
  <c r="L199" i="10"/>
  <c r="M199" i="10"/>
  <c r="I200" i="10"/>
  <c r="H201" i="10"/>
  <c r="C199" i="10" l="1"/>
  <c r="D199" i="10"/>
  <c r="E199" i="10"/>
  <c r="F199" i="10"/>
  <c r="B200" i="10"/>
  <c r="A201" i="10"/>
  <c r="J200" i="10"/>
  <c r="K200" i="10"/>
  <c r="L200" i="10"/>
  <c r="M200" i="10"/>
  <c r="I201" i="10"/>
  <c r="H202" i="10"/>
  <c r="C200" i="10" l="1"/>
  <c r="D200" i="10"/>
  <c r="E200" i="10"/>
  <c r="F200" i="10"/>
  <c r="B201" i="10"/>
  <c r="A202" i="10"/>
  <c r="J201" i="10"/>
  <c r="K201" i="10"/>
  <c r="L201" i="10"/>
  <c r="M201" i="10"/>
  <c r="I202" i="10"/>
  <c r="H203" i="10"/>
  <c r="C201" i="10" l="1"/>
  <c r="D201" i="10"/>
  <c r="E201" i="10"/>
  <c r="F201" i="10"/>
  <c r="B202" i="10"/>
  <c r="A203" i="10"/>
  <c r="J202" i="10"/>
  <c r="K202" i="10"/>
  <c r="L202" i="10"/>
  <c r="M202" i="10"/>
  <c r="I203" i="10"/>
  <c r="H204" i="10"/>
  <c r="C202" i="10" l="1"/>
  <c r="D202" i="10"/>
  <c r="E202" i="10"/>
  <c r="F202" i="10"/>
  <c r="B203" i="10"/>
  <c r="A204" i="10"/>
  <c r="J203" i="10"/>
  <c r="K203" i="10"/>
  <c r="L203" i="10"/>
  <c r="M203" i="10"/>
  <c r="I204" i="10"/>
  <c r="H205" i="10"/>
  <c r="C203" i="10" l="1"/>
  <c r="D203" i="10"/>
  <c r="E203" i="10"/>
  <c r="F203" i="10"/>
  <c r="B204" i="10"/>
  <c r="A205" i="10"/>
  <c r="J204" i="10"/>
  <c r="K204" i="10"/>
  <c r="L204" i="10"/>
  <c r="M204" i="10"/>
  <c r="I205" i="10"/>
  <c r="H206" i="10"/>
  <c r="C204" i="10" l="1"/>
  <c r="D204" i="10"/>
  <c r="E204" i="10"/>
  <c r="F204" i="10"/>
  <c r="B205" i="10"/>
  <c r="A206" i="10"/>
  <c r="J205" i="10"/>
  <c r="K205" i="10"/>
  <c r="L205" i="10"/>
  <c r="M205" i="10"/>
  <c r="I206" i="10"/>
  <c r="H207" i="10"/>
  <c r="C205" i="10" l="1"/>
  <c r="D205" i="10"/>
  <c r="E205" i="10"/>
  <c r="F205" i="10"/>
  <c r="B206" i="10"/>
  <c r="A207" i="10"/>
  <c r="J206" i="10"/>
  <c r="K206" i="10"/>
  <c r="L206" i="10"/>
  <c r="M206" i="10"/>
  <c r="I207" i="10"/>
  <c r="H208" i="10"/>
  <c r="C206" i="10" l="1"/>
  <c r="D206" i="10"/>
  <c r="E206" i="10"/>
  <c r="F206" i="10"/>
  <c r="B207" i="10"/>
  <c r="A208" i="10"/>
  <c r="J207" i="10"/>
  <c r="K207" i="10"/>
  <c r="L207" i="10"/>
  <c r="M207" i="10"/>
  <c r="I208" i="10"/>
  <c r="H209" i="10"/>
  <c r="C207" i="10" l="1"/>
  <c r="D207" i="10"/>
  <c r="E207" i="10"/>
  <c r="F207" i="10"/>
  <c r="B208" i="10"/>
  <c r="A209" i="10"/>
  <c r="J208" i="10"/>
  <c r="K208" i="10"/>
  <c r="L208" i="10"/>
  <c r="M208" i="10"/>
  <c r="I209" i="10"/>
  <c r="H210" i="10"/>
  <c r="C208" i="10" l="1"/>
  <c r="D208" i="10"/>
  <c r="E208" i="10"/>
  <c r="F208" i="10"/>
  <c r="B209" i="10"/>
  <c r="A210" i="10"/>
  <c r="J209" i="10"/>
  <c r="K209" i="10"/>
  <c r="L209" i="10"/>
  <c r="M209" i="10"/>
  <c r="I210" i="10"/>
  <c r="H211" i="10"/>
  <c r="C209" i="10" l="1"/>
  <c r="D209" i="10"/>
  <c r="E209" i="10"/>
  <c r="F209" i="10"/>
  <c r="B210" i="10"/>
  <c r="A211" i="10"/>
  <c r="J210" i="10"/>
  <c r="K210" i="10"/>
  <c r="L210" i="10"/>
  <c r="M210" i="10"/>
  <c r="I211" i="10"/>
  <c r="H212" i="10"/>
  <c r="C210" i="10" l="1"/>
  <c r="D210" i="10"/>
  <c r="E210" i="10"/>
  <c r="F210" i="10"/>
  <c r="B211" i="10"/>
  <c r="A212" i="10"/>
  <c r="J211" i="10"/>
  <c r="K211" i="10"/>
  <c r="L211" i="10"/>
  <c r="M211" i="10"/>
  <c r="I212" i="10"/>
  <c r="H213" i="10"/>
  <c r="C211" i="10" l="1"/>
  <c r="D211" i="10"/>
  <c r="E211" i="10"/>
  <c r="F211" i="10"/>
  <c r="B212" i="10"/>
  <c r="A213" i="10"/>
  <c r="J212" i="10"/>
  <c r="K212" i="10"/>
  <c r="L212" i="10"/>
  <c r="M212" i="10"/>
  <c r="I213" i="10"/>
  <c r="H214" i="10"/>
  <c r="C212" i="10" l="1"/>
  <c r="D212" i="10"/>
  <c r="E212" i="10"/>
  <c r="F212" i="10"/>
  <c r="B213" i="10"/>
  <c r="A214" i="10"/>
  <c r="J213" i="10"/>
  <c r="K213" i="10"/>
  <c r="L213" i="10"/>
  <c r="M213" i="10"/>
  <c r="I214" i="10"/>
  <c r="H215" i="10"/>
  <c r="C213" i="10" l="1"/>
  <c r="D213" i="10"/>
  <c r="E213" i="10"/>
  <c r="F213" i="10"/>
  <c r="B214" i="10"/>
  <c r="A215" i="10"/>
  <c r="J214" i="10"/>
  <c r="K214" i="10"/>
  <c r="L214" i="10"/>
  <c r="M214" i="10"/>
  <c r="I215" i="10"/>
  <c r="H216" i="10"/>
  <c r="C214" i="10" l="1"/>
  <c r="D214" i="10"/>
  <c r="E214" i="10"/>
  <c r="F214" i="10"/>
  <c r="B215" i="10"/>
  <c r="A216" i="10"/>
  <c r="J215" i="10"/>
  <c r="K215" i="10"/>
  <c r="L215" i="10"/>
  <c r="M215" i="10"/>
  <c r="I216" i="10"/>
  <c r="H217" i="10"/>
  <c r="C215" i="10" l="1"/>
  <c r="D215" i="10"/>
  <c r="E215" i="10"/>
  <c r="F215" i="10"/>
  <c r="B216" i="10"/>
  <c r="A217" i="10"/>
  <c r="J216" i="10"/>
  <c r="K216" i="10"/>
  <c r="L216" i="10"/>
  <c r="M216" i="10"/>
  <c r="I217" i="10"/>
  <c r="H218" i="10"/>
  <c r="C216" i="10" l="1"/>
  <c r="D216" i="10"/>
  <c r="E216" i="10"/>
  <c r="F216" i="10"/>
  <c r="B217" i="10"/>
  <c r="A218" i="10"/>
  <c r="J217" i="10"/>
  <c r="K217" i="10"/>
  <c r="L217" i="10"/>
  <c r="M217" i="10"/>
  <c r="I218" i="10"/>
  <c r="H219" i="10"/>
  <c r="C217" i="10" l="1"/>
  <c r="D217" i="10"/>
  <c r="E217" i="10"/>
  <c r="F217" i="10"/>
  <c r="B218" i="10"/>
  <c r="A219" i="10"/>
  <c r="J218" i="10"/>
  <c r="K218" i="10"/>
  <c r="L218" i="10"/>
  <c r="M218" i="10"/>
  <c r="I219" i="10"/>
  <c r="H220" i="10"/>
  <c r="C218" i="10" l="1"/>
  <c r="D218" i="10"/>
  <c r="E218" i="10"/>
  <c r="F218" i="10"/>
  <c r="B219" i="10"/>
  <c r="A220" i="10"/>
  <c r="J219" i="10"/>
  <c r="K219" i="10"/>
  <c r="L219" i="10"/>
  <c r="M219" i="10"/>
  <c r="I220" i="10"/>
  <c r="H221" i="10"/>
  <c r="C219" i="10" l="1"/>
  <c r="D219" i="10"/>
  <c r="E219" i="10"/>
  <c r="F219" i="10"/>
  <c r="B220" i="10"/>
  <c r="A221" i="10"/>
  <c r="J220" i="10"/>
  <c r="K220" i="10"/>
  <c r="L220" i="10"/>
  <c r="M220" i="10"/>
  <c r="I221" i="10"/>
  <c r="H222" i="10"/>
  <c r="C220" i="10" l="1"/>
  <c r="D220" i="10"/>
  <c r="E220" i="10"/>
  <c r="F220" i="10"/>
  <c r="B221" i="10"/>
  <c r="A222" i="10"/>
  <c r="J221" i="10"/>
  <c r="K221" i="10"/>
  <c r="L221" i="10"/>
  <c r="M221" i="10"/>
  <c r="I222" i="10"/>
  <c r="H223" i="10"/>
  <c r="C221" i="10" l="1"/>
  <c r="D221" i="10"/>
  <c r="E221" i="10"/>
  <c r="F221" i="10"/>
  <c r="B222" i="10"/>
  <c r="A223" i="10"/>
  <c r="J222" i="10"/>
  <c r="K222" i="10"/>
  <c r="L222" i="10"/>
  <c r="M222" i="10"/>
  <c r="I223" i="10"/>
  <c r="H224" i="10"/>
  <c r="C222" i="10" l="1"/>
  <c r="D222" i="10"/>
  <c r="E222" i="10"/>
  <c r="F222" i="10"/>
  <c r="B223" i="10"/>
  <c r="A224" i="10"/>
  <c r="J223" i="10"/>
  <c r="K223" i="10"/>
  <c r="L223" i="10"/>
  <c r="M223" i="10"/>
  <c r="I224" i="10"/>
  <c r="H225" i="10"/>
  <c r="C223" i="10" l="1"/>
  <c r="D223" i="10"/>
  <c r="E223" i="10"/>
  <c r="F223" i="10"/>
  <c r="B224" i="10"/>
  <c r="A225" i="10"/>
  <c r="J224" i="10"/>
  <c r="K224" i="10"/>
  <c r="L224" i="10"/>
  <c r="M224" i="10"/>
  <c r="I225" i="10"/>
  <c r="H226" i="10"/>
  <c r="C224" i="10" l="1"/>
  <c r="D224" i="10"/>
  <c r="E224" i="10"/>
  <c r="F224" i="10"/>
  <c r="B225" i="10"/>
  <c r="A226" i="10"/>
  <c r="J225" i="10"/>
  <c r="K225" i="10"/>
  <c r="L225" i="10"/>
  <c r="M225" i="10"/>
  <c r="I226" i="10"/>
  <c r="H227" i="10"/>
  <c r="C225" i="10" l="1"/>
  <c r="D225" i="10"/>
  <c r="E225" i="10"/>
  <c r="F225" i="10"/>
  <c r="B226" i="10"/>
  <c r="A227" i="10"/>
  <c r="J226" i="10"/>
  <c r="K226" i="10"/>
  <c r="L226" i="10"/>
  <c r="M226" i="10"/>
  <c r="I227" i="10"/>
  <c r="H228" i="10"/>
  <c r="C226" i="10" l="1"/>
  <c r="D226" i="10"/>
  <c r="E226" i="10"/>
  <c r="F226" i="10"/>
  <c r="B227" i="10"/>
  <c r="A228" i="10"/>
  <c r="J227" i="10"/>
  <c r="K227" i="10"/>
  <c r="L227" i="10"/>
  <c r="M227" i="10"/>
  <c r="I228" i="10"/>
  <c r="H229" i="10"/>
  <c r="C227" i="10" l="1"/>
  <c r="D227" i="10"/>
  <c r="E227" i="10"/>
  <c r="F227" i="10"/>
  <c r="B228" i="10"/>
  <c r="A229" i="10"/>
  <c r="J228" i="10"/>
  <c r="K228" i="10"/>
  <c r="L228" i="10"/>
  <c r="M228" i="10"/>
  <c r="I229" i="10"/>
  <c r="H230" i="10"/>
  <c r="C228" i="10" l="1"/>
  <c r="D228" i="10"/>
  <c r="E228" i="10"/>
  <c r="F228" i="10"/>
  <c r="B229" i="10"/>
  <c r="A230" i="10"/>
  <c r="J229" i="10"/>
  <c r="K229" i="10"/>
  <c r="L229" i="10"/>
  <c r="M229" i="10"/>
  <c r="I230" i="10"/>
  <c r="H231" i="10"/>
  <c r="C229" i="10" l="1"/>
  <c r="D229" i="10"/>
  <c r="E229" i="10"/>
  <c r="F229" i="10"/>
  <c r="B230" i="10"/>
  <c r="A231" i="10"/>
  <c r="J230" i="10"/>
  <c r="K230" i="10"/>
  <c r="L230" i="10"/>
  <c r="M230" i="10"/>
  <c r="I231" i="10"/>
  <c r="H232" i="10"/>
  <c r="C230" i="10" l="1"/>
  <c r="D230" i="10"/>
  <c r="E230" i="10"/>
  <c r="F230" i="10"/>
  <c r="B231" i="10"/>
  <c r="A232" i="10"/>
  <c r="J231" i="10"/>
  <c r="K231" i="10"/>
  <c r="L231" i="10"/>
  <c r="M231" i="10"/>
  <c r="I232" i="10"/>
  <c r="H233" i="10"/>
  <c r="C231" i="10" l="1"/>
  <c r="D231" i="10"/>
  <c r="E231" i="10"/>
  <c r="F231" i="10"/>
  <c r="B232" i="10"/>
  <c r="A233" i="10"/>
  <c r="J232" i="10"/>
  <c r="K232" i="10"/>
  <c r="L232" i="10"/>
  <c r="M232" i="10"/>
  <c r="I233" i="10"/>
  <c r="H234" i="10"/>
  <c r="C232" i="10" l="1"/>
  <c r="D232" i="10"/>
  <c r="E232" i="10"/>
  <c r="F232" i="10"/>
  <c r="B233" i="10"/>
  <c r="A234" i="10"/>
  <c r="J233" i="10"/>
  <c r="K233" i="10"/>
  <c r="L233" i="10"/>
  <c r="M233" i="10"/>
  <c r="I234" i="10"/>
  <c r="H235" i="10"/>
  <c r="C233" i="10" l="1"/>
  <c r="D233" i="10"/>
  <c r="E233" i="10"/>
  <c r="F233" i="10"/>
  <c r="B234" i="10"/>
  <c r="A235" i="10"/>
  <c r="J234" i="10"/>
  <c r="K234" i="10"/>
  <c r="L234" i="10"/>
  <c r="M234" i="10"/>
  <c r="I235" i="10"/>
  <c r="H236" i="10"/>
  <c r="C234" i="10" l="1"/>
  <c r="D234" i="10"/>
  <c r="E234" i="10"/>
  <c r="F234" i="10"/>
  <c r="B235" i="10"/>
  <c r="A236" i="10"/>
  <c r="J235" i="10"/>
  <c r="K235" i="10"/>
  <c r="L235" i="10"/>
  <c r="M235" i="10"/>
  <c r="I236" i="10"/>
  <c r="H237" i="10"/>
  <c r="C235" i="10" l="1"/>
  <c r="D235" i="10"/>
  <c r="E235" i="10"/>
  <c r="F235" i="10"/>
  <c r="B236" i="10"/>
  <c r="A237" i="10"/>
  <c r="J236" i="10"/>
  <c r="K236" i="10"/>
  <c r="L236" i="10"/>
  <c r="M236" i="10"/>
  <c r="I237" i="10"/>
  <c r="H238" i="10"/>
  <c r="C236" i="10" l="1"/>
  <c r="D236" i="10"/>
  <c r="E236" i="10"/>
  <c r="F236" i="10"/>
  <c r="B237" i="10"/>
  <c r="A238" i="10"/>
  <c r="J237" i="10"/>
  <c r="K237" i="10"/>
  <c r="L237" i="10"/>
  <c r="M237" i="10"/>
  <c r="I238" i="10"/>
  <c r="H239" i="10"/>
  <c r="C237" i="10" l="1"/>
  <c r="D237" i="10"/>
  <c r="E237" i="10"/>
  <c r="F237" i="10"/>
  <c r="B238" i="10"/>
  <c r="A239" i="10"/>
  <c r="J238" i="10"/>
  <c r="K238" i="10"/>
  <c r="L238" i="10"/>
  <c r="M238" i="10"/>
  <c r="I239" i="10"/>
  <c r="H240" i="10"/>
  <c r="C238" i="10" l="1"/>
  <c r="D238" i="10"/>
  <c r="E238" i="10"/>
  <c r="F238" i="10"/>
  <c r="B239" i="10"/>
  <c r="A240" i="10"/>
  <c r="J239" i="10"/>
  <c r="K239" i="10"/>
  <c r="L239" i="10"/>
  <c r="M239" i="10"/>
  <c r="I240" i="10"/>
  <c r="H241" i="10"/>
  <c r="C239" i="10" l="1"/>
  <c r="D239" i="10"/>
  <c r="E239" i="10"/>
  <c r="F239" i="10"/>
  <c r="B240" i="10"/>
  <c r="A241" i="10"/>
  <c r="J240" i="10"/>
  <c r="K240" i="10"/>
  <c r="L240" i="10"/>
  <c r="M240" i="10"/>
  <c r="I241" i="10"/>
  <c r="H242" i="10"/>
  <c r="C240" i="10" l="1"/>
  <c r="D240" i="10"/>
  <c r="E240" i="10"/>
  <c r="F240" i="10"/>
  <c r="B241" i="10"/>
  <c r="A242" i="10"/>
  <c r="J241" i="10"/>
  <c r="K241" i="10"/>
  <c r="L241" i="10"/>
  <c r="M241" i="10"/>
  <c r="I242" i="10"/>
  <c r="H243" i="10"/>
  <c r="C241" i="10" l="1"/>
  <c r="D241" i="10"/>
  <c r="E241" i="10"/>
  <c r="F241" i="10"/>
  <c r="B242" i="10"/>
  <c r="A243" i="10"/>
  <c r="J242" i="10"/>
  <c r="K242" i="10"/>
  <c r="L242" i="10"/>
  <c r="M242" i="10"/>
  <c r="I243" i="10"/>
  <c r="H244" i="10"/>
  <c r="C242" i="10" l="1"/>
  <c r="D242" i="10"/>
  <c r="E242" i="10"/>
  <c r="F242" i="10"/>
  <c r="B243" i="10"/>
  <c r="A244" i="10"/>
  <c r="J243" i="10"/>
  <c r="K243" i="10"/>
  <c r="L243" i="10"/>
  <c r="M243" i="10"/>
  <c r="I244" i="10"/>
  <c r="H245" i="10"/>
  <c r="C243" i="10" l="1"/>
  <c r="D243" i="10"/>
  <c r="E243" i="10"/>
  <c r="F243" i="10"/>
  <c r="B244" i="10"/>
  <c r="A245" i="10"/>
  <c r="J244" i="10"/>
  <c r="K244" i="10"/>
  <c r="L244" i="10"/>
  <c r="M244" i="10"/>
  <c r="I245" i="10"/>
  <c r="H246" i="10"/>
  <c r="C244" i="10" l="1"/>
  <c r="D244" i="10"/>
  <c r="E244" i="10"/>
  <c r="F244" i="10"/>
  <c r="B245" i="10"/>
  <c r="A246" i="10"/>
  <c r="J245" i="10"/>
  <c r="K245" i="10"/>
  <c r="L245" i="10"/>
  <c r="M245" i="10"/>
  <c r="I246" i="10"/>
  <c r="H247" i="10"/>
  <c r="C245" i="10" l="1"/>
  <c r="D245" i="10"/>
  <c r="E245" i="10"/>
  <c r="F245" i="10"/>
  <c r="B246" i="10"/>
  <c r="A247" i="10"/>
  <c r="J246" i="10"/>
  <c r="K246" i="10"/>
  <c r="L246" i="10"/>
  <c r="M246" i="10"/>
  <c r="I247" i="10"/>
  <c r="H248" i="10"/>
  <c r="C246" i="10" l="1"/>
  <c r="D246" i="10"/>
  <c r="E246" i="10"/>
  <c r="F246" i="10"/>
  <c r="B247" i="10"/>
  <c r="A248" i="10"/>
  <c r="J247" i="10"/>
  <c r="K247" i="10"/>
  <c r="L247" i="10"/>
  <c r="M247" i="10"/>
  <c r="I248" i="10"/>
  <c r="H249" i="10"/>
  <c r="C247" i="10" l="1"/>
  <c r="D247" i="10"/>
  <c r="E247" i="10"/>
  <c r="F247" i="10"/>
  <c r="B248" i="10"/>
  <c r="A249" i="10"/>
  <c r="J248" i="10"/>
  <c r="K248" i="10"/>
  <c r="L248" i="10"/>
  <c r="M248" i="10"/>
  <c r="I249" i="10"/>
  <c r="H250" i="10"/>
  <c r="C248" i="10" l="1"/>
  <c r="D248" i="10"/>
  <c r="E248" i="10"/>
  <c r="F248" i="10"/>
  <c r="B249" i="10"/>
  <c r="A250" i="10"/>
  <c r="J249" i="10"/>
  <c r="K249" i="10"/>
  <c r="L249" i="10"/>
  <c r="M249" i="10"/>
  <c r="I250" i="10"/>
  <c r="H251" i="10"/>
  <c r="C249" i="10" l="1"/>
  <c r="D249" i="10"/>
  <c r="E249" i="10"/>
  <c r="F249" i="10"/>
  <c r="B250" i="10"/>
  <c r="A251" i="10"/>
  <c r="J250" i="10"/>
  <c r="K250" i="10"/>
  <c r="L250" i="10"/>
  <c r="M250" i="10"/>
  <c r="I251" i="10"/>
  <c r="H252" i="10"/>
  <c r="C250" i="10" l="1"/>
  <c r="D250" i="10"/>
  <c r="E250" i="10"/>
  <c r="F250" i="10"/>
  <c r="B251" i="10"/>
  <c r="A252" i="10"/>
  <c r="J251" i="10"/>
  <c r="K251" i="10"/>
  <c r="L251" i="10"/>
  <c r="M251" i="10"/>
  <c r="I252" i="10"/>
  <c r="H253" i="10"/>
  <c r="C251" i="10" l="1"/>
  <c r="D251" i="10"/>
  <c r="E251" i="10"/>
  <c r="F251" i="10"/>
  <c r="B252" i="10"/>
  <c r="A253" i="10"/>
  <c r="J252" i="10"/>
  <c r="K252" i="10"/>
  <c r="L252" i="10"/>
  <c r="M252" i="10"/>
  <c r="I253" i="10"/>
  <c r="H254" i="10"/>
  <c r="C252" i="10" l="1"/>
  <c r="D252" i="10"/>
  <c r="E252" i="10"/>
  <c r="F252" i="10"/>
  <c r="B253" i="10"/>
  <c r="A254" i="10"/>
  <c r="J253" i="10"/>
  <c r="K253" i="10"/>
  <c r="L253" i="10"/>
  <c r="M253" i="10"/>
  <c r="I254" i="10"/>
  <c r="H255" i="10"/>
  <c r="C253" i="10" l="1"/>
  <c r="D253" i="10"/>
  <c r="E253" i="10"/>
  <c r="F253" i="10"/>
  <c r="B254" i="10"/>
  <c r="A255" i="10"/>
  <c r="J254" i="10"/>
  <c r="K254" i="10"/>
  <c r="L254" i="10"/>
  <c r="M254" i="10"/>
  <c r="I255" i="10"/>
  <c r="H256" i="10"/>
  <c r="C254" i="10" l="1"/>
  <c r="D254" i="10"/>
  <c r="E254" i="10"/>
  <c r="F254" i="10"/>
  <c r="B255" i="10"/>
  <c r="A256" i="10"/>
  <c r="J255" i="10"/>
  <c r="K255" i="10"/>
  <c r="L255" i="10"/>
  <c r="M255" i="10"/>
  <c r="I256" i="10"/>
  <c r="H257" i="10"/>
  <c r="C255" i="10" l="1"/>
  <c r="D255" i="10"/>
  <c r="E255" i="10"/>
  <c r="F255" i="10"/>
  <c r="B256" i="10"/>
  <c r="A257" i="10"/>
  <c r="J256" i="10"/>
  <c r="K256" i="10"/>
  <c r="L256" i="10"/>
  <c r="M256" i="10"/>
  <c r="I257" i="10"/>
  <c r="H258" i="10"/>
  <c r="C256" i="10" l="1"/>
  <c r="D256" i="10"/>
  <c r="E256" i="10"/>
  <c r="F256" i="10"/>
  <c r="B257" i="10"/>
  <c r="A258" i="10"/>
  <c r="J257" i="10"/>
  <c r="K257" i="10"/>
  <c r="L257" i="10"/>
  <c r="M257" i="10"/>
  <c r="I258" i="10"/>
  <c r="H259" i="10"/>
  <c r="C257" i="10" l="1"/>
  <c r="D257" i="10"/>
  <c r="E257" i="10"/>
  <c r="F257" i="10"/>
  <c r="B258" i="10"/>
  <c r="A259" i="10"/>
  <c r="J258" i="10"/>
  <c r="K258" i="10"/>
  <c r="L258" i="10"/>
  <c r="M258" i="10"/>
  <c r="I259" i="10"/>
  <c r="H260" i="10"/>
  <c r="C258" i="10" l="1"/>
  <c r="D258" i="10"/>
  <c r="E258" i="10"/>
  <c r="F258" i="10"/>
  <c r="B259" i="10"/>
  <c r="A260" i="10"/>
  <c r="J259" i="10"/>
  <c r="K259" i="10"/>
  <c r="L259" i="10"/>
  <c r="M259" i="10"/>
  <c r="I260" i="10"/>
  <c r="H261" i="10"/>
  <c r="C259" i="10" l="1"/>
  <c r="D259" i="10"/>
  <c r="E259" i="10"/>
  <c r="F259" i="10"/>
  <c r="B260" i="10"/>
  <c r="A261" i="10"/>
  <c r="J260" i="10"/>
  <c r="K260" i="10"/>
  <c r="L260" i="10"/>
  <c r="M260" i="10"/>
  <c r="I261" i="10"/>
  <c r="H262" i="10"/>
  <c r="C260" i="10" l="1"/>
  <c r="D260" i="10"/>
  <c r="E260" i="10"/>
  <c r="F260" i="10"/>
  <c r="B261" i="10"/>
  <c r="A262" i="10"/>
  <c r="J261" i="10"/>
  <c r="K261" i="10"/>
  <c r="L261" i="10"/>
  <c r="M261" i="10"/>
  <c r="I262" i="10"/>
  <c r="H263" i="10"/>
  <c r="C261" i="10" l="1"/>
  <c r="D261" i="10"/>
  <c r="E261" i="10"/>
  <c r="F261" i="10"/>
  <c r="B262" i="10"/>
  <c r="A263" i="10"/>
  <c r="J262" i="10"/>
  <c r="K262" i="10"/>
  <c r="L262" i="10"/>
  <c r="M262" i="10"/>
  <c r="I263" i="10"/>
  <c r="H264" i="10"/>
  <c r="C262" i="10" l="1"/>
  <c r="D262" i="10"/>
  <c r="E262" i="10"/>
  <c r="F262" i="10"/>
  <c r="B263" i="10"/>
  <c r="A264" i="10"/>
  <c r="J263" i="10"/>
  <c r="K263" i="10"/>
  <c r="L263" i="10"/>
  <c r="M263" i="10"/>
  <c r="I264" i="10"/>
  <c r="H265" i="10"/>
  <c r="C263" i="10" l="1"/>
  <c r="D263" i="10"/>
  <c r="E263" i="10"/>
  <c r="F263" i="10"/>
  <c r="B264" i="10"/>
  <c r="A265" i="10"/>
  <c r="J264" i="10"/>
  <c r="K264" i="10"/>
  <c r="L264" i="10"/>
  <c r="M264" i="10"/>
  <c r="I265" i="10"/>
  <c r="H266" i="10"/>
  <c r="C264" i="10" l="1"/>
  <c r="D264" i="10"/>
  <c r="E264" i="10"/>
  <c r="F264" i="10"/>
  <c r="B265" i="10"/>
  <c r="A266" i="10"/>
  <c r="J265" i="10"/>
  <c r="K265" i="10"/>
  <c r="L265" i="10"/>
  <c r="M265" i="10"/>
  <c r="I266" i="10"/>
  <c r="H267" i="10"/>
  <c r="C265" i="10" l="1"/>
  <c r="D265" i="10"/>
  <c r="E265" i="10"/>
  <c r="F265" i="10"/>
  <c r="B266" i="10"/>
  <c r="A267" i="10"/>
  <c r="J266" i="10"/>
  <c r="K266" i="10"/>
  <c r="L266" i="10"/>
  <c r="M266" i="10"/>
  <c r="I267" i="10"/>
  <c r="H268" i="10"/>
  <c r="C266" i="10" l="1"/>
  <c r="D266" i="10"/>
  <c r="E266" i="10"/>
  <c r="F266" i="10"/>
  <c r="B267" i="10"/>
  <c r="A268" i="10"/>
  <c r="J267" i="10"/>
  <c r="K267" i="10"/>
  <c r="L267" i="10"/>
  <c r="M267" i="10"/>
  <c r="I268" i="10"/>
  <c r="H269" i="10"/>
  <c r="C267" i="10" l="1"/>
  <c r="D267" i="10"/>
  <c r="E267" i="10"/>
  <c r="F267" i="10"/>
  <c r="B268" i="10"/>
  <c r="A269" i="10"/>
  <c r="J268" i="10"/>
  <c r="K268" i="10"/>
  <c r="L268" i="10"/>
  <c r="M268" i="10"/>
  <c r="I269" i="10"/>
  <c r="H270" i="10"/>
  <c r="C268" i="10" l="1"/>
  <c r="D268" i="10"/>
  <c r="E268" i="10"/>
  <c r="F268" i="10"/>
  <c r="B269" i="10"/>
  <c r="A270" i="10"/>
  <c r="J269" i="10"/>
  <c r="K269" i="10"/>
  <c r="L269" i="10"/>
  <c r="M269" i="10"/>
  <c r="I270" i="10"/>
  <c r="H271" i="10"/>
  <c r="C269" i="10" l="1"/>
  <c r="D269" i="10"/>
  <c r="E269" i="10"/>
  <c r="F269" i="10"/>
  <c r="B270" i="10"/>
  <c r="A271" i="10"/>
  <c r="J270" i="10"/>
  <c r="K270" i="10"/>
  <c r="L270" i="10"/>
  <c r="M270" i="10"/>
  <c r="I271" i="10"/>
  <c r="H272" i="10"/>
  <c r="C270" i="10" l="1"/>
  <c r="D270" i="10"/>
  <c r="E270" i="10"/>
  <c r="F270" i="10"/>
  <c r="B271" i="10"/>
  <c r="A272" i="10"/>
  <c r="J271" i="10"/>
  <c r="K271" i="10"/>
  <c r="L271" i="10"/>
  <c r="M271" i="10"/>
  <c r="I272" i="10"/>
  <c r="H273" i="10"/>
  <c r="C271" i="10" l="1"/>
  <c r="D271" i="10"/>
  <c r="E271" i="10"/>
  <c r="F271" i="10"/>
  <c r="B272" i="10"/>
  <c r="A273" i="10"/>
  <c r="J272" i="10"/>
  <c r="K272" i="10"/>
  <c r="L272" i="10"/>
  <c r="M272" i="10"/>
  <c r="I273" i="10"/>
  <c r="H274" i="10"/>
  <c r="C272" i="10" l="1"/>
  <c r="D272" i="10"/>
  <c r="E272" i="10"/>
  <c r="F272" i="10"/>
  <c r="B273" i="10"/>
  <c r="A274" i="10"/>
  <c r="J273" i="10"/>
  <c r="K273" i="10"/>
  <c r="L273" i="10"/>
  <c r="M273" i="10"/>
  <c r="I274" i="10"/>
  <c r="H275" i="10"/>
  <c r="C273" i="10" l="1"/>
  <c r="D273" i="10"/>
  <c r="E273" i="10"/>
  <c r="F273" i="10"/>
  <c r="B274" i="10"/>
  <c r="A275" i="10"/>
  <c r="J274" i="10"/>
  <c r="K274" i="10"/>
  <c r="L274" i="10"/>
  <c r="M274" i="10"/>
  <c r="I275" i="10"/>
  <c r="H276" i="10"/>
  <c r="C274" i="10" l="1"/>
  <c r="D274" i="10"/>
  <c r="E274" i="10"/>
  <c r="F274" i="10"/>
  <c r="B275" i="10"/>
  <c r="A276" i="10"/>
  <c r="J275" i="10"/>
  <c r="K275" i="10"/>
  <c r="L275" i="10"/>
  <c r="M275" i="10"/>
  <c r="I276" i="10"/>
  <c r="H277" i="10"/>
  <c r="C275" i="10" l="1"/>
  <c r="D275" i="10"/>
  <c r="E275" i="10"/>
  <c r="F275" i="10"/>
  <c r="B276" i="10"/>
  <c r="A277" i="10"/>
  <c r="J276" i="10"/>
  <c r="K276" i="10"/>
  <c r="L276" i="10"/>
  <c r="M276" i="10"/>
  <c r="I277" i="10"/>
  <c r="H278" i="10"/>
  <c r="C276" i="10" l="1"/>
  <c r="D276" i="10"/>
  <c r="E276" i="10"/>
  <c r="F276" i="10"/>
  <c r="B277" i="10"/>
  <c r="A278" i="10"/>
  <c r="J277" i="10"/>
  <c r="K277" i="10"/>
  <c r="L277" i="10"/>
  <c r="M277" i="10"/>
  <c r="I278" i="10"/>
  <c r="H279" i="10"/>
  <c r="C277" i="10" l="1"/>
  <c r="D277" i="10"/>
  <c r="E277" i="10"/>
  <c r="F277" i="10"/>
  <c r="B278" i="10"/>
  <c r="A279" i="10"/>
  <c r="J278" i="10"/>
  <c r="K278" i="10"/>
  <c r="L278" i="10"/>
  <c r="M278" i="10"/>
  <c r="I279" i="10"/>
  <c r="H280" i="10"/>
  <c r="C278" i="10" l="1"/>
  <c r="D278" i="10"/>
  <c r="E278" i="10"/>
  <c r="F278" i="10"/>
  <c r="B279" i="10"/>
  <c r="A280" i="10"/>
  <c r="J279" i="10"/>
  <c r="K279" i="10"/>
  <c r="L279" i="10"/>
  <c r="M279" i="10"/>
  <c r="I280" i="10"/>
  <c r="H281" i="10"/>
  <c r="C279" i="10" l="1"/>
  <c r="D279" i="10"/>
  <c r="E279" i="10"/>
  <c r="F279" i="10"/>
  <c r="B280" i="10"/>
  <c r="A281" i="10"/>
  <c r="J280" i="10"/>
  <c r="K280" i="10"/>
  <c r="L280" i="10"/>
  <c r="M280" i="10"/>
  <c r="I281" i="10"/>
  <c r="H282" i="10"/>
  <c r="C280" i="10" l="1"/>
  <c r="D280" i="10"/>
  <c r="E280" i="10"/>
  <c r="F280" i="10"/>
  <c r="B281" i="10"/>
  <c r="A282" i="10"/>
  <c r="J281" i="10"/>
  <c r="K281" i="10"/>
  <c r="L281" i="10"/>
  <c r="M281" i="10"/>
  <c r="I282" i="10"/>
  <c r="H283" i="10"/>
  <c r="C281" i="10" l="1"/>
  <c r="D281" i="10"/>
  <c r="E281" i="10"/>
  <c r="F281" i="10"/>
  <c r="B282" i="10"/>
  <c r="A283" i="10"/>
  <c r="J282" i="10"/>
  <c r="K282" i="10"/>
  <c r="L282" i="10"/>
  <c r="M282" i="10"/>
  <c r="I283" i="10"/>
  <c r="H284" i="10"/>
  <c r="C282" i="10" l="1"/>
  <c r="D282" i="10"/>
  <c r="E282" i="10"/>
  <c r="F282" i="10"/>
  <c r="B283" i="10"/>
  <c r="A284" i="10"/>
  <c r="J283" i="10"/>
  <c r="K283" i="10"/>
  <c r="L283" i="10"/>
  <c r="M283" i="10"/>
  <c r="I284" i="10"/>
  <c r="H285" i="10"/>
  <c r="C283" i="10" l="1"/>
  <c r="D283" i="10"/>
  <c r="E283" i="10"/>
  <c r="F283" i="10"/>
  <c r="B284" i="10"/>
  <c r="A285" i="10"/>
  <c r="J284" i="10"/>
  <c r="K284" i="10"/>
  <c r="L284" i="10"/>
  <c r="M284" i="10"/>
  <c r="I285" i="10"/>
  <c r="H286" i="10"/>
  <c r="C284" i="10" l="1"/>
  <c r="D284" i="10"/>
  <c r="E284" i="10"/>
  <c r="F284" i="10"/>
  <c r="B285" i="10"/>
  <c r="A286" i="10"/>
  <c r="J285" i="10"/>
  <c r="K285" i="10"/>
  <c r="L285" i="10"/>
  <c r="M285" i="10"/>
  <c r="I286" i="10"/>
  <c r="H287" i="10"/>
  <c r="C285" i="10" l="1"/>
  <c r="D285" i="10"/>
  <c r="E285" i="10"/>
  <c r="F285" i="10"/>
  <c r="B286" i="10"/>
  <c r="A287" i="10"/>
  <c r="J286" i="10"/>
  <c r="K286" i="10"/>
  <c r="L286" i="10"/>
  <c r="M286" i="10"/>
  <c r="I287" i="10"/>
  <c r="H288" i="10"/>
  <c r="C286" i="10" l="1"/>
  <c r="D286" i="10"/>
  <c r="E286" i="10"/>
  <c r="F286" i="10"/>
  <c r="B287" i="10"/>
  <c r="A288" i="10"/>
  <c r="J287" i="10"/>
  <c r="K287" i="10"/>
  <c r="L287" i="10"/>
  <c r="M287" i="10"/>
  <c r="I288" i="10"/>
  <c r="H289" i="10"/>
  <c r="C287" i="10" l="1"/>
  <c r="D287" i="10"/>
  <c r="E287" i="10"/>
  <c r="F287" i="10"/>
  <c r="B288" i="10"/>
  <c r="A289" i="10"/>
  <c r="J288" i="10"/>
  <c r="K288" i="10"/>
  <c r="L288" i="10"/>
  <c r="M288" i="10"/>
  <c r="I289" i="10"/>
  <c r="H290" i="10"/>
  <c r="C288" i="10" l="1"/>
  <c r="D288" i="10"/>
  <c r="E288" i="10"/>
  <c r="F288" i="10"/>
  <c r="B289" i="10"/>
  <c r="A290" i="10"/>
  <c r="J289" i="10"/>
  <c r="K289" i="10"/>
  <c r="L289" i="10"/>
  <c r="M289" i="10"/>
  <c r="I290" i="10"/>
  <c r="H291" i="10"/>
  <c r="C289" i="10" l="1"/>
  <c r="D289" i="10"/>
  <c r="E289" i="10"/>
  <c r="F289" i="10"/>
  <c r="B290" i="10"/>
  <c r="A291" i="10"/>
  <c r="J290" i="10"/>
  <c r="K290" i="10"/>
  <c r="L290" i="10"/>
  <c r="M290" i="10"/>
  <c r="I291" i="10"/>
  <c r="H292" i="10"/>
  <c r="C290" i="10" l="1"/>
  <c r="D290" i="10"/>
  <c r="E290" i="10"/>
  <c r="F290" i="10"/>
  <c r="B291" i="10"/>
  <c r="A292" i="10"/>
  <c r="J291" i="10"/>
  <c r="K291" i="10"/>
  <c r="L291" i="10"/>
  <c r="M291" i="10"/>
  <c r="I292" i="10"/>
  <c r="H293" i="10"/>
  <c r="C291" i="10" l="1"/>
  <c r="D291" i="10"/>
  <c r="E291" i="10"/>
  <c r="F291" i="10"/>
  <c r="B292" i="10"/>
  <c r="A293" i="10"/>
  <c r="J292" i="10"/>
  <c r="K292" i="10"/>
  <c r="L292" i="10"/>
  <c r="M292" i="10"/>
  <c r="I293" i="10"/>
  <c r="H294" i="10"/>
  <c r="C292" i="10" l="1"/>
  <c r="D292" i="10"/>
  <c r="E292" i="10"/>
  <c r="F292" i="10"/>
  <c r="B293" i="10"/>
  <c r="A294" i="10"/>
  <c r="J293" i="10"/>
  <c r="K293" i="10"/>
  <c r="L293" i="10"/>
  <c r="M293" i="10"/>
  <c r="I294" i="10"/>
  <c r="H295" i="10"/>
  <c r="C293" i="10" l="1"/>
  <c r="D293" i="10"/>
  <c r="E293" i="10"/>
  <c r="F293" i="10"/>
  <c r="B294" i="10"/>
  <c r="A295" i="10"/>
  <c r="J294" i="10"/>
  <c r="K294" i="10"/>
  <c r="L294" i="10"/>
  <c r="M294" i="10"/>
  <c r="I295" i="10"/>
  <c r="H296" i="10"/>
  <c r="C294" i="10" l="1"/>
  <c r="D294" i="10"/>
  <c r="E294" i="10"/>
  <c r="F294" i="10"/>
  <c r="B295" i="10"/>
  <c r="A296" i="10"/>
  <c r="J295" i="10"/>
  <c r="K295" i="10"/>
  <c r="L295" i="10"/>
  <c r="M295" i="10"/>
  <c r="I296" i="10"/>
  <c r="H297" i="10"/>
  <c r="C295" i="10" l="1"/>
  <c r="D295" i="10"/>
  <c r="E295" i="10"/>
  <c r="F295" i="10"/>
  <c r="B296" i="10"/>
  <c r="A297" i="10"/>
  <c r="J296" i="10"/>
  <c r="K296" i="10"/>
  <c r="L296" i="10"/>
  <c r="M296" i="10"/>
  <c r="I297" i="10"/>
  <c r="H298" i="10"/>
  <c r="C296" i="10" l="1"/>
  <c r="D296" i="10"/>
  <c r="E296" i="10"/>
  <c r="F296" i="10"/>
  <c r="B297" i="10"/>
  <c r="A298" i="10"/>
  <c r="J297" i="10"/>
  <c r="K297" i="10"/>
  <c r="L297" i="10"/>
  <c r="M297" i="10"/>
  <c r="I298" i="10"/>
  <c r="H299" i="10"/>
  <c r="C297" i="10" l="1"/>
  <c r="D297" i="10"/>
  <c r="E297" i="10"/>
  <c r="F297" i="10"/>
  <c r="B298" i="10"/>
  <c r="A299" i="10"/>
  <c r="J298" i="10"/>
  <c r="K298" i="10"/>
  <c r="L298" i="10"/>
  <c r="M298" i="10"/>
  <c r="I299" i="10"/>
  <c r="H300" i="10"/>
  <c r="C298" i="10" l="1"/>
  <c r="D298" i="10"/>
  <c r="E298" i="10"/>
  <c r="F298" i="10"/>
  <c r="B299" i="10"/>
  <c r="A300" i="10"/>
  <c r="J299" i="10"/>
  <c r="K299" i="10"/>
  <c r="L299" i="10"/>
  <c r="M299" i="10"/>
  <c r="I300" i="10"/>
  <c r="H301" i="10"/>
  <c r="C299" i="10" l="1"/>
  <c r="D299" i="10"/>
  <c r="E299" i="10"/>
  <c r="F299" i="10"/>
  <c r="B300" i="10"/>
  <c r="A301" i="10"/>
  <c r="J300" i="10"/>
  <c r="K300" i="10"/>
  <c r="L300" i="10"/>
  <c r="M300" i="10"/>
  <c r="I301" i="10"/>
  <c r="H302" i="10"/>
  <c r="C300" i="10" l="1"/>
  <c r="D300" i="10"/>
  <c r="E300" i="10"/>
  <c r="F300" i="10"/>
  <c r="B301" i="10"/>
  <c r="A302" i="10"/>
  <c r="J301" i="10"/>
  <c r="K301" i="10"/>
  <c r="L301" i="10"/>
  <c r="M301" i="10"/>
  <c r="I302" i="10"/>
  <c r="H303" i="10"/>
  <c r="C301" i="10" l="1"/>
  <c r="D301" i="10"/>
  <c r="E301" i="10"/>
  <c r="F301" i="10"/>
  <c r="B302" i="10"/>
  <c r="A303" i="10"/>
  <c r="J302" i="10"/>
  <c r="K302" i="10"/>
  <c r="L302" i="10"/>
  <c r="M302" i="10"/>
  <c r="I303" i="10"/>
  <c r="H304" i="10"/>
  <c r="C302" i="10" l="1"/>
  <c r="D302" i="10"/>
  <c r="E302" i="10"/>
  <c r="F302" i="10"/>
  <c r="B303" i="10"/>
  <c r="A304" i="10"/>
  <c r="J303" i="10"/>
  <c r="K303" i="10"/>
  <c r="L303" i="10"/>
  <c r="M303" i="10"/>
  <c r="I304" i="10"/>
  <c r="H305" i="10"/>
  <c r="C303" i="10" l="1"/>
  <c r="D303" i="10"/>
  <c r="E303" i="10"/>
  <c r="F303" i="10"/>
  <c r="B304" i="10"/>
  <c r="A305" i="10"/>
  <c r="J304" i="10"/>
  <c r="K304" i="10"/>
  <c r="L304" i="10"/>
  <c r="M304" i="10"/>
  <c r="I305" i="10"/>
  <c r="H306" i="10"/>
  <c r="C304" i="10" l="1"/>
  <c r="D304" i="10"/>
  <c r="E304" i="10"/>
  <c r="F304" i="10"/>
  <c r="B305" i="10"/>
  <c r="A306" i="10"/>
  <c r="J305" i="10"/>
  <c r="K305" i="10"/>
  <c r="L305" i="10"/>
  <c r="M305" i="10"/>
  <c r="I306" i="10"/>
  <c r="H307" i="10"/>
  <c r="C305" i="10" l="1"/>
  <c r="D305" i="10"/>
  <c r="E305" i="10"/>
  <c r="F305" i="10"/>
  <c r="B306" i="10"/>
  <c r="A307" i="10"/>
  <c r="J306" i="10"/>
  <c r="K306" i="10"/>
  <c r="L306" i="10"/>
  <c r="M306" i="10"/>
  <c r="I307" i="10"/>
  <c r="H308" i="10"/>
  <c r="C306" i="10" l="1"/>
  <c r="D306" i="10"/>
  <c r="E306" i="10"/>
  <c r="F306" i="10"/>
  <c r="B307" i="10"/>
  <c r="A308" i="10"/>
  <c r="J307" i="10"/>
  <c r="K307" i="10"/>
  <c r="L307" i="10"/>
  <c r="M307" i="10"/>
  <c r="I308" i="10"/>
  <c r="H309" i="10"/>
  <c r="C307" i="10" l="1"/>
  <c r="D307" i="10"/>
  <c r="E307" i="10"/>
  <c r="F307" i="10"/>
  <c r="B308" i="10"/>
  <c r="A309" i="10"/>
  <c r="J308" i="10"/>
  <c r="K308" i="10"/>
  <c r="L308" i="10"/>
  <c r="M308" i="10"/>
  <c r="I309" i="10"/>
  <c r="H310" i="10"/>
  <c r="C308" i="10" l="1"/>
  <c r="D308" i="10"/>
  <c r="E308" i="10"/>
  <c r="F308" i="10"/>
  <c r="B309" i="10"/>
  <c r="A310" i="10"/>
  <c r="J309" i="10"/>
  <c r="K309" i="10"/>
  <c r="L309" i="10"/>
  <c r="M309" i="10"/>
  <c r="I310" i="10"/>
  <c r="H311" i="10"/>
  <c r="C309" i="10" l="1"/>
  <c r="D309" i="10"/>
  <c r="E309" i="10"/>
  <c r="F309" i="10"/>
  <c r="B310" i="10"/>
  <c r="A311" i="10"/>
  <c r="J310" i="10"/>
  <c r="K310" i="10"/>
  <c r="L310" i="10"/>
  <c r="M310" i="10"/>
  <c r="I311" i="10"/>
  <c r="H312" i="10"/>
  <c r="C310" i="10" l="1"/>
  <c r="D310" i="10"/>
  <c r="E310" i="10"/>
  <c r="F310" i="10"/>
  <c r="B311" i="10"/>
  <c r="A312" i="10"/>
  <c r="J311" i="10"/>
  <c r="K311" i="10"/>
  <c r="L311" i="10"/>
  <c r="M311" i="10"/>
  <c r="I312" i="10"/>
  <c r="H313" i="10"/>
  <c r="C311" i="10" l="1"/>
  <c r="D311" i="10"/>
  <c r="E311" i="10"/>
  <c r="F311" i="10"/>
  <c r="B312" i="10"/>
  <c r="A313" i="10"/>
  <c r="J312" i="10"/>
  <c r="K312" i="10"/>
  <c r="L312" i="10"/>
  <c r="M312" i="10"/>
  <c r="I313" i="10"/>
  <c r="H314" i="10"/>
  <c r="C312" i="10" l="1"/>
  <c r="D312" i="10"/>
  <c r="E312" i="10"/>
  <c r="F312" i="10"/>
  <c r="B313" i="10"/>
  <c r="A314" i="10"/>
  <c r="J313" i="10"/>
  <c r="K313" i="10"/>
  <c r="L313" i="10"/>
  <c r="M313" i="10"/>
  <c r="I314" i="10"/>
  <c r="H315" i="10"/>
  <c r="C313" i="10" l="1"/>
  <c r="D313" i="10"/>
  <c r="E313" i="10"/>
  <c r="F313" i="10"/>
  <c r="B314" i="10"/>
  <c r="A315" i="10"/>
  <c r="J314" i="10"/>
  <c r="K314" i="10"/>
  <c r="L314" i="10"/>
  <c r="M314" i="10"/>
  <c r="I315" i="10"/>
  <c r="H316" i="10"/>
  <c r="C314" i="10" l="1"/>
  <c r="D314" i="10"/>
  <c r="E314" i="10"/>
  <c r="F314" i="10"/>
  <c r="B315" i="10"/>
  <c r="A316" i="10"/>
  <c r="J315" i="10"/>
  <c r="K315" i="10"/>
  <c r="L315" i="10"/>
  <c r="M315" i="10"/>
  <c r="I316" i="10"/>
  <c r="H317" i="10"/>
  <c r="C315" i="10" l="1"/>
  <c r="D315" i="10"/>
  <c r="E315" i="10"/>
  <c r="F315" i="10"/>
  <c r="B316" i="10"/>
  <c r="A317" i="10"/>
  <c r="J316" i="10"/>
  <c r="K316" i="10"/>
  <c r="L316" i="10"/>
  <c r="M316" i="10"/>
  <c r="I317" i="10"/>
  <c r="H318" i="10"/>
  <c r="C316" i="10" l="1"/>
  <c r="D316" i="10"/>
  <c r="E316" i="10"/>
  <c r="F316" i="10"/>
  <c r="B317" i="10"/>
  <c r="A318" i="10"/>
  <c r="J317" i="10"/>
  <c r="K317" i="10"/>
  <c r="L317" i="10"/>
  <c r="M317" i="10"/>
  <c r="I318" i="10"/>
  <c r="H319" i="10"/>
  <c r="C317" i="10" l="1"/>
  <c r="D317" i="10"/>
  <c r="E317" i="10"/>
  <c r="F317" i="10"/>
  <c r="B318" i="10"/>
  <c r="A319" i="10"/>
  <c r="J318" i="10"/>
  <c r="K318" i="10"/>
  <c r="L318" i="10"/>
  <c r="M318" i="10"/>
  <c r="I319" i="10"/>
  <c r="H320" i="10"/>
  <c r="C318" i="10" l="1"/>
  <c r="D318" i="10"/>
  <c r="E318" i="10"/>
  <c r="F318" i="10"/>
  <c r="B319" i="10"/>
  <c r="A320" i="10"/>
  <c r="J319" i="10"/>
  <c r="K319" i="10"/>
  <c r="L319" i="10"/>
  <c r="M319" i="10"/>
  <c r="I320" i="10"/>
  <c r="H321" i="10"/>
  <c r="C319" i="10" l="1"/>
  <c r="D319" i="10"/>
  <c r="E319" i="10"/>
  <c r="F319" i="10"/>
  <c r="B320" i="10"/>
  <c r="A321" i="10"/>
  <c r="J320" i="10"/>
  <c r="K320" i="10"/>
  <c r="L320" i="10"/>
  <c r="M320" i="10"/>
  <c r="I321" i="10"/>
  <c r="H322" i="10"/>
  <c r="C320" i="10" l="1"/>
  <c r="D320" i="10"/>
  <c r="E320" i="10"/>
  <c r="F320" i="10"/>
  <c r="B321" i="10"/>
  <c r="A322" i="10"/>
  <c r="J321" i="10"/>
  <c r="K321" i="10"/>
  <c r="L321" i="10"/>
  <c r="M321" i="10"/>
  <c r="I322" i="10"/>
  <c r="H323" i="10"/>
  <c r="C321" i="10" l="1"/>
  <c r="D321" i="10"/>
  <c r="E321" i="10"/>
  <c r="F321" i="10"/>
  <c r="B322" i="10"/>
  <c r="A323" i="10"/>
  <c r="J322" i="10"/>
  <c r="K322" i="10"/>
  <c r="L322" i="10"/>
  <c r="M322" i="10"/>
  <c r="I323" i="10"/>
  <c r="H324" i="10"/>
  <c r="C322" i="10" l="1"/>
  <c r="D322" i="10"/>
  <c r="E322" i="10"/>
  <c r="F322" i="10"/>
  <c r="B323" i="10"/>
  <c r="A324" i="10"/>
  <c r="J323" i="10"/>
  <c r="K323" i="10"/>
  <c r="L323" i="10"/>
  <c r="M323" i="10"/>
  <c r="I324" i="10"/>
  <c r="H325" i="10"/>
  <c r="C323" i="10" l="1"/>
  <c r="D323" i="10"/>
  <c r="E323" i="10"/>
  <c r="F323" i="10"/>
  <c r="B324" i="10"/>
  <c r="A325" i="10"/>
  <c r="J324" i="10"/>
  <c r="K324" i="10"/>
  <c r="L324" i="10"/>
  <c r="M324" i="10"/>
  <c r="I325" i="10"/>
  <c r="H326" i="10"/>
  <c r="C324" i="10" l="1"/>
  <c r="D324" i="10"/>
  <c r="E324" i="10"/>
  <c r="F324" i="10"/>
  <c r="B325" i="10"/>
  <c r="A326" i="10"/>
  <c r="J325" i="10"/>
  <c r="K325" i="10"/>
  <c r="L325" i="10"/>
  <c r="M325" i="10"/>
  <c r="I326" i="10"/>
  <c r="H327" i="10"/>
  <c r="C325" i="10" l="1"/>
  <c r="D325" i="10"/>
  <c r="E325" i="10"/>
  <c r="F325" i="10"/>
  <c r="B326" i="10"/>
  <c r="A327" i="10"/>
  <c r="J326" i="10"/>
  <c r="K326" i="10"/>
  <c r="L326" i="10"/>
  <c r="M326" i="10"/>
  <c r="I327" i="10"/>
  <c r="H328" i="10"/>
  <c r="C326" i="10" l="1"/>
  <c r="D326" i="10"/>
  <c r="E326" i="10"/>
  <c r="F326" i="10"/>
  <c r="B327" i="10"/>
  <c r="A328" i="10"/>
  <c r="J327" i="10"/>
  <c r="K327" i="10"/>
  <c r="L327" i="10"/>
  <c r="M327" i="10"/>
  <c r="I328" i="10"/>
  <c r="H329" i="10"/>
  <c r="C327" i="10" l="1"/>
  <c r="D327" i="10"/>
  <c r="E327" i="10"/>
  <c r="F327" i="10"/>
  <c r="B328" i="10"/>
  <c r="A329" i="10"/>
  <c r="J328" i="10"/>
  <c r="K328" i="10"/>
  <c r="L328" i="10"/>
  <c r="M328" i="10"/>
  <c r="I329" i="10"/>
  <c r="H330" i="10"/>
  <c r="C328" i="10" l="1"/>
  <c r="D328" i="10"/>
  <c r="E328" i="10"/>
  <c r="F328" i="10"/>
  <c r="B329" i="10"/>
  <c r="A330" i="10"/>
  <c r="J329" i="10"/>
  <c r="K329" i="10"/>
  <c r="L329" i="10"/>
  <c r="M329" i="10"/>
  <c r="I330" i="10"/>
  <c r="H331" i="10"/>
  <c r="C329" i="10" l="1"/>
  <c r="D329" i="10"/>
  <c r="E329" i="10"/>
  <c r="F329" i="10"/>
  <c r="B330" i="10"/>
  <c r="A331" i="10"/>
  <c r="J330" i="10"/>
  <c r="K330" i="10"/>
  <c r="L330" i="10"/>
  <c r="M330" i="10"/>
  <c r="I331" i="10"/>
  <c r="H332" i="10"/>
  <c r="C330" i="10" l="1"/>
  <c r="D330" i="10"/>
  <c r="E330" i="10"/>
  <c r="F330" i="10"/>
  <c r="B331" i="10"/>
  <c r="A332" i="10"/>
  <c r="J331" i="10"/>
  <c r="K331" i="10"/>
  <c r="L331" i="10"/>
  <c r="M331" i="10"/>
  <c r="I332" i="10"/>
  <c r="H333" i="10"/>
  <c r="C331" i="10" l="1"/>
  <c r="D331" i="10"/>
  <c r="E331" i="10"/>
  <c r="F331" i="10"/>
  <c r="B332" i="10"/>
  <c r="A333" i="10"/>
  <c r="J332" i="10"/>
  <c r="K332" i="10"/>
  <c r="L332" i="10"/>
  <c r="M332" i="10"/>
  <c r="I333" i="10"/>
  <c r="H334" i="10"/>
  <c r="C332" i="10" l="1"/>
  <c r="D332" i="10"/>
  <c r="E332" i="10"/>
  <c r="F332" i="10"/>
  <c r="B333" i="10"/>
  <c r="A334" i="10"/>
  <c r="J333" i="10"/>
  <c r="K333" i="10"/>
  <c r="L333" i="10"/>
  <c r="M333" i="10"/>
  <c r="I334" i="10"/>
  <c r="H335" i="10"/>
  <c r="C333" i="10" l="1"/>
  <c r="D333" i="10"/>
  <c r="E333" i="10"/>
  <c r="F333" i="10"/>
  <c r="B334" i="10"/>
  <c r="A335" i="10"/>
  <c r="J334" i="10"/>
  <c r="K334" i="10"/>
  <c r="L334" i="10"/>
  <c r="M334" i="10"/>
  <c r="I335" i="10"/>
  <c r="H336" i="10"/>
  <c r="C334" i="10" l="1"/>
  <c r="D334" i="10"/>
  <c r="E334" i="10"/>
  <c r="F334" i="10"/>
  <c r="B335" i="10"/>
  <c r="A336" i="10"/>
  <c r="J335" i="10"/>
  <c r="K335" i="10"/>
  <c r="L335" i="10"/>
  <c r="M335" i="10"/>
  <c r="I336" i="10"/>
  <c r="H337" i="10"/>
  <c r="C335" i="10" l="1"/>
  <c r="D335" i="10"/>
  <c r="E335" i="10"/>
  <c r="F335" i="10"/>
  <c r="B336" i="10"/>
  <c r="A337" i="10"/>
  <c r="J336" i="10"/>
  <c r="K336" i="10"/>
  <c r="L336" i="10"/>
  <c r="M336" i="10"/>
  <c r="I337" i="10"/>
  <c r="H338" i="10"/>
  <c r="C336" i="10" l="1"/>
  <c r="D336" i="10"/>
  <c r="E336" i="10"/>
  <c r="F336" i="10"/>
  <c r="B337" i="10"/>
  <c r="A338" i="10"/>
  <c r="J337" i="10"/>
  <c r="K337" i="10"/>
  <c r="L337" i="10"/>
  <c r="M337" i="10"/>
  <c r="I338" i="10"/>
  <c r="H339" i="10"/>
  <c r="C337" i="10" l="1"/>
  <c r="D337" i="10"/>
  <c r="E337" i="10"/>
  <c r="F337" i="10"/>
  <c r="B338" i="10"/>
  <c r="A339" i="10"/>
  <c r="J338" i="10"/>
  <c r="K338" i="10"/>
  <c r="L338" i="10"/>
  <c r="M338" i="10"/>
  <c r="I339" i="10"/>
  <c r="H340" i="10"/>
  <c r="C338" i="10" l="1"/>
  <c r="D338" i="10"/>
  <c r="E338" i="10"/>
  <c r="F338" i="10"/>
  <c r="B339" i="10"/>
  <c r="A340" i="10"/>
  <c r="J339" i="10"/>
  <c r="K339" i="10"/>
  <c r="L339" i="10"/>
  <c r="M339" i="10"/>
  <c r="I340" i="10"/>
  <c r="H341" i="10"/>
  <c r="C339" i="10" l="1"/>
  <c r="D339" i="10"/>
  <c r="E339" i="10"/>
  <c r="F339" i="10"/>
  <c r="B340" i="10"/>
  <c r="A341" i="10"/>
  <c r="J340" i="10"/>
  <c r="K340" i="10"/>
  <c r="L340" i="10"/>
  <c r="M340" i="10"/>
  <c r="I341" i="10"/>
  <c r="H342" i="10"/>
  <c r="C340" i="10" l="1"/>
  <c r="D340" i="10"/>
  <c r="E340" i="10"/>
  <c r="F340" i="10"/>
  <c r="B341" i="10"/>
  <c r="A342" i="10"/>
  <c r="J341" i="10"/>
  <c r="K341" i="10"/>
  <c r="L341" i="10"/>
  <c r="M341" i="10"/>
  <c r="I342" i="10"/>
  <c r="H343" i="10"/>
  <c r="C341" i="10" l="1"/>
  <c r="D341" i="10"/>
  <c r="E341" i="10"/>
  <c r="F341" i="10"/>
  <c r="B342" i="10"/>
  <c r="A343" i="10"/>
  <c r="J342" i="10"/>
  <c r="K342" i="10"/>
  <c r="L342" i="10"/>
  <c r="M342" i="10"/>
  <c r="I343" i="10"/>
  <c r="H344" i="10"/>
  <c r="C342" i="10" l="1"/>
  <c r="D342" i="10"/>
  <c r="E342" i="10"/>
  <c r="F342" i="10"/>
  <c r="B343" i="10"/>
  <c r="A344" i="10"/>
  <c r="J343" i="10"/>
  <c r="K343" i="10"/>
  <c r="L343" i="10"/>
  <c r="M343" i="10"/>
  <c r="I344" i="10"/>
  <c r="H345" i="10"/>
  <c r="C343" i="10" l="1"/>
  <c r="D343" i="10"/>
  <c r="E343" i="10"/>
  <c r="F343" i="10"/>
  <c r="B344" i="10"/>
  <c r="A345" i="10"/>
  <c r="J344" i="10"/>
  <c r="K344" i="10"/>
  <c r="L344" i="10"/>
  <c r="M344" i="10"/>
  <c r="I345" i="10"/>
  <c r="H346" i="10"/>
  <c r="C344" i="10" l="1"/>
  <c r="D344" i="10"/>
  <c r="E344" i="10"/>
  <c r="F344" i="10"/>
  <c r="B345" i="10"/>
  <c r="A346" i="10"/>
  <c r="J345" i="10"/>
  <c r="K345" i="10"/>
  <c r="L345" i="10"/>
  <c r="M345" i="10"/>
  <c r="I346" i="10"/>
  <c r="H347" i="10"/>
  <c r="C345" i="10" l="1"/>
  <c r="D345" i="10"/>
  <c r="E345" i="10"/>
  <c r="F345" i="10"/>
  <c r="B346" i="10"/>
  <c r="A347" i="10"/>
  <c r="J346" i="10"/>
  <c r="K346" i="10"/>
  <c r="L346" i="10"/>
  <c r="M346" i="10"/>
  <c r="I347" i="10"/>
  <c r="H348" i="10"/>
  <c r="C346" i="10" l="1"/>
  <c r="D346" i="10"/>
  <c r="E346" i="10"/>
  <c r="F346" i="10"/>
  <c r="B347" i="10"/>
  <c r="A348" i="10"/>
  <c r="J347" i="10"/>
  <c r="K347" i="10"/>
  <c r="L347" i="10"/>
  <c r="M347" i="10"/>
  <c r="I348" i="10"/>
  <c r="H349" i="10"/>
  <c r="C347" i="10" l="1"/>
  <c r="D347" i="10"/>
  <c r="E347" i="10"/>
  <c r="F347" i="10"/>
  <c r="B348" i="10"/>
  <c r="A349" i="10"/>
  <c r="J348" i="10"/>
  <c r="K348" i="10"/>
  <c r="L348" i="10"/>
  <c r="M348" i="10"/>
  <c r="I349" i="10"/>
  <c r="H350" i="10"/>
  <c r="C348" i="10" l="1"/>
  <c r="D348" i="10"/>
  <c r="E348" i="10"/>
  <c r="F348" i="10"/>
  <c r="B349" i="10"/>
  <c r="A350" i="10"/>
  <c r="J349" i="10"/>
  <c r="K349" i="10"/>
  <c r="L349" i="10"/>
  <c r="M349" i="10"/>
  <c r="I350" i="10"/>
  <c r="H351" i="10"/>
  <c r="C349" i="10" l="1"/>
  <c r="D349" i="10"/>
  <c r="E349" i="10"/>
  <c r="F349" i="10"/>
  <c r="B350" i="10"/>
  <c r="A351" i="10"/>
  <c r="J350" i="10"/>
  <c r="K350" i="10"/>
  <c r="L350" i="10"/>
  <c r="M350" i="10"/>
  <c r="I351" i="10"/>
  <c r="H352" i="10"/>
  <c r="C350" i="10" l="1"/>
  <c r="D350" i="10"/>
  <c r="E350" i="10"/>
  <c r="F350" i="10"/>
  <c r="B351" i="10"/>
  <c r="A352" i="10"/>
  <c r="J351" i="10"/>
  <c r="K351" i="10"/>
  <c r="L351" i="10"/>
  <c r="M351" i="10"/>
  <c r="I352" i="10"/>
  <c r="H353" i="10"/>
  <c r="C351" i="10" l="1"/>
  <c r="D351" i="10"/>
  <c r="E351" i="10"/>
  <c r="F351" i="10"/>
  <c r="B352" i="10"/>
  <c r="A353" i="10"/>
  <c r="J352" i="10"/>
  <c r="K352" i="10"/>
  <c r="L352" i="10"/>
  <c r="M352" i="10"/>
  <c r="I353" i="10"/>
  <c r="H354" i="10"/>
  <c r="C352" i="10" l="1"/>
  <c r="D352" i="10"/>
  <c r="E352" i="10"/>
  <c r="F352" i="10"/>
  <c r="B353" i="10"/>
  <c r="A354" i="10"/>
  <c r="J353" i="10"/>
  <c r="K353" i="10"/>
  <c r="L353" i="10"/>
  <c r="M353" i="10"/>
  <c r="I354" i="10"/>
  <c r="H355" i="10"/>
  <c r="C353" i="10" l="1"/>
  <c r="D353" i="10"/>
  <c r="E353" i="10"/>
  <c r="F353" i="10"/>
  <c r="B354" i="10"/>
  <c r="A355" i="10"/>
  <c r="J354" i="10"/>
  <c r="K354" i="10"/>
  <c r="L354" i="10"/>
  <c r="M354" i="10"/>
  <c r="I355" i="10"/>
  <c r="H356" i="10"/>
  <c r="C354" i="10" l="1"/>
  <c r="D354" i="10"/>
  <c r="E354" i="10"/>
  <c r="F354" i="10"/>
  <c r="B355" i="10"/>
  <c r="A356" i="10"/>
  <c r="J355" i="10"/>
  <c r="K355" i="10"/>
  <c r="L355" i="10"/>
  <c r="M355" i="10"/>
  <c r="I356" i="10"/>
  <c r="H357" i="10"/>
  <c r="C355" i="10" l="1"/>
  <c r="D355" i="10"/>
  <c r="E355" i="10"/>
  <c r="F355" i="10"/>
  <c r="B356" i="10"/>
  <c r="A357" i="10"/>
  <c r="J356" i="10"/>
  <c r="K356" i="10"/>
  <c r="L356" i="10"/>
  <c r="M356" i="10"/>
  <c r="I357" i="10"/>
  <c r="H358" i="10"/>
  <c r="C356" i="10" l="1"/>
  <c r="D356" i="10"/>
  <c r="E356" i="10"/>
  <c r="F356" i="10"/>
  <c r="B357" i="10"/>
  <c r="A358" i="10"/>
  <c r="J357" i="10"/>
  <c r="K357" i="10"/>
  <c r="L357" i="10"/>
  <c r="M357" i="10"/>
  <c r="I358" i="10"/>
  <c r="H359" i="10"/>
  <c r="C357" i="10" l="1"/>
  <c r="D357" i="10"/>
  <c r="E357" i="10"/>
  <c r="F357" i="10"/>
  <c r="B358" i="10"/>
  <c r="A359" i="10"/>
  <c r="J358" i="10"/>
  <c r="K358" i="10"/>
  <c r="L358" i="10"/>
  <c r="M358" i="10"/>
  <c r="I359" i="10"/>
  <c r="H360" i="10"/>
  <c r="C358" i="10" l="1"/>
  <c r="D358" i="10"/>
  <c r="E358" i="10"/>
  <c r="F358" i="10"/>
  <c r="B359" i="10"/>
  <c r="A360" i="10"/>
  <c r="J359" i="10"/>
  <c r="K359" i="10"/>
  <c r="L359" i="10"/>
  <c r="M359" i="10"/>
  <c r="I360" i="10"/>
  <c r="H361" i="10"/>
  <c r="C359" i="10" l="1"/>
  <c r="D359" i="10"/>
  <c r="E359" i="10"/>
  <c r="F359" i="10"/>
  <c r="B360" i="10"/>
  <c r="A361" i="10"/>
  <c r="J360" i="10"/>
  <c r="K360" i="10"/>
  <c r="L360" i="10"/>
  <c r="M360" i="10"/>
  <c r="I361" i="10"/>
  <c r="H362" i="10"/>
  <c r="C360" i="10" l="1"/>
  <c r="D360" i="10"/>
  <c r="E360" i="10"/>
  <c r="F360" i="10"/>
  <c r="B361" i="10"/>
  <c r="A362" i="10"/>
  <c r="J361" i="10"/>
  <c r="K361" i="10"/>
  <c r="L361" i="10"/>
  <c r="M361" i="10"/>
  <c r="I362" i="10"/>
  <c r="H363" i="10"/>
  <c r="C361" i="10" l="1"/>
  <c r="D361" i="10"/>
  <c r="E361" i="10"/>
  <c r="F361" i="10"/>
  <c r="B362" i="10"/>
  <c r="A363" i="10"/>
  <c r="J362" i="10"/>
  <c r="K362" i="10"/>
  <c r="L362" i="10"/>
  <c r="M362" i="10"/>
  <c r="I363" i="10"/>
  <c r="H364" i="10"/>
  <c r="C362" i="10" l="1"/>
  <c r="D362" i="10"/>
  <c r="E362" i="10"/>
  <c r="F362" i="10"/>
  <c r="B363" i="10"/>
  <c r="A364" i="10"/>
  <c r="J363" i="10"/>
  <c r="K363" i="10"/>
  <c r="L363" i="10"/>
  <c r="M363" i="10"/>
  <c r="I364" i="10"/>
  <c r="H365" i="10"/>
  <c r="C363" i="10" l="1"/>
  <c r="D363" i="10"/>
  <c r="E363" i="10"/>
  <c r="F363" i="10"/>
  <c r="B364" i="10"/>
  <c r="A365" i="10"/>
  <c r="J364" i="10"/>
  <c r="K364" i="10"/>
  <c r="L364" i="10"/>
  <c r="M364" i="10"/>
  <c r="I365" i="10"/>
  <c r="H366" i="10"/>
  <c r="C364" i="10" l="1"/>
  <c r="D364" i="10"/>
  <c r="E364" i="10"/>
  <c r="F364" i="10"/>
  <c r="B365" i="10"/>
  <c r="A366" i="10"/>
  <c r="J365" i="10"/>
  <c r="K365" i="10"/>
  <c r="L365" i="10"/>
  <c r="M365" i="10"/>
  <c r="I366" i="10"/>
  <c r="H367" i="10"/>
  <c r="C365" i="10" l="1"/>
  <c r="D365" i="10"/>
  <c r="E365" i="10"/>
  <c r="F365" i="10"/>
  <c r="B366" i="10"/>
  <c r="A367" i="10"/>
  <c r="J366" i="10"/>
  <c r="K366" i="10"/>
  <c r="L366" i="10"/>
  <c r="M366" i="10"/>
  <c r="I367" i="10"/>
  <c r="H368" i="10"/>
  <c r="I368" i="10" s="1"/>
  <c r="C366" i="10" l="1"/>
  <c r="D366" i="10"/>
  <c r="E366" i="10"/>
  <c r="F366" i="10"/>
  <c r="B367" i="10"/>
  <c r="A368" i="10"/>
  <c r="B368" i="10" s="1"/>
  <c r="J367" i="10"/>
  <c r="K367" i="10"/>
  <c r="L367" i="10"/>
  <c r="M367" i="10"/>
  <c r="J368" i="10"/>
  <c r="K368" i="10"/>
  <c r="L368" i="10"/>
  <c r="M368" i="10"/>
  <c r="C367" i="10" l="1"/>
  <c r="D367" i="10"/>
  <c r="E367" i="10"/>
  <c r="F367" i="10"/>
  <c r="C368" i="10"/>
  <c r="D368" i="10"/>
  <c r="E368" i="10"/>
  <c r="F368" i="10"/>
  <c r="C14" i="1" l="1"/>
  <c r="C20" i="1"/>
  <c r="C15" i="1"/>
  <c r="C14" i="8"/>
  <c r="C15" i="7"/>
  <c r="C14" i="7"/>
  <c r="C14" i="4"/>
  <c r="C15" i="6"/>
  <c r="C15" i="11"/>
  <c r="C14" i="2"/>
  <c r="C16" i="6"/>
  <c r="C57" i="9"/>
  <c r="C16" i="11"/>
  <c r="C14" i="5"/>
  <c r="C13" i="1"/>
  <c r="F4" i="15"/>
  <c r="C16" i="9"/>
  <c r="C13" i="6"/>
  <c r="C16" i="5"/>
  <c r="C14" i="6"/>
  <c r="C63" i="9"/>
  <c r="C14" i="3"/>
  <c r="C13" i="10"/>
  <c r="C15" i="9"/>
  <c r="C11" i="9"/>
  <c r="C13" i="2"/>
  <c r="C9" i="10"/>
  <c r="C13" i="4"/>
  <c r="C11" i="11"/>
  <c r="C14" i="10"/>
  <c r="C15" i="3"/>
  <c r="C13" i="7"/>
  <c r="C16" i="4"/>
  <c r="C16" i="3"/>
  <c r="C13" i="8"/>
  <c r="C15" i="8"/>
  <c r="C20" i="2"/>
  <c r="C58" i="9"/>
  <c r="C56" i="9"/>
  <c r="C13" i="3"/>
  <c r="C15" i="4"/>
  <c r="C16" i="7"/>
  <c r="C16" i="8"/>
  <c r="F3" i="15"/>
  <c r="C13" i="5"/>
  <c r="C15" i="2"/>
  <c r="F10" i="15"/>
  <c r="C15" i="5"/>
  <c r="F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None</author>
  </authors>
  <commentList>
    <comment ref="C11" authorId="0" shapeId="0" xr:uid="{00000000-0006-0000-0E00-000001000000}">
      <text>
        <r>
          <rPr>
            <sz val="12"/>
            <color indexed="8"/>
            <rFont val="Verdana"/>
          </rPr>
          <t>Open ended, all countries where employees work
	-Nichole Arbino
Stays in GNRL
	-Nichole Arbino</t>
        </r>
      </text>
    </comment>
  </commentList>
</comments>
</file>

<file path=xl/sharedStrings.xml><?xml version="1.0" encoding="utf-8"?>
<sst xmlns="http://schemas.openxmlformats.org/spreadsheetml/2006/main" count="6048" uniqueCount="2177">
  <si>
    <t xml:space="preserve">The cells within this worksheet contain questions, the reason for the question, and follow-up inquiries/responses </t>
  </si>
  <si>
    <t>HECVAT Analyst Reference</t>
  </si>
  <si>
    <t>Copyright © 2025 EDUCAUSE</t>
  </si>
  <si>
    <t>Connect with your higher education peers by joining the EDUCAUSE HECVAT Users Community Group</t>
  </si>
  <si>
    <t>You can find full tutorials on the HECVAT at educause.edu/HECVAT</t>
  </si>
  <si>
    <t>This sheet provides additional context on each questions for analysts at institutions. In most cases, you will find a reason for each question as well as follow-up inquiries that may be helpful.</t>
  </si>
  <si>
    <t xml:space="preserve">Use the "find" feature (CTRL+F on a PC or Command+F on a Mac) to search for a question code </t>
  </si>
  <si>
    <t>GNRL-01</t>
  </si>
  <si>
    <t>GNRL-02</t>
  </si>
  <si>
    <t>GNRL-03</t>
  </si>
  <si>
    <t>GNRL-04</t>
  </si>
  <si>
    <t>GNRL-05</t>
  </si>
  <si>
    <t>GNRL-06</t>
  </si>
  <si>
    <t>GNRL-07</t>
  </si>
  <si>
    <t>GNRL-08</t>
  </si>
  <si>
    <t>GNRL-09</t>
  </si>
  <si>
    <t xml:space="preserve">End Table Data </t>
  </si>
  <si>
    <t>COMP-01</t>
  </si>
  <si>
    <t>COMP-02</t>
  </si>
  <si>
    <t>COMP-03</t>
  </si>
  <si>
    <t>COMP-04</t>
  </si>
  <si>
    <t>COMP-05</t>
  </si>
  <si>
    <t xml:space="preserve">Required Questions indicate to the solution provider which questions apply to their product or service. </t>
  </si>
  <si>
    <t>REQU-01</t>
  </si>
  <si>
    <t>The answer to this question indicates if the "Product" and "Infrastructure" tabs are required</t>
  </si>
  <si>
    <t>REQU-02</t>
  </si>
  <si>
    <t>The answer to this question indicates if the "IT Accessibility" questions are required</t>
  </si>
  <si>
    <t>REQU-03</t>
  </si>
  <si>
    <t>The answer to this question indicates if the "Consulting" questions are required</t>
  </si>
  <si>
    <t>REQU-04</t>
  </si>
  <si>
    <t>The answer to this question indicates if the "AI" questions are required</t>
  </si>
  <si>
    <t>REQU-05</t>
  </si>
  <si>
    <t>The answer to this question indicates if the "HIPAA" questions are required</t>
  </si>
  <si>
    <t>REQU-06</t>
  </si>
  <si>
    <t>The answer to this question indicates if the "PCI DSS" questions are required</t>
  </si>
  <si>
    <t>REQU-07</t>
  </si>
  <si>
    <t>The answer to this question indicates if the "On-Premises Data Solutions" questions are required</t>
  </si>
  <si>
    <t>DOCU-01</t>
  </si>
  <si>
    <t>DOCU-02</t>
  </si>
  <si>
    <t>DOCU-03</t>
  </si>
  <si>
    <t>DOCU-04</t>
  </si>
  <si>
    <t>DOCU-05</t>
  </si>
  <si>
    <t>DOCU-06</t>
  </si>
  <si>
    <t>DOCU-07</t>
  </si>
  <si>
    <t>THRD-01</t>
  </si>
  <si>
    <t>THRD-02</t>
  </si>
  <si>
    <t>THRD-03</t>
  </si>
  <si>
    <t>THRD-04</t>
  </si>
  <si>
    <t>THRD-05</t>
  </si>
  <si>
    <t>CHNG-01</t>
  </si>
  <si>
    <t>CHNG-02</t>
  </si>
  <si>
    <t>CHNG-03</t>
  </si>
  <si>
    <t>CHNG-04</t>
  </si>
  <si>
    <t>CHNG-05</t>
  </si>
  <si>
    <t>CHNG-06</t>
  </si>
  <si>
    <t>CHNG-07</t>
  </si>
  <si>
    <t>CHNG-08</t>
  </si>
  <si>
    <t>CHNG-09</t>
  </si>
  <si>
    <t>CHNG-10</t>
  </si>
  <si>
    <t>CHNG-11</t>
  </si>
  <si>
    <t>CHNG-12</t>
  </si>
  <si>
    <t>CHNG-13</t>
  </si>
  <si>
    <t>CHNG-14</t>
  </si>
  <si>
    <t>CHNG-15</t>
  </si>
  <si>
    <t>CHNG-16</t>
  </si>
  <si>
    <t>PPPR-01</t>
  </si>
  <si>
    <t>PPPR-02</t>
  </si>
  <si>
    <t>PPPR-03</t>
  </si>
  <si>
    <t>PPPR-04</t>
  </si>
  <si>
    <t>PPPR-05</t>
  </si>
  <si>
    <t>PPPR-06</t>
  </si>
  <si>
    <t>PPPR-07</t>
  </si>
  <si>
    <t>PPPR-08</t>
  </si>
  <si>
    <t>PPPR-09</t>
  </si>
  <si>
    <t>PPPR-10</t>
  </si>
  <si>
    <t>PPPR-11</t>
  </si>
  <si>
    <t>PPPR-12</t>
  </si>
  <si>
    <t>PPPR-13</t>
  </si>
  <si>
    <t>PPPR-14</t>
  </si>
  <si>
    <t>PPPR-15</t>
  </si>
  <si>
    <t>AAAI-01</t>
  </si>
  <si>
    <t>AAAI-02</t>
  </si>
  <si>
    <t>AAAI-03</t>
  </si>
  <si>
    <t>AAAI-04</t>
  </si>
  <si>
    <t>AAAI-05</t>
  </si>
  <si>
    <t>AAAI-06</t>
  </si>
  <si>
    <t>AAAI-07</t>
  </si>
  <si>
    <t>AAAI-08</t>
  </si>
  <si>
    <t>AAAI-09</t>
  </si>
  <si>
    <t>AAAI-10</t>
  </si>
  <si>
    <t>AAAI-11</t>
  </si>
  <si>
    <t>AAAI-12</t>
  </si>
  <si>
    <t>AAAI-13</t>
  </si>
  <si>
    <t>AAAI-14</t>
  </si>
  <si>
    <t>AAAI-15</t>
  </si>
  <si>
    <t>AAAI-16</t>
  </si>
  <si>
    <t>AAAI-17</t>
  </si>
  <si>
    <t>AAAI-18</t>
  </si>
  <si>
    <t>DATA-01</t>
  </si>
  <si>
    <t>DATA-02</t>
  </si>
  <si>
    <t>DATA-03</t>
  </si>
  <si>
    <t>DATA-04</t>
  </si>
  <si>
    <t>DATA-05</t>
  </si>
  <si>
    <t>DATA-06</t>
  </si>
  <si>
    <t>DATA-07</t>
  </si>
  <si>
    <t>DATA-08</t>
  </si>
  <si>
    <t>DATA-09</t>
  </si>
  <si>
    <t>DATA-10</t>
  </si>
  <si>
    <t>DATA-11</t>
  </si>
  <si>
    <t>DATA-12</t>
  </si>
  <si>
    <t>DATA-13</t>
  </si>
  <si>
    <t>DATA-14</t>
  </si>
  <si>
    <t>DATA-15</t>
  </si>
  <si>
    <t>DATA-16</t>
  </si>
  <si>
    <t>DATA-17</t>
  </si>
  <si>
    <t>DATA-18</t>
  </si>
  <si>
    <t>DATA-19</t>
  </si>
  <si>
    <t>DATA-20</t>
  </si>
  <si>
    <t>DATA-21</t>
  </si>
  <si>
    <t>DATA-22</t>
  </si>
  <si>
    <t>DATA-23</t>
  </si>
  <si>
    <t>APPL-01</t>
  </si>
  <si>
    <t>APPL-02</t>
  </si>
  <si>
    <t>APPL-03</t>
  </si>
  <si>
    <t>APPL-04</t>
  </si>
  <si>
    <t>APPL-05</t>
  </si>
  <si>
    <t>APPL-06</t>
  </si>
  <si>
    <t>APPL-07</t>
  </si>
  <si>
    <t>APPL-08</t>
  </si>
  <si>
    <t>APPL-09</t>
  </si>
  <si>
    <t>APPL-10</t>
  </si>
  <si>
    <t>APPL-11</t>
  </si>
  <si>
    <t>APPL-12</t>
  </si>
  <si>
    <t>APPL-13</t>
  </si>
  <si>
    <t>APPL-14</t>
  </si>
  <si>
    <t>DCTR-01</t>
  </si>
  <si>
    <t>DCTR-02</t>
  </si>
  <si>
    <t>DCTR-03</t>
  </si>
  <si>
    <t>DCTR-04</t>
  </si>
  <si>
    <t>DCTR-05</t>
  </si>
  <si>
    <t>DCTR-06</t>
  </si>
  <si>
    <t>DCTR-07</t>
  </si>
  <si>
    <t>DCTR-08</t>
  </si>
  <si>
    <t>DCTR-09</t>
  </si>
  <si>
    <t>DCTR-10</t>
  </si>
  <si>
    <t>DCTR-11</t>
  </si>
  <si>
    <t>DCTR-12</t>
  </si>
  <si>
    <t>DCTR-13</t>
  </si>
  <si>
    <t>DCTR-14</t>
  </si>
  <si>
    <t>DCTR-15</t>
  </si>
  <si>
    <t>DCTR-16</t>
  </si>
  <si>
    <t>FIDP-01</t>
  </si>
  <si>
    <t>FIDP-02</t>
  </si>
  <si>
    <t>FIDP-03</t>
  </si>
  <si>
    <t>FIDP-04</t>
  </si>
  <si>
    <t>FIDP-05</t>
  </si>
  <si>
    <t>FIDP-06</t>
  </si>
  <si>
    <t>FIDP-07</t>
  </si>
  <si>
    <t>FIDP-08</t>
  </si>
  <si>
    <t>FIDP-09</t>
  </si>
  <si>
    <t>FIDP-10</t>
  </si>
  <si>
    <t>FIDP-11</t>
  </si>
  <si>
    <t>HFIH-01</t>
  </si>
  <si>
    <t>HFIH-02</t>
  </si>
  <si>
    <t>HFIH-03</t>
  </si>
  <si>
    <t>HFIH-04</t>
  </si>
  <si>
    <t>VULN-01</t>
  </si>
  <si>
    <t>VULN-02</t>
  </si>
  <si>
    <t>VULN-03</t>
  </si>
  <si>
    <t>VULN-04</t>
  </si>
  <si>
    <t>VULN-05</t>
  </si>
  <si>
    <t>VULN-06</t>
  </si>
  <si>
    <t>ITAC-01</t>
  </si>
  <si>
    <t>ITAC-02</t>
  </si>
  <si>
    <t>ITAC-03</t>
  </si>
  <si>
    <t>ITAC-04</t>
  </si>
  <si>
    <t>ITAC-05</t>
  </si>
  <si>
    <t>ITAC-06</t>
  </si>
  <si>
    <t>ITAC-07</t>
  </si>
  <si>
    <t>ITAC-08</t>
  </si>
  <si>
    <t>ITAC-09</t>
  </si>
  <si>
    <t>ITAC-10</t>
  </si>
  <si>
    <t>ITAC-11</t>
  </si>
  <si>
    <t>ITAC-12</t>
  </si>
  <si>
    <t>ITAC-13</t>
  </si>
  <si>
    <t>ITAC-14</t>
  </si>
  <si>
    <t>ITAC-15</t>
  </si>
  <si>
    <t>ITAC-16</t>
  </si>
  <si>
    <t>ITAC-17</t>
  </si>
  <si>
    <t>ITAC-18</t>
  </si>
  <si>
    <t>CONS-01</t>
  </si>
  <si>
    <t>CONS-02</t>
  </si>
  <si>
    <t>CONS-03</t>
  </si>
  <si>
    <t>CONS-04</t>
  </si>
  <si>
    <t>CONS-05</t>
  </si>
  <si>
    <t>CONS-06</t>
  </si>
  <si>
    <t>CONS-07</t>
  </si>
  <si>
    <t>CONS-08</t>
  </si>
  <si>
    <t>CONS-09</t>
  </si>
  <si>
    <t>HIPA-01</t>
  </si>
  <si>
    <t>HIPA-02</t>
  </si>
  <si>
    <t>HIPA-03</t>
  </si>
  <si>
    <t>HIPA-04</t>
  </si>
  <si>
    <t>HIPA-05</t>
  </si>
  <si>
    <t>HIPA-06</t>
  </si>
  <si>
    <t>HIPA-07</t>
  </si>
  <si>
    <t>HIPA-08</t>
  </si>
  <si>
    <t>HIPA-09</t>
  </si>
  <si>
    <t>HIPA-10</t>
  </si>
  <si>
    <t>HIPA-11</t>
  </si>
  <si>
    <t>HIPA-12</t>
  </si>
  <si>
    <t>HIPA-13</t>
  </si>
  <si>
    <t>HIPA-14</t>
  </si>
  <si>
    <t>HIPA-15</t>
  </si>
  <si>
    <t>HIPA-16</t>
  </si>
  <si>
    <t>HIPA-17</t>
  </si>
  <si>
    <t>HIPA-18</t>
  </si>
  <si>
    <t>HIPA-19</t>
  </si>
  <si>
    <t>HIPA-20</t>
  </si>
  <si>
    <t>HIPA-21</t>
  </si>
  <si>
    <t>HIPA-22</t>
  </si>
  <si>
    <t>HIPA-23</t>
  </si>
  <si>
    <t>HIPA-24</t>
  </si>
  <si>
    <t>HIPA-25</t>
  </si>
  <si>
    <t>HIPA-26</t>
  </si>
  <si>
    <t>HIPA-27</t>
  </si>
  <si>
    <t>HIPA-28</t>
  </si>
  <si>
    <t>HIPA-29</t>
  </si>
  <si>
    <t>PCID-01</t>
  </si>
  <si>
    <t>PCID-02</t>
  </si>
  <si>
    <t>PCID-03</t>
  </si>
  <si>
    <t>PCID-04</t>
  </si>
  <si>
    <t>PCID-05</t>
  </si>
  <si>
    <t>PCID-06</t>
  </si>
  <si>
    <t>PCID-07</t>
  </si>
  <si>
    <t>PCID-08</t>
  </si>
  <si>
    <t>PCID-09</t>
  </si>
  <si>
    <t>PCID-10</t>
  </si>
  <si>
    <t>PCID-11</t>
  </si>
  <si>
    <t>PCID-12</t>
  </si>
  <si>
    <t>OPEM-01</t>
  </si>
  <si>
    <t>OPEM-02</t>
  </si>
  <si>
    <t>OPEM-03</t>
  </si>
  <si>
    <t>OPEM-04</t>
  </si>
  <si>
    <t>OPEM-05</t>
  </si>
  <si>
    <t>OPEM-06</t>
  </si>
  <si>
    <t>OPEM-07</t>
  </si>
  <si>
    <t>OPEM-08</t>
  </si>
  <si>
    <t>OPEM-09</t>
  </si>
  <si>
    <t>OPEM-10</t>
  </si>
  <si>
    <t>AIQU-01</t>
  </si>
  <si>
    <t>AIQU-02</t>
  </si>
  <si>
    <t>AIGN-01</t>
  </si>
  <si>
    <t>AIGN-02</t>
  </si>
  <si>
    <t>AIGN-03</t>
  </si>
  <si>
    <t>AIGN-04</t>
  </si>
  <si>
    <t>AIGN-05</t>
  </si>
  <si>
    <t>AIPL-01</t>
  </si>
  <si>
    <t>AIPL-02</t>
  </si>
  <si>
    <t>AIPL-03</t>
  </si>
  <si>
    <t>AIPL-04</t>
  </si>
  <si>
    <t>AIPL-05</t>
  </si>
  <si>
    <t>AISC-01</t>
  </si>
  <si>
    <t>AISC-02</t>
  </si>
  <si>
    <t>AISC-03</t>
  </si>
  <si>
    <t>AISC-04</t>
  </si>
  <si>
    <t>AISC-05</t>
  </si>
  <si>
    <t>AIML-01</t>
  </si>
  <si>
    <t>AIML-02</t>
  </si>
  <si>
    <t>AIML-03</t>
  </si>
  <si>
    <t>AIML-04</t>
  </si>
  <si>
    <t>AIML-05</t>
  </si>
  <si>
    <t>AIML-06</t>
  </si>
  <si>
    <t>AIML-07</t>
  </si>
  <si>
    <t>AIML-08</t>
  </si>
  <si>
    <t>AILM-01</t>
  </si>
  <si>
    <t>AILM-02</t>
  </si>
  <si>
    <t>AILM-03</t>
  </si>
  <si>
    <t>AILM-04</t>
  </si>
  <si>
    <t>AILM-05</t>
  </si>
  <si>
    <t>AILM-06</t>
  </si>
  <si>
    <t>INTL-04</t>
  </si>
  <si>
    <t>INTL-05</t>
  </si>
  <si>
    <t>PRGN-01</t>
  </si>
  <si>
    <t>PRGN-02</t>
  </si>
  <si>
    <t>PRGN-03</t>
  </si>
  <si>
    <t>PRGN-04</t>
  </si>
  <si>
    <t>PRGN-05</t>
  </si>
  <si>
    <t>PCOM-01</t>
  </si>
  <si>
    <t>PCOM-02</t>
  </si>
  <si>
    <t>PCOM-03</t>
  </si>
  <si>
    <t>PCOM-04</t>
  </si>
  <si>
    <t>PDOC-01</t>
  </si>
  <si>
    <t>PDOC-02</t>
  </si>
  <si>
    <t>PDOC-03</t>
  </si>
  <si>
    <t>PTHP-01</t>
  </si>
  <si>
    <t>PTHP-02</t>
  </si>
  <si>
    <t>PCHG-01</t>
  </si>
  <si>
    <t>PCHG-02</t>
  </si>
  <si>
    <t>PDAT-01</t>
  </si>
  <si>
    <t>PDAT-02</t>
  </si>
  <si>
    <t>PDAT-03</t>
  </si>
  <si>
    <t>PDAT-04</t>
  </si>
  <si>
    <t>PDAT-05</t>
  </si>
  <si>
    <t>PDAT-06</t>
  </si>
  <si>
    <t>PDAT-07</t>
  </si>
  <si>
    <t>PDAT-08</t>
  </si>
  <si>
    <t>PRPO-01</t>
  </si>
  <si>
    <t>PRPO-02</t>
  </si>
  <si>
    <t>PRPO-03</t>
  </si>
  <si>
    <t>PRPO-04</t>
  </si>
  <si>
    <t>PRPO-05</t>
  </si>
  <si>
    <t>PRPO-06</t>
  </si>
  <si>
    <t>PRPO-07</t>
  </si>
  <si>
    <t>PRPO-08</t>
  </si>
  <si>
    <t>PRPO-09</t>
  </si>
  <si>
    <t>PRPO-10</t>
  </si>
  <si>
    <t>PRPO-11</t>
  </si>
  <si>
    <t>PRPO-12</t>
  </si>
  <si>
    <t>PRPO-13</t>
  </si>
  <si>
    <t>INTL-01</t>
  </si>
  <si>
    <t>INTL-02</t>
  </si>
  <si>
    <t>INTL-03</t>
  </si>
  <si>
    <t>DRPV-01</t>
  </si>
  <si>
    <t>DRPV-02</t>
  </si>
  <si>
    <t>DRPV-03</t>
  </si>
  <si>
    <t>DRPV-04</t>
  </si>
  <si>
    <t>DRPV-05</t>
  </si>
  <si>
    <t>DRPV-06</t>
  </si>
  <si>
    <t>DRPV-07</t>
  </si>
  <si>
    <t>DRPV-08</t>
  </si>
  <si>
    <t>DRPV-09</t>
  </si>
  <si>
    <t>DRPV-10</t>
  </si>
  <si>
    <t>DRPV-11</t>
  </si>
  <si>
    <t>DRPV-12</t>
  </si>
  <si>
    <t>DRPV-13</t>
  </si>
  <si>
    <t>DRPV-14</t>
  </si>
  <si>
    <t>DRPV-15</t>
  </si>
  <si>
    <t>DPAI-01</t>
  </si>
  <si>
    <t>DPAI-02</t>
  </si>
  <si>
    <t>DPAI-03</t>
  </si>
  <si>
    <t>DPAI-04</t>
  </si>
  <si>
    <t>DPAI-05</t>
  </si>
  <si>
    <t>DPAI-06</t>
  </si>
  <si>
    <t>DPAI-07</t>
  </si>
  <si>
    <t>DPAI-08</t>
  </si>
  <si>
    <t xml:space="preserve">Cells contained in this worksheet may contain cells with dropdown lists as well as autopopulated formulas. </t>
  </si>
  <si>
    <t>HECVAT™ Solution Provider Response - Start Here</t>
  </si>
  <si>
    <t>Date Completed</t>
  </si>
  <si>
    <t>2025-04-08</t>
  </si>
  <si>
    <t>Instructions for Solution Providers</t>
  </si>
  <si>
    <t>Answer</t>
  </si>
  <si>
    <t>Additional Information</t>
  </si>
  <si>
    <t>Guidance</t>
  </si>
  <si>
    <t>Analyst Notes</t>
  </si>
  <si>
    <t>Yes</t>
  </si>
  <si>
    <t>Accredible maintains dedicated teams for software development, customer support, implementation, and product management.</t>
  </si>
  <si>
    <t>EdInvent Inc. d.b.a. Accredible. 800 W El Camino Real, Suite 180, Mountain View, CA 94040, USA. Accredible is an independently operated company with no parent entities or subsidiaries. Accredible Ltd. (UK) is a related development entity. Founded in 2013.</t>
  </si>
  <si>
    <t>Accredible has operated without unplanned disruptions over the past 12 months. A status page is publicly available for transparency.</t>
  </si>
  <si>
    <t>Accredible employs a CTO and IT Manager who are responsible for information security policy, vulnerability management, incident detection and response, and risk reduction. The compliance officer and legal team oversee regulatory compliance.</t>
  </si>
  <si>
    <t>Accredible is SOC 2 Type 2 certified (audited by Prescient Assurance), undergoes annual penetration testing by Cobalt Labs, conducts weekly automated infrastructure vulnerability scans, and operates on AWS infrastructure. Accredible uses a zero-trust security model and applies MDM via Rippling on company devices. Vanta is used for continuous compliance monitoring.</t>
  </si>
  <si>
    <t>End Table Data</t>
  </si>
  <si>
    <t>Accredible is a cloud-based SaaS product hosted on Amazon Web Services.</t>
  </si>
  <si>
    <t>Accredible provides a web-based Dashboard interface for issuers, and web-based credential pages for recipients accessible via modern browsers.</t>
  </si>
  <si>
    <t>No</t>
  </si>
  <si>
    <t>Accredible uses OpenAI's API as part of a Skills Extraction Service that takes course descriptions as input and suggests relevant skill tags. Results are processed through a CritiqueEvaluatorService before being surfaced to users.</t>
  </si>
  <si>
    <t>Accredible does not process Protected Health Information (PHI) or any HIPAA-covered data.</t>
  </si>
  <si>
    <t>Accredible does not process, store, or transmit credit card data. Payment processing, where applicable, is handled through third-party payment processors.</t>
  </si>
  <si>
    <t>Accredible is a fully cloud-hosted SaaS solution. No on-premises appliance is required and no inbound firewall exceptions are needed in the institution's environment.</t>
  </si>
  <si>
    <t>REQU-08</t>
  </si>
  <si>
    <t>Accredible processes personal data including recipient names, email addresses, and credential information on behalf of issuing institutions.</t>
  </si>
  <si>
    <t xml:space="preserve">Note: The "Organization" tab is required for ALL products and services. </t>
  </si>
  <si>
    <t>HECVAT Solution Provider Response - Organization</t>
  </si>
  <si>
    <t>Accredible maintains a documented Business Continuity Plan (BCP) with a named owner. BCP and DR tests are conducted multiple times per year using simulations and tabletop scenarios.</t>
  </si>
  <si>
    <t>Accredible conforms with SOC 2 Trust Services Criteria. Accredible also monitors alignment with NIST Cybersecurity Framework best practices through its Vanta compliance program.</t>
  </si>
  <si>
    <t>Accredible's privacy policy is available at https://www.accredible.com/legal/privacy-policy</t>
  </si>
  <si>
    <t>Accredible maintains documented onboarding and offboarding policies. Offboarding includes immediate access revocation. HR alerts from Rippling are integrated into the offboarding process.</t>
  </si>
  <si>
    <t>Accredible reviews SOC 2 reports from all sub-processors that process customer data on an annual basis under NDA.</t>
  </si>
  <si>
    <t>Accredible has contractual agreements with all third parties governing access to institutional data, including requirements that they do not use or pass on customer data to other parties.</t>
  </si>
  <si>
    <t>Contracts with sub-processors address liability in the event of a data breach. Accredible also carries cyber-risk insurance covering data breaches and security incidents.</t>
  </si>
  <si>
    <t>Accredible maintains a documented third-party management strategy including vendor evaluation, contracting, and annual SOC 2 review.</t>
  </si>
  <si>
    <t>Accredible manages hardware supply chain risk through its procurement and vendor management process, ensuring devices are sourced from trusted vendors.</t>
  </si>
  <si>
    <t>Accredible notifies customers of major changes that could impact security posture via email communications and release notes.</t>
  </si>
  <si>
    <t>As a SaaS solution, Accredible manages updates centrally. Client customizations are maintained across releases to the extent supported by the platform.</t>
  </si>
  <si>
    <t>Accredible maintains a documented change management process covering planning, review, testing, and approval.</t>
  </si>
  <si>
    <t>Change management includes authorization, impact analysis, testing in staging, and validation before production deployment.</t>
  </si>
  <si>
    <t>Accredible operates a patch management policy that classifies vulnerabilities and mandates patching of critical and high-risk vulnerabilities within a defined short time period. Continuous vulnerability monitoring tools are used across infrastructure.</t>
  </si>
  <si>
    <t>Accredible has implemented policies and procedures for mitigating security risks until patches can be applied, including compensating controls and enhanced monitoring.</t>
  </si>
  <si>
    <t>Accredible maintains a fully implemented support strategy. As a SaaS platform, a single supported version is maintained at all times.</t>
  </si>
  <si>
    <t>Accredible maintains a technology roadmap available to customers covering platform enhancements and improvements beyond the next two years.</t>
  </si>
  <si>
    <t>As a cloud SaaS platform, updates are applied centrally without requiring customer involvement.</t>
  </si>
  <si>
    <t>Accredible schedules upgrades and system changes to minimize customer impact, typically applying them during off-peak hours.</t>
  </si>
  <si>
    <t>Accredible has a documented patch management process that classifies vulnerabilities and mandates timely remediation of critical and high-risk issues.</t>
  </si>
  <si>
    <t>Accredible can comply with institutional privacy and data protection policies for institutional systems as required, subject to review.</t>
  </si>
  <si>
    <t>Accredible (EdInvent Inc.) is a US-registered company subject to applicable US federal and state laws. Accredible Ltd. is subject to UK laws. Accredible complies with GDPR as a data processor for EU customers.</t>
  </si>
  <si>
    <t>Accredible can accommodate encryption requirements using open, industry-standard cryptographic protocols (TLS 1.2+, AES-256).</t>
  </si>
  <si>
    <t>Accredible operates a documented Software Development Life Cycle (SDLC) including code review, automated testing, staging environment validation, and manual approval before production release.</t>
  </si>
  <si>
    <t>Accredible performs background checks on all employees prior to their first day of work.</t>
  </si>
  <si>
    <t>New employees are required to sign agreements and review Accredible's security and privacy policies as part of onboarding.</t>
  </si>
  <si>
    <t>Accredible maintains a documented information security policy reviewed at least annually. All employees are required to read and acknowledge security policies.</t>
  </si>
  <si>
    <t>Security principles are embedded into the product development lifecycle through secure coding practices, code review, automated security scanning, and testing.</t>
  </si>
  <si>
    <t>Accredible will comply with applicable breach notification laws. A Data Protection Addendum (DPA) outlines specific notification obligations at https://www.accredible.com/legal/dpa</t>
  </si>
  <si>
    <t>Accredible requires all staff and contractors to complete security awareness training at minimum annually. Training covers information security importance, attack types, incident recognition, and prevention.</t>
  </si>
  <si>
    <t>Security awareness training is mandatory for all employees and contractors on an annual basis, and for all new starters during onboarding.</t>
  </si>
  <si>
    <t>Accredible maintains documented processes for reviewing and updating access lists for privileged accounts on a regular basis. Access is provisioned via a formal ticketing process and reviewed periodically.</t>
  </si>
  <si>
    <t>Accredible relies on third-party audits including annual SOC 2 audit by Prescient Assurance, annual penetration testing by Cobalt Labs, and weekly automated infrastructure scans.</t>
  </si>
  <si>
    <t>Accredible has physical security controls in all offices including CCTV at all entrances/exits (recordings held for at least 30 days). All guests sign in and are escorted at all times.</t>
  </si>
  <si>
    <t>HECVAT Solution Provider Response - Product</t>
  </si>
  <si>
    <t>Accredible supports SAML2 SSO for both user and administrator authentication.</t>
  </si>
  <si>
    <t>For customers not using SSO, Accredible supports local username/password authentication over secure HTTPS connections.</t>
  </si>
  <si>
    <t>Password complexity requirements can be enforced. Accredible supports configurable password policies.</t>
  </si>
  <si>
    <t>Accredible has documented password reset procedures implemented in both the system and customer support processes.</t>
  </si>
  <si>
    <t>Accredible does not currently participate in InCommon or an eduGAIN-affiliated trust federation, though SAML2 SSO is supported.</t>
  </si>
  <si>
    <t>No passwords are hard-coded into Accredible's systems or solutions. API keys are stored encrypted in the database.</t>
  </si>
  <si>
    <t>Accredible does not store passwords in plaintext. All passwords are hashed using industry-standard algorithms.</t>
  </si>
  <si>
    <t>Audit logs are available including login, logout, actions performed, and source IP address via the Dashboard audit log.</t>
  </si>
  <si>
    <t>Accredible logs security and authorization changes, user and administrator events including login failures and access-denied events. Application logs are centrally collected in LogDNA for a minimum of 30 days, then retained in S3 buckets. All API calls and application logs are retained for at least 30 days. AWS GuardDuty is used for security event monitoring.</t>
  </si>
  <si>
    <t>Logs are retained for a minimum of 30 days in LogDNA, then archived in S3. Documentation on retention periods, log protection, and customer access is available on request. Customer-facing audit logs are accessible via the Dashboard.</t>
  </si>
  <si>
    <t>Accredible's application supports integration with other authentication and authorization systems via SAML2.</t>
  </si>
  <si>
    <t>Accredible supports attribute mappings for SSO, allowing institutions to specify required attribute mappings beyond user identifier.</t>
  </si>
  <si>
    <t>Accredible supports directory integration for user accounts via SAML2 SSO.</t>
  </si>
  <si>
    <t>Accredible supports SAML2 (with redirect flow) for web SSO. Please contact Accredible to confirm specific protocol variants.</t>
  </si>
  <si>
    <t>Accredible supports differentiation between email address and user identifier in SSO attribute mapping.</t>
  </si>
  <si>
    <t>Accredible supports multifactor authentication including TOTP-based authenticators. MFA is required for all administrative access.</t>
  </si>
  <si>
    <t>Accredible sessions automatically lock or log out after a configurable period of inactivity.</t>
  </si>
  <si>
    <t>Institutional data is stored on servers with private, non-routable IP addresses within AWS VPC infrastructure.</t>
  </si>
  <si>
    <t>All data in transit is encrypted using TLS 1.2 or higher. All connections are made over HTTPS. There is no non-TLS option for connecting to Accredible.</t>
  </si>
  <si>
    <t>Data at rest is encrypted using industry-standard AES-256 encryption. All Accredible backups are also encrypted with AES encryption. Encryption is verified regularly by Amazon as part of their audit process.</t>
  </si>
  <si>
    <t>Accredible uses industry-standard TLS and AES encryption. Explicit FIPS PUB 140-2/140-3 certification of all cryptographic modules is not confirmed. AWS infrastructure supports FIPS-compliant endpoints where required.</t>
  </si>
  <si>
    <t>Ownership rights to all data, inputs, outputs, and metadata are retained by the institution (Data Controller) through provider acquisition or bankruptcy events.</t>
  </si>
  <si>
    <t>AWS data centers where Accredible data resides are secure, environmentally protected facilities meeting stringent physical and environmental standards.</t>
  </si>
  <si>
    <t>At the completion of a contract, Accredible will return data to the institution upon request and/or delete it from all systems. The specific process is outlined in the Data Processing Addendum.</t>
  </si>
  <si>
    <t>Institutions can extract a full or partial backup of their credential and analytics data at any time via the Dashboard, customer support team, or API.</t>
  </si>
  <si>
    <t>Backups include all data files necessary for system recovery. Recovery procedures are documented in the Disaster Recovery Plan.</t>
  </si>
  <si>
    <t>All Accredible backups are encrypted with AES encryption.</t>
  </si>
  <si>
    <t>Accredible staff with authorized roles have access to institutional data for operational and support purposes. Access is governed by the least-privilege principle and a formal access provisioning process.</t>
  </si>
  <si>
    <t>Ownership rights to all institutional data, inputs, outputs, and metadata are always retained by the institution.</t>
  </si>
  <si>
    <t>In the event of imminent business closure or retirement of service, Accredible will provide a minimum of 90 days for customers to export their data. Data is also portable via Open Badge Standard.</t>
  </si>
  <si>
    <t>Accredible maintains a documented cryptographic key management process covering generation, storage, safeguarding, use, and rotation for all system components. AWS KMS is used for key management.</t>
  </si>
  <si>
    <t>HECVAT Solution Provider Response - Infrastructure</t>
  </si>
  <si>
    <t>Accredible implements role-based access control (RBAC) for all institutional accounts.</t>
  </si>
  <si>
    <t>Accredible uses a Web Application Firewall (WAF) to protect against common web attacks.</t>
  </si>
  <si>
    <t>Accredible uses only currently supported operating systems, software, and libraries. GitHub Dependabot and security bulletin subscriptions are used to monitor for vulnerabilities in dependencies.</t>
  </si>
  <si>
    <t>Accredible's application does not require access to user location or GPS data.</t>
  </si>
  <si>
    <t>Accredible provides separation of duties between security administration, system administration, and standard user functions via RBAC.</t>
  </si>
  <si>
    <t>Accredible subjects code to static code analysis and static application security testing (SAST) prior to release as part of the CI/CD pipeline.</t>
  </si>
  <si>
    <t>Accredible employs automated and manual testing processes including unit tests, integration tests, staging environment validation, and code review before all releases.</t>
  </si>
  <si>
    <t>Staff access within Accredible is based on RBAC, following a least-privilege model with formal access provisioning via ticketing system.</t>
  </si>
  <si>
    <t>The Accredible application validates all data inputs and provides appropriate error messages.</t>
  </si>
  <si>
    <t>Accredible manages its software supply chain using GitHub Dependabot, security bulletin subscriptions, and a documented patch management policy.</t>
  </si>
  <si>
    <t>All Accredible developers have received training in secure coding techniques.</t>
  </si>
  <si>
    <t>Accredible's application was developed and continues to be maintained using secure coding practices and techniques.</t>
  </si>
  <si>
    <t>N/A</t>
  </si>
  <si>
    <t>Accredible is a web-based SaaS platform. It is not a native mobile application distributed through an app store.</t>
  </si>
  <si>
    <t>Accredible maintains a fully implemented policy detailing how employees obtain administrator access to the Accredible application, using a formal access provisioning process via ticketing system.</t>
  </si>
  <si>
    <t>AWS</t>
  </si>
  <si>
    <t>AWS holds SOC 2 Type 2 certification for its infrastructure and hosting environment. Accredible reviews AWS SOC 2 reports annually under NDA.</t>
  </si>
  <si>
    <t>Accredible can generally accommodate storing institution data within its geographic region. EU and US data regions are available. Data is contained to the selected region under Accredible's data residency tenancy model.</t>
  </si>
  <si>
    <t>AWS data centers are staffed 24x7x365.</t>
  </si>
  <si>
    <t>Accredible uses AWS cloud infrastructure. Physical server separation via cages or hard walls is an AWS responsibility and is maintained per AWS security standards.</t>
  </si>
  <si>
    <t>Physical barriers are managed by AWS as the infrastructure provider and meet AWS security certification standards.</t>
  </si>
  <si>
    <t>Accredible uses AWS across multiple geographically diverse regions. Primary and secondary data centers (AWS regions) are geographically separate.</t>
  </si>
  <si>
    <t>Accredible is hosted in a high-availability AWS environment using horizontal scaling and infrastructure redundancy to handle concurrent traffic from multiple clients.</t>
  </si>
  <si>
    <t>AWS data centers where Accredible data resides have redundant power systems.</t>
  </si>
  <si>
    <t>Redundant power testing is managed by AWS per their operational standards.</t>
  </si>
  <si>
    <t>AWS data centers where Accredible data resides have cooling and fire-suppression systems that are active and regularly tested.</t>
  </si>
  <si>
    <t>AWS provides ISP redundancy at its data center facilities.</t>
  </si>
  <si>
    <t>Multiple network provider entrances are managed by AWS per their infrastructure standards for all data center facilities.</t>
  </si>
  <si>
    <t>Accredible requires multifactor authentication (MFA) for all administrative accounts in its environment. Authentication uses individually assigned credentials.</t>
  </si>
  <si>
    <t>Accredible uses AWS-available hardening tools and Vanta for continuous compliance monitoring and hardening of cloud resources.</t>
  </si>
  <si>
    <t>Accredible manages its own encryption keys using AWS KMS. The cloud provider does not have access to Accredible's encryption keys.</t>
  </si>
  <si>
    <t>Accredible uses stateful packet inspection firewalls as part of its AWS security infrastructure.</t>
  </si>
  <si>
    <t>Accredible has a documented policy for firewall change requests. Changes require peer review and use infrastructure as code where applicable.</t>
  </si>
  <si>
    <t>Accredible uses AWS GuardDuty for network-based intrusion detection.</t>
  </si>
  <si>
    <t>Accredible employs host-based intrusion detection via continuous monitoring through Vanta and AWS GuardDuty.</t>
  </si>
  <si>
    <t>Audit logs are available for all changes to the network, firewall, IDS, and IPS systems.</t>
  </si>
  <si>
    <t>Authority for firewall change approval is documented. The CTO and IT Manager are responsible for approving significant network configuration changes.</t>
  </si>
  <si>
    <t>Accredible employs network-based intrusion prevention capabilities through its AWS security infrastructure.</t>
  </si>
  <si>
    <t>Host-based intrusion prevention is implemented as part of Accredible's layered security approach.</t>
  </si>
  <si>
    <t>AWS GuardDuty provides next-generation persistent threat monitoring for Accredible's infrastructure.</t>
  </si>
  <si>
    <t>Intrusion monitoring is performed using a combination of AWS GuardDuty (third-party managed service) and internal monitoring by Accredible's security team.</t>
  </si>
  <si>
    <t>Accredible monitors for intrusions on a 24x7x365 basis using automated tooling (AWS GuardDuty, Vanta) with alerting to the security team.</t>
  </si>
  <si>
    <t>Accredible maintains a documented formal incident response plan including disclosure, reporting, classification, decision-making policies, and resolution procedures.</t>
  </si>
  <si>
    <t>Accredible has an internal incident response team capable of handling security incidents.</t>
  </si>
  <si>
    <t>Accredible has the capability to respond to incidents on a 24x7x365 basis through automated alerting and on-call staff.</t>
  </si>
  <si>
    <t>Accredible carries cyber-risk insurance covering data breaches, service outages, and security incidents.</t>
  </si>
  <si>
    <t>Accredible scans systems and applications with authenticated accounts for vulnerabilities prior to new releases. Automated scans of production websites are performed at least every 7 days.</t>
  </si>
  <si>
    <t>Accredible can provide results of vulnerability scans to the institution under NDA upon request.</t>
  </si>
  <si>
    <t>Accredible will allow the institution to perform its own vulnerability testing at a mutually agreed upon time and date.</t>
  </si>
  <si>
    <t>Accredible undergoes annual penetration testing by Cobalt Labs. The most recent test results are available under NDA upon request.</t>
  </si>
  <si>
    <t>Accredible regularly scans for common web application security vulnerabilities including OWASP Top 10 categories such as SQL injection, XSS, and CSRF.</t>
  </si>
  <si>
    <t>Accredible's production websites are externally scanned for vulnerabilities at least every 7 days by a third-party scanning tool.</t>
  </si>
  <si>
    <t>HECVAT Solution Provider Response - IT Accessibility</t>
  </si>
  <si>
    <t>An up to date VPAT is available in the Accredible Help Center.</t>
  </si>
  <si>
    <t>Accredible's VPAT has been created and updated within the past 12 months, tested by an IAAP-accredited tester.</t>
  </si>
  <si>
    <t>Accredible will agree to meet its stated accessibility standard (WCAG 2.1 AA) as part of contractual agreements.</t>
  </si>
  <si>
    <t>Accredible's solution substantially conforms to WCAG 2.1 AA. The product was tested by an IAAP-accredited tester across multiple browsers and assistive technologies.</t>
  </si>
  <si>
    <t>Accredible has a documented and implemented process for reporting and tracking accessibility issues.</t>
  </si>
  <si>
    <t>Documentation supporting accessibility features is available in the Accredible Help Center and VPAT.</t>
  </si>
  <si>
    <t>An IAAP-accredited tester conducted a third-party audit of the most recent version of Accredible's solution, examining it across multiple browsers and assistive technologies including screen readers, screen magnification, and speech recognition.</t>
  </si>
  <si>
    <t>Accredible has a documented and implemented process for verifying accessibility conformance, including both manual and automated code analysis.</t>
  </si>
  <si>
    <t>Accredible has adopted WCAG 2.1 AA as its technical standard of conformance, and the solution also meets Section 508 requirements.</t>
  </si>
  <si>
    <t>A current accessibility roadmap is available. Please contact Accredible for details.</t>
  </si>
  <si>
    <t>Accredible expects its staff to maintain current skills in IT accessibility.</t>
  </si>
  <si>
    <t>Accredible has documented processes and procedures for implementing accessibility into the development lifecycle.</t>
  </si>
  <si>
    <t>All functions of the Accredible application are navigable using only a keyboard. All web pages are navigable by keyboards and other input devices with adequate field/link labeling and predictable selection behavior.</t>
  </si>
  <si>
    <t>Accredible does not rely on a special "accessibility mode" or alternate interface. Accessibility features are built into the standard product experience.</t>
  </si>
  <si>
    <t>HECVAT Solution Provider Response - Case-Specific Questions</t>
  </si>
  <si>
    <t>Accredible is not providing consulting services. This section does not apply.</t>
  </si>
  <si>
    <t>Accredible does not process PHI or HIPAA-covered data. This section does not apply.</t>
  </si>
  <si>
    <t>Accredible does not process credit card data. This section does not apply.</t>
  </si>
  <si>
    <t>Accredible supports role-based access control (RBAC) for system administrators.</t>
  </si>
  <si>
    <t>Accredible employees can access customer systems remotely as needed for support and operations, governed by least-privilege access controls and formal provisioning processes.</t>
  </si>
  <si>
    <t>Accredible can provide overall system and application architecture diagrams including data communications architecture under NDA upon request.</t>
  </si>
  <si>
    <t>Accredible requires remote management capability to operate and support the SaaS platform.</t>
  </si>
  <si>
    <t>Accredible's remote actions and changes are logged. Certain user actions are accessible to customers via the Dashboard audit log.</t>
  </si>
  <si>
    <t>Accredible handles data in compliance with applicable data privacy laws including FERPA requirements where applicable to its role as a data processor.</t>
  </si>
  <si>
    <t>Accredible is a SaaS platform and does not support SNMP-based monitoring by the campus. Status monitoring is available via Accredible's public status page.</t>
  </si>
  <si>
    <t>Accredible uses AWS GuardDuty for network-level threat detection, Vanta for continuous compliance monitoring and alerting, application log monitoring via LogDNA, and regular automated vulnerability scanning. Security events generate alerts to the Accredible security team.</t>
  </si>
  <si>
    <t>Accredible has conducted business in the digital credentialing area since 2013, making it one of the oldest and most established platforms in the market with over 1,800 customer organizations and 57 million credentials issued.</t>
  </si>
  <si>
    <t>Accredible has an extensive base of existing higher education customers, including universities, colleges, and professional certification bodies globally.</t>
  </si>
  <si>
    <t>HECVAT Solution Provider Response - AI</t>
  </si>
  <si>
    <t>Accredible uses machine learning as part of its Skills Extraction Service, which takes course descriptions and suggests relevant skill tags via the OpenAI API.</t>
  </si>
  <si>
    <t>Accredible uses OpenAI's large language model API as part of its Skills Extraction Service.</t>
  </si>
  <si>
    <t>Accredible maintains an AI risk model for developing and implementing its AI features, informed by responsible AI principles and OpenAI's enterprise usage policies.</t>
  </si>
  <si>
    <t>All Accredible staff complete responsible AI training as part of the annual security and compliance training program.</t>
  </si>
  <si>
    <t>Accredible's AI features consist of a Skills Extraction Service that takes course descriptions as input, submits them to the OpenAI API to generate suggested skill tags, and processes the response through a CritiqueEvaluatorService before surfacing results to users. This feature helps issuers associate relevant skills with their credentials. No student or recipient personal data is sent to the AI model; only course description text is processed.</t>
  </si>
  <si>
    <t>Accredible's AI-related policies, processes, and practices are documented and implemented. These are available to customers upon request.</t>
  </si>
  <si>
    <t>Accredible has identified and assessed AI risks associated with its use of OpenAI's API, including data handling, model behavior, and privacy considerations.</t>
  </si>
  <si>
    <t>In the event of an incident, Accredible can disable the Skills Extraction AI feature in a timely manner at the platform level.</t>
  </si>
  <si>
    <t>Once an incident is resolved, Accredible can re-enable AI features in a timely manner.</t>
  </si>
  <si>
    <t>Accredible has documented technical and procedural processes to address potential negative impacts of AI, aligned with responsible AI risk management frameworks.</t>
  </si>
  <si>
    <t>Under Accredible's enterprise agreement with OpenAI, data submitted via the API is not used to train OpenAI's models. If sensitive data is inadvertently introduced, it can be requested for removal.</t>
  </si>
  <si>
    <t>User input data is not used to influence Accredible's AI model. Accredible uses OpenAI's enterprise API under terms that prohibit OpenAI from using submitted data for model training.</t>
  </si>
  <si>
    <t>Accredible provides logging for its AI features including user, date, and action taken. Logs are retained for at least 30 days.</t>
  </si>
  <si>
    <t>User inputs (course description text) are validated before being submitted to the AI model. The CritiqueEvaluatorService processes and validates AI outputs before surfacing them to users, providing a quality control layer.</t>
  </si>
  <si>
    <t>Accredible monitors and manages supply-chain risks related to its AI features, including OpenAI service availability, data handling compliance, and contractual obligations.</t>
  </si>
  <si>
    <t>Accredible uses OpenAI's commercial enterprise API rather than training its own ML model. Responsibility for ML training data management sits with OpenAI under the enterprise agreement. This section does not apply to Accredible's AI implementation.</t>
  </si>
  <si>
    <t>Accredible limits LLM privileges by default. The OpenAI API is called only with the specific input required for skills extraction (course description text) and is not given access to broader system resources.</t>
  </si>
  <si>
    <t>LLM training data is managed by OpenAI under the enterprise agreement. Accredible does not control or have visibility into OpenAI's LLM training data. Accredible's enterprise agreement prohibits use of submitted data for training.</t>
  </si>
  <si>
    <t>AI-generated skill tag suggestions are processed through Accredible's CritiqueEvaluatorService before being presented to users. Users must review and confirm suggestions rather than having them applied automatically, providing human oversight.</t>
  </si>
  <si>
    <t>Accredible limits API calls to a single OpenAI interaction per skills extraction request, preventing multiple chained LLM operations.</t>
  </si>
  <si>
    <t>Accredible limits LLM resource use through rate limiting and controlled API calls per request.</t>
  </si>
  <si>
    <t>Accredible leverages OpenAI's model validation capabilities and reviews the quality of AI outputs through its CritiqueEvaluatorService.</t>
  </si>
  <si>
    <t xml:space="preserve">End of worksheet </t>
  </si>
  <si>
    <t>HECVAT Solution Provider Response - Privacy</t>
  </si>
  <si>
    <t>United States, United Kingdom, and other remote locations globally</t>
  </si>
  <si>
    <t>Accredible may process FERPA-related data on behalf of institutions. Accredible acts as a data processor and handles such data in accordance with institutional agreements.</t>
  </si>
  <si>
    <t>Accredible processes GDPR-related personal data for EU customers. Accredible acts as a data processor under GDPR and offers a Data Processing Addendum (DPA) including Standard Contractual Clauses for cross-border data transfers.</t>
  </si>
  <si>
    <t>Accredible processes personal data that may be regulated by state laws including CCPA for California residents. Accredible complies with applicable state privacy laws.</t>
  </si>
  <si>
    <t>Accredible processes user-provided data that may contain regulated personal information such as names, email addresses, and credential-related information.</t>
  </si>
  <si>
    <t>https://www.accredible.com/legal/privacy-policy</t>
  </si>
  <si>
    <t>Accredible has not had a personal data breach in the past three years that involved reporting to a governmental agency or notice to individuals.</t>
  </si>
  <si>
    <t>Accredible acts as a data processor for its customers. A comprehensive Data Processing Addendum (DPA) is available at https://www.accredible.com/legal/dpa. Accredible holds a SOC 2 Type 2 certification, conducts annual penetration testing, and has a compliance officer and legal team overseeing data privacy. Accredible operates a data residency tenancy model allowing customers to choose EU or US data hosting. A subprocessor list is publicly available.</t>
  </si>
  <si>
    <t>Accredible has not had any violations of its internal privacy policies or applicable privacy law in the past 36 months.</t>
  </si>
  <si>
    <t>Accredible has a dedicated compliance officer and legal team overseeing data privacy. The compliance officer develops policies, conducts risk assessments, and ensures regulatory compliance.</t>
  </si>
  <si>
    <t>Accredible's SOC 2 Type 2 audit includes assessment of privacy-related trust services criteria.</t>
  </si>
  <si>
    <t>Accredible conforms with GDPR as a data processor and monitors alignment with the NIST Privacy Framework.</t>
  </si>
  <si>
    <t>Accredible's employee onboarding includes training on information security and data privacy principles.</t>
  </si>
  <si>
    <t>Accredible has contractual agreements with all third parties and sub-processors requiring them to maintain appropriate standards and comply with regulatory requirements. Sub-processors are prohibited from using or passing on customer data to other parties.</t>
  </si>
  <si>
    <t>Accredible performs privacy impact assessments of third parties that collect, process, or have access to personal data, including reviewing SOC 2 reports annually.</t>
  </si>
  <si>
    <t>Accredible's change management process includes privacy review and approval for changes that could affect personal data processing.</t>
  </si>
  <si>
    <t>Accredible has documented policies and procedures for mitigating privacy risks until they can be fully resolved.</t>
  </si>
  <si>
    <t>Accredible collects and processes demographic information such as names and email addresses of credential recipients on behalf of issuing organizations.</t>
  </si>
  <si>
    <t>Accredible does not capture or create genetic, biometric, or behaviometric information. No facial recognition or fingerprint data is collected.</t>
  </si>
  <si>
    <t>Accredible does not combine institutional data with personal data from other sources for purposes unrelated to the services provided to the institution.</t>
  </si>
  <si>
    <t>Institutional data may be processed across jurisdictions depending on the selected data region (EU or US) and the use of sub-processors. All cross-border transfers are subject to appropriate safeguards including Standard Contractual Clauses for EU data.</t>
  </si>
  <si>
    <t>Accredible captures device information including IP addresses for security and audit logging purposes.</t>
  </si>
  <si>
    <t>Accredible uses cookies and web tracking technologies on its platform. Details are provided in the Accredible privacy policy and cookie policy.</t>
  </si>
  <si>
    <t>Authorized Accredible staff have access to institutional data for operational, support, and security purposes under least-privilege principles.</t>
  </si>
  <si>
    <t>Accredible handles personal data in compliance with all relevant laws, regulations, and applicable institution policies including GDPR, CCPA, and other applicable state and international laws.</t>
  </si>
  <si>
    <t>Accredible has a documented privacy management process overseen by the compliance officer and legal team.</t>
  </si>
  <si>
    <t>Privacy by design principles are incorporated into Accredible's product development lifecycle.</t>
  </si>
  <si>
    <t>Accredible will comply with applicable breach notification laws. Notification obligations are detailed in the Data Processing Addendum.</t>
  </si>
  <si>
    <t>Accredible will comply with the institution's policies regarding user privacy and data protection as required.</t>
  </si>
  <si>
    <t>Accredible (US entity) is subject to US laws. Accredible Ltd. (UK entity) is subject to UK laws. Both are subject to GDPR as data processors for EU personal data.</t>
  </si>
  <si>
    <t>Accredible has a privacy awareness and training program for all employees.</t>
  </si>
  <si>
    <t>Privacy awareness training is mandatory for all employees and is included in the annual security and compliance training program.</t>
  </si>
  <si>
    <t>Accredible does not have fully automated decision-making processes without human involvement. AI-generated skill tag suggestions require human review and confirmation.</t>
  </si>
  <si>
    <t>Accredible has a documented process for managing automated processing including validations and data subject requests. The CritiqueEvaluatorService provides a validation layer for AI outputs.</t>
  </si>
  <si>
    <t>Accredible has a documented policy for sharing information with law enforcement, requiring a valid legal process (warrant or subpoena) before any such disclosure.</t>
  </si>
  <si>
    <t>Accredible does not share institutional data with law enforcement without a valid warrant or subpoena.</t>
  </si>
  <si>
    <t>Accredible's incident response team includes the compliance officer/privacy analyst who is responsible for privacy-related aspects of any security incident.</t>
  </si>
  <si>
    <t>Accredible offers an EU data hosting region. Data collected from EEA residents can be stored and processed within the EEA under Accredible's data residency tenancy model. Note that some sub-processors including US-based staff may have access to EU-hosted data under appropriate safeguards.</t>
  </si>
  <si>
    <t>Accredible will sign appropriate GDPR Standard Contractual Clauses (SCCs) with the institution as part of the Data Processing Addendum. SCCs are included in Accredible's DPA available at https://www.accredible.com/legal/dpa</t>
  </si>
  <si>
    <t>Accredible does not collect, process, or store data in China.</t>
  </si>
  <si>
    <t>Accredible does not operate in China and PIPL requirements do not apply.</t>
  </si>
  <si>
    <t>Accredible has performed a Data Privacy Impact Assessment (DPIA) with the assistance of certified professionals from outside counsel.</t>
  </si>
  <si>
    <t>Accredible provides an end-user privacy notice at https://www.accredible.com/legal/privacy-policy identifying the purposes for which personal information is collected and processed.</t>
  </si>
  <si>
    <t>Accredible describes the choices available to individuals regarding their personal data and obtains appropriate consent as required. See privacy policy Section 5: Your Privacy Choices and Rights.</t>
  </si>
  <si>
    <t>Accredible collects personal information only for the purposes identified in the agreement with the institution or as stated in the privacy notice.</t>
  </si>
  <si>
    <t>Accredible maintains a documented list of personal data types processed through the service, available in the Data Processing Addendum.</t>
  </si>
  <si>
    <t>Accredible retains personal information only as long as necessary to fulfill the stated purposes or as required by law. Accredible aims to host credentials indefinitely per the nature of the service, but data is deleted per Data Controller instructions.</t>
  </si>
  <si>
    <t>Accredible provides individuals with access to their personal information for review and update. Data subject rights can be exercised as described in the privacy policy Section 5. Accredible assists institutions with EU data subject access requests.</t>
  </si>
  <si>
    <t>Accredible only discloses personal information to third parties (sub-processors) for the purposes identified in the privacy notice or DPA, as required to deliver the service.</t>
  </si>
  <si>
    <t>Accredible protects personal information against unauthorized access through encryption at rest and in transit, access controls, SOC 2 certified processes, and continuous monitoring.</t>
  </si>
  <si>
    <t>Accredible maintains accurate, complete, and relevant personal information for the purposes identified in the privacy notice.</t>
  </si>
  <si>
    <t>Accredible has procedures to address privacy-related noncompliance complaints and disputes, managed by the compliance officer and legal team.</t>
  </si>
  <si>
    <t>Accredible can anonymize or de-identify personal data where appropriate and upon request.</t>
  </si>
  <si>
    <t>Accredible does not use or disclose anonymized or de-identified data for purposes other than those identified in the agreement with the institution. Accredible does not share any data with ad networks, data brokers, or for marketing unrelated to services provided.</t>
  </si>
  <si>
    <t>Accredible certifies and processes stop-processing requests, including for data processed by sub-processors on its behalf.</t>
  </si>
  <si>
    <t>Accredible reviews code for ethical considerations as part of its development processes and responsible AI framework.</t>
  </si>
  <si>
    <t>Accredible uses AI (OpenAI API) for processing course description text as part of its Skills Extraction Service. Only course description text is submitted to the AI; no personal data of credential recipients is processed through the AI.</t>
  </si>
  <si>
    <t>Under Accredible's enterprise agreement with OpenAI, data submitted via the API is not retained by OpenAI for AI model training or development. Institutional data is not retained in AI processing beyond the immediate API call.</t>
  </si>
  <si>
    <t>Accredible has a Data Processing Agreement with OpenAI as a sub-processor that includes provisions for the protection of customer data and restrictions on AI use of submitted data.</t>
  </si>
  <si>
    <t>Course description text is processed through OpenAI's API. OpenAI is a sub-processor that uses AI in its service delivery. This is disclosed in Accredible's sub-processor list.</t>
  </si>
  <si>
    <t>Accredible uses OpenAI's commercially licensed enterprise AI service. The AI processing is limited to this fully licensed commercial enterprise service.</t>
  </si>
  <si>
    <t>Under Accredible's enterprise agreement with OpenAI, data submitted via the API is not used in shared AI services or to train general-purpose AI models.</t>
  </si>
  <si>
    <t>Accredible has implemented safeguards to protect institutional data from unintended AI processing, including data minimization (only course descriptions submitted), input validation, and output review through the CritiqueEvaluatorService.</t>
  </si>
  <si>
    <t xml:space="preserve">There are cells within this worksheet are auto populated from the previous worksheets and drop down lists. </t>
  </si>
  <si>
    <t>HECVAT™ Institution Evaluation</t>
  </si>
  <si>
    <t>Instructions for Analysts</t>
  </si>
  <si>
    <t>Date Prepared</t>
  </si>
  <si>
    <t>Cells A20 to A40 have intentionally been left blank.</t>
  </si>
  <si>
    <t>Report Sections</t>
  </si>
  <si>
    <t>Include in Score?</t>
  </si>
  <si>
    <t>Max Score</t>
  </si>
  <si>
    <t>Score</t>
  </si>
  <si>
    <t>Score %</t>
  </si>
  <si>
    <t>Jump to</t>
  </si>
  <si>
    <t>COMP</t>
  </si>
  <si>
    <t>DOCU</t>
  </si>
  <si>
    <t>THRD</t>
  </si>
  <si>
    <t>CHNG</t>
  </si>
  <si>
    <t>PPPR</t>
  </si>
  <si>
    <t>AAAI</t>
  </si>
  <si>
    <t>DATA</t>
  </si>
  <si>
    <t>APPL</t>
  </si>
  <si>
    <t>DCTR</t>
  </si>
  <si>
    <t>FIDP</t>
  </si>
  <si>
    <t>HFIH</t>
  </si>
  <si>
    <t>VULN</t>
  </si>
  <si>
    <t>CONS</t>
  </si>
  <si>
    <t>HIPA</t>
  </si>
  <si>
    <t>PCID</t>
  </si>
  <si>
    <t>OPEM</t>
  </si>
  <si>
    <t>ITAC</t>
  </si>
  <si>
    <t>AI (aggregated)</t>
  </si>
  <si>
    <t>Privacy (aggregated)</t>
  </si>
  <si>
    <t>Overall Score</t>
  </si>
  <si>
    <t xml:space="preserve"> </t>
  </si>
  <si>
    <t>HECVAT Analyst Report</t>
  </si>
  <si>
    <t>Institution Assessment</t>
  </si>
  <si>
    <t>Analysts: Use columns G and I to override the response compliance and importance level.</t>
  </si>
  <si>
    <t>ID</t>
  </si>
  <si>
    <t>Question</t>
  </si>
  <si>
    <t>(Will reflect across applicable tabs)</t>
  </si>
  <si>
    <t>Compliant Response</t>
  </si>
  <si>
    <t>Compliant Override</t>
  </si>
  <si>
    <t>Default Importance</t>
  </si>
  <si>
    <t>Importance Override</t>
  </si>
  <si>
    <t>Non-Negotiable?</t>
  </si>
  <si>
    <t>Back to Scorecard</t>
  </si>
  <si>
    <t xml:space="preserve">There are cells within this worksheet are auto populated from multiple worksheets in the workbook, and drop down lists. </t>
  </si>
  <si>
    <t>HECVAT Institution Evaluation - High Risk</t>
  </si>
  <si>
    <t>Instructions for High-Risk Scorecard</t>
  </si>
  <si>
    <t xml:space="preserve">4. For instructions on how to do a "HECVAT Lite" evaluation, please visit educause.edu/HECVAT. </t>
  </si>
  <si>
    <t xml:space="preserve">There are cells within this worksheet are auto populated from the HECVAT - Full | Vendor Response worksheet and drop down lists. </t>
  </si>
  <si>
    <t>Question Count</t>
  </si>
  <si>
    <t>Non-Negotiable</t>
  </si>
  <si>
    <t>Critical Importance/Lite Score</t>
  </si>
  <si>
    <t>Critical Importance Questions (Lite Review Questions)</t>
  </si>
  <si>
    <t>Non-Negotiable Questions</t>
  </si>
  <si>
    <t>Code</t>
  </si>
  <si>
    <t>HECVAT Institution Evaluation - Privacy</t>
  </si>
  <si>
    <t>PRGN</t>
  </si>
  <si>
    <t>PCOM</t>
  </si>
  <si>
    <t>PDOC</t>
  </si>
  <si>
    <t>PTHP</t>
  </si>
  <si>
    <t>PCHG</t>
  </si>
  <si>
    <t>PDAT</t>
  </si>
  <si>
    <t>PRPO</t>
  </si>
  <si>
    <t>INTL</t>
  </si>
  <si>
    <t>DRPV</t>
  </si>
  <si>
    <t>DPAI</t>
  </si>
  <si>
    <t>Privacy Score</t>
  </si>
  <si>
    <t>HECVAT Analyst Report - Privacy</t>
  </si>
  <si>
    <t>Vendor Answer</t>
  </si>
  <si>
    <t>PRIVACY REFERENCE QUESTIONS -these fields cannot be edited and must be changed on the "Institution Evaluation" tab.</t>
  </si>
  <si>
    <t xml:space="preserve">This worksheet is a combination of cells that are autopopulated as well as ones to be filled in. </t>
  </si>
  <si>
    <t>New ID</t>
  </si>
  <si>
    <t>Start</t>
  </si>
  <si>
    <t>Org</t>
  </si>
  <si>
    <t>Product</t>
  </si>
  <si>
    <t>Infra</t>
  </si>
  <si>
    <t>Access</t>
  </si>
  <si>
    <t>Case</t>
  </si>
  <si>
    <t>AI</t>
  </si>
  <si>
    <t>Privacy</t>
  </si>
  <si>
    <t>Score Mapping</t>
  </si>
  <si>
    <t>Score Location</t>
  </si>
  <si>
    <t>Additional Info</t>
  </si>
  <si>
    <t>If/then</t>
  </si>
  <si>
    <t>Standard Guidance</t>
  </si>
  <si>
    <t>No Guidance</t>
  </si>
  <si>
    <t>Yes Guidance</t>
  </si>
  <si>
    <t>N/A Guidance</t>
  </si>
  <si>
    <t>Reason for Question</t>
  </si>
  <si>
    <t>Follow-Up Inquiries/Responses</t>
  </si>
  <si>
    <t>Compliant</t>
  </si>
  <si>
    <t>Default Weight</t>
  </si>
  <si>
    <t>Solution Provider Name</t>
  </si>
  <si>
    <t>NA</t>
  </si>
  <si>
    <t>Not Scored</t>
  </si>
  <si>
    <t>Not scored</t>
  </si>
  <si>
    <t>Solution Name</t>
  </si>
  <si>
    <t>0</t>
  </si>
  <si>
    <t>Solution Description</t>
  </si>
  <si>
    <t>Solution Provider Contact Name</t>
  </si>
  <si>
    <t>Solution Provider Contact Title</t>
  </si>
  <si>
    <t>Solution Provider Contact Email</t>
  </si>
  <si>
    <t>Solution Provider Contact Phone Number</t>
  </si>
  <si>
    <t>Country of Company Headquarters</t>
  </si>
  <si>
    <t>Employee Work Locations (all)</t>
  </si>
  <si>
    <t>Determines where solution provider employees will be physically located.</t>
  </si>
  <si>
    <t>Follow-up inquiries will be institution/implementation specific.</t>
  </si>
  <si>
    <t>Do you have a dedicated software and system development team(s) (e.g., customer support, implementation, product management, etc.)?*</t>
  </si>
  <si>
    <t>Start Here</t>
  </si>
  <si>
    <t>Describe any plans to create a dedicated software and system development team.</t>
  </si>
  <si>
    <t>Describe the structure and size of your software and system development teams. (e.g., customer support, implementation, product management, etc.).</t>
  </si>
  <si>
    <t>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t>
  </si>
  <si>
    <t>Follow-up inquiries for solution provider team strategies will be unique to your institution and may depend on the underlying infrastructures needed to support a system for your specific use case.</t>
  </si>
  <si>
    <t>Standard Importance</t>
  </si>
  <si>
    <t>Describe your organization’s business background and ownership structure, including all parent and subsidiary relationships.</t>
  </si>
  <si>
    <t>Include circumstances that may involve offshoring or multinational agreements.</t>
  </si>
  <si>
    <t>This information defines the scale of company (support, resources, skillsets), general information about the organization that may be concerning.</t>
  </si>
  <si>
    <t>Follow-up responses to this one are normally unique to their response. Vague answers here usually result in some footprinting of a solution provider to determine their "reputation."</t>
  </si>
  <si>
    <t>Have you operated without unplanned disruptions to this solution in the past 12 months?</t>
  </si>
  <si>
    <t>Provide a detailed summary of the unplanned disruption.</t>
  </si>
  <si>
    <t>We want transparency from the solution provider, and an honest answer to this question, regardless of the response, is a good step in building trust.</t>
  </si>
  <si>
    <t>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t>
  </si>
  <si>
    <t>Minor Importance</t>
  </si>
  <si>
    <t>Do you have a dedicated information security staff or office?</t>
  </si>
  <si>
    <t>Describe any plans to create an information security office for your organization.</t>
  </si>
  <si>
    <t>Describe your information security office, including size, talents, resources, etc.</t>
  </si>
  <si>
    <t>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t>
  </si>
  <si>
    <t>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t>
  </si>
  <si>
    <t>Use this area to share information about your environment that will assist those who are assessing your company's data security program.</t>
  </si>
  <si>
    <t>Share any details that would help information security analysts assess your solution.</t>
  </si>
  <si>
    <t>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</si>
  <si>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solution provider state their case. If a solution provider does not add anything here (or it is just sales stuff), we can assume it was filled out by a sales engineer and questions will be evaluated with higher scrutiny.</t>
  </si>
  <si>
    <t>Are you offering a cloud-based product?</t>
  </si>
  <si>
    <t>If you are only offering a service, or are offering a product that is not cloud-based, answer "no".</t>
  </si>
  <si>
    <t>DO NOT complete the Product and Infrastructure worksheets</t>
  </si>
  <si>
    <t>DO complete the Product and Infrastructure worksheets</t>
  </si>
  <si>
    <t>Does your product or service have an interface?</t>
  </si>
  <si>
    <t>This includes any interface for end users and interfaces used by administrators at the institution.</t>
  </si>
  <si>
    <t>DO NOT complete the IT Accessibility worksheet.</t>
  </si>
  <si>
    <t>DO complete the IT Accessibility worksheet.</t>
  </si>
  <si>
    <t>Are you providing consulting services?</t>
  </si>
  <si>
    <t>DO NOT complete the Consulting section in the Case-Specific worksheet</t>
  </si>
  <si>
    <t>DO complete the Consulting section in the Case-Specific worksheet</t>
  </si>
  <si>
    <t>Does your solution have AI features, or are there plans to implement AI features in the next 12 months?</t>
  </si>
  <si>
    <t>DO NOT complete the Artificial Intelligence (AI) worksheet</t>
  </si>
  <si>
    <t>DO complete the Artificial Intelligence (AI) worksheet</t>
  </si>
  <si>
    <t>Does your solution process protected health information (PHI) or any data covered by the Health Insurance Portability and Accountability Act (HIPAA)?</t>
  </si>
  <si>
    <t>Answer "yes" if your solution handles personal health information (PHI), either directly or via a third party.</t>
  </si>
  <si>
    <t>DO NOT complete the HIPAA section in the Case-Specific worksheet</t>
  </si>
  <si>
    <t>DO complete the HIPAA section in the Case-Specific worksheet</t>
  </si>
  <si>
    <t>Is the solution designed to process, store, or transmit credit card information?</t>
  </si>
  <si>
    <t>Answer yes if your solution handles PCI (credit card) information, either directly or via a third party.</t>
  </si>
  <si>
    <t>DO NOT complete the PCI-DSS section in the Case-Specific worksheet</t>
  </si>
  <si>
    <t>DO complete the PCI-DSS section in the Case-Specific worksheet</t>
  </si>
  <si>
    <t>Does operating your solution require the institution to operate a physical or virtual appliance in their own environment or to provide inbound firewall exceptions to allow your employees to remotely administer systems in the institution's environment?</t>
  </si>
  <si>
    <t>DO NOT complete the On-Prem section in the Case-Specific worksheet</t>
  </si>
  <si>
    <t>DO complete the On-Prem section in the Case-Specific worksheet</t>
  </si>
  <si>
    <t>Does your solution have access to personal or institutional data?</t>
  </si>
  <si>
    <t>This includes patient data, student data, employment data, human research data, financial data, etc.</t>
  </si>
  <si>
    <t>DO NOT complete the Privacy tab</t>
  </si>
  <si>
    <t>DO complete the Privacy tab</t>
  </si>
  <si>
    <t>Do you have a well-documented business continuity plan (BCP), with a clear owner, that is tested annually?*</t>
  </si>
  <si>
    <t>Organization</t>
  </si>
  <si>
    <t>Testing a business continuity plan is an important action that improves the efficiency and accuracy of a solution provider's continuity plans. Vague responses to this question should be met with concern and appropriate follow-up, based on your institutions risk tolerance.</t>
  </si>
  <si>
    <t>Critical Importance</t>
  </si>
  <si>
    <t>Do you have a well-documented disaster recovery plan (DRP), with a clear owner, that is tested annually?*</t>
  </si>
  <si>
    <t>Testing a disaster recovery plan is an important action that improves the efficiency and accuracy of a solution provider's recovery plans. Vague responses to this question should be met with concern and appropriate follow-up, based on your institutions risk tolerance.</t>
  </si>
  <si>
    <t>Have you undergone a SSAE 18/SOC 2 audit?</t>
  </si>
  <si>
    <t>Describe any plans to undergo a SSAE 18 audit.</t>
  </si>
  <si>
    <t>Provide the date of assessment and include a SOC 2 Type 2 (preferred) or SOC 3 report. If you have a SOC 3 report, state how to obtain a copy. Indicate if your hosting provider was the subject of the audit.</t>
  </si>
  <si>
    <t>SSAE 18 and SOC2 audits are standard documentation, relevant to institutions requiring a solution provider to undergo SSAE 18 audits.</t>
  </si>
  <si>
    <t>Follow-up inquiries for SSAE 18 content will be institution/implementation specific.</t>
  </si>
  <si>
    <t>Do you conform with a specific industry standard security framework (e.g., NIST Cybersecurity Framework, CIS Controls, ISO 27001, etc.)?</t>
  </si>
  <si>
    <t>Describe any plans to conform to an industry standard security framework.</t>
  </si>
  <si>
    <t>Provide documentation on how your organization conforms to your chosen framework and indicate current certification levels, where appropriate.</t>
  </si>
  <si>
    <t>The details of the standard are not the focus here; it is the fact that a solution provider builds their environment around a standard and that they continually evaluate and assess their security programs.</t>
  </si>
  <si>
    <t>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</si>
  <si>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</si>
  <si>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</si>
  <si>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it) upon submission.</t>
  </si>
  <si>
    <t>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t>
  </si>
  <si>
    <t>Inquire about any privacy language the solution provider may have. It may not be ideal but there may be something available to assess or enough to have your legal counsel or policy/privacy professionals review.</t>
  </si>
  <si>
    <t>Does your organization have a data privacy policy?</t>
  </si>
  <si>
    <t>Describe your plans to create a data privacy policy.</t>
  </si>
  <si>
    <t>Provide your data privacy document (or a valid link to it) upon submission.</t>
  </si>
  <si>
    <t>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</si>
  <si>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</si>
  <si>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</si>
  <si>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</si>
  <si>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t>
  </si>
  <si>
    <t>Unsatisfactory answers should be met with questions about access control authority, roles and responsibilities (of access grantors), administrative privileges within the solution provider's infrastructure(s), etc.</t>
  </si>
  <si>
    <t>Solution Provider Accessibility Contact Name</t>
  </si>
  <si>
    <t>If REQU-02 is no, populate solution provider answer with cell b3 in Auto Responses worksheet</t>
  </si>
  <si>
    <t>Solution Provider Accessibility Contact Title</t>
  </si>
  <si>
    <t>Solution Provider Accessibility Contact Email</t>
  </si>
  <si>
    <t>Solution Provider Accessibility Contact Phone Number</t>
  </si>
  <si>
    <t>Web Link to Accessibility Statement or VPAT</t>
  </si>
  <si>
    <t>VPAT can also be added as an attachment</t>
  </si>
  <si>
    <t>Has a VPAT or ACR been created or updated for the solution and version under consideration within the past 12 months?*</t>
  </si>
  <si>
    <t>IT Accessibility</t>
  </si>
  <si>
    <t>If your answer is “I do not know,” select “no.” If the VPAT/ACR is for an older version of the product or has not been updated, its information does not accurately reflect the accessibility of the product under consideration and the response should be "no." Provide a link or attachment to the most recent VPAT/ACR.</t>
  </si>
  <si>
    <t>Please state your plans (when and by whom) to complete a VPAT.</t>
  </si>
  <si>
    <t>State the date the VPAT was completed. Include this VPAT in your submission and/or link to its web location.</t>
  </si>
  <si>
    <t>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t>
  </si>
  <si>
    <t>Cross-reference Accessibility Conformance Reports (ACR) with any answers from ITAC-14 about product roadmaps for accessibility improvements.</t>
  </si>
  <si>
    <t>Will your company agree to meet your stated accessibility standard or WCAG 2.1 AA as part of your contractual agreement for the solution?*</t>
  </si>
  <si>
    <t xml:space="preserve">Federal regulation requires that technology products conform to WCAG 2.1 AA. Technology platforms that do not substantially conform to this standard put schools at risk of not complying with these requirements. </t>
  </si>
  <si>
    <t>Does the solution substantially conform to WCAG 2.1 AA?*</t>
  </si>
  <si>
    <t>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t>
  </si>
  <si>
    <t>Do you have a documented and implemented process for reporting and tracking accessibility issues?*</t>
  </si>
  <si>
    <t xml:space="preserve">Reporting and fixing accessibility issues is critical to a mature process. If the process for this question is merely a "feature request" and tracker, the answer to this question should be "no." </t>
  </si>
  <si>
    <t>State how users should report accessibility issues. Describe any expected related process updates.</t>
  </si>
  <si>
    <t>Describe the process and any recent examples of fixes as a result of the process.</t>
  </si>
  <si>
    <t>What is the prioritization of accessibility issues received, and how are they tracked? Is there a regular cadence for tracking and addressing accessibility barriers?</t>
  </si>
  <si>
    <t>Do you have documentation to support the accessibility features of your solution?</t>
  </si>
  <si>
    <t>If specific configurations, settings, themes, author guides, or instructions are needed to ensure accessibility, are instructions on how to do so provided for administrators and end users?</t>
  </si>
  <si>
    <t>Provide plans for any documentation that would make accessible content, features, and functions easily knowable by end users.</t>
  </si>
  <si>
    <t>Provide examples with links where possible.</t>
  </si>
  <si>
    <t>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t>
  </si>
  <si>
    <t>If claims are made about accessibility and there is no supporting documentation on how they can be achieved, ensure that intended configurations and uses of the product in question were assessed for any accessibility documentation or claims.</t>
  </si>
  <si>
    <t>Has a third-party expert conducted an audit of the most recent version of your solution?</t>
  </si>
  <si>
    <t>Audit results, including VPAT/ACRs, are voluntary reports often generated by the creator of the product. Audits conducted and reports generated by expert third parties give greater confidence to customers.</t>
  </si>
  <si>
    <t>Please provide plans (when and by whom) of any planned audit, or a rationale if no third-party audit is planned.</t>
  </si>
  <si>
    <t>State when the audit was conducted and by whom. Include the results in your submission and/or link to its web location.</t>
  </si>
  <si>
    <t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t>
  </si>
  <si>
    <t>Do you have a documented and implemented process for verifying accessibility conformance?</t>
  </si>
  <si>
    <t>Summarize how you ensure accessible solutions. Provide plans to develop documented processes to validate accessibility.</t>
  </si>
  <si>
    <t>Describe your processes and methodologies for validating accessibility conformance.</t>
  </si>
  <si>
    <t>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t>
  </si>
  <si>
    <t>Have you adopted a technical or legal standard of conformance for the solution?</t>
  </si>
  <si>
    <t>Various federal and state governments in the United States and around the world have mandated accessibility technical requirements that should be considered and may be required when selling solutions to institutions in these jurisdictions.</t>
  </si>
  <si>
    <t>Summarize your decision to not adopt a technical or legal standard of conformance for the solution.</t>
  </si>
  <si>
    <t>Indicate which primary standards and all additional standards the solution meets.</t>
  </si>
  <si>
    <t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t>
  </si>
  <si>
    <t>Can you provide a current, detailed accessibility roadmap with delivery timelines?</t>
  </si>
  <si>
    <t>A detailed accessibility roadmap should reference improvements and progress on known accessibility issues as appropriate but does not necessarily need to list unreleased product features.</t>
  </si>
  <si>
    <t>Please provide any plans to develop and share an accessibility roadmap in the future.</t>
  </si>
  <si>
    <t>Comment on how far into the future the roadmap extends. Provide evidence (including links) of having delivered upon the accessibility roadmap in the past.</t>
  </si>
  <si>
    <t>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t>
  </si>
  <si>
    <t>If no roadmap is available, seek additional information from the solution provider such as release notes that address accessibility and any feedback from users that address the accessibility of the solution.</t>
  </si>
  <si>
    <t>Do you expect your staff to maintain a current skill set in IT accessibility?</t>
  </si>
  <si>
    <t>How do you ensure that your professional staff keeps current with digital accessibility laws and best practices? Is your staff able to evaluate and test this product with assistive technologies such as a screen reader or alternative input devices? Examples of staff certification may include IAAP certifications &lt;https://www.accessibilityassociation.org/s/professional-certifications&gt; or §508 Trusted Tester &lt;https://www.dhs.gov/trusted-tester&gt;.</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</si>
  <si>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</si>
  <si>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</si>
  <si>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t>
  </si>
  <si>
    <t>Do you have documented processes and procedures for implementing accessibility into your development lifecycle?</t>
  </si>
  <si>
    <t>Describe where accessibility falls in the development and product lifecycle. Is it at the beginning of your project development or after the product is otherwise complete before launch? Do you incorporate accessibility in your development methods, such as Agile scrums? Does your customer-facing accessibility reporting match your development processes (i.e., Agile methods are best represented using a roadmap and timeline; revised VPAT/ACRs provide a snapshot in time of a given release)?</t>
  </si>
  <si>
    <t>Describe any plans to update processes and procedures to better incorporate accessibility.</t>
  </si>
  <si>
    <t>Provide further details in Additional Information.</t>
  </si>
  <si>
    <t>This question is designed to understand how accessibility is included in new versions and features of solutions, particularly with solution providers that implement Agile or similar methodologies where software is updated frequently and continuously.</t>
  </si>
  <si>
    <t>Can all functions of the application or service be performed using only the keyboard?</t>
  </si>
  <si>
    <t>Indicate a plan to test the solution; develop a roadmap for keyboard accessibility or any further context.</t>
  </si>
  <si>
    <t>State when and on which platform this was verified.</t>
  </si>
  <si>
    <t>One critical accessibility requirement is the full use of a product using only the keyboard, -no mouse or trackpad. This requirement is easy for a nontechnical or non-accessibility expert to understand and verify.</t>
  </si>
  <si>
    <t>To confirm keyboard-only claims, follow the how-to at Minimum Expectations for applications webpage &lt;https://go.iu.edu/minimum-expectations&gt; from Indiana University or reference WebAIM’s Keyboard Testing guidance &lt;https://webaim.org/techniques/keyboard/#testing&gt;.</t>
  </si>
  <si>
    <t>Does your product rely on activating a special "accessibility mode," a "lite version," or using an alternate interface (including “overlay” or AI-based alternates)  for accessibility purposes?</t>
  </si>
  <si>
    <t>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t>
  </si>
  <si>
    <t>Describe any feature differences between standard and accessible modes, along with any timelines or plans to merge products into a universally designed platform.</t>
  </si>
  <si>
    <t>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t>
  </si>
  <si>
    <t>Do you perform security assessments of third-party companies with which you share data (e.g., hosting providers, cloud services, PaaS, IaaS, SaaS)?*</t>
  </si>
  <si>
    <t>State your plans to perform security assessments of third-party companies.</t>
  </si>
  <si>
    <t>Provide a summary of your practices that assures that the third party will be subject to the appropriate standards regarding security, service recoverability, and confidentiality.</t>
  </si>
  <si>
    <t>Please explain why this does not apply to your organization, product or service.</t>
  </si>
  <si>
    <t>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t>
  </si>
  <si>
    <t>Follow up with a robust question set if the solution provider cannot clearly state full control of the integrity of their system(s). Questions about administrator access on end-user devices and other maintenance and patching type questions are appropriate.</t>
  </si>
  <si>
    <t>Do you have contractual language in place with third parties governing access to institutional data?*</t>
  </si>
  <si>
    <t>List each third party and why institutional data is shared with them. Format example: [Third Party Name] - Reason</t>
  </si>
  <si>
    <t>The sharing of institutional data to fourth-parties may increase the risk to the institution and thus, we want to know who gets what data, when they get that data, and why they get that data.</t>
  </si>
  <si>
    <t>Follow-up inquiries concerning third-party data sharing will be institution/implementation specific.</t>
  </si>
  <si>
    <t>Do the contracts in place with these third parties address liability in the event of a data breach?*</t>
  </si>
  <si>
    <t>Knowing the protections and legal agreements in place for third-party data sharing may assist analysts in determining residual risk.</t>
  </si>
  <si>
    <t>Follow-up inquiries concerning legal agreements with third parties will be institution/implementation specific.</t>
  </si>
  <si>
    <t>Do you have an implemented third-party management strategy?*</t>
  </si>
  <si>
    <t>Robust answers from the solution provider improve the quality and efficiency of the security assessment process.</t>
  </si>
  <si>
    <t>State your plans to implement a third-party management strategy.</t>
  </si>
  <si>
    <t>Provide additional information that may help analysts better understand your environment and how it relates to third-party solutions.</t>
  </si>
  <si>
    <t>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</si>
  <si>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t>
  </si>
  <si>
    <t>Do you have a process and implemented procedures for managing your hardware supply chain (e.g., telecommunications equipment, export licensing, computing devices)?</t>
  </si>
  <si>
    <t>Make sure you address any national or regional regulations.</t>
  </si>
  <si>
    <t>State your plans to create a process and implemented procedures for managing your hardware supply chain.</t>
  </si>
  <si>
    <t>State what countries and/or regions this process is compliant with.</t>
  </si>
  <si>
    <t>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</si>
  <si>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Follow-up inquiries concerning hardware supply chain will be institution/implementation specific.</t>
  </si>
  <si>
    <t>Will the consultant require access to the institution's network resources?*</t>
  </si>
  <si>
    <t>Case-Specific</t>
  </si>
  <si>
    <t>If REQU-03 is no, populate solution provider answer with b4 in Auto Responses tab</t>
  </si>
  <si>
    <t>Consultants are often used to implement, maintain, fix, and assess technology environments. In these cases, third-party consultants have access to institutional data, and appropriate access, whether remote or onsite, must be protected during the consulting engagement.</t>
  </si>
  <si>
    <t>Has the consultant received training on (sensitive, HIPAA, PCI, etc.) data handling?*</t>
  </si>
  <si>
    <t>Is the data encrypted (at rest) while in the consultant's possession?*</t>
  </si>
  <si>
    <t>Please explain why this does not apply to your product or service.</t>
  </si>
  <si>
    <t>Can access be restricted based on source IP address?*</t>
  </si>
  <si>
    <t>Will the consulting take place on-premises?</t>
  </si>
  <si>
    <t>Will the consultant require access to hardware in the institution's data centers?</t>
  </si>
  <si>
    <t>Will the consultant require an account within the institution's domain (@*.edu)?</t>
  </si>
  <si>
    <t>Will any data be transferred to the consultant's possession?</t>
  </si>
  <si>
    <t>Will the consultant need remote access to the institution's network or systems?</t>
  </si>
  <si>
    <t>Are access controls for institutional accounts based on structured rules, such as role-based access control (RBAC), attribute-based access control (ABAC), or policy-based access control (PBAC)?*</t>
  </si>
  <si>
    <t>Infrastructure</t>
  </si>
  <si>
    <t>If REQU-01 is no, populate solution provider answer with B2 in Auto Responses tab</t>
  </si>
  <si>
    <t>This includes end users, administrators, service accounts, etc. PBAC would include various dynamic controls such as conditional access, risk-based access, location-based access, or system activity–based access.</t>
  </si>
  <si>
    <t>Describe any limitations that prevent support for RBAC for Institutional accounts.</t>
  </si>
  <si>
    <t>Describe available roles.</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</si>
  <si>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t>
  </si>
  <si>
    <t>Ask the solution provider to summarize the best practices to restrict/control the access given to the institution's end users without the use of RBAC. Make sure to understand the administrative requirements/overhead introduced in the solution provider's environment.</t>
  </si>
  <si>
    <t>Are you using a web application firewall (WAF)?*</t>
  </si>
  <si>
    <t>Describe compensating controls that protect your web application, if applicable.</t>
  </si>
  <si>
    <t>Describe the currently implemented WAF.</t>
  </si>
  <si>
    <t>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t>
  </si>
  <si>
    <t>If a solution provider states that they outsource their code development and do not run a WAF, there is elevated reason for concern. Verify how code is tested, monitored, and controlled in production environments.</t>
  </si>
  <si>
    <t>Are only currently supported operating system(s), software, and libraries leveraged by the system(s)/application(s) that will have access to institution's data?*</t>
  </si>
  <si>
    <t>If the web application only works with a subset of modern supported browsers, please indicate that here.</t>
  </si>
  <si>
    <t>State your plan to migrate to supported operating systems, libraries, and software.</t>
  </si>
  <si>
    <t>Please provide a list of all required dependencies.</t>
  </si>
  <si>
    <t>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t>
  </si>
  <si>
    <t>Follow-up inquiries for operating systems leveraged by the solution provider will be institution/implementation specific.</t>
  </si>
  <si>
    <t>Does your application require access to location or GPS data?*</t>
  </si>
  <si>
    <t>Please indicate any future plans that would require access to this data</t>
  </si>
  <si>
    <t>Please describe the reasons why in detail and state if that access can be limited to while your app is running.</t>
  </si>
  <si>
    <t>Sharing location data significantly increases risk factors for users. It's important to understand if this is required.</t>
  </si>
  <si>
    <t>Ask the solution provider about the need for this requirement, and understand any mitigation strategies that may be possible.</t>
  </si>
  <si>
    <t>Does your application provide separation of duties between security administration, system administration, and standard user functions?*</t>
  </si>
  <si>
    <t>State plans to implement functionality to provide separation of duties between security administration and system administration functions.</t>
  </si>
  <si>
    <t>Describe or provide a reference to the facilities available in the system to provide separation of duties between security administration and system administration functions.</t>
  </si>
  <si>
    <t>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t>
  </si>
  <si>
    <t>Ask the solution provider to summarize their best practices for securing their system(s) administratively without the use of RBAC. Make sure to understand the administrative requirements/overhead introduced in the solution provider's environment.</t>
  </si>
  <si>
    <t>Do you subject your code to static code analysis and/or static application security testing prior to release?*</t>
  </si>
  <si>
    <t>State your plans to implement static code testing practices into your environment.</t>
  </si>
  <si>
    <t>Provide a list of all tools utilized during static code analysis or static application security testing.</t>
  </si>
  <si>
    <t>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t>
  </si>
  <si>
    <t>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t>
  </si>
  <si>
    <t>Do you have software testing processes (dynamic or static) that are established and followed?*</t>
  </si>
  <si>
    <t>State your plans to implement software testing processes into your environment.</t>
  </si>
  <si>
    <t>Describe testing processes, including but not limited to, development of test plans, personnel involved in the testing process, and authorized individual accountable for approval and certification of test results.</t>
  </si>
  <si>
    <t>Code analysis (prior to implementation) can decrease the number of vulnerabilities within a system. Depending on the insight a solution provider has into their code, code testing should be expected.</t>
  </si>
  <si>
    <t>If software testing processes are not established and followed, point the solution provider to OWASP's Testing Guide &lt;https://www.owasp.org/index.php/OWASP_Testing_Guide_v4_Table_of_Contents&gt;.</t>
  </si>
  <si>
    <t>Are access controls for staff within your organization based on structured rules, such as RBAC, ABAC, or PBAC?</t>
  </si>
  <si>
    <t>This includes system administrators and third-party personnel with access to the system. PBAC would include various dynamic controls such as conditional access, risk-based access, location-based access, or system activity–based access.</t>
  </si>
  <si>
    <t>Describe any limitations that prevent support for RBAC within your organization.</t>
  </si>
  <si>
    <t>Managing a solution may rely on various professionals to administer a system. This question is focused on how administration, and the segregation of functions, is implemented within the solution provider's infrastructure.</t>
  </si>
  <si>
    <t>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</si>
  <si>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</si>
  <si>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</si>
  <si>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</si>
  <si>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</si>
  <si>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Inquire about any planned improvements to these capabilities. Ask about their product roadmap, and try to understand how they prioritize security concerns in their environment.</t>
  </si>
  <si>
    <t>Do you have a process and implemented procedures for managing your software supply chain (e.g., libraries, repositories, frameworks, etc.)?</t>
  </si>
  <si>
    <t>Include any in-house developed or contract development.</t>
  </si>
  <si>
    <t>Provide supporting documentation of your processes.</t>
  </si>
  <si>
    <t>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t>
  </si>
  <si>
    <t>Follow-up inquiries concerning software supply chain will be institution/implementation specific.</t>
  </si>
  <si>
    <t>Have your developers been trained in secure coding techniques?</t>
  </si>
  <si>
    <t>State plans to implement a training program on industry standard secure coding practices.</t>
  </si>
  <si>
    <t>Summarize your secure coding training.</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</si>
  <si>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t>
  </si>
  <si>
    <t>If information security principles are not designed into the product lifecycle, point the solution provider to OWASP's Secure Coding Practices - Quick Reference Guide &lt;https://www.owasp.org/index.php/OWASP_Secure_Coding_Practices_-_Quick_Reference_Guide&gt;.</t>
  </si>
  <si>
    <t>Was your application developed using secure coding techniques?</t>
  </si>
  <si>
    <t>State plans to update your application to adhere to industry secure coding practices.</t>
  </si>
  <si>
    <t>Summarize your secure coding practices.</t>
  </si>
  <si>
    <t>If mobile, is the application available from a trusted source (e.g., App Store, Google Play Store)?</t>
  </si>
  <si>
    <t>Select N/A if there is no mobile version of your app.</t>
  </si>
  <si>
    <t>Describe how the application is distributed. Also, state any plans to publish the app to a trusted source.</t>
  </si>
  <si>
    <t>State the application title as listed within the trusted source.</t>
  </si>
  <si>
    <t>Distributing application via known, moderately vetted application platform decreases the chances of malicious code distribution. Stand-alone deployments (nontrusted sources) should be looked at more closely.</t>
  </si>
  <si>
    <t>Ask the solution provider why this deployment strategy is used. Ask if it is a restriction of the app store platform or some other environment restriction.</t>
  </si>
  <si>
    <t>Do you have a fully implemented policy or procedure that details how your employees obtain administrator access to institutional instance of the application?</t>
  </si>
  <si>
    <t>State plans to fully implement policy or procedure that details how administrator access is handled in your environment.</t>
  </si>
  <si>
    <t>Describe or provide a reference that details how administrator access is handled (e.g., provisioning, principle of least privilege, deprovisioning, etc.).</t>
  </si>
  <si>
    <t>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t>
  </si>
  <si>
    <t>Ask the solution provider to summarize their implemented policies and/or procedures</t>
  </si>
  <si>
    <t>Does your solution support single sign-on (SSO) protocols for user and administrator authentication?*</t>
  </si>
  <si>
    <t>Answer "yes" only if user AND administrator authentication is supported. If partially supported, answer "no." Ensure you respond to any guidance in the Additional Information column.</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</si>
  <si>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</si>
  <si>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</si>
  <si>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</si>
  <si>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</si>
  <si>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For customers not using SSO, does your solution support local authentication protocols for user and administrator authentication?*</t>
  </si>
  <si>
    <t>Describe any plans to support local authentication modes.</t>
  </si>
  <si>
    <t>Provide a detailed description of your local authentication mode practices.</t>
  </si>
  <si>
    <t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t>
  </si>
  <si>
    <t>The content of this response may or may not have value for the type of use case on the institution. Follow-up inquiries for authentication modes will be institution/implementation specific.</t>
  </si>
  <si>
    <t>For customers not using SSO, can you enforce password/passphrase complexity requirements (provided by the institution)?*</t>
  </si>
  <si>
    <t>Describe plans to support password/passphrase complexity requirements.</t>
  </si>
  <si>
    <t>Describe how password/passphrase complexity requirements are implemented in the product.</t>
  </si>
  <si>
    <t xml:space="preserve">Many institutions have a policy focused on passwords/passphrases, and this question confirms the capacity of a solution provider's solution to comply. If you will be using SSO, consider marking this question as "Do Not Score" in column J of the evaluation tab. </t>
  </si>
  <si>
    <t>Follow-up inquiries for password/passphrase complexity requirements will be institution/implementation specific.</t>
  </si>
  <si>
    <t>For customers not using SSO, does the system have password complexity or length limitations and/or restrictions?*</t>
  </si>
  <si>
    <t>Answer "yes" if your solution has internal limits to password complexity (max length, certain special characters unsupported, etc.).</t>
  </si>
  <si>
    <t>Describe these limitations and/or restrictions and state what lengths and complexities are supported.</t>
  </si>
  <si>
    <t>Follow-up inquiries for password/passphrase limitations and/or restrictions will be institution/implementation specific.</t>
  </si>
  <si>
    <t>For customers not using SSO, do you have documented password/passphrase reset procedures that are currently implemented in the system and/or customer support?*</t>
  </si>
  <si>
    <t>Describe your plans to document system password/passphrase reset procedures.</t>
  </si>
  <si>
    <t>Describe your documented password/passphrase reset procedures that are currently implemented in the system and/or customer support.</t>
  </si>
  <si>
    <t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t>
  </si>
  <si>
    <t>Ask the solution provider how end users will be supported. Ask for training documentation or knowledgebase content. Confirm solution provider and institution responsibilities in this support area (and others).</t>
  </si>
  <si>
    <t>Does your organization participate in InCommon or another eduGAIN-affiliated trust federation?*</t>
  </si>
  <si>
    <t>Describe plans to participate in InCommon or another eduGAIN-affiliated trust federation.</t>
  </si>
  <si>
    <t>List the entity IDs registered in the Additional Information column.</t>
  </si>
  <si>
    <t>This question defines the solution provider's scope of federated identity practices and their willingness to embrace higher education requirements.</t>
  </si>
  <si>
    <t>If a solution provider indicates that a system is stand-alone and cannot integrate with community standards, follow up with maturity questions and ask about other commodity type functions or other system requirements your institution may have.</t>
  </si>
  <si>
    <t>Are there any passwords/passphrases hard-coded into your systems or solutions?*</t>
  </si>
  <si>
    <t>Provide a detailed description of passwords/passphrases hard-coded into your systems or solutions.</t>
  </si>
  <si>
    <t>The response to this question can reveal the use (or not) of coding best practices. If passwords/passphrases are hard-coded into systems/productions, the solution provider should provide robust details supporting why this is required.</t>
  </si>
  <si>
    <t>Vague responses to this question should be met with concern. Repeat the question if the first answer is insufficient. Ask pointedly to ensure the solution provider is not misunderstanding.</t>
  </si>
  <si>
    <t>Are you storing any passwords in plaintext?*</t>
  </si>
  <si>
    <t>Provide a detailed description stating why account passwords/passphrases are not encrypted in storage.</t>
  </si>
  <si>
    <t>The focus of this question is confidentiality. It is a straightforward question confirming the encryption of user authentication details.</t>
  </si>
  <si>
    <t>Follow-up inquiries for password/passphrase encrypted storage will be institution/implementation specific.</t>
  </si>
  <si>
    <t>Are audit logs available that include AT LEAST all of the following: login, logout, actions performed, and source IP address?*</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</si>
  <si>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</si>
  <si>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</si>
  <si>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If a weak response is given, it is appropriate to ask directed questions to get specific information. Ensure that questions are targeted to ensure responses will come from the appropriate party within the solution provider.</t>
  </si>
  <si>
    <t>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t>
  </si>
  <si>
    <t>Ensure that all elements of AAAI-10 are clearly stated in your response.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</si>
  <si>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t>
  </si>
  <si>
    <t>Can you provide the institution documentation regarding the retention period for those logs, how logs are protected, and whether they are accessible to the customer (and if so, how)?*</t>
  </si>
  <si>
    <t>Ensure that all elements of AAAI-11 are clearly stated in your response.</t>
  </si>
  <si>
    <t>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t>
  </si>
  <si>
    <t>Follow-up inquiries for logging details will be institution/implementation specific.</t>
  </si>
  <si>
    <t>For customers not using SSO, does your application support integration with other authentication and authorization systems?</t>
  </si>
  <si>
    <t>Describe any plans to support integration with other authentication and authorization systems.</t>
  </si>
  <si>
    <t>List which systems and versions supported (such as Active Directory, Kerberos, or other LDAP compatible directory) in Additional Info.</t>
  </si>
  <si>
    <t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t>
  </si>
  <si>
    <t>If a solution provider indicates that a system is stand-alone and cannot integrate with the institution's infrastructure, follow up with maturity questions and ask about other commodity type functions or other system requirements your institution may have.</t>
  </si>
  <si>
    <t>Do you allow the customer to specify attribute mappings for any needed information beyond a user identifier? (e.g., Reference eduPerson, ePPA/ePPN/ePE)</t>
  </si>
  <si>
    <t>Describe plans to allow customers to specify attribute mappings.</t>
  </si>
  <si>
    <t>This questions allows an institution to know solution provider system limitations and to help them gauge the resources (that may be needed to implement) required to successfully integrate the solution with institution systems.</t>
  </si>
  <si>
    <t>Follow-up inquiries for attribute mapping requirements will be institution/implementation specific.</t>
  </si>
  <si>
    <t>For customers not using SSO, does your application support directory integration for user accounts?</t>
  </si>
  <si>
    <t>Describe any plans to support external authentication services in place of local authentication.</t>
  </si>
  <si>
    <t>Describe all authentication services supported by the system.</t>
  </si>
  <si>
    <t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t>
  </si>
  <si>
    <t>Follow-up inquiries for system authentication will be unique to your institution (e.g., policy, infrastructure, etc.).</t>
  </si>
  <si>
    <t>Does your solution support any of the following web SSO standards: SAML2 (with redirect flow), OIDC, CAS, or other?</t>
  </si>
  <si>
    <t>An answer of "yes" should be well-supported in the Additional Information column, and all elements of interest should be sufficiently addressed.</t>
  </si>
  <si>
    <t>Describe plans to support web SSO in your solution.</t>
  </si>
  <si>
    <t>State the web SSO standards supported by your solution and provide additional details about your support, including framework(s) in use, how information is exchanged securely, etc.</t>
  </si>
  <si>
    <t>Do you support differentiation between email address and user identifier?</t>
  </si>
  <si>
    <t>Describe any plans to support differentiation between email address and user identifier.</t>
  </si>
  <si>
    <t>Follow-up inquiries for identifier requirements will be institution/implementation specific.</t>
  </si>
  <si>
    <t>For customers not using SSO, does your application and/or user frontend/portal support multifactor authentication (e.g., Duo, Google Authenticator, OTP, etc.)?</t>
  </si>
  <si>
    <t>Describe any plans to support multifactor authentication in your application.</t>
  </si>
  <si>
    <t>List all supported multifactor authentication methods, technologies, and/or solutions and provide a brief summary of each.</t>
  </si>
  <si>
    <t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t>
  </si>
  <si>
    <t>Ask the solution provider about hardware and software options, future roadmap for implementations and support, etc.</t>
  </si>
  <si>
    <t>Does your application automatically lock the session or log out an account after a period of inactivity?</t>
  </si>
  <si>
    <t>Describe any plans to support automatic lock or log-out.</t>
  </si>
  <si>
    <t>Describe the default behavior of this capability.</t>
  </si>
  <si>
    <t>This is a question to ensure account integrity and institutional data confidentiality.</t>
  </si>
  <si>
    <t>Follow-up inquiries for inactivity protections will be institution/implementation specific.</t>
  </si>
  <si>
    <t>Will the institution be notified of major changes to your environment that could impact the institution's security posture?*</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</si>
  <si>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</si>
  <si>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</si>
  <si>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</si>
  <si>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If the solution provider's response does not cover the details outlined in the reasoning, follow up and get specific responses for each, as needed.</t>
  </si>
  <si>
    <t>Does the system support client customizations from one release to another?*</t>
  </si>
  <si>
    <t>Ensure that all relevant details pertaining to CHNG-06 are clearly stated in your response.</t>
  </si>
  <si>
    <t>Clarify the lack of support strategy for client customizations from one release to another.</t>
  </si>
  <si>
    <t>Describe or provide reference to your solution support strategy in regard to maintaining client customizations from one release to another.</t>
  </si>
  <si>
    <t>The solution provider's solution characteristics and the institution's use case will determine the relevancy of this question. The purpose of this question is to understand the underlying infrastructure and how it is maintained across all customers.</t>
  </si>
  <si>
    <t>In cases where the solution is customized for customer use cases, ensure the solution provider's response covers all aspects of code migration, including backups, data conversions, local resources from the institution, etc., as it relates to code upgrades and/or version adoptions.</t>
  </si>
  <si>
    <t>Do you have an implemented system configuration management process (e.g., secure "gold" images, etc.)?*</t>
  </si>
  <si>
    <t>Describe how system configuration management is currently handled in your environment.</t>
  </si>
  <si>
    <t>Summarize your implemented system configuration management process.</t>
  </si>
  <si>
    <t>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t>
  </si>
  <si>
    <t>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</si>
  <si>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</si>
  <si>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</si>
  <si>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</si>
  <si>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</si>
  <si>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Does your change management process minimally include authorization, impact analysis, testing, and validation before moving changes to production?</t>
  </si>
  <si>
    <t>State your plans to implement change management in your environment or clarify what your change management processes do include.</t>
  </si>
  <si>
    <t>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t>
  </si>
  <si>
    <t>This question outlines a mature change management process. Changes should be analyzed for impact, officially approved, tested, and performed by authorized users.</t>
  </si>
  <si>
    <t>If the solution provider's response does not cover the details outlined in the reasoning, follow up and get specific responses, as needed.</t>
  </si>
  <si>
    <t>Does your change management process verify that all required third-party libraries and dependencies are still supported with each major change?</t>
  </si>
  <si>
    <t>Please describe any plans to implement third-party library dependency tracking.</t>
  </si>
  <si>
    <t>Please describe your program to track these dependencies.</t>
  </si>
  <si>
    <t>This question is fundamentally about supply chain. The solution provider should be able to document its procedures around tracking libraries maintained by third parties.</t>
  </si>
  <si>
    <t>If the solution provider's response does not cover the details outlined in the reasoning, follow-up and get specific responses for each, as needed.</t>
  </si>
  <si>
    <t>Do you have policy and procedure, currently implemented, managing how critical patches are applied to all systems and applications?</t>
  </si>
  <si>
    <t>State your plans to implement policy and procedure(s) to manage how critical patches are applied to systems and applications.</t>
  </si>
  <si>
    <t>Summarize the policy and procedure(s) managing how critical patches are applied to systems and applications.</t>
  </si>
  <si>
    <t>Answers to this question will reveal the solution provider’s knowledge of their IT assets and their ability to respond to notifications about their systems and software.</t>
  </si>
  <si>
    <t>Follow-up inquiries for the solution provider’s patching practices will be institution/implementation specific.</t>
  </si>
  <si>
    <t>Have you implemented policies and procedures that guide how security risks are mitigated until patches can be applied?</t>
  </si>
  <si>
    <t>State your plans to implement policy and procedure(s) guiding risk mitigation practices before critical patches can be applied.</t>
  </si>
  <si>
    <t>Summarize the policy and procedure(s) guiding risk mitigation practices before critical patches can be applied.</t>
  </si>
  <si>
    <t>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t>
  </si>
  <si>
    <t>Follow-up inquiries for the solution providers patching practices will be institution/implementation specific.</t>
  </si>
  <si>
    <t>Do clients have the option to not participate in or postpone an upgrade to a new release?</t>
  </si>
  <si>
    <t>Summarize why clients do not have alternative release options.</t>
  </si>
  <si>
    <t>Provide reference the  process/procedure to manage releases.</t>
  </si>
  <si>
    <t>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t>
  </si>
  <si>
    <t>Follow-up inquiries for solution version releases will be institution/implementation specific.</t>
  </si>
  <si>
    <t>Do you have a fully implemented solution support strategy that defines how many concurrent versions you support?</t>
  </si>
  <si>
    <t>List the current version you support and what percentage of customers are utilizing that version.</t>
  </si>
  <si>
    <t>Clarify the lack of support strategy for concurrent versions in your solution.</t>
  </si>
  <si>
    <t>Describe or provide a reference to your solution support strategy in regard to maintaining software currency (i.e., how many concurrent versions are you willing to run and support?).</t>
  </si>
  <si>
    <t>Supporting multiple versions of a solution is challenging. Understanding the solution provider’s strategy and resources will provide insight into its ability to adequately support their customers.</t>
  </si>
  <si>
    <t>Follow-up inquiries for the solution provider’s support of concurrent versions will be institution/implementation specific.</t>
  </si>
  <si>
    <t>Do you have a release schedule for product updates?</t>
  </si>
  <si>
    <t>State any plans to release a schedule of product updates.</t>
  </si>
  <si>
    <t>Provide a reference to this solution's release schedule.</t>
  </si>
  <si>
    <t>Answers to this question will reveal the solution provider’s ability to plan in the short term. This is valuable information for customers so they can anticipate updates and potential bug fixes.</t>
  </si>
  <si>
    <t>Follow-up inquiries for the solution provider’s solution update practices will be institution/implementation specific.</t>
  </si>
  <si>
    <t>Do you have a technology roadmap, for at least the next two years, for enhancements and bug fixes for the solution being assessed?</t>
  </si>
  <si>
    <t>State any plans to release a technology roadmap covering the next two years.</t>
  </si>
  <si>
    <t>Provide a reference to your technology roadmap.</t>
  </si>
  <si>
    <t>Answers to this question will reveal the solution provider’s ability to plan for the future of their solution.</t>
  </si>
  <si>
    <t>Follow-up inquiries for the solution provider’s technology planning practices will be institution/implementation specific.</t>
  </si>
  <si>
    <t>Can solution updates be completed without institutional involvement (i.e., technically or organizationally)?</t>
  </si>
  <si>
    <t>Summarize the institution's responsibilities during solution updates.</t>
  </si>
  <si>
    <t>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t>
  </si>
  <si>
    <t>Vague responses to this question should be investigated further. Ask for additional documentation for customer responsibilities (in the context of information technology/security).</t>
  </si>
  <si>
    <t>Are upgrades or system changes installed during off-peak hours or in a manner that does not impact the customer?</t>
  </si>
  <si>
    <t>Describe plans to minimize the impact of downtime based on predefined off-peak hours.</t>
  </si>
  <si>
    <t>Define current off-peak hours, including time zones as necessary.</t>
  </si>
  <si>
    <t>Restricting system updates to a standard maintenance timeframe is important for ensuring that changes to production systems do not impact operations. It’s also important for troubleshooting any problems that may occur as a result of the changes.</t>
  </si>
  <si>
    <t>Do procedures exist to provide that emergency changes are documented and authorized (including after-the-fact approval)?</t>
  </si>
  <si>
    <t>Describe plans to implement procedure ensuring that emergency changes are documented and authorized.</t>
  </si>
  <si>
    <t>Summarize implemented procedures ensuring that emergency changes are documented and authorized.</t>
  </si>
  <si>
    <t>In the context of the CIA triad, this question is focused on system integrity, ensuring that system changes are only executed by authorized users. In the event of emergency changes, accountability and post-action review are expected.</t>
  </si>
  <si>
    <t>Follow up with a robust question set if a solution provider cannot clearly state full control of the integrity of their system(s).</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</si>
  <si>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</si>
  <si>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</si>
  <si>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</si>
  <si>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Will the institution's data be stored on any devices (database servers, file servers, SAN, NAS, etc.) configured with non-RFC 1918/4193 (i.e., publicly routable) IP addresses?*</t>
  </si>
  <si>
    <t>State the need for this strategy, in detail.</t>
  </si>
  <si>
    <t>Systems that are directly exposed to public internet resources are at greater risk than those that are not. Understanding the requirements for this configuration is important, particularly when assessing compensating controls.</t>
  </si>
  <si>
    <t>Ask the solution provider about its infrastructure and if there is a solution that eliminates the need for this environment.</t>
  </si>
  <si>
    <t>Is the transport of sensitive data encrypted using security protocols/algorithms (e.g., system-to-client)?*</t>
  </si>
  <si>
    <t>Describe why sensitive data is not encrypted in transport.</t>
  </si>
  <si>
    <t>Summarize your transport encryption strategy.</t>
  </si>
  <si>
    <t>The need for encryption in transport is unique to your institution's implementation of a system. In particular, the data flow between the system and the end users of the solution.</t>
  </si>
  <si>
    <t>Follow-up inquiries for data encryption between the system and end-users will be institution/implementation specific.</t>
  </si>
  <si>
    <t>Is the storage of sensitive data encrypted using security protocols/algorithms (e.g., disk encryption, at-rest, files, and within a running database)?*</t>
  </si>
  <si>
    <t>Describe why sensitive data is not encrypted in storage.</t>
  </si>
  <si>
    <t>Summarize your data encryption strategy and state what encryption options are available.</t>
  </si>
  <si>
    <t>The need for encryption at-rest is unique to your institution's implementation of a system. In particular, system components, architectures, and data flows all factor into the need for this control.</t>
  </si>
  <si>
    <t>Follow-up inquiries for data encryption at-rest will be institution/implementation specific.</t>
  </si>
  <si>
    <t>Do all cryptographic modules in use in your solution conform to the Federal Information Processing Standards (FIPS PUB 140-2 or 140-3)?*</t>
  </si>
  <si>
    <t>Provide a detailed description of all non-conforming modules.</t>
  </si>
  <si>
    <t>Provide reference to FIPS 140-3 validation certificates.</t>
  </si>
  <si>
    <t>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t>
  </si>
  <si>
    <t>If the solution provider cannot accommodate open standards encryption requirements, direct them to NIST's Cryptographic Standards and Guidelines document &lt;https://csrc.nist.gov/Projects/Cryptographic-Standards-and-Guidelines&gt;.</t>
  </si>
  <si>
    <t>Will the institution's data be available within the system for a period of time at the completion of this contract?*</t>
  </si>
  <si>
    <t>Describe your data export procedures conducted at the termination of contract.</t>
  </si>
  <si>
    <t>State the length of time that the institution's data will be available in the system at the completion of the contract.</t>
  </si>
  <si>
    <t>When cancelling a solution, an institution will commonly want all institutional data that was provided to a solution provider. This questions allows the solution provider to state their general practices when a customer leaves their environment.</t>
  </si>
  <si>
    <t>A solution provider's response should be clear and concise. Be wary of vague responses to this questions and inquire about export specifics, as needed.</t>
  </si>
  <si>
    <t>Are ownership rights to all data, inputs, outputs, and metadata retained even through a provider acquisition or bankruptcy event?*</t>
  </si>
  <si>
    <t>Provide a detailed description why rights are not retained.</t>
  </si>
  <si>
    <t>Provide references, as needed.</t>
  </si>
  <si>
    <t>This question clarifies the position of the institution in the case of acquisition or bankruptcy. Expect clear responses to this question. If they are vague, be sure to follow up based on institutional counsel guidance.</t>
  </si>
  <si>
    <t>If a solution provider's response is unsatisfactory, engage institutional counsel to appropriately address any ownership concerns.</t>
  </si>
  <si>
    <t>Do backups containing the institution's data ever leave the institution's data zone either physically or via network routing?*</t>
  </si>
  <si>
    <t>Summarize why backups containing the institution's data leave the institution's data zone.</t>
  </si>
  <si>
    <t>Data exposure is a risk if sensitive data is in any way transported (physically or electronically) into a data zone that is not authorized by the institution. Depending on the criticality of data and institution policy, full control of data confidentiality may be highly valued.</t>
  </si>
  <si>
    <t>Follow-up inquiries for data backup procedures/practices will be institution/implementation specific.</t>
  </si>
  <si>
    <t>Is media used for long-term retention of business data and archival purposes stored in a secure, environmentally protected area?*</t>
  </si>
  <si>
    <t>State plans to store long-term media in environmentally protected areas.</t>
  </si>
  <si>
    <t>Provide a general summary of your archival environment.</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</si>
  <si>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</si>
  <si>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</si>
  <si>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At the completion of this contract, will data be returned to the institution and/or deleted from all your systems and archives?</t>
  </si>
  <si>
    <t xml:space="preserve">Please specify if it will be returned, deleted, or both. </t>
  </si>
  <si>
    <t>State plans to implement capabilities for the institution to retrieve its data.</t>
  </si>
  <si>
    <t>When cancelling a solution, an institution will commonly want all institutional data that was provided to a solution provider. This question allows the solution provider to state its general practices when a customer leaves its environment.</t>
  </si>
  <si>
    <t>Can the institution extract a full or partial backup of data?</t>
  </si>
  <si>
    <t>State plans to implement capabilities for the institution to extract a full or partial backup of data.</t>
  </si>
  <si>
    <t>Provide a general summary of how full and partial backups of data can be extracted.</t>
  </si>
  <si>
    <t>When cancelling a solution, an institution will commonly want all institutional data that was provided to a solution provider. The solution provider's response should verify if the institution can extract data or if it is a manual extraction by solution provider staff.</t>
  </si>
  <si>
    <t>Do current backups include all operating system software, utilities, security software, application software, and data files necessary for recovery?</t>
  </si>
  <si>
    <t>State plans to include the elements listed in DATA-13 in your backup strategy.</t>
  </si>
  <si>
    <t>Describe your overall strategy to accomplish these elements.</t>
  </si>
  <si>
    <t>The purpose of this question is to define the scope of backup operations and the scope at which a solution provider may readily recover when backup restoration is required.</t>
  </si>
  <si>
    <t>Follow-up inquiries for backup content scope will be institution/implementation specific.</t>
  </si>
  <si>
    <t>Are you performing off-site backups (i.e., digitally moved off site)?</t>
  </si>
  <si>
    <t>State any plans to implement off-site virtual backups in your environment.</t>
  </si>
  <si>
    <t>Summarize your off-site backup strategy.</t>
  </si>
  <si>
    <t>When data is moved digitally (e.g., cloud provider, solution provider-owned facility, etc.) off-site, the policies and implemented procedures are important to know. The protections implemented to prevent compromise will be technical in nature and should be well-documented.</t>
  </si>
  <si>
    <t>Follow-up inquiries for off-site, digital backups will be institution/implementation specific.</t>
  </si>
  <si>
    <t>Are physical backups taken off-site (i.e., physically moved off site)?</t>
  </si>
  <si>
    <t>State any plans to implement off-site physical backups in your environment.</t>
  </si>
  <si>
    <t>Provide the distance (in miles) between the primary and off-site locations.</t>
  </si>
  <si>
    <t>When data is moved physically (e.g., print, etc.) off-site, the policies and implemented procedures are important to know. Unencrypted data taken outside secured areas introduces unnecessary risks.</t>
  </si>
  <si>
    <t>Follow-up inquiries for off-site, physical backups will be institution/implementation specific.</t>
  </si>
  <si>
    <t>Are data backups encrypted?</t>
  </si>
  <si>
    <t>Summarize why backups are not encrypted.</t>
  </si>
  <si>
    <t>Summarize the encryption algorithm/strategy you are using to secure backups.</t>
  </si>
  <si>
    <t>The need for encryption at rest (for backups) is unique to your institution's implementation of a system. In particular, system components, architectures, and data flows all factor into the need for this control.</t>
  </si>
  <si>
    <t>Follow-up inquiries for data backup encryption at-rest will be institution/implementation specific.</t>
  </si>
  <si>
    <t>Do you have a media handling process that is documented and currently implemented that meets established business needs and regulatory requirements, including end-of-life, repurposing, and data-sanitization procedures?</t>
  </si>
  <si>
    <t>Provide a detailed summary of media handling processes that do exist.</t>
  </si>
  <si>
    <t>Provide documented details of this process (link or attached).</t>
  </si>
  <si>
    <t>Does the process described in DATA-15 adhere to DoD 5220.22-M and/or NIST SP 800-88 standards?</t>
  </si>
  <si>
    <t>State plans to adhere to DoD 5220.22-M and/or NIST SP 800-88 standards.</t>
  </si>
  <si>
    <t>Follow-up inquiries for DoD 5220.22-M and/or SP800-88 standards will be institution specific.</t>
  </si>
  <si>
    <t>Does your staff (or third party) have access to institutional data (e.g., financial, PHI, or other sensitive information) through any means?</t>
  </si>
  <si>
    <t>Summarize what access staff (or third parties) have to institutional data.</t>
  </si>
  <si>
    <t>Confidentiality is the focus of this question. Based on the capabilities of solution provider administrators, the institution may require additional safeguards to protect the confidentiality of data stored by or shared with a solution provider (e.g., additional layer of encryption, etc.).</t>
  </si>
  <si>
    <t>If institutional data is visible by the solution provider's system administrators, follow up with the solution provider to understand the scope of visibility, process/procedure that administrators follow, and use cases when administrators are allowed to access (view) institutional data.</t>
  </si>
  <si>
    <t>Do you have a documented and currently implemented strategy for securing employee workstations when they work remotely (i.e., not in a trusted computing environment)?</t>
  </si>
  <si>
    <t>Provide a detailed summary outlining the security controls implemented to protect the institution's data.</t>
  </si>
  <si>
    <t>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t>
  </si>
  <si>
    <t>Vague responses to this question should be investigated further. Ask for additional documentation and verify that procedure (and possibly training) exists to ensure proper customer data handling activity.</t>
  </si>
  <si>
    <t>Does the environment provide for dedicated single-tenant capabilities? If not, describe how your solution or environment separates data from different customers (e.g., logically, physically, single tenancy, multi-tenancy).</t>
  </si>
  <si>
    <t>Describe your plan to separate institution data from that of other customers.</t>
  </si>
  <si>
    <t>Describe or provide a reference to how institution data is separated from that of other customers.</t>
  </si>
  <si>
    <t>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t>
  </si>
  <si>
    <t>Follow-up inquiries for dedicated single-tenant capabilities will be institution/implementation specific.</t>
  </si>
  <si>
    <t>Are ownership rights to all data, inputs, outputs, and metadata retained by the institution?</t>
  </si>
  <si>
    <t>Describe in detail why ownership rights are not retained by the institution.</t>
  </si>
  <si>
    <t>Provide reference to your data ownership documentation.</t>
  </si>
  <si>
    <t>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t>
  </si>
  <si>
    <t>In the event of imminent bankruptcy, closing of business, or retirement of service, will you provide 90 days for customers to get their data out of the system and migrate applications?</t>
  </si>
  <si>
    <t>Provide a detailed summary to support your selection.</t>
  </si>
  <si>
    <t>State how the institution will be notified of imminent termination.</t>
  </si>
  <si>
    <t>Are involatile backup copies made according to predefined schedules and securely stored and protected?</t>
  </si>
  <si>
    <t>Ensure that response addresses involatile storage and lists retention periods.</t>
  </si>
  <si>
    <t>State how the institution's data is protected from system failures and ransomware.</t>
  </si>
  <si>
    <t>If your strategy uses different processes for services and data, ensure that all strategies are clearly stated and supported.</t>
  </si>
  <si>
    <t>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t>
  </si>
  <si>
    <t>An institution's use case will drive the requirements for backup strategy. Ensure that the institution's use case and risk tolerance can be met by solution provider systems.</t>
  </si>
  <si>
    <t>Do you have a cryptographic key management process (generation, exchange, storage, safeguards, use, vetting, and replacement) that is documented and currently implemented, for all system components (e.g., database, system, web, etc.)?</t>
  </si>
  <si>
    <t>Summarize your cryptographic key management process.</t>
  </si>
  <si>
    <t>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t>
  </si>
  <si>
    <t>Follow up with the solution provider to ensure that all components of the system are considered. This includes system-to-system, system-to-client, applications, system accounts, etc.</t>
  </si>
  <si>
    <t>Select your hosting option.</t>
  </si>
  <si>
    <t>If/then: If Self-managed, populate the solution provider answer for questions DCTR 02, 08, 16-18 with cell B25 in the Auto Responses sheet; If Physical co-location, populate solution provider answer for  DCTR 02-15 with B25; if Virtual Co-location, populate solution provider answer for DCTR 02-04, 07-08, 10, 16-18 with B25; If AWS, Azure, or GCP, populate 03, 07-08, 10, 16-18 with B25; if Other populate DCTR 02-03, 07-08, 10 with B25</t>
  </si>
  <si>
    <t>If you are using an option not listed, or a combination of options, select "Other." Your selection here will determine which questions below are required.</t>
  </si>
  <si>
    <t>Understanding the hosting environment may reveal infrastructure risks that may not be apparent by other means and provides context to the responses provided throughout this HECVAT.</t>
  </si>
  <si>
    <t>Follow-up inquiries for hosting options will be institution/implementation specific.</t>
  </si>
  <si>
    <t>Is a SOC 2 Type 2 report available for the hosting environment?</t>
  </si>
  <si>
    <t>Obtain the report if possible and add it to your submission.</t>
  </si>
  <si>
    <t>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t>
  </si>
  <si>
    <t>Follow-up inquiries for additional solution provider's SOC 2 Type 2 reports will be institution/implementation specific.</t>
  </si>
  <si>
    <t>Are you generally able to accommodate storing each institution's data within its geographic region?</t>
  </si>
  <si>
    <t>Please indicate which geographic regions you can provide storage in the Additional Info column.</t>
  </si>
  <si>
    <t>Under what circumstances would institutional data leave a designated region or regions?</t>
  </si>
  <si>
    <t>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t>
  </si>
  <si>
    <t>If a solution provider is unable to accommodate storing/processing institutional data within specific regions, ask them why they are unable to. Try to determine if it's an infrastructure issue (scalability), a cost-reduction strategy (size/maturity), or some other issue.</t>
  </si>
  <si>
    <t>Are the data centers staffed 24 hours a day, seven days a week (i.e., 24 x 7 x 365)?</t>
  </si>
  <si>
    <t>State any plans to staff data centers 24 x 7 x 365.</t>
  </si>
  <si>
    <t>Describe the on-site staff capabilities.</t>
  </si>
  <si>
    <t>Solution Providers that operate their own datacenter(s) can implement their own monitoring strategy. Use the solution provider's response to this questions to verify/validate other responses related to ownership/co-location/physical security.</t>
  </si>
  <si>
    <t>Follow-up inquiries for data center staffing will be institution/implementation specific.</t>
  </si>
  <si>
    <t>Are your servers separated from other companies via a physical barrier, such as a cage or hard walls?</t>
  </si>
  <si>
    <t>State plans to separate your servers from others via a physical barrier.</t>
  </si>
  <si>
    <t>Describe your physical barrier strategy.</t>
  </si>
  <si>
    <t>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t>
  </si>
  <si>
    <t>Follow-up inquiries for system physical security will be institution/implementation specific.</t>
  </si>
  <si>
    <t>Does a physical barrier fully enclose the physical space, preventing unauthorized physical contact with any of your devices?*</t>
  </si>
  <si>
    <t>State plans to implement a physical barrier to prevent physical contact with any of your devices.</t>
  </si>
  <si>
    <t>Are your primary and secondary data centers geographically diverse?</t>
  </si>
  <si>
    <t>Describe any plans to implement.</t>
  </si>
  <si>
    <t>State your primary and secondary data center locations. For cloud infrastructures, state the primary and secondary zones.</t>
  </si>
  <si>
    <t>When planning for business continuity and disaster recovery, considering geographic diversity of a solution provider's operating environment will help analysts better understand risk due to widespread technical issues as well as weather and environmental considerations.</t>
  </si>
  <si>
    <t>Follow-up inquiries for geographic diversity in datacenters will be institution/implementation specific.</t>
  </si>
  <si>
    <t>Is the service hosted in a high-availability environment?</t>
  </si>
  <si>
    <t>Describe any plans to implement a high-availability environment for your systems.</t>
  </si>
  <si>
    <t>Provide a summary to support your response selection.</t>
  </si>
  <si>
    <t>In the context of the CIA triad, this question is focused on the availability of a system (or set of systems).</t>
  </si>
  <si>
    <t>The weight placed on the solution provider's response will be specific to the institution's use case and solution requirements.</t>
  </si>
  <si>
    <t>Is redundant power available for all data centers where institutional data will reside?</t>
  </si>
  <si>
    <t>Describe any plans to implement a redundant power environment for your systems.</t>
  </si>
  <si>
    <t>Provide a detailed description of the implemented strategy (i.e., batteries, generator).</t>
  </si>
  <si>
    <t>Are redundant power strategies tested?*</t>
  </si>
  <si>
    <t>State plans to implement redundant power testing for your systems.</t>
  </si>
  <si>
    <t>State how often redundant power strategies are tested and the date of the last successful test.</t>
  </si>
  <si>
    <t>Installing (potential) redundant power and regularly testing strategies to ensure they will work when needed are very different. Vague responses to this question should be met with concern and appropriate follow up, based on your institution's risk tolerance.</t>
  </si>
  <si>
    <t>Follow-up inquiries for redundant power testing details will be institution/implementation specific.</t>
  </si>
  <si>
    <t>Does the center where the data will reside have cooling and fire-suppression systems that are active and regularly tested?</t>
  </si>
  <si>
    <t>Installing appropriate environmental controls is crucial to maintaining the integrity of the hosting site. Vague responses to this question should be met with concern and appropriate follow up, based on your institutions risk tolerance.</t>
  </si>
  <si>
    <t>Follow-up inquiries for cooling and fire suppression systems will be institution/implementation specific.</t>
  </si>
  <si>
    <t>Do you have Internet Service Provider (ISP) redundancy?</t>
  </si>
  <si>
    <t>State the ISP provider(s) in addition to the number of ISPs that provide connectivity.</t>
  </si>
  <si>
    <t>State how many Internet Service Providers (ISPs) provide connectivity to each data center where the institution's data will reside.</t>
  </si>
  <si>
    <t>Does every data center where the institution's data will reside have multiple telephone company or network provider entrances to the facility?</t>
  </si>
  <si>
    <t>State plans to implement diversity of path in your network provider connections.</t>
  </si>
  <si>
    <t>Provide a brief description for each datacenter.</t>
  </si>
  <si>
    <t>Do you require multifactor authentication for all administrative accounts in your environment?</t>
  </si>
  <si>
    <t>Describe plans to implement MFA.</t>
  </si>
  <si>
    <t>State which model of MFA you are using.</t>
  </si>
  <si>
    <t>2FA/MFA, implemented correctly, strengthens the security state of a system. 2FA/MFA is commonly implemented and in many use cases is a requirement for account protection purposes.</t>
  </si>
  <si>
    <t>Are you using your cloud provider's available hardening tools or pre-hardened images?</t>
  </si>
  <si>
    <t>Describe how you alternately harden your images.</t>
  </si>
  <si>
    <t>In the context of the CIA triad, this question is focused on the integrity of a system (or set of systems).</t>
  </si>
  <si>
    <t>Ask the solution provider about their system lifecycle practices and security methodology.</t>
  </si>
  <si>
    <t>Does your cloud solution provider have access to your encryption keys?</t>
  </si>
  <si>
    <t>Describe your key management practices.</t>
  </si>
  <si>
    <t>Are you utilizing a stateful packet inspection (SPI) firewall?*</t>
  </si>
  <si>
    <t>Describe any plans to implement a SPI firewall.</t>
  </si>
  <si>
    <t>Describe the currently implemented SPI firewall.</t>
  </si>
  <si>
    <t>The use case, vendor infrastructure, and types of services offered will greatly affect the need for various firewalling devices. The focus of this question is integrity, ensuring that the systems hosting institutional data are limited in need-only communications.</t>
  </si>
  <si>
    <t>Follow-up inquiries for firewall capabilities will be institution/implementation specific.</t>
  </si>
  <si>
    <t>Do you have a documented policy for firewall change requests?*</t>
  </si>
  <si>
    <t>Describe your plans to implement a documented policy for firewall change requests.</t>
  </si>
  <si>
    <t>Describe your documented firewall change request policy.</t>
  </si>
  <si>
    <t>In the context of the CIA triad, this question is focused on system integrity, ensuring that system changes are only executed by authorized users. Any change to a verified, known, secure environment should be carefully evaluated by stakeholders in a structured manner.</t>
  </si>
  <si>
    <t>Follow-up inquiries for firewall change requests will be institution/implementation specific.</t>
  </si>
  <si>
    <t>Have you implemented an intrusion detection system (network-based)?*</t>
  </si>
  <si>
    <t>Describe your plan to implement an intrusion detection system in your environment.</t>
  </si>
  <si>
    <t>Describe the currently implemented IDS.</t>
  </si>
  <si>
    <t>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t>
  </si>
  <si>
    <t>A security program with limited resources for event detection is not effective. Inquiries should include training for staff, reasoning behind not using IDS technologies, and how systems are monitored. Additional questions about a SIEM and other tool may be appropriate.</t>
  </si>
  <si>
    <t>Do you employ host-based intrusion detection?*</t>
  </si>
  <si>
    <t>Describe your plan to implement host-based intrusion detection system capabilities in your environment.</t>
  </si>
  <si>
    <t>Describe the currently implemented host-based IDS solution(s).</t>
  </si>
  <si>
    <t>Ask the solution provider to summarize why host-based intrusion detection tools are not implemented in their environment. What compensating controls are in place to detect configuration changes and/or failures of integrity?</t>
  </si>
  <si>
    <t>Are audit logs available for all changes to the network, firewall, IDS, and IPS systems?*</t>
  </si>
  <si>
    <t>State plans to implement auditing capabilities for your network, firewall, IDS, and/or IPS.</t>
  </si>
  <si>
    <t>Describe your current network systems logging strategy.</t>
  </si>
  <si>
    <t>Strong logging capabilities are vital to the proper management of a network. Implementing an immature system that lacks sufficient logging capabilities exposes an institution to great risk.</t>
  </si>
  <si>
    <t>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t>
  </si>
  <si>
    <t>Is authority for firewall change approval documented? Please list approver names or titles in Additional Info.</t>
  </si>
  <si>
    <t>Describe how firewall changes are approved.</t>
  </si>
  <si>
    <t>List approver names or titles.</t>
  </si>
  <si>
    <t>Modifications to firewall rule sets can have significant repercussions. To ensure the integrity of the rule set, this question targets the individual (or responsible party) for changes and the reasoning behind their authority.</t>
  </si>
  <si>
    <t>Ensure that a separation of duties exists in network security configurations. Pay close attention to responsibility overlap in small organizations, where staff often fill multiple roles.</t>
  </si>
  <si>
    <t>Have you implemented an intrusion prevention system (network-based)?</t>
  </si>
  <si>
    <t>Describe your plan to implement an intrusion prevention system in your environment.</t>
  </si>
  <si>
    <t>Describe the currently implemented IPS.</t>
  </si>
  <si>
    <t>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t>
  </si>
  <si>
    <t>A security program with limited resources for active prevention is inefficient. Inquiries should include training for staff, reasoning behind not using IPS technologies, and how systems are actively protected and how malicious activity is stopped.</t>
  </si>
  <si>
    <t>Do you employ host-based intrusion prevention?</t>
  </si>
  <si>
    <t>Describe your plan to implement host-based intrusion prevention system capabilities in your environment.</t>
  </si>
  <si>
    <t>Describe the currently implemented host-based IPS solution(s).</t>
  </si>
  <si>
    <t>Ask the solution provider to summarize why host-based intrusion prevention tools are not implemented in their environment. What compensating controls are in place to detect malicious activity and to actively prevent its function?</t>
  </si>
  <si>
    <t>Are you employing any next-generation persistent threat (NGPT) monitoring?</t>
  </si>
  <si>
    <t>Describe your intent to implement NGPT monitoring.</t>
  </si>
  <si>
    <t>Describe your NGPT monitoring strategy.</t>
  </si>
  <si>
    <t>This question is primarily focused on determining the maturity of a solution provider's security program and their ability to implement and operate cutting-edge technologies. Investment in advanced technologies may indicate appropriate security program capabilities.</t>
  </si>
  <si>
    <t>Follow-up inquiries for next-generation persistent threat monitoring will be institution/implementation specific.</t>
  </si>
  <si>
    <t>Is intrusion monitoring performed internally or by a third-party service?</t>
  </si>
  <si>
    <t>In addition to stating your intrusion monitoring strategy, provide a brief summary of its implementation.</t>
  </si>
  <si>
    <t>This question is primarily focused on the capability of a solution provider's security program. Understanding the size and skillsets of a solution provider (taken from other responses) is needed to determine the appropriateness of the solution provider's response to this question.</t>
  </si>
  <si>
    <t>Follow-up inquiries for intrusion monitoring will be institution/implementation specific.</t>
  </si>
  <si>
    <t>Do you monitor for intrusions on a 24 x 7 x 365 basis?</t>
  </si>
  <si>
    <t>State plans to implement 24 x 7 x 365 intrusion monitoring in your environment(s).</t>
  </si>
  <si>
    <t>Provide a brief summary of this activity.</t>
  </si>
  <si>
    <t>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t>
  </si>
  <si>
    <t>Follow-up inquiries for 24 x 7 x 365 monitoring will be institution/implementation specific.</t>
  </si>
  <si>
    <t>Do you have a documented patch management process?*</t>
  </si>
  <si>
    <t>In the context of the CIA triad, this question is focused on system integrity, ensuring that system changes are only executed according to policy. Additionally, it is expected that devices used to access the solution provider's systems are properly managed and secured.</t>
  </si>
  <si>
    <t>Follow up with a robust question set if the solution provider cannot clearly state full control of their system patching strategy. Questions about patch testing, testing environments, threat mitigation, incident remediation, etc., are appropriate.</t>
  </si>
  <si>
    <t>Can your organization comply with institutional policies on privacy and data protection with regard to users of institutional systems, if required?*</t>
  </si>
  <si>
    <t>Summarize why you will not comply with the institution's IT policy with regards to user privacy and data protection.</t>
  </si>
  <si>
    <t>State that you have reviewed the institution's IT policies with regards to user privacy and data protection.</t>
  </si>
  <si>
    <t>This is a general inquiry to determine if the solution provider has reviewed the institution's policies and is committed to complying with them.</t>
  </si>
  <si>
    <t>If a solution provider is vague in their response, follow up with direct questions about the institution's policies and ensure the expectation of compliance is clear with the solution provider.</t>
  </si>
  <si>
    <t>Is your company subject to the institution's geographic region's laws and regulations?*</t>
  </si>
  <si>
    <t>State the country that governs and regulates your company.</t>
  </si>
  <si>
    <t>This is a general inquiry to determine if the solution provider is well-versed in applicable laws and regulations that apply in the institution's region of business operation.</t>
  </si>
  <si>
    <t>If a solution provider is vague in their response, follow up with direct questions about doing business in your state/region/country and any laws that are pertinent to the institution.</t>
  </si>
  <si>
    <t>Can you accommodate encryption requirements using open standards?</t>
  </si>
  <si>
    <t>Do you have a documented systems development life cycle (SDLC)?</t>
  </si>
  <si>
    <t>State any plans to implement an SDLC.</t>
  </si>
  <si>
    <t>Briefly summarize your SDLC or provide a link or attachment.</t>
  </si>
  <si>
    <t>Mature solution lifecycle management can position a solution provider to sufficiently plan, implement, and manage systems that better protect institutional data.</t>
  </si>
  <si>
    <t>Although withdrawn by NIST, the Security Considerations in the Systems Development Life Cycle (SP 800-64r2) document is an excellent resource to provide guidance to solution providers (i.e., set expectations). Follow-up questions to SDLC use will be institution/implementation specific.</t>
  </si>
  <si>
    <t>Do you perform background screenings or multi-state background checks on all employees prior to their first day of work?</t>
  </si>
  <si>
    <t>State plans to implement background check elements into your hiring process.</t>
  </si>
  <si>
    <t>Summarize your background check practices.</t>
  </si>
  <si>
    <t>The use of detective and preventive controls in the hiring process serves a valuable role in protecting institutional data. As these are often HR documented policies, a solution provider should have their practices well-documented and ready for review, upon request.</t>
  </si>
  <si>
    <t>Ask the solution provider if background checks and/or screening are conducted in any capacity, at any time during the employment period. Ask about the precautions they take to ensure the intellectual property is secured and inquire if user data is treated in an appropriate manner.</t>
  </si>
  <si>
    <t>Do you require new employees to fill out agreements and review policies?</t>
  </si>
  <si>
    <t>Summarize why new employees are not required to accept agreements or review policy.</t>
  </si>
  <si>
    <t>Summarize the required agreements and reviewed policies.</t>
  </si>
  <si>
    <t>Setting the expectation of performance and increasing awareness of security-related responsibilities are part of these initial-hiring documents. Oftentimes these agreements and reviews are conducted during orientation for new employees.</t>
  </si>
  <si>
    <t>If a solution provider's practices are not clear, inquire about training requirements for employees, especially the frequency and scope of content.</t>
  </si>
  <si>
    <t>Do you have a documented information security policy?</t>
  </si>
  <si>
    <t>State plans to implement information security policy at your company.</t>
  </si>
  <si>
    <t>Provide a reference to your information security policy or submit documentation with this fully populated HECVAT.</t>
  </si>
  <si>
    <t>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t>
  </si>
  <si>
    <t>If the solution provider does not have an incident response plan, point them to the NIST Computer Security Incident Handling Guide &lt;https://csrc.nist.gov/publications/detail/sp/800-61/rev-2/final&gt;.</t>
  </si>
  <si>
    <t>Are information security principles designed into the product lifecycle?</t>
  </si>
  <si>
    <t>State why security principles are not designed into the product lifecycle.</t>
  </si>
  <si>
    <t>Summarize the information security principles designed into the product lifecycle.</t>
  </si>
  <si>
    <t>Will you comply with applicable breach notification laws?</t>
  </si>
  <si>
    <t>Summarize why you will not comply with applicable breach notification laws.</t>
  </si>
  <si>
    <t>State how quickly the institution will be notified of a data breach or security incident.</t>
  </si>
  <si>
    <t>Do you have an information security awareness program?</t>
  </si>
  <si>
    <t>State plans to implement an information security awareness program.</t>
  </si>
  <si>
    <t>Summarize your information security awareness program.</t>
  </si>
  <si>
    <t>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t>
  </si>
  <si>
    <t>Follow-up inquiries for information security awareness programs will be institution/implementation specific.</t>
  </si>
  <si>
    <t>Is security awareness training mandatory for all employees?</t>
  </si>
  <si>
    <t>State plans to make security awareness training mandatory for all employees.</t>
  </si>
  <si>
    <t>Summarize your security awareness training content and state how frequently employees are required to undergo security awareness training.</t>
  </si>
  <si>
    <t>Do you have process and procedure(s) documented, and currently followed, that require a review and update of the access list(s) for privileged accounts?</t>
  </si>
  <si>
    <t>Describe plans to implement privileged account access list reviews to your environment.</t>
  </si>
  <si>
    <t>Provide a brief summary and the implement review interval.</t>
  </si>
  <si>
    <t>Protecting privileged accounts is crucial to maintaining system integrity in any environment. This question is targeting privilege creep and unmanaged privileged accounts to determine if the solution provider properly manages access control in their application/system environments.</t>
  </si>
  <si>
    <t>Ask the solution provider to summarize their implemented policies and/or procedures.</t>
  </si>
  <si>
    <t>Do you have documented, and currently implemented, internal audit processes and procedures?</t>
  </si>
  <si>
    <t>State plans to document and implement internal audit process and procedure in your environment.</t>
  </si>
  <si>
    <t>Summarize your internal audit processes and procedures.</t>
  </si>
  <si>
    <t>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t>
  </si>
  <si>
    <t>Follow-up inquiries for internal audit processes and procedures will be institution/implementation specific.</t>
  </si>
  <si>
    <t>Does your organization have physical security controls and policies in place?</t>
  </si>
  <si>
    <t>Describe your intent to implement physical security controls and policies.</t>
  </si>
  <si>
    <t>Provide a copy of your physical security controls and policies along with this document (link or attached).</t>
  </si>
  <si>
    <t>This question aims to understand the physical security state of the solution provider's operating environment and whether or not physical assets are appropriately protected.</t>
  </si>
  <si>
    <t>Follow-up inquiries for physical security controls and policies will be institution/implementation specific.</t>
  </si>
  <si>
    <t>Do you have a formal incident response plan?</t>
  </si>
  <si>
    <t>State plans to formalize an incident response plan.</t>
  </si>
  <si>
    <t>Summarize or provide a link to your formal incident response plan.</t>
  </si>
  <si>
    <t>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t>
  </si>
  <si>
    <t>If the solution provider does not have an incident response plan, direct them to the NIST Computer Security Incident Handling Guide &lt;https://csrc.nist.gov/publications/detail/sp/800-61/rev-2/final&gt;.</t>
  </si>
  <si>
    <t>Do you either have an internal incident response team or retain an external team?</t>
  </si>
  <si>
    <t>Describe your timeline for implementing such a process for response and reporting.</t>
  </si>
  <si>
    <t>Summarize your incident response and reporting processes.</t>
  </si>
  <si>
    <t>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</si>
  <si>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Do you have the capability to respond to incidents on a 24 x 7 x 365 basis?</t>
  </si>
  <si>
    <t>State plans for acquiring internal resources or an external team.</t>
  </si>
  <si>
    <t>Summarize your internal approach or reference your third-party contractor.</t>
  </si>
  <si>
    <t>The incident team structure (internal vs. external), size, and capabilities of a solution provider have a significant impact on their ability to respond to and protect an institution's data. Use the knowledge of this response when evaluating other solution provider statements.</t>
  </si>
  <si>
    <t>If the solution provider does not have an incident response team, direct them to the NIST Computer Security Incident Handling Guide &lt;https://csrc.nist.gov/publications/detail/sp/800-61/rev-2/final&gt;.</t>
  </si>
  <si>
    <t>Do you carry cyber-risk insurance to protect against unforeseen service outages, data that is lost or stolen, and security incidents?</t>
  </si>
  <si>
    <t>State plans to implement coverage in the future or how you can provide breach/liability coverage to the institution without it.</t>
  </si>
  <si>
    <t>Describe the coverage in place for this solution.</t>
  </si>
  <si>
    <t>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t>
  </si>
  <si>
    <t>Are your systems and applications scanned with an authenticated user account for vulnerabilities (that are remediated) prior to new releases?*</t>
  </si>
  <si>
    <t>Describe plans to implement application vulnerability scanning (and remediation) prior to release.</t>
  </si>
  <si>
    <t>Provide a brief description.</t>
  </si>
  <si>
    <t>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t>
  </si>
  <si>
    <t>Ask if there are plans to implement these processes. Ask the solution provider to summarize their decision behind not scanning their applications for vulnerabilities prior to release.</t>
  </si>
  <si>
    <t>Will you provide results of application and system vulnerability scans to the institution?*</t>
  </si>
  <si>
    <t>Describe why security scan results will not be provided to the institution.</t>
  </si>
  <si>
    <t>Provide a reference to security scan documentation.</t>
  </si>
  <si>
    <t>If a solution provider is scanning its applications and/or systems, oftentimes an institution will want to review the report, if possible. Preferably, any finding on the reports will have a matching mitigation action.</t>
  </si>
  <si>
    <t>If a solution provider is hesitant to share the report, ask for a summarized version; some insight is better than none.</t>
  </si>
  <si>
    <t>Will you allow the institution to perform its own vulnerability testing and/or scanning of your systems and/or application, provided that testing is performed at a mutually agreed upon time and date?*</t>
  </si>
  <si>
    <t>Provide a brief summary for your response.</t>
  </si>
  <si>
    <t>Provide reference to the process or procedure to set up security testing times and scopes.</t>
  </si>
  <si>
    <t>Many higher education institutions are capable of performing vulnerability assessments and/or penetration testing on their solution providers' infrastructures. This question confirms the possibility of conducting these actions against the solution provider's infrastructure.</t>
  </si>
  <si>
    <t>Follow-up inquiries for vulnerability scanning and penetration testing will be institution/implementation specific.</t>
  </si>
  <si>
    <t>Have your systems and applications had a third-party security assessment completed in the last year?</t>
  </si>
  <si>
    <t>State plans to have your systems and applications assessed by a third party.</t>
  </si>
  <si>
    <t>Provide the results with this document (link or attached), if possible. State the date of the last completed third-party security assessment.</t>
  </si>
  <si>
    <t>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</si>
  <si>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Ask if there has ever been a vulnerability scan. A short lapse in external assessment validity can be understood (if there is a planned assessment), but a significant time lapse or no scan whatsoever is cause for elevated levels of concern.</t>
  </si>
  <si>
    <t>Do you regularly scan for common web application security vulnerabilities (e.g., SQL injection, XSS, XSRF, etc.)?</t>
  </si>
  <si>
    <t>Ensure that all elements of VULN-05 are clearly stated in your response.</t>
  </si>
  <si>
    <t>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t>
  </si>
  <si>
    <t>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t>
  </si>
  <si>
    <t>Are your systems and applications regularly scanned externally for vulnerabilities?</t>
  </si>
  <si>
    <t>Describe any plans to implement external vulnerability scanning for your applications.</t>
  </si>
  <si>
    <t>Describe your external application vulnerability scanning strategy.</t>
  </si>
  <si>
    <t>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t>
  </si>
  <si>
    <t>If "no," inquire if there has ever been a vulnerability scan. A short lapse in external assessment validity can be understood (if there is a planned assessment), but a significant time lapse or no scan whatsoever is cause for elevated levels of concern.</t>
  </si>
  <si>
    <t>Do your workforce members receive regular training related to the Health Insurance Portability and Accountability Act (HIPAA) Privacy and Security Rules and the HITECH Act?*</t>
  </si>
  <si>
    <t>Case-specific</t>
  </si>
  <si>
    <t>If REQU-05 is no, populate solution provider answer with B6 in Auto Responses tab</t>
  </si>
  <si>
    <t>Refer to HIPAA regulations documentation for supplemental guidance in this section.</t>
  </si>
  <si>
    <t>HIPAA</t>
  </si>
  <si>
    <t>Refer to HIPAA documentation or your institution's Chief HIPAA Security Officer.</t>
  </si>
  <si>
    <t>Have you identified areas of risk?*</t>
  </si>
  <si>
    <t>Have the relevant policies/plans been tested?*</t>
  </si>
  <si>
    <t>Have you entered into a Business Associate Agreements with all subcontractors who may have access to protected health information (PHI)?*</t>
  </si>
  <si>
    <t>Do you monitor or receive information regarding changes in HIPAA regulations?</t>
  </si>
  <si>
    <t>Has your organization designated HIPAA Privacy and Security officers as required by the rules?</t>
  </si>
  <si>
    <t>Do you comply with the requirements of the Health Information Technology for Economic and Clinical Health Act (HITECH)?</t>
  </si>
  <si>
    <t>Have you conducted a risk analysis as required under the HIPAA Security Rule?</t>
  </si>
  <si>
    <t>Have you taken actions to mitigate the identified risks?</t>
  </si>
  <si>
    <t>Does your application require user and system administrator password changes at a frequency no greater than 90 days?</t>
  </si>
  <si>
    <t>Does your application require users to set their own password after an administrator reset or on first use of the account?</t>
  </si>
  <si>
    <t>Does your application lock out an account after a number of failed login attempts?</t>
  </si>
  <si>
    <t>Does your application automatically lock or log-out an account after a period of inactivity?</t>
  </si>
  <si>
    <t>Are passwords visible in plain text, whether when stored or entered, including service level accounts (i.e., database accounts, etc.)?</t>
  </si>
  <si>
    <t>If the application is institution-hosted, can all service level and administrative account passwords be changed by the institution?</t>
  </si>
  <si>
    <t>Does your application provide the ability to define user access levels?</t>
  </si>
  <si>
    <t>Does your application support varying levels of access to administrative tasks defined individually per user?</t>
  </si>
  <si>
    <t>Does your application support varying levels of access to records based on user ID?</t>
  </si>
  <si>
    <t>Is there a limit to the number of groups to which a user can be assigned?</t>
  </si>
  <si>
    <t>Do accounts used for solution provider-supplied remote support abide by the same authentication policies and access logging as the rest of the system?</t>
  </si>
  <si>
    <t>Does the application log record access including specific user, date/time of access, and originating IP or device?</t>
  </si>
  <si>
    <t>Does the application log administrative activity, such as user account access changes and password changes, including specific user, date/time of changes, and originating IP or device?</t>
  </si>
  <si>
    <t>Do you retain logs for at least as long as required by HIPAA regulations?</t>
  </si>
  <si>
    <t xml:space="preserve">List how long you retain relevant logs. </t>
  </si>
  <si>
    <t>Can the application logs be archived?</t>
  </si>
  <si>
    <t>Can the application logs be saved externally?</t>
  </si>
  <si>
    <t>Do you have a disaster recovery plan and emergency mode operation plan?</t>
  </si>
  <si>
    <t>Can you provide a HIPAA compliance attestation document?</t>
  </si>
  <si>
    <t>Are you willing to enter into a Business Associate Agreement (BAA)?</t>
  </si>
  <si>
    <t>Do your data backup and retention policies and practices meet HIPAA requirements?</t>
  </si>
  <si>
    <t>Do you have a current, executed within the past year, Attestation of Compliance (AoC) or Report on Compliance (RoC)?*</t>
  </si>
  <si>
    <t>If REQU-06 is no, populate solution provider answer with B7 in Auto Responses tab</t>
  </si>
  <si>
    <t>Refer to PCI DSS Security Standards for supplemental guidance in this section</t>
  </si>
  <si>
    <t>PCI DSS</t>
  </si>
  <si>
    <t>Refer to PCI DSS documentation or your institution's treasurer's office.</t>
  </si>
  <si>
    <t>Is the application listed as an approved Payment Application Data Security Standard (PA-DSS) application?*</t>
  </si>
  <si>
    <t>Does the system or solutions use a third party to collect, store, process, or transmit cardholder (payment/credit/debt card) data?*</t>
  </si>
  <si>
    <t>Do your systems or solutions store, process, or transmit cardholder (payment/credit/debt card) data?</t>
  </si>
  <si>
    <t>Are you compliant with the Payment Card Industry Data Security Standard (PCI DSS)?</t>
  </si>
  <si>
    <t>Are you classified as a service provider?</t>
  </si>
  <si>
    <t>Are you on the list of Visa approved service providers?</t>
  </si>
  <si>
    <t>Are you classified as a merchant? If so, what level (1, 2, 3, 4)?</t>
  </si>
  <si>
    <t>Describe the architecture employed by the system to verify and authorize credit card transactions.</t>
  </si>
  <si>
    <t>What payment processors/gateways does the system support?</t>
  </si>
  <si>
    <t>Can the application be installed in a PCI DSS–compliant manner?</t>
  </si>
  <si>
    <t>Include documentation describing the system's abilities to comply with the PCI DSS and any features or capabilities of the system that must be added or changed in order to operate in compliance with the standards.</t>
  </si>
  <si>
    <t>Do you support role-based access control (RBAC) for system administrators?</t>
  </si>
  <si>
    <t>If REQU-07 is no, populate solution provider answer with B8 in Auto Responses tab</t>
  </si>
  <si>
    <t>Describe any limitations to your roles-based approach.</t>
  </si>
  <si>
    <t>Describe your RBAC.</t>
  </si>
  <si>
    <t>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t>
  </si>
  <si>
    <t>Ask the solution provider to summarize the best practices for securing their system(s) administratively without the use of RBAC. Make sure to understand the administrative requirements/overhead introduced in the solution provider's environment.</t>
  </si>
  <si>
    <t>Can your employees access customer systems remotely?</t>
  </si>
  <si>
    <t>Describe the tools and technical controls implemented to secure remote access.</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</si>
  <si>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</si>
  <si>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Ask the solution provider to summarize the reasoning behind this business process and request additional documentation that outlines the security controls implemented to safeguard institutional data.</t>
  </si>
  <si>
    <t>Can you provide overall system and/or application architecture diagrams including a full description of the data communications architecture for all components of the system?</t>
  </si>
  <si>
    <t>State any plans to provide system and/or application architecture diagrams.</t>
  </si>
  <si>
    <t>Provide a reference to the requested documents or provide them when submitting this fully populated HECVAT.</t>
  </si>
  <si>
    <t>Many systems can be used a variety of ways. We want these implementation type diagrams so that we can understand the "real" use of the solution.</t>
  </si>
  <si>
    <t>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t>
  </si>
  <si>
    <t>Do you require remote management of the system?</t>
  </si>
  <si>
    <t>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t>
  </si>
  <si>
    <t>If you answered "yes" to OPEM-04, are your remote actions and changes logged or otherwise visible to the campus?</t>
  </si>
  <si>
    <t>Describe how these logs are made available.</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</si>
  <si>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t>
  </si>
  <si>
    <t>If a weak response is given to this answer, it is appropriate to ask directed answers to get specific information. Ensure that questions are targeted to ensure responses will come from the appropriate party within the solution provider.</t>
  </si>
  <si>
    <t>If you maintain remote access to the system, will you handle data in a FERPA-compliant manner?</t>
  </si>
  <si>
    <t>State plans to handle data in a FERPA-compliant manner.</t>
  </si>
  <si>
    <t>Describe how FERPA compliance is integrated into your process and procedures.</t>
  </si>
  <si>
    <t>This is standard documentation, relevant to institution implementations requiring FERPA compliance.</t>
  </si>
  <si>
    <t>Follow-up inquiries for FERPA compliance details will be institution/implementation specific.</t>
  </si>
  <si>
    <t>Do you support campus status monitoring through SNMPv3 or other means?</t>
  </si>
  <si>
    <t>Describe your plans to support monitoring.</t>
  </si>
  <si>
    <t>Please describe your monitoring support.</t>
  </si>
  <si>
    <t>Standard documentation question. With an on-premise device, the possibility to tie-in with existing monitoring/management systems is beneficial. The solution provider's response should be clear and concise.</t>
  </si>
  <si>
    <t>Follow-up inquiries for monitoring via SNMPv3 will be institution/implementation specific.</t>
  </si>
  <si>
    <t>Describe or provide a reference to any other safeguards used to monitor for malicious activity.</t>
  </si>
  <si>
    <t>Please detail your monitoring strategy</t>
  </si>
  <si>
    <t>This question is primarily focused on system(s) integrity and confidentiality. The solution provider's response should clearly state the system(s) capabilities to properly monitor for (and alert for) malicious activity.</t>
  </si>
  <si>
    <t>Follow-up inquiries for system monitoring will be institution/implementation specific.</t>
  </si>
  <si>
    <t>Describe how long your organization has conducted business in this area.</t>
  </si>
  <si>
    <t>Include the number of years and in what capacity.</t>
  </si>
  <si>
    <t>We want to establish longevity of a solution and whether or not a solution provider is new to the higher education space.</t>
  </si>
  <si>
    <t>Normally a solution provider will state their overall longevity but not talk about the software/service/product under evaluation. Follow-ups includes specific questions about the origins of the software/service/product and references will be requested.</t>
  </si>
  <si>
    <t>Do you have existing higher education customers?</t>
  </si>
  <si>
    <t>State your primary industry.</t>
  </si>
  <si>
    <t>Provide a list of higher education references, with contact information.</t>
  </si>
  <si>
    <t>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t>
  </si>
  <si>
    <t>A simple "yes" without any references or supporting information should be questioned. Question the size of institutions that are using the solution and the scope of their implementations.</t>
  </si>
  <si>
    <t>Does your solution process FERPA-related data?</t>
  </si>
  <si>
    <t>FERPA-related data includes any data maintained by (or on behalf of) the institution that is directly related to an identifiable student.</t>
  </si>
  <si>
    <t>Provide documentation on the types of FERPA data you process and for what purpose, including data unrelated to service delivery such as marketing.</t>
  </si>
  <si>
    <t>This question will help the institution gain an understanding of the types of data processed by this product or service.</t>
  </si>
  <si>
    <t>Will data be re-disclosed and/or used for any purpose other than directly providing the service, including quality assurance or marketing?</t>
  </si>
  <si>
    <t>Does your solution process GDPR-related or PIPL-related data?</t>
  </si>
  <si>
    <t>GDPR data includes any data related to an identified or identifiable natural person physically located in the European Economic Area (EEA).
PIPL-related data includes any personal data related to an identified or identifiable person located in the People's Republic of China (PRC)</t>
  </si>
  <si>
    <t>Provide documentation of any processes or policies that address compliance with GDPR and/or PIPL as appropriate.</t>
  </si>
  <si>
    <t>Does your solution process personal data regulated by state law(s) (e.g., CCPA)?</t>
  </si>
  <si>
    <t>Provide documentation of any processes or policies that address compliance with applicable state laws.</t>
  </si>
  <si>
    <t>Does your solution process user-provided data that may contain regulated information?</t>
  </si>
  <si>
    <t>Identify any applicable regulations and provide documentation of any processes or policies that address compliance with each.</t>
  </si>
  <si>
    <t>Web Link to Product/Service Privacy Notice</t>
  </si>
  <si>
    <t>If multiple notices are implicated, provide all that apply. If any other documents are incorporated by reference, provide them as well.</t>
  </si>
  <si>
    <t>To ensure transparency and verify the vendor provides accessible privacy documentation that institutions can review and share with stakeholders.</t>
  </si>
  <si>
    <t>Please provide the direct URL to your privacy policy and confirm how frequently it is reviewed and updated.</t>
  </si>
  <si>
    <t>Have you had a personal data breach in the past three years that involved reporting to a governmental agency, notice to individuals (including voluntary notice), or notice to another organization or institution?*</t>
  </si>
  <si>
    <t>Please provide details as to the nature of the breach and the remediation conducted.</t>
  </si>
  <si>
    <t>Having a previous data breach can indicate a level of risk that will indicate that the institution should further investigate changes made after the breach.</t>
  </si>
  <si>
    <t>Use this area to share information about your privacy practices that will assist those who are assessing your company data privacy program.*</t>
  </si>
  <si>
    <t>Share any additional details that would help data privacy analysts assess your solution.</t>
  </si>
  <si>
    <t>To gather voluntary disclosures that provide additional context beyond required responses, helping assessors understand the vendor's privacy culture and proactive commitment to data protection.</t>
  </si>
  <si>
    <t>Have you had any violations of your internal privacy policies or violations of applicable privacy law in the past 36 months?</t>
  </si>
  <si>
    <t xml:space="preserve">Provide documentation about the nature of the violation(s) and any remediative action taken.
</t>
  </si>
  <si>
    <t>This question solicits information about internal privacy policy violations and/or violations of applicable privacy law in the past three years.</t>
  </si>
  <si>
    <t>Do you have a dedicated data privacy staff or office?</t>
  </si>
  <si>
    <t>This can include another office, such as information security, dedicated to privacy protection.</t>
  </si>
  <si>
    <t>Describe who is responsible for data privacy, including department, size, talents, resources, etc.</t>
  </si>
  <si>
    <t>Describe your data privacy office, including size, talents, resources, etc.</t>
  </si>
  <si>
    <t>Any solution provider processing protected student data should have resources/staff dedicated to the protection of the data.</t>
  </si>
  <si>
    <t>If you have completed a SOC 2 audit, does it include the Privacy Trust Service Principle?</t>
  </si>
  <si>
    <t>SOC 2 Type II audits can be conducted for any or all of five trust principles (confidentiality, integrity, availability, security, and privacy). Answer "yes" if your audit included the privacy principle.</t>
  </si>
  <si>
    <t>If your SOC2 Type II audit does not include the Privacy Trust Service Principle, please explain why it was not included at this time, and provide any plans to include it in future SOC 2 audits. 
If the Privacy Trust Service Principle was not (or will not be) included in the SOC 2 audit, please provide an overview of any other reviews your organization conducts that might address the Privacy Trust Principles.</t>
  </si>
  <si>
    <t>Please indicate whether your organization will allow clients to review current SOC 2 Type II reports and, if so, how the reports will be made available in a timely manner.</t>
  </si>
  <si>
    <t>This is specifically asking for the Privacy Trust Service Principle, which is not always included in a SOC 2 audit.</t>
  </si>
  <si>
    <t>Do you conform with a specific industry-standard privacy framework (e.g., NIST Privacy Framework, GDPR, ISO 27701)?</t>
  </si>
  <si>
    <t>Standard privacy frameworks help organizations enhance data protection, mitigate privacy risks, and demonstrate compliance with appropriate industry and regulatory standards. This is particularly important when providing services in different jurisdictions.</t>
  </si>
  <si>
    <t>Please provide any plans to conform with one or more of the industry-standard frameworks, including anticipated timelines, and indicate which framework(s) will be used.</t>
  </si>
  <si>
    <t>Indicate which framework(s) are followed; provide documentation on how your organization conforms to your chosen framework(s) and indicate current certification levels, where appropriate.</t>
  </si>
  <si>
    <t>Conformance with industry privacy frameworks can demonstrate an organization's privacy posture and can provide clients a sense of comfort as to the organization's commitment to protection of personal data.</t>
  </si>
  <si>
    <t>If the organization relies on more than one framework or only on portions of a framework, has this been mapped to the Security Controls Framework? If so, please provide a copy of the mapping used.</t>
  </si>
  <si>
    <t>Does your employee onboarding and offboarding policy include training of employees on information security and data privacy?</t>
  </si>
  <si>
    <t>Please provide any plans to develop and implement appropriate employee training as part of onboarding and offboarding.
If no plans currently exist, please provide information on any compensating measures your organization takes to address this issue.</t>
  </si>
  <si>
    <t>Provide an overview of your organization's relevant onboarding/offboarding policy and employee training on information security and privacy.</t>
  </si>
  <si>
    <t>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t>
  </si>
  <si>
    <t>If training is provided to specific employee groups only, please provide information as to which groups and an overview of the training for each group.</t>
  </si>
  <si>
    <t>Do you have contractual agreements with third parties that require them to maintain standards and to comply with all regulatory requirements?*</t>
  </si>
  <si>
    <t>Inclusion of language in contractual agreements ensures third parties are aware of and have agreed to their obligations to maintain standards and comply with all regulatory requirements in regards to protection of personal data they handle on behalf of your organization.</t>
  </si>
  <si>
    <t>State your plans to ensure appropriate language is included in new and renewed contracts. State how your organization ensures that third parties maintain standards and comply with all regulatory requirements without contractual agreements to do so.</t>
  </si>
  <si>
    <t>Provide a summary of the contractual language used and your processes for ensuring appropriate language is regularly reviewed and is included in both new and renewed agreements.</t>
  </si>
  <si>
    <t>Inclusion of language in contractual agreements ensures third parties are aware of and have agreed to their obligations to maintain standards and comply with all regulatory requirements in regards to protection of personal data they handle on behalf of the organization.</t>
  </si>
  <si>
    <t>Do you perform privacy impact assessments of third parties that collect, process, or have access to personal data to ensure they meet industry and regulatory standards and to mitigate harmful, unethical, or discriminatory impacts on data subjects?</t>
  </si>
  <si>
    <t>Privacy impact assessments ensure that third-party collection, processing, or access to personal data aligns with and supports your organization's own efforts and commitments to clients. This is particularly important when a specific third party operates from or is subject to a jurisdiction different from that of your organization.</t>
  </si>
  <si>
    <t>State your plans to perform data privacy assessments of third parties, including anticipated timelines and remediations if existing third parties cannot maintain or ensure privacy and security of client data entrusted to your organization.</t>
  </si>
  <si>
    <t>Provide a summary of your practices that assures that the third party will be subject to the appropriate standards regarding data privacy.</t>
  </si>
  <si>
    <t>The organization providing a product or service cannot reasonably claim it appropriately protects privacy of information entrusted to it if it relies on third parties or subprocessors that do not likewise meet or exceed the claimed levels of protection.</t>
  </si>
  <si>
    <t>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t>
  </si>
  <si>
    <t>Does your change management process include privacy review and approval?</t>
  </si>
  <si>
    <t>The change management process minimizes disruption and maximizes benefits and should contain a privacy review process.</t>
  </si>
  <si>
    <t>Please describe your process for privacy review.</t>
  </si>
  <si>
    <t>It is important that change management not overlook any privacy considerations.</t>
  </si>
  <si>
    <t>If the answer is yes, describe the process; if the answer is no, describe plans to implement.</t>
  </si>
  <si>
    <t>Do you have policy and procedure, currently implemented, guiding how privacy risks are mitigated until they can be resolved?</t>
  </si>
  <si>
    <t>Policy and procedure should include specific steps to take in the process of mitigating privacy risks.</t>
  </si>
  <si>
    <t>Please provide an overview of privacy risk mitigation.</t>
  </si>
  <si>
    <t>It is important to have a procedure in place to mitigate privacy risks as they come up.</t>
  </si>
  <si>
    <t>Do you collect, process, or store demographic information?*</t>
  </si>
  <si>
    <t>Demographic information is generally defined as the statistical characteristics of a population used to study and understand certain aspects of that population. It can include characteristics such as age, gender, ethnicity, education, religion, geolocation, and occupation. If the information being collected, processed, or stored falls under a particular regulation (or law), check that regulation for a specific definition of demographic information.</t>
  </si>
  <si>
    <t>Describe which demographic information you handle and the source of the requirements, if applicable.</t>
  </si>
  <si>
    <t>This data can be included in data sets that are deidentified but is sensitive data that could be reidentified if paired with other data points.</t>
  </si>
  <si>
    <t>Because of the nature of such data, it is important to have a full understanding of how the data is used and protected.</t>
  </si>
  <si>
    <t>Do you capture or create genetic, biometric, or behaviometric information (e.g., facial recognition or fingerprints)?*</t>
  </si>
  <si>
    <t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t>
  </si>
  <si>
    <t>Briefly summarize your use of such information and the protection thereof.</t>
  </si>
  <si>
    <t>Do you combine institutional data (including "de-identified," "anonymized," or otherwise masked data) with personal data from any other sources?*</t>
  </si>
  <si>
    <t>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t>
  </si>
  <si>
    <t>Describe the other sources and provide a list of elements, including any keys that connect the datasets.</t>
  </si>
  <si>
    <t>To identify potential re-identification risks and ensure the vendor doesn't merge institutional data with external datasets in ways that could compromise privacy protections or violate data use restrictions.</t>
  </si>
  <si>
    <t>If yes, describe what types of external data sources are combined with institutional data and for what purposes.</t>
  </si>
  <si>
    <t>Is institutional data coming into or going out of the United States at any point during collection, processing, storage, or archiving?</t>
  </si>
  <si>
    <t>Given the vast number of privacy regulations and laws throughout the world, it is important to know when, where, why, and how institutional data is being shared outside the United States. This information is necessary to ensure compliance and to protect the institutional data.</t>
  </si>
  <si>
    <t>Describe where and whether you comply with the laws of that jurisdiction.</t>
  </si>
  <si>
    <t>To assess cross-border data transfer risks and ensure compliance with international privacy regulations including GDPR, data localization requirements, and data sovereignty considerations.</t>
  </si>
  <si>
    <t>If yes, identify which countries data flows to/from and what safeguards are in place (e.g., Standard Contractual Clauses, adequacy decisions).</t>
  </si>
  <si>
    <t>Do you capture device information (e.g., IP address, MAC address)?</t>
  </si>
  <si>
    <t>Device information can be captured for a variety of reasons, from analytics to marketing to network management and security. It is important to know the details in order to be clear on the privacy implications.</t>
  </si>
  <si>
    <t>Describe what information you collect and the reason for collecting it.</t>
  </si>
  <si>
    <t>This question can clarify whether there are any indirect identifiers that don't appear to be readily identifiable but that could be identifiable in the event of unauthorized access or use.</t>
  </si>
  <si>
    <t>Does any part of this service/project involve a web/app tracking component (e.g., use of web-tracking pixels, cookies)?</t>
  </si>
  <si>
    <t>Web tracking can be used to identify users via their IP address, login information, browser information, etc.</t>
  </si>
  <si>
    <t>Describe the tracking component and what is done with the information.</t>
  </si>
  <si>
    <t>Does your staff (or a third party) have access to institutional data (e.g., financial, PHI, or other sensitive information) through any means?</t>
  </si>
  <si>
    <t>Accessing institutional data may be necessary for legitimate business purposes.</t>
  </si>
  <si>
    <t>Summarize the access that staff (or third parties) have to institutional data.</t>
  </si>
  <si>
    <t>Institutional data may be sensitive in nature and should only be accessed for legitimate business purposes.</t>
  </si>
  <si>
    <t>Will you handle personal data in a manner compliant with all relevant laws, regulations, and applicable institution policies?</t>
  </si>
  <si>
    <t>If no, why not? Are there plans for this to be implemented and, if so, when?</t>
  </si>
  <si>
    <t>Personal data that is handled improperly or against law/regulation can have significant negative impact.</t>
  </si>
  <si>
    <t>Do you have a documented privacy management process?</t>
  </si>
  <si>
    <t>Are there plans to implement? If so, when will this be completed?</t>
  </si>
  <si>
    <t>Describe privacy management process or provide links or attach documentation.</t>
  </si>
  <si>
    <t>It's important for customers to know their data will remain private after being shared with the vendor.</t>
  </si>
  <si>
    <t>Are your internal privacy practices and obligations documented in internal corporate privacy policy/policies? Does the internal privacy policy explain your organization's policies and practices regarding collection of personal information and other data about individuals?</t>
  </si>
  <si>
    <t>Are privacy principles designed into the product lifecycle (i.e., privacy-by-design)?</t>
  </si>
  <si>
    <t>The question is assessing your compliance with Privacy by Design (PbD) principles. This concept, embedded in regulations such as GDPR (Article 25) and other global privacy laws, requires that privacy is not an afterthought—it must be part of the design and architecture of systems and processes from the outset.</t>
  </si>
  <si>
    <t>State why principles are not designed into the product lifecycle.</t>
  </si>
  <si>
    <t>Summarize the privacy principles designed into the product lifecycle.</t>
  </si>
  <si>
    <t>Building privacy principles into the product lifecycle (e.g., privacy-by-design) can help ease the privacy management process.</t>
  </si>
  <si>
    <t>Provide reason for not complying.</t>
  </si>
  <si>
    <t>State how quickly the institution will be notified once a breach is identified, in addition to notifying the necessary governmental agencies based on the extent of the breach.</t>
  </si>
  <si>
    <t>It's very important to get out in front of the impact from a system breach. Once a breach has been confirmed, timely communication is imperative.</t>
  </si>
  <si>
    <t>This is usually dictated by the government agency for the geographic region and, possibly, by your cybersecurity insurance carrier.</t>
  </si>
  <si>
    <t>Will you comply with the institution's policies regarding user privacy and data protection?</t>
  </si>
  <si>
    <t>These policies may include specific user consent practices, data classification standards, and handling of sensitive information.</t>
  </si>
  <si>
    <t>Explain the legal or operational reasons and offer an alternative policy.</t>
  </si>
  <si>
    <t>This question can help gauge a solution provider's willingness to align with institutional data privacy and protection policies before the contracting stage.</t>
  </si>
  <si>
    <t>Do any parts of your institutional policy conflict with the solution provider's standard practices?</t>
  </si>
  <si>
    <t>Is your company subject to the laws and regulations of the institution's geographic region?</t>
  </si>
  <si>
    <t>Indicates whether your organization is legally bound by state, federal, or local laws where the institution operates.</t>
  </si>
  <si>
    <t>Explain why your operations fall outside the region’s legal scope and how you nevertheless ensure regulatory compliance.</t>
  </si>
  <si>
    <t>This question identifies whether the institution and solution provider are beholden to the same laws. If not, this should be covered in the contract.</t>
  </si>
  <si>
    <t>Which laws apply to your operations in institution's region? Where is institutional data processed or stored? Provide a link or document summarizing your compliance stance.</t>
  </si>
  <si>
    <t>Do you have a privacy awareness/training program?*</t>
  </si>
  <si>
    <t>Privacy awareness/training refers to the ongoing education provided to individuals who handle sensitive data to ensure they understand privacy obligations, data protection principles, and regulatory requirements (e.g., FERPA, HIPAA, GDPR).</t>
  </si>
  <si>
    <t>Describe plans to include data privacy training or why you have determined it is not needed.</t>
  </si>
  <si>
    <t>Briefly describe what is included in the training.</t>
  </si>
  <si>
    <t>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t>
  </si>
  <si>
    <t>Is privacy awareness training mandatory for all employees?</t>
  </si>
  <si>
    <t>Describe plans to require.</t>
  </si>
  <si>
    <t>Your response should include who must complete the training.</t>
  </si>
  <si>
    <t>This question serves a critical purpose in evaluating a vendor or institution’s commitment to data protection, risk mitigation, and regulatory compliance.</t>
  </si>
  <si>
    <t>This question helps assess whether privacy is treated as an organizational responsibility and whether the institution enforces consistent practices to reduce human risk factors.</t>
  </si>
  <si>
    <t>Is AI privacy and ethics awareness/training required for all employees who work with AI?</t>
  </si>
  <si>
    <t>Describe plans to include AI training.</t>
  </si>
  <si>
    <t>This question is intended to assess whether an institution or vendor is proactively managing the risks, responsibilities, and ethical implications of AI use, especially as it relates to sensitive data, autonomy, and fairness.</t>
  </si>
  <si>
    <t>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t>
  </si>
  <si>
    <t>Do you have any decision-making processes that are completely automated (i.e., there is no human involvement)?</t>
  </si>
  <si>
    <t>Examples of such automated decisions could include automatically denying or approving user access requests, flagging or blocking transactions based on risk scores, or AI-driven decisions that affect user outcomes (e.g., eligibility, grading, pricing).</t>
  </si>
  <si>
    <t>Provide information on which decisions are automated and why.</t>
  </si>
  <si>
    <t>This question identifies potential privacy, ethical, security, and compliance risks that may arise from fully automated systems, especially those that affect individuals or their data.</t>
  </si>
  <si>
    <t>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t>
  </si>
  <si>
    <t>Do you have a documented process for managing automated processing, including validations, monitoring, and data subject requests?</t>
  </si>
  <si>
    <t>Describe plans to implement processes in the future.</t>
  </si>
  <si>
    <t>Briefly describe processes.</t>
  </si>
  <si>
    <t>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t>
  </si>
  <si>
    <t>Do you have a documented policy for sharing information with law enforcement?</t>
  </si>
  <si>
    <t>Explain any plans to develop a policy. If no plans exist, explain why not.</t>
  </si>
  <si>
    <t>Provide a high-level overview of the policy or plans to implement a policy.</t>
  </si>
  <si>
    <t>The institution should know which laws apply to the data to which the solution provider will have access. You should also have a thorough understanding of how requests from law enforcement will be handled.</t>
  </si>
  <si>
    <t>Do you share any institutional data with law enforcement without a valid warrant or subpoena?*</t>
  </si>
  <si>
    <t>Describe how you ensure this does not occur.</t>
  </si>
  <si>
    <t>Describe the circumstances in which you share with law enforcement.</t>
  </si>
  <si>
    <t>To protect institutional and individual privacy rights by ensuring data is only disclosed to law enforcement through proper legal channels with appropriate due process protections.</t>
  </si>
  <si>
    <t>If yes, under what circumstances and with what documentation/notification to the institution?</t>
  </si>
  <si>
    <t>Does your incident response team include a privacy analyst/officer?</t>
  </si>
  <si>
    <t>Provide an overview of your incident response team membership and its charge, highlighting the privacy analyst/officer.</t>
  </si>
  <si>
    <t>Explain why not</t>
  </si>
  <si>
    <t>Provide the incident response team membership and charge.</t>
  </si>
  <si>
    <t>Having a privacy analyst/officer on an incident response team can help the company more quickly identify a breach and comply with applicable notification laws.</t>
  </si>
  <si>
    <t>Will data be collected from or processed in or stored in the European Economic Area (EEA)?</t>
  </si>
  <si>
    <t>See GDPR Chapter 1, Art. 4, for definitions.</t>
  </si>
  <si>
    <t>Describe where and what activities will take place in the EEA.</t>
  </si>
  <si>
    <t>Understanding whether the vendor processes data in Europe may help with institutional GDPR compliance.</t>
  </si>
  <si>
    <t>If institution's intended use includes targeting of data subjects in EEA/UK and if vendor marks "no," institution might want to follow up to clarify data collected.</t>
  </si>
  <si>
    <t>Do you have a data protection officer (DPO)?</t>
  </si>
  <si>
    <t>See GDPR Chapter 4, Section 4, for DPO information.</t>
  </si>
  <si>
    <t>Provide the name and contact information for the DPO.</t>
  </si>
  <si>
    <t>Vendors targeting services in the EEA/UK should have GDPR-compliant policies and procedures.</t>
  </si>
  <si>
    <t>Will you sign appropriate GDPR Standard Contractual Clauses (SCCs) with the institution?</t>
  </si>
  <si>
    <t>See GDPR Chapter 5, Art. 46, for SCC information.</t>
  </si>
  <si>
    <t>Vendors targeting services in the EEA/UK should have the ability to agree to the SCCs.</t>
  </si>
  <si>
    <t>Will data be collected from or processed in or stored in China?</t>
  </si>
  <si>
    <t>See PIPL Chapter 1 for definitions.</t>
  </si>
  <si>
    <t>Describe where and what activities will take place in China.</t>
  </si>
  <si>
    <t>Understanding whether the vendor processes data in China may help with institutional PIPL compliance.</t>
  </si>
  <si>
    <t>If institution's intended use includes targeting of data subjects in China and if vendor marks "no," institution might want to follow up to clarify data collected.</t>
  </si>
  <si>
    <t>Do you comply with PIPL security, privacy, and data localization requirements?</t>
  </si>
  <si>
    <t>See PIPL Chapter 5 for requirements.</t>
  </si>
  <si>
    <t>Vendors targeting services in China should have the ability to comply with PIPL requirements.</t>
  </si>
  <si>
    <t>Have you performed a Data Privacy Impact Assessment for the solution/project?</t>
  </si>
  <si>
    <t>Provide timeline for this or reason not to perform.</t>
  </si>
  <si>
    <t>Provide copy, link, or summary overview.</t>
  </si>
  <si>
    <t>To verify the vendor has systematically evaluated privacy risks and implemented appropriate safeguards before deploying their solution, demonstrating privacy-by-design principles.</t>
  </si>
  <si>
    <t>Please provide a copy of the DPIA or summary of findings and mitigation measures.</t>
  </si>
  <si>
    <t>Do you provide an end-user privacy notice about privacy policies and procedures that identify the purpose(s) for which personal information is collected, used, retained, and disclosed?</t>
  </si>
  <si>
    <t>Provide link or copy.</t>
  </si>
  <si>
    <t>To ensure transparency with end users about data practices and compliance with privacy notice requirements under FERPA, GDPR, CCPA, and other applicable regulations.</t>
  </si>
  <si>
    <t>How do you inform users of changes to the policy?</t>
  </si>
  <si>
    <t>Do you describe the choices available to the individual and obtain implicit or explicit consent with respect to the collection, use, and disclosure of personal information?</t>
  </si>
  <si>
    <t>N/A is only an acceptable answer if you answered "no" to ALL of the following 7 questions: PRGN-01, 02, 03, 04 and PDAT-01, 02, 03</t>
  </si>
  <si>
    <t>To verify meaningful consent mechanisms exist and users have adequate control over their personal information in accordance with fair information practice principles and regulatory requirements.</t>
  </si>
  <si>
    <t>Describe your consent mechanism and how users can withdraw consent if they choose.</t>
  </si>
  <si>
    <t>Do you collect personal information only for the purpose(s) identified in the agreement with an institution or, if there is none, the purpose(s) identified in the privacy notice?</t>
  </si>
  <si>
    <t>This includes quality assurance, marketing and advertising, etc.</t>
  </si>
  <si>
    <t>Describe purposes not included in an agreement with the institution.</t>
  </si>
  <si>
    <t>N/A is only an acceptable answer if you answered "no" to ALL of the following 7 questions: PRGN-01, 02, 03, 04 and PDAT-01, 02, 04</t>
  </si>
  <si>
    <t>Companies may collect information for purposes not outlined in the service agreement, including quality assurance, marketing, etc. Institutions should have a thorough understanding of what data is being used and how.</t>
  </si>
  <si>
    <t>Do you have a documented list of personal data your service maintains?</t>
  </si>
  <si>
    <t>N/A is only an acceptable answer if you answered "no" to ALL of the following 7 questions: PRGN-01, 02, 03, 04 and PDAT-01, 02, 05</t>
  </si>
  <si>
    <t>To ensure the vendor maintains data inventory records necessary for privacy compliance, breach response, data subject rights requests, and understanding the full scope of data collection.</t>
  </si>
  <si>
    <t>Please provide your data inventory or map showing categories of personal data collected and retention periods.</t>
  </si>
  <si>
    <t>Do you retain personal information for only as long as necessary to fulfill the stated purpose(s) or as required by law or regulation and thereafter appropriately dispose of such information?</t>
  </si>
  <si>
    <t>Briefly outline data retention policies that do not align with regulations.</t>
  </si>
  <si>
    <t>N/A is only an acceptable answer if you answered "no" to ALL of the following 7 questions: PRGN-01, 02, 03, 04 and PDAT-01, 02, 06</t>
  </si>
  <si>
    <t>Data minimization is a basic privacy principle, and it is important to know whether the solution provider is keeping data longer than necessary and introducing a significant privacy risk.</t>
  </si>
  <si>
    <t>Do you provide individuals with access to their personal information for review and update (i.e., data subject rights)?</t>
  </si>
  <si>
    <t>Such processes would include descriptions of request processes individuals can follow to review their information and written processes a data subject may use to ask for changes or corrections to data held about them.</t>
  </si>
  <si>
    <t>N/A is only an acceptable answer if you answered "no" to ALL of the following 7 questions: PRGN-01, 02, 03, 04 and PDAT-01, 02, 07</t>
  </si>
  <si>
    <t>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t>
  </si>
  <si>
    <t>Do you disclose personal information to third parties only for the purpose(s) identified in the privacy notice or with the implicit or explicit consent of the individual?</t>
  </si>
  <si>
    <t>N/A is only an acceptable answer if you answered "no" to ALL of the following 7 questions: PRGN-01, 02, 03, 04 and PDAT-01, 02, 08</t>
  </si>
  <si>
    <t>To limit unauthorized third-party data sharing and ensure transparency about data flows beyond the direct vendor relationship, protecting against unexpected secondary uses.</t>
  </si>
  <si>
    <t>Provide a list of third parties who receive personal information and the purpose for each disclosure.</t>
  </si>
  <si>
    <t>Do you protect personal information against unauthorized access (both physical and logical)?</t>
  </si>
  <si>
    <t>N/A is only an acceptable answer if you answered "no" to ALL of the following 7 questions: PRGN-01, 02, 03, 04 and PDAT-01, 02, 09</t>
  </si>
  <si>
    <t>To verify appropriate security controls are in place to protect personal data from breaches, unauthorized disclosure, and both external and internal threats.</t>
  </si>
  <si>
    <t>Describe your access control mechanisms, encryption methods, and incident response procedures.</t>
  </si>
  <si>
    <t>Do you maintain accurate, complete, and relevant personal information for the purposes identified in the privacy notice?</t>
  </si>
  <si>
    <t>N/A is only an acceptable answer if you answered "no" to ALL of the following 7 questions: PRGN-01, 02, 03, 04 and PDAT-01, 02, 10</t>
  </si>
  <si>
    <t>To ensure data quality practices that prevent privacy harms from inaccurate or outdated personal information, particularly in contexts where data accuracy affects individual rights or opportunities.</t>
  </si>
  <si>
    <t>What processes do you have for individuals to review and correct their personal information?</t>
  </si>
  <si>
    <t>Do you have procedures to address privacy-related noncompliance complaints and disputes?</t>
  </si>
  <si>
    <t>Provide a brief overview of processes or procedures to handle privacy-related complaints.</t>
  </si>
  <si>
    <t>N/A is only an acceptable answer if you answered "no" to ALL of the following 7 questions: PRGN-01, 02, 03, 04 and PDAT-01, 02, 11</t>
  </si>
  <si>
    <t>To verify accountability mechanisms exist for addressing privacy concerns, providing recourse to affected individuals, and demonstrating responsiveness to privacy complaints.</t>
  </si>
  <si>
    <t>Describe your complaint handling process, typical response times, and escalation procedures.</t>
  </si>
  <si>
    <t>Do you "anonymize," "de-identify," or otherwise mask personal data?</t>
  </si>
  <si>
    <t>Briefly describe method used to mask data.</t>
  </si>
  <si>
    <t>N/A is only an acceptable answer if you answered "no" to ALL of the following 7 questions: PRGN-01, 02, 03, 04 and PDAT-01, 02, 12</t>
  </si>
  <si>
    <t>To understand the vendor's approach to privacy-enhancing techniques and assess whether data masking methods are appropriate, effective, and aligned with recognized anonymization standards.</t>
  </si>
  <si>
    <t>Describe your anonymization methodology and any validation or testing performed to ensure re-identification risks are minimized.</t>
  </si>
  <si>
    <t>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t>
  </si>
  <si>
    <t>Describe the reason for using data beyond the agreed purpose.</t>
  </si>
  <si>
    <t>N/A is only an acceptable answer if you answered "no" to ALL of the following 7 questions: PRGN-01, 02, 03, 04 and PDAT-01, 02, 13</t>
  </si>
  <si>
    <t>To prevent secondary use of institutional data that could undermine privacy protections, contradict institutional data governance policies, or enable commercial uses incompatible with educational purposes.</t>
  </si>
  <si>
    <t>If yes, provide details on secondary uses and obtain specific written consent from the institution for these uses.</t>
  </si>
  <si>
    <t>Do you certify stop-processing requests, including any data that is processed by a third party on your behalf?</t>
  </si>
  <si>
    <t>Provide evidence of existing processes or policies. The internal privacy policy should explain your organization's policies and practices regarding the collection of personal information and other data about individuals.</t>
  </si>
  <si>
    <t>Briefly outline relevant processes.</t>
  </si>
  <si>
    <t>N/A is only an acceptable answer if you answered "no" to ALL of the following 7 questions: PRGN-01, 02, 03, 04 and PDAT-01, 02, 14</t>
  </si>
  <si>
    <t>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t>
  </si>
  <si>
    <t>If your organization has exchange programs or does business with global organizations or organizations located outside the United States, depending on the services sought, your institution should determine whether this is a requirement.</t>
  </si>
  <si>
    <t>Do you have a process to review code for ethical considerations?</t>
  </si>
  <si>
    <t>Provide documentation or explanation of the process to review code. If none exists, explain why.</t>
  </si>
  <si>
    <t>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t>
  </si>
  <si>
    <t>Does your service use AI for the processing of institutional data?</t>
  </si>
  <si>
    <t>If REQU-04 is no, populate solution provider answer with B5 in Auto Responses tab</t>
  </si>
  <si>
    <t>Review the vendor’s explanation for completeness and alignment with institutional data governance policies. Follow up on vague or incomplete answers. If AI use is planned, ask them to note the expected scope.</t>
  </si>
  <si>
    <t>Describe how your service uses AI to process institutional data. Include the types of data involved, the purpose of AI usage, and any decision-making roles AI plays.</t>
  </si>
  <si>
    <t>To identify AI-related privacy risks including potential bias, unintended disclosures, lack of explainability in automated decision-making, and training data provenance concerns.</t>
  </si>
  <si>
    <t>Ask for documentation or a summary of how AI models are developed or used, including training data sources and whether outputs are reviewed by humans.</t>
  </si>
  <si>
    <t>Is any institutional data retained in AI processing?*</t>
  </si>
  <si>
    <t>Evaluate the vendor's data retention practices for compliance with institutional policies. Request clarification on retention periods and data security if needed.</t>
  </si>
  <si>
    <t>Specify what data is retained, for how long, and how it is protected.</t>
  </si>
  <si>
    <t>This question assesses whether institutional data is stored or retained during AI processing, which may have implications for data security, retention policies, and regulatory compliance.</t>
  </si>
  <si>
    <t>Ask for retention schedules, anonymization steps, and whether storage is temporary or permanent. Request a data flow diagram if available.</t>
  </si>
  <si>
    <t>Do you have agreements in place with third parties or subprocessors regarding the protection of customer data and use of AI?*</t>
  </si>
  <si>
    <t>Explain the absence of agreements and indicate whether any are under development or negotiation.</t>
  </si>
  <si>
    <t>List all subprocessors and describe the agreements in place regarding AI and data protection.</t>
  </si>
  <si>
    <t>It's important to ensure that third-party vendors or subprocessors involved in AI processing are contractually bound to protect institutional data and comply with privacy standards.</t>
  </si>
  <si>
    <t>Request copies or summaries of data protection agreements with subprocessors. Ask whether subprocessors are listed publicly and how they are vetted.</t>
  </si>
  <si>
    <t>Will institutional data be processed through a third party or subprocessor that also uses AI?</t>
  </si>
  <si>
    <t>Confirm whether third-party AI use occurs. Ensure that oversight and contractual protections are in place. Clarify any unclear relationships.</t>
  </si>
  <si>
    <t>Identify third-party AI processors and describe their role and safeguards.</t>
  </si>
  <si>
    <t>This question identifies whether institutional data is shared with or processed by third parties that use AI, which may introduce additional privacy or ethical considerations.</t>
  </si>
  <si>
    <t>Ask for a list of third parties involved in AI processing and their roles. Inquire about oversight mechanisms and whether data is shared across jurisdictions.</t>
  </si>
  <si>
    <t>Is AI processing limited to fully licensed commercial enterprise AI services?</t>
  </si>
  <si>
    <t>Provide names of services used and license types. Note whether open-source or experimental tools are used.</t>
  </si>
  <si>
    <t>In most cases, only enterprise licenses allow for an organization to customize what data is collected and how it is used. Free licenses to AI tools could introduce a risk to data.</t>
  </si>
  <si>
    <t>Request proof of licensing or vendor agreements for AI tools. Ask whether open-source or beta tools are used and how they are evaluated for risk.</t>
  </si>
  <si>
    <t>Will institutional data be used or processed by any shared AI services?</t>
  </si>
  <si>
    <t>Provide detailed response to the type of data needed for the AI service to function appropriately, the sources of the data, and whether any data shared with the AI service comes from data sources outside the institution.</t>
  </si>
  <si>
    <t>Use of AI services and tools runs a risk of being supported by bad batches or databanks of information. Additionally, harmful bias and other data-quality issues can affect AI system trustworthiness, which could lead to negative impacts.</t>
  </si>
  <si>
    <t>Do you have safeguards in place to protect institutional data and data privacy from unintended AI queries or processing?</t>
  </si>
  <si>
    <t>Explain any data minimization processes used to exclude institutional data from AI algorithm or training, etc.</t>
  </si>
  <si>
    <t>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t>
  </si>
  <si>
    <t>Do you provide choice to the user to opt out of AI use?</t>
  </si>
  <si>
    <t>Provide the language used for a user to opt-out or consent to the use of AI</t>
  </si>
  <si>
    <t>To ensure user autonomy regarding AI processing of their data and compliance with emerging AI transparency requirements and ethical principles around algorithmic decision-making.</t>
  </si>
  <si>
    <t>Describe the opt-out mechanism and any limitations or service impacts if a user opts out of AI processing.</t>
  </si>
  <si>
    <t>Does your solution leverage machine learning (ML) or do you plan to do so in the next 12 months?</t>
  </si>
  <si>
    <t>Answer "yes" even if you do not create your own machine learning solutions, and answer the questions as they apply to your contractual relationship with the third party you utilize.</t>
  </si>
  <si>
    <t>DO NOT complete the Machine Learning section (AIML)</t>
  </si>
  <si>
    <t>DO complete the Machine Learning section (AIML)</t>
  </si>
  <si>
    <t>Does your solution leverage a large language model (LLM) or do you plan to do so in the next 12 months?</t>
  </si>
  <si>
    <t>Answer "yes" even if you do not train your own LLM models, and answer the questions as they apply to your contractual relationship with the third party you utilize.</t>
  </si>
  <si>
    <t>DO NOT complete the Large Language Model section (AILM)</t>
  </si>
  <si>
    <t>DO complete the Large Language Model section (AILM)</t>
  </si>
  <si>
    <t>Does your solution have an AI risk model when developing or implementing your solution's AI model?*</t>
  </si>
  <si>
    <t>Examples include NIST AI RMF, OWASP Top 10, RAFT, and MITRE ATLAS.</t>
  </si>
  <si>
    <t>Describe your current AI risk management strategy. Provide a timeline for implementation of an AI risk framework, model, or methodology.</t>
  </si>
  <si>
    <t>Provide the AI risk framework, model, or methodology used.</t>
  </si>
  <si>
    <t>To ensure the vendor has proactive governance and has a defined, documented risk management strategy that is aligned with responsible AI.</t>
  </si>
  <si>
    <t>Can the AI risk model or framework in use be shared? How often is it reviewed and updated? If an AI framework is not in use, what practices are currently used to address AI risks?</t>
  </si>
  <si>
    <t>Can your solution's AI features be disabled by tenant and/or user?*</t>
  </si>
  <si>
    <t>Provide alternate workflows to disable AI features. Describe plans to include control of AI features.</t>
  </si>
  <si>
    <t>Describe the level of AI feature control at the institutional and user level.</t>
  </si>
  <si>
    <t>N/A is only an acceptable answer if AI is the core function of your product.</t>
  </si>
  <si>
    <t>To verify whether customers have control over AI features and can opt out when AI is not desired or creates compliance concerns.</t>
  </si>
  <si>
    <t>How easy is it to disable/enable AI features?</t>
  </si>
  <si>
    <t>Have your staff completed responsible AI training?*</t>
  </si>
  <si>
    <t>Explain what alternative responsible AI awareness activities are in place, including whether future training is planned.</t>
  </si>
  <si>
    <t>Provide the following details about your responsible AI training program: learning objectives, frequency, alignment with standards (e.g., NIST), and who is required to complete the training.</t>
  </si>
  <si>
    <t>To confirm that staff are educated on ethical AI principles, data stewardship, bias mitigation, and compliance, ensuring responsible use and support for customers.</t>
  </si>
  <si>
    <t>Clarify the structure and enforcement of training supports transparency and accountability in AI-related operations.</t>
  </si>
  <si>
    <t>Please describe the capabilities of your solution's AI features.</t>
  </si>
  <si>
    <t>Describe capabilities such as content (text, image, audio, speech, video, or code) generation, visual interpretation, and predictive analytics. This encompasses all AI implementations, including third-party AI features. Clarify use cases or limits of the model.</t>
  </si>
  <si>
    <t>To help institutions understand the scope, functionality, and intended use cases of the AI feature(s) and evaluate whether its capabilities align with institutional needs and risk tolerance.</t>
  </si>
  <si>
    <t>Can documentation of supported AI functions, limitations, and safeguards be provided?</t>
  </si>
  <si>
    <t>Does your solution support business rules to protect sensitive data from being ingested by the AI model?</t>
  </si>
  <si>
    <t>Provide compensating controls for data loss prevention (DLP) as it relates to the inputs and outputs of your AI features. Include a timeline for implementing DLP for your AI features.</t>
  </si>
  <si>
    <t>Provide data loss prevention (DLP) features as they relate to your AI offerings. Indicate whether these DLP rules are configurable at the institutional and/or user level.</t>
  </si>
  <si>
    <t>To determine the risk of sensitive data exposure from AI feature inputs and outputs.</t>
  </si>
  <si>
    <t>Can you provide examples of data loss prevention (DLP) features? Where are these DLP solutions implemented? Are these DLP features customizable?</t>
  </si>
  <si>
    <t>Are your AI developer's policies, processes, procedures, and practices across the organization related to the mapping, measuring, and managing of AI risks conspicuously posted, unambiguous, and implemented effectively?*</t>
  </si>
  <si>
    <t>Describe the steps your developers take to manage AI risks. Include a timeline for implementing policy and procedures for managing AI specific risks.</t>
  </si>
  <si>
    <t>To ensure that the vendor has established a mature AI governance framework, is prepared to manage the complex and evolving risks of AI, and is not likely to transfer that risk directly to customers.</t>
  </si>
  <si>
    <t>Given that a lack of formal governance can expose our institution to significant legal and reputational risks, how can you assure us that partnering with you will not transfer these liabilities to our organization?</t>
  </si>
  <si>
    <t>Have you identified and measured AI risks?*</t>
  </si>
  <si>
    <t>Provide a timeline for performing an AI specific risk assessment. Describe your plan for identifying and measuring AI risk in the future.</t>
  </si>
  <si>
    <t>Provide the standard or framework used to identify and measure AI risk.</t>
  </si>
  <si>
    <t>To help an organization verify that the vendor has a mature, proactive risk management framework in place, which is essential to protect the organization from the legal, financial, and reputational liabilities that can arise from a poorly governed AI system.</t>
  </si>
  <si>
    <t>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t>
  </si>
  <si>
    <t>In the event of an incident, can your solution's AI features be disabled in a timely manner?*</t>
  </si>
  <si>
    <t>Provide a timeline for institutions to have the capability to disable AI features in the event of an incident.</t>
  </si>
  <si>
    <t>Provide documentation on how to disable AI features. Include a time estimate for the time between disabling the feature and when the feature is inaccessible to users.</t>
  </si>
  <si>
    <t>The ability to disable/enable AI features is essential for containing an incident and preventing a security or ethical failure.</t>
  </si>
  <si>
    <t>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t>
  </si>
  <si>
    <t>If disabled because of an incident, can your solution's AI features be re-enabled in a timely manner?*</t>
  </si>
  <si>
    <t>Provide a timeline for institutions to have the capability to enable AI features in the event of an incident recovery.</t>
  </si>
  <si>
    <t>Provide documentation on how to enable AI features. Include a time estimate for the time between enabling the feature and when the feature is accessible to users.</t>
  </si>
  <si>
    <t>This helps an organization create a business continuity plan and incident recovery plan.</t>
  </si>
  <si>
    <t>Do you have documented technical and procedural processes to address potential negative impacts of AI as described by the AI Risk Management Framework (RMF)?</t>
  </si>
  <si>
    <t>Responsible AI development per NIST AI RMF, page 25.</t>
  </si>
  <si>
    <t>Describe your plan and timeline for implementing technical and procedural processes to mitigate negative impacts of AI, as defined by the NIST AI RMF.</t>
  </si>
  <si>
    <t>This question helps maximize the value of the AI feature(s) while minimizing the negative impacts of AI.</t>
  </si>
  <si>
    <t>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t>
  </si>
  <si>
    <t>If sensitive data is introduced to your solution's AI model, can the data be removed from the AI model by request?*</t>
  </si>
  <si>
    <t>Please answer based on whether your AI model supports the removal or unlearning of sensitive data, whether it is introduced intentionally or unintentionally. Consider whether data can be traced and deleted from training sets, vector stores, memory, or other components of the AI system. This includes data removal in compliance with privacy regulations and customer requests.</t>
  </si>
  <si>
    <t>If data removal or unlearning is not supported, explain why and describe compensating controls (e.g., filtering, short-term memory, differential privacy). Clarify how sensitive data is managed, and note any future plans to support deletion requests.</t>
  </si>
  <si>
    <t>Describe how the AI model supports data deletion or unlearning and whether it is manual or automated; include retention timelines, limitations, and how requests are handled. Reference compliance with FERPA, GDPR Article 17, and state privacy laws.</t>
  </si>
  <si>
    <t>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t>
  </si>
  <si>
    <t>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t>
  </si>
  <si>
    <t>Is user input data used to influence your solution's AI model?*</t>
  </si>
  <si>
    <t>Please answer based on whether your solution uses user input data (e.g., prompts, uploads, queries) to fine-tune, train, or otherwise influence the behavior of your AI model. Consider any use of user data for model improvement, personalization, or aggregated learning.</t>
  </si>
  <si>
    <t>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t>
  </si>
  <si>
    <t>Describe whether input data is used for personalization, training, or continuous learning. Indicate whether, if data is anonymized, institutions are notified or can opt out, and describe how use aligns with FERPA, GDPR, and state laws.</t>
  </si>
  <si>
    <t>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t>
  </si>
  <si>
    <t>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t>
  </si>
  <si>
    <t>Do you provide logging for your solution's AI feature(s) that includes user, date, and action taken?*</t>
  </si>
  <si>
    <t>Please answer based on whether your AI features generate audit logs that record user identity, timestamp, and actions taken. Include log retention, immutability, access for administrators or auditors, and how logs support compliance and incident response.</t>
  </si>
  <si>
    <t>If audit logging is not available, explain why and describe alternate controls or planned timelines to support monitoring, incident response, and compliance.</t>
  </si>
  <si>
    <t>Describe what audit logs capture, how long they are retained, whether they are immutable, and how they support audits and oversight.</t>
  </si>
  <si>
    <t>This question helps institutions confirm whether AI features can be audited for user activity, data use, and system behavior. Audit logging supports regulatory compliance, incident response, and transparency in environments handling sensitive or regulated data.</t>
  </si>
  <si>
    <t>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t>
  </si>
  <si>
    <t>Please describe how you validate user inputs.</t>
  </si>
  <si>
    <t>Please describe how your solution validates user inputs, including detection of anomalies, malicious inputs, and sensitive data. Indicate where validation occurs and how it supports security and compliance.</t>
  </si>
  <si>
    <t>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t>
  </si>
  <si>
    <t>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t>
  </si>
  <si>
    <t>Do you plan for and mitigate supply-chain risk related to your AI features?</t>
  </si>
  <si>
    <t>If supply chain risk planning is not in place, explain why and note any compensating controls or future plans.</t>
  </si>
  <si>
    <t>Describe your use of SAST, SBOM, and monitoring of third-party AI components, and how you address vulnerabilities in line with NIST and state requirements</t>
  </si>
  <si>
    <t>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t>
  </si>
  <si>
    <t>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t>
  </si>
  <si>
    <t>Do you separate ML training data from your ML solution data?*</t>
  </si>
  <si>
    <t>If REQU-04 is no, populate solution provider answer with B5 in Auto Responses tab; If AIQU-01 is no, populate with B9</t>
  </si>
  <si>
    <t>Please answer based on whether training data is kept separate from production data to protect institutional information. Include how organizational data is segregated, anonymized, or excluded from training, and state whether institutions can opt out of data use for model improvement.</t>
  </si>
  <si>
    <t>If data separation is not in place, explain why and describe compensating controls to protect institutional data from being used in training. Include whether opt-out options are available or planned.</t>
  </si>
  <si>
    <t>Describe how training data is separated from production data, including anonymization, segregation controls, or exclusions. Indicate whether institutions can opt out of data being used in training.</t>
  </si>
  <si>
    <t>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t>
  </si>
  <si>
    <t>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t>
  </si>
  <si>
    <t>Do you authenticate and verify your ML model's feedback?*</t>
  </si>
  <si>
    <t>Explain why the ML model's feedback is not currently authenticated or verified.</t>
  </si>
  <si>
    <t>Describe the process used to authenticate and verify ML model feedback. Include how you detect and mitigate attempts to introduce model skewing, poisoning, or date/phrase attacks.</t>
  </si>
  <si>
    <t>Verifying ML model feedback helps prevent skewing attacks that could distort predictions or reduce reliability.</t>
  </si>
  <si>
    <t>Understand whether any other controls or processes are in place that would mitigate the risk of the vendor not doing the authentication or verification. How does the vendor perform trigger-sweep evaluations?</t>
  </si>
  <si>
    <t>Is your ML training data vetted, validated, and verified before training the solution's AI model?</t>
  </si>
  <si>
    <t>Explain why the data is not vetted, validated, or verified. Include any future plans to implement this process, and describe any current controls that serve as substitutes for formal vetting and validation.</t>
  </si>
  <si>
    <t>Describe how the training data is vetted, validated and verified before the AI model is trained. Include the process along with the AI/ML data policy. Describe your validation of data labelers to validate the accuracy of the data labeling.</t>
  </si>
  <si>
    <t>This process can reduce the risk of errors or bias, as well as poor data quality undermining the model's accuracy and integrity.</t>
  </si>
  <si>
    <t>What other controls are in place as a substitute to this process? If not all steps are complete, what part of the process is currently being done?</t>
  </si>
  <si>
    <t>Is your ML training data monitored and audited?</t>
  </si>
  <si>
    <t>Explain why training data is not currently monitored or audited, and describe any alternative safeguards in place or future plans to implement monitoring and auditing.</t>
  </si>
  <si>
    <t>Describe the current process for how training data is monitored for any anomalies and audited to detect any data tampering.</t>
  </si>
  <si>
    <t>Training data can be targeted by attackers to influence the ML model’s behavior in harmful ways.</t>
  </si>
  <si>
    <t>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t>
  </si>
  <si>
    <t>Have you limited access to your ML training data to only staff with an explicit business need?</t>
  </si>
  <si>
    <t>Explain why access to training data is not restricted to staff with an explicit business need. Include any existing policies or controls that currently govern data access.</t>
  </si>
  <si>
    <t>Include what roles at your organization have the ability to view or modify ML training data.</t>
  </si>
  <si>
    <t>Have you implemented adversarial training or other model defense mechanisms to protect your ML-related features?</t>
  </si>
  <si>
    <t>Explain why training or other defensive mechanisms have not been implemented. Include controls or other policies in place that would substitute.</t>
  </si>
  <si>
    <t>Describe the defensive strategies in place to protect ML features and how they are tested for effectiveness.</t>
  </si>
  <si>
    <t>Adversarial training and defenses help keep models resilient against manipulation and evasion attacks.</t>
  </si>
  <si>
    <t>What adversarial training is performed on the ML? What defense mechanisms are incorporated into the ML? How is the input validated for the ML?</t>
  </si>
  <si>
    <t>Do you make your ML model transparent through documentation and log inputs and outputs?</t>
  </si>
  <si>
    <t>Explain why the model is not documented, does not log inputs/outputs, or lacks explainability features, and describe any compensating controls or future plans to increase transparency.</t>
  </si>
  <si>
    <t>Describe how the model is made transparent through documentation and logging of inputs and outputs. Provide explanations for predictions.</t>
  </si>
  <si>
    <t>This process helps ensure accountability and detect misuse or anomalies.</t>
  </si>
  <si>
    <t>How long are input/output logs retained, and how is log data protected? How often are transparency and logging processes reviewed or updated? Do logs enable post-hoc trigger correlation?</t>
  </si>
  <si>
    <t>Do you watermark your ML training data?</t>
  </si>
  <si>
    <t>Explain why training data is not watermarked and any compensating controls or future plans.</t>
  </si>
  <si>
    <t>Describe the watermarking process for training data and how it helps track, trace, or protect against compromise. Include dataset fingerprinting, provenance attestations, tools, or techniques used.</t>
  </si>
  <si>
    <t>Watermarking training data supports traceability, making it easier to detect misuse and respond to incidents.</t>
  </si>
  <si>
    <t>Are all training datasets watermarked, or only specific subsets? Are there any policies, procedures, or controls in place that would serve as substitutes or compensating measures for this practice?</t>
  </si>
  <si>
    <t>Do you limit your solution's LLM privileges by default?*</t>
  </si>
  <si>
    <t>Describe other compensating controls for mitigating prompt-injection risk.</t>
  </si>
  <si>
    <t>Describe how privilege control is implemented for the LLM and how trust boundaries are established between LLM, external sources, and extensible functionality (plugins or downstream functions). Include how you leverage "human in the loop" principals.</t>
  </si>
  <si>
    <t>This question addresses misuse, exfiltration/change risk, and over-privileged behavior. It supports accountable operations and auditability.</t>
  </si>
  <si>
    <t>Is the LLM's API token unique? How do you segregate external content from user prompts? Do you manually monitor LLM input and output periodically?</t>
  </si>
  <si>
    <t>Is your LLM training data vetted, validated, and verified before training the solution's AI model?*</t>
  </si>
  <si>
    <t>If REQU-04 is no, populate solution provider answer with B5 in Auto Responses tab; If AIQU-02 is no, populate with B10</t>
  </si>
  <si>
    <t>State whether there are any governance measures, alternative practices, or no controls in place. Summarize how training data is currently managed.</t>
  </si>
  <si>
    <t>Describe your processes for sourcing, licensing, validating, and refreshing training data. Include how sensitive data is handled and how quality checks are performed.</t>
  </si>
  <si>
    <t>Assures lawful, ethical, and auditable data use while reducing IP and privacy risk. This is key to trustworthy AI and effective audits.</t>
  </si>
  <si>
    <t>Request a dataset register with provenance records, license documentation, and change-control history. Request sample outputs of PII scrubbing/anonymization processes, results of bias/safety evaluations, and records of dataset refresh or retirement events.</t>
  </si>
  <si>
    <t>Do any actions taken by your solution's LLM features or plugins require human intervention?*</t>
  </si>
  <si>
    <t>Explain whether alternative safeguards exist, whether plans are in place, or if no oversight is applied. Clarify the degree of autonomy currently allowed.</t>
  </si>
  <si>
    <t>Describe how human approval or oversight is applied before sensitive or high-impact LLM actions are executed. Include where approvals occur and what roles are involved.</t>
  </si>
  <si>
    <t>Prevents autonomous risky actions or misconfigurations and enforces accountability. This limits excessive agency.</t>
  </si>
  <si>
    <t>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t>
  </si>
  <si>
    <t>Do you limit multiple LLM model plugins being called as part of a single input?*</t>
  </si>
  <si>
    <t>If REQU-04 is no, populate solution provider answer with B5 in Auto Responses tab; If AIQU-02 is no, populate with B9</t>
  </si>
  <si>
    <t>Indicate whether compensating controls, planned restrictions, or no limitations are in place. Summarize how plugin or tool use is currently handled.</t>
  </si>
  <si>
    <t>Describe how plugins or external tools are restricted. Include whether limits, validation, or monitoring are applied.</t>
  </si>
  <si>
    <t>Reduces supply-chain and prompt-injection risk, controls attack surface, and clarifies accountability. Aligns with governance expectations.</t>
  </si>
  <si>
    <t>Request a list of all plugins/tools callable by the LLM and the allow-listing criteria/review cadence. Ask for the validation approach, sandbox/egress rules, and test evidence.</t>
  </si>
  <si>
    <t>Do you limit your solution's LLM resource use per request, per step, and per action?</t>
  </si>
  <si>
    <t>Explain whether any alternative practices, future plans, or no limits are in place. Summarize how resource consumption is currently handled.</t>
  </si>
  <si>
    <t>Describe how resource usage such as tokens, CPU, memory, or API calls is managed. Include whether quotas, monitoring, or escalation paths are defined.</t>
  </si>
  <si>
    <t>Prevents denial-of-service and cost overruns from excessive or malicious consumption. Demonstrates managed, measurable operations.</t>
  </si>
  <si>
    <t>Request current default versus maximum token/CPU/memory quotas per tenant, monitoring dashboards of usage, and alerts or incidents where throttling was triggered. Ask about runbooks for resource spikes, evidence of recent resource reviews, and escalation paths.</t>
  </si>
  <si>
    <t>Do you leverage LLM model tuning or other model validation mechanisms?</t>
  </si>
  <si>
    <t>Indicate whether compensating measures, future plans, or no safeguards exist. Summarize how accuracy is currently managed.</t>
  </si>
  <si>
    <t>Describe how you improve factual reliability. Include whether methods such as retrieval augmentation, fact checking, or human review are applied</t>
  </si>
  <si>
    <t>Mitigates hallucinations and ensures decisions rely on verifiable information. Supports trustworthy outcomes and reduces downstream misuse.</t>
  </si>
  <si>
    <t>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t>
  </si>
  <si>
    <t>AILM-07</t>
  </si>
  <si>
    <t>Do you perform taint tracing or tracking on all plugin content related to the LLM?</t>
  </si>
  <si>
    <t>Looking for taint tracing or tracking of LLM plugins to mitigate malicious inputs tuning and prompt engineering.</t>
  </si>
  <si>
    <t xml:space="preserve">This worksheet contains Auto-Responses that auto-populate the other worksheets and the context for when they are used. </t>
  </si>
  <si>
    <t>Question Auto-Response</t>
  </si>
  <si>
    <t>Context</t>
  </si>
  <si>
    <t>INSTRUCTIONS FOR ANALYSTS</t>
  </si>
  <si>
    <t>INSTRUCTIONS FOR HIGH-RISK SCORECARD</t>
  </si>
  <si>
    <t>DROPDOWN OPTIONS</t>
  </si>
  <si>
    <t>SECURITY FRAMEWORK OPTIONS</t>
  </si>
  <si>
    <t>QUESTION CATEGORY NAMES/TITLES</t>
  </si>
  <si>
    <t xml:space="preserve">Based on the response to REQU-01 on the "START HERE" tab, this question does not apply to this product or service. </t>
  </si>
  <si>
    <t>Does not offer a product or platform</t>
  </si>
  <si>
    <t>1. Complete the "Start Here" tab and review the "Required Questions" guidance to find the other sections are required for your product or service.</t>
  </si>
  <si>
    <t>1. Upon initial review, you can check the "Non-Negotiable" box by any question to compile a report of questions that may prohibit a full review.</t>
  </si>
  <si>
    <t xml:space="preserve">1. The scorecard below reflects those questions marked as "Critical Importance" or those where the "Non-Negotiable" box was checked. </t>
  </si>
  <si>
    <t>CIS Critical Security Controls v6.1</t>
  </si>
  <si>
    <t>Full Name</t>
  </si>
  <si>
    <t># of Questions</t>
  </si>
  <si>
    <t>Based on the response to REQU-02 on the "START HERE" tab, this question does not apply to this product or service.</t>
  </si>
  <si>
    <t>No interface for accessibility review</t>
  </si>
  <si>
    <t>2. Complete the "Organization" tab and the applicable questions in each of the next 5 tabs (Product through Privacy) that apply, based on your answers to the "Required Questions."</t>
  </si>
  <si>
    <t>2. When evaluating an answer, a default importance level has been set. You can use the "Importance Override" dropdown to override the default and adjust the value of the question.</t>
  </si>
  <si>
    <t xml:space="preserve">2. Use these condensed, aggregated views to review those questions that pose the highest risk. </t>
  </si>
  <si>
    <t>GNRL</t>
  </si>
  <si>
    <t xml:space="preserve"> General Information</t>
  </si>
  <si>
    <t>Based on the response to REQU-03 on the "START HERE" tab, this question does not apply to this product or service.</t>
  </si>
  <si>
    <t>Not a consultant</t>
  </si>
  <si>
    <t xml:space="preserve">3. Guidance in column E may change based on your answers to prompt details in "Additional Information." If leaving an answer blank, you must also state why in "Additional Information". </t>
  </si>
  <si>
    <t>3. For questions that are qualitative or for which you disagree with the preferred response, make a selection in the "Compliant Override" dropdown to adjust the question's impact on the score.</t>
  </si>
  <si>
    <t>3. Changes cannot be made in this sheet. Please make changes in the appropriate "Evaluation" tab.</t>
  </si>
  <si>
    <t>ISO 27002:2013</t>
  </si>
  <si>
    <t xml:space="preserve"> Company Information</t>
  </si>
  <si>
    <t>Based on the response to REQU-04 on the "START HERE" tab, this question does not apply to this product or service.</t>
  </si>
  <si>
    <t>No AI features</t>
  </si>
  <si>
    <t>4. DO NOT complete any fields in the "Evaluation" sheets or the "Analyst Notes" column.</t>
  </si>
  <si>
    <t xml:space="preserve">4. Each worksheet shows a report for that section. See the "Analyst Report" sheet for a full report of all sections. </t>
  </si>
  <si>
    <t>NIST Cybersecurity Framework</t>
  </si>
  <si>
    <t>REQU</t>
  </si>
  <si>
    <t xml:space="preserve"> Required Questions</t>
  </si>
  <si>
    <t>Based on the response to REQU-05 on the "START HERE" tab, this question does not apply to this product or service.</t>
  </si>
  <si>
    <t>No HIPAA covered PHI</t>
  </si>
  <si>
    <t>5. Return the completed file to institutions.</t>
  </si>
  <si>
    <t xml:space="preserve">5. If you are evaluating a question that appears in an earlier section, the Importance and Compliant Override cannot be changed but additional notes can be added. </t>
  </si>
  <si>
    <t>Mark as Compliant</t>
  </si>
  <si>
    <t>NIST SP 800-171r1</t>
  </si>
  <si>
    <t xml:space="preserve"> Documentation</t>
  </si>
  <si>
    <t>Based on the response to REQU-06 on the "START HERE" tab, this question does not apply to this product or service.</t>
  </si>
  <si>
    <t>No PCI DSS</t>
  </si>
  <si>
    <t>* Denotes critical questions. Critical questions are those deemed most important to institutions by higher education volunteers.</t>
  </si>
  <si>
    <t>For full instructions, please visit EDUCAUSE.edu/HECVAT</t>
  </si>
  <si>
    <t>Mark as Non-Compliant</t>
  </si>
  <si>
    <t>NIST SP 800-53r4</t>
  </si>
  <si>
    <t xml:space="preserve"> IT Accessibility</t>
  </si>
  <si>
    <t>Based on the response to REQU-07 on the "START HERE" tab, this question does not apply to this product or service.</t>
  </si>
  <si>
    <t>Not on-prem</t>
  </si>
  <si>
    <t>For full instructions, please visit educause.edu/HECVAT</t>
  </si>
  <si>
    <t xml:space="preserve"> Assessment of Third Parties</t>
  </si>
  <si>
    <t>Based on the response to AIQU-01, this question does not apply to this product or service.</t>
  </si>
  <si>
    <t>Does not leverage machine learning</t>
  </si>
  <si>
    <t xml:space="preserve"> Consulting Services</t>
  </si>
  <si>
    <t>Based on the response to AIQU-02, this question does not apply to this product or service.</t>
  </si>
  <si>
    <t>Does not leverage a large language model</t>
  </si>
  <si>
    <t xml:space="preserve"> Application/Service Security</t>
  </si>
  <si>
    <t>DO complete the Product and Infrastructure worksheets.</t>
  </si>
  <si>
    <t>Yes to REQU-01</t>
  </si>
  <si>
    <t>SCORE LOCATIONS</t>
  </si>
  <si>
    <t xml:space="preserve"> Authentication, Authorization, and Account Management</t>
  </si>
  <si>
    <t>DO NOT complete the Product and Infrastructure worksheets.</t>
  </si>
  <si>
    <t>NO to REQU-01</t>
  </si>
  <si>
    <t xml:space="preserve"> Change Management</t>
  </si>
  <si>
    <t>Yes to REQU-02</t>
  </si>
  <si>
    <t>Does Not Apply/Do Not Score</t>
  </si>
  <si>
    <t>START HERE</t>
  </si>
  <si>
    <t xml:space="preserve"> Data</t>
  </si>
  <si>
    <t>NO to REQU-02</t>
  </si>
  <si>
    <t xml:space="preserve"> Datacenter</t>
  </si>
  <si>
    <t>DO complete the Consulting section in the Case-Specific worksheet.</t>
  </si>
  <si>
    <t>YES to REQU-03</t>
  </si>
  <si>
    <t xml:space="preserve"> Firewalls, IDS, IPS, and Networking</t>
  </si>
  <si>
    <t>DO NOT complete the Consulting section in the Case-Specific worksheet.</t>
  </si>
  <si>
    <t>NO to REQU-03</t>
  </si>
  <si>
    <t>Self-Managed</t>
  </si>
  <si>
    <t xml:space="preserve"> Policies, Processes, and Procedures</t>
  </si>
  <si>
    <t>DO complete the Artificial Intelligence (AI) worksheet.</t>
  </si>
  <si>
    <t>YES to REQU-04</t>
  </si>
  <si>
    <t>Physical Co-Location</t>
  </si>
  <si>
    <t xml:space="preserve"> Incident Handling</t>
  </si>
  <si>
    <t>DO NOT complete the Artificial Intelligence (AI) worksheet.</t>
  </si>
  <si>
    <t>NO to REQU-04</t>
  </si>
  <si>
    <t>Virtual Co-Location</t>
  </si>
  <si>
    <t xml:space="preserve"> Vulnerability Management</t>
  </si>
  <si>
    <t>DO complete the HIPAA section in the Case-Specific worksheet.</t>
  </si>
  <si>
    <t>YES to REQU-05</t>
  </si>
  <si>
    <t xml:space="preserve">HIPAA Compliance </t>
  </si>
  <si>
    <t>DO NOT complete the HIPAA section in the Case-Specific worksheet.</t>
  </si>
  <si>
    <t>NO to REQU-05</t>
  </si>
  <si>
    <t>Azure</t>
  </si>
  <si>
    <t xml:space="preserve"> Payment Card Industry Data Security Standard (PCI DSS)</t>
  </si>
  <si>
    <t>DO complete the PCI-DSS section in the Case-Specific worksheet.</t>
  </si>
  <si>
    <t>YES to REQU-06</t>
  </si>
  <si>
    <t>GCP</t>
  </si>
  <si>
    <t xml:space="preserve"> On-Premises Data Solutions</t>
  </si>
  <si>
    <t>DO NOT complete the PCI-DSS section in the Case-Specific worksheet.</t>
  </si>
  <si>
    <t>NO to REQU-06</t>
  </si>
  <si>
    <t>Hybrid/Other</t>
  </si>
  <si>
    <t xml:space="preserve"> General Privacy</t>
  </si>
  <si>
    <t>DO complete the On-Premises Data Solutions section in the Case-Specific worksheet.</t>
  </si>
  <si>
    <t>YES to REQU-07</t>
  </si>
  <si>
    <t xml:space="preserve"> Privacy-Specific Company Details</t>
  </si>
  <si>
    <t>DO NOT complete the On-Premises Data Solutions section in the Case-Specific worksheet.</t>
  </si>
  <si>
    <t>NO to REQU-07</t>
  </si>
  <si>
    <t xml:space="preserve"> Privacy-Specific Documentation</t>
  </si>
  <si>
    <t>Based on the response to DCTR-01, this question does not apply to this product or service.</t>
  </si>
  <si>
    <t>Hosting option selection makes some questions N/A</t>
  </si>
  <si>
    <t xml:space="preserve"> Privacy of Third Parties</t>
  </si>
  <si>
    <t>Based on the response to AIPL-03, this question does not apply to this product or service.</t>
  </si>
  <si>
    <t>Neutral until evaluated</t>
  </si>
  <si>
    <t xml:space="preserve"> Privacy Change Management</t>
  </si>
  <si>
    <t>Based on the response to AAAI-01, this question does not apply to this product or service. Please select N/A.</t>
  </si>
  <si>
    <t xml:space="preserve"> Privacy of Sensitive Data</t>
  </si>
  <si>
    <t xml:space="preserve"> Privacy Policies and Procedures</t>
  </si>
  <si>
    <t xml:space="preserve"> International Privacy</t>
  </si>
  <si>
    <t xml:space="preserve"> Data Privacy</t>
  </si>
  <si>
    <t xml:space="preserve"> Privacy and AI</t>
  </si>
  <si>
    <t>This question does not apply.</t>
  </si>
  <si>
    <t>AIQU</t>
  </si>
  <si>
    <t xml:space="preserve"> AI Qualifying Questions</t>
  </si>
  <si>
    <t>AIGN</t>
  </si>
  <si>
    <t xml:space="preserve"> General AI Questions</t>
  </si>
  <si>
    <t>AIPL</t>
  </si>
  <si>
    <t xml:space="preserve"> AI Policy</t>
  </si>
  <si>
    <t>Version 4.1.5</t>
  </si>
  <si>
    <t>AISC</t>
  </si>
  <si>
    <t xml:space="preserve"> AI Data Security</t>
  </si>
  <si>
    <t>AIML</t>
  </si>
  <si>
    <t xml:space="preserve"> AI Machine Learning</t>
  </si>
  <si>
    <t>AILM</t>
  </si>
  <si>
    <t xml:space="preserve"> AI Large Language Model (LLM)</t>
  </si>
  <si>
    <t xml:space="preserve">This worksheet is auto-populated with data taken from previous worksheets. </t>
  </si>
  <si>
    <t>ID Code</t>
  </si>
  <si>
    <t>Vendor Response</t>
  </si>
  <si>
    <t>Default Value</t>
  </si>
  <si>
    <t>Compliance Eval</t>
  </si>
  <si>
    <t>Non-negotiable Indicator</t>
  </si>
  <si>
    <t>Critical Indicator</t>
  </si>
  <si>
    <t>Potential Score</t>
  </si>
  <si>
    <t>Actual Score</t>
  </si>
  <si>
    <t>Non-Negotiable Count</t>
  </si>
  <si>
    <t>Non-Negotiable Total</t>
  </si>
  <si>
    <t>Non-Negotiable Location</t>
  </si>
  <si>
    <t>Critical Count</t>
  </si>
  <si>
    <t>Critical Total</t>
  </si>
  <si>
    <t>Critical Location</t>
  </si>
  <si>
    <t xml:space="preserve">End of workbook </t>
  </si>
  <si>
    <t>Alan Heppenstall</t>
  </si>
  <si>
    <t>CTO</t>
  </si>
  <si>
    <t>alan@accredible.com</t>
  </si>
  <si>
    <t>+1 (628) 214-2701</t>
  </si>
  <si>
    <t>Accredible holds a SOC 2 Type 2 certification which runs from Jan to December each year and is audited annually by a third party auditor. The scope covers the entire Accredible Processing System.</t>
  </si>
  <si>
    <t>System and application architecture diagrams are available via https://www.accredible.com/trust-center</t>
  </si>
  <si>
    <t>Accredible maintains a documented Disaster Recovery Plan (DRP) with a named owner. DR tests are performed multiple times annually.</t>
  </si>
  <si>
    <t>Accredible uses infrastructure-as-code and hardened base images with baseline configurations, patching standards, and least-privilege access. Changes to system configurations follow peer review and approval prior to deployment.</t>
  </si>
  <si>
    <t>Dependency management includes SBOM tracking, automated scanning for vulnerabilities and end-of-support risks, and upgrade gates during CI/CD to prevent deployment of unsafe or unsupported components.</t>
  </si>
  <si>
    <t>As a managed SaaS platform, Accredible applies platform updates to maintain security and reliability. Where feasible, changes are backward compatible and communicated in advance. Customers may use feature flags, sandbox testing, and documented deprecation timelines to manage transitions; critical security patches are not deferrable.</t>
  </si>
  <si>
    <t>Accredible follows a regular release cadence for enhancements and fixes, publishes release notes, and maintains a change calendar. Out-of-band releases are used for urgent security or stability updates.</t>
  </si>
  <si>
    <t>An expedited emergency change procedure permits rapid remediation with immediate documentation, post-implementation review, and formal after-the-fact approval.</t>
  </si>
  <si>
    <t>Accredible maintains a systems management strategy covering servers, cloud services, applications, and endpoint devices using MDM and infrastructure as code.</t>
  </si>
  <si>
    <t>Passwords must meet minimum complexity requirements. Accredible enforces strong password standards by default.</t>
  </si>
  <si>
    <t xml:space="preserve">At the end of a contract, data handling is managed in accordance with the Data Processing Agreement (DPA). This includes provisions for data access, export, and deletion, ensuring that customers can retrieve their data and that it is not retained longer than necessary without authorization.   </t>
  </si>
  <si>
    <t>Backups remain within the designated AWS region. Data is not moved outside its hosting zone.</t>
  </si>
  <si>
    <t>Accredible is a cloud-only platform. No physical backup media is taken off-site.</t>
  </si>
  <si>
    <t>Accredible maintains a documented process for data lifecycle management, including secure wiping, repurposing, and destruction of data media.</t>
  </si>
  <si>
    <t>Data sanitization follows NIST SP 800-88 and DoD 5220.22-M standards.</t>
  </si>
  <si>
    <t>Accredible applies a zero-trust security model. All employees connecting remotely use secure connections. Company computers are managed via MDM regardless of work location.</t>
  </si>
  <si>
    <t xml:space="preserve">Accredible is a multi-tenant SaaS platform. Customer data is logically separated at the application and database layer. Physical single-tenancy is not available. </t>
  </si>
  <si>
    <t xml:space="preserve">Accredible protects institutional data from system failures and ransomware through a layered approach that combines resilient cloud infrastructure, backup and recovery planning, and strict security controls.
Accredible’s platform is hosted on AWS, a highly redundant cloud infrastructure designed for high availability and fault tolerance. This reduces the risk of data loss due to hardware or system failure by leveraging distributed systems and managed services.   
In addition, Accredible maintains formal Business Continuity and Disaster Recovery plans, which are tested annually. These plans define procedures to restore services and recover data in the event of incidents such as system failures, outages, or malicious events.   
Data is further protected through regular backup mechanisms within the cloud environment, ensuring that recoverable copies of data are available if primary systems are impacted. These backups are stored securely and encrypted.   
To mitigate ransomware and other malicious threats, Accredible enforces strong access controls, including least-privilege access, role-based permissions, and multi-factor authentication for privileged systems. This limits the ability of unauthorized users to access or modify sensitive data.   </t>
  </si>
  <si>
    <t>Limited and controlled</t>
  </si>
  <si>
    <t>https://help.accredible.com/s/article/accessibility</t>
  </si>
  <si>
    <t>Individual users can also choose not to use AI-suggested skill tags.</t>
  </si>
  <si>
    <t>Accredible has implemented business rules to ensure only appropriate course description text (not personal data) is submitted to the AI model. Data is not persistent</t>
  </si>
  <si>
    <t>AI privacy and ethics awareness/training is included as part of responsible AI usages required for all employees who work with AI features.</t>
  </si>
  <si>
    <t>Alan Heppenstall | alan@accredible.com</t>
  </si>
  <si>
    <t xml:space="preserve">Customers can choose not to use Accredible's AI-powered skills extraction feature.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</si>
</sst>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56" x14ac:knownFonts="1">
    <font>
      <sz val="12"/>
      <color indexed="8"/>
      <name val="Verdana"/>
    </font>
    <font>
      <sz val="12"/>
      <color theme="0"/>
      <name val="Verdana"/>
      <family val="2"/>
    </font>
    <font>
      <b/>
      <sz val="20"/>
      <color theme="0"/>
      <name val="Verdana"/>
      <family val="2"/>
    </font>
    <font>
      <b/>
      <sz val="14"/>
      <color theme="1"/>
      <name val="Verdana"/>
      <family val="2"/>
    </font>
    <font>
      <sz val="11"/>
      <color indexed="8"/>
      <name val="Verdana"/>
      <family val="2"/>
    </font>
    <font>
      <b/>
      <sz val="12"/>
      <color theme="0"/>
      <name val="Verdana"/>
      <family val="2"/>
    </font>
    <font>
      <b/>
      <sz val="11"/>
      <color rgb="FF000000"/>
      <name val="Verdana"/>
      <family val="2"/>
    </font>
    <font>
      <sz val="11"/>
      <color rgb="FF000000"/>
      <name val="Verdana"/>
      <family val="2"/>
    </font>
    <font>
      <sz val="10"/>
      <color rgb="FF000000"/>
      <name val="Aptos Narrow"/>
      <family val="2"/>
      <scheme val="minor"/>
    </font>
    <font>
      <b/>
      <sz val="11"/>
      <color rgb="FF000000"/>
      <name val="Arial"/>
      <family val="2"/>
    </font>
    <font>
      <sz val="11"/>
      <color rgb="FF000000"/>
      <name val="Arial"/>
      <family val="2"/>
    </font>
    <font>
      <sz val="11"/>
      <color theme="1"/>
      <name val="Arial"/>
      <family val="2"/>
    </font>
    <font>
      <sz val="10"/>
      <color theme="1"/>
      <name val="Aptos Narrow"/>
      <family val="2"/>
      <scheme val="minor"/>
    </font>
    <font>
      <b/>
      <sz val="10"/>
      <color theme="1"/>
      <name val="Aptos Narrow"/>
      <family val="2"/>
      <scheme val="minor"/>
    </font>
    <font>
      <sz val="12"/>
      <color theme="1"/>
      <name val="Verdana"/>
      <family val="2"/>
    </font>
    <font>
      <b/>
      <sz val="11"/>
      <color rgb="FFFF0000"/>
      <name val="Verdana"/>
      <family val="2"/>
    </font>
    <font>
      <sz val="11"/>
      <color theme="1"/>
      <name val="Verdana"/>
      <family val="2"/>
    </font>
    <font>
      <b/>
      <sz val="12"/>
      <color theme="1"/>
      <name val="Verdana"/>
      <family val="2"/>
    </font>
    <font>
      <i/>
      <sz val="12"/>
      <color theme="1"/>
      <name val="Verdana"/>
      <family val="2"/>
    </font>
    <font>
      <b/>
      <sz val="14"/>
      <color theme="0"/>
      <name val="Verdana"/>
      <family val="2"/>
    </font>
    <font>
      <b/>
      <sz val="14"/>
      <color rgb="FFFF0000"/>
      <name val="Verdana"/>
      <family val="2"/>
    </font>
    <font>
      <i/>
      <sz val="11"/>
      <color theme="1"/>
      <name val="Verdana"/>
      <family val="2"/>
    </font>
    <font>
      <sz val="12"/>
      <color indexed="8"/>
      <name val="Verdana"/>
      <family val="2"/>
    </font>
    <font>
      <b/>
      <sz val="12"/>
      <color rgb="FF000000"/>
      <name val="Verdana"/>
      <family val="2"/>
    </font>
    <font>
      <b/>
      <sz val="12"/>
      <color indexed="8"/>
      <name val="Verdana"/>
      <family val="2"/>
    </font>
    <font>
      <u/>
      <sz val="12"/>
      <color theme="10"/>
      <name val="Verdana"/>
      <family val="2"/>
    </font>
    <font>
      <b/>
      <sz val="11"/>
      <color rgb="FF000000"/>
      <name val="Arial"/>
      <family val="2"/>
    </font>
    <font>
      <sz val="11"/>
      <name val="Verdana"/>
      <family val="2"/>
    </font>
    <font>
      <b/>
      <sz val="20"/>
      <name val="Verdana"/>
      <family val="2"/>
    </font>
    <font>
      <b/>
      <sz val="12"/>
      <name val="Verdana"/>
      <family val="2"/>
    </font>
    <font>
      <sz val="12"/>
      <color rgb="FFFF0000"/>
      <name val="Verdana"/>
      <family val="2"/>
    </font>
    <font>
      <sz val="11"/>
      <color theme="0"/>
      <name val="Verdana"/>
      <family val="2"/>
    </font>
    <font>
      <b/>
      <sz val="10"/>
      <color rgb="FF000000"/>
      <name val="Aptos Narrow"/>
      <family val="2"/>
      <scheme val="minor"/>
    </font>
    <font>
      <b/>
      <i/>
      <sz val="10"/>
      <color rgb="FF000000"/>
      <name val="Aptos Narrow"/>
      <family val="2"/>
      <scheme val="minor"/>
    </font>
    <font>
      <sz val="11"/>
      <color indexed="8"/>
      <name val="Arial"/>
      <family val="2"/>
    </font>
    <font>
      <u/>
      <sz val="12"/>
      <color theme="0"/>
      <name val="Verdana"/>
      <family val="2"/>
    </font>
    <font>
      <b/>
      <sz val="11"/>
      <color indexed="8"/>
      <name val="Arial"/>
      <family val="2"/>
    </font>
    <font>
      <sz val="11"/>
      <color rgb="FFBF0000"/>
      <name val="Verdana"/>
      <family val="2"/>
    </font>
    <font>
      <sz val="12"/>
      <name val="Verdana"/>
      <family val="2"/>
    </font>
    <font>
      <b/>
      <sz val="14"/>
      <name val="Verdana"/>
      <family val="2"/>
    </font>
    <font>
      <b/>
      <i/>
      <sz val="12"/>
      <color rgb="FF000000"/>
      <name val="Verdana"/>
      <family val="2"/>
    </font>
    <font>
      <b/>
      <i/>
      <sz val="12"/>
      <color indexed="8"/>
      <name val="Verdana"/>
      <family val="2"/>
    </font>
    <font>
      <b/>
      <sz val="11"/>
      <color theme="0"/>
      <name val="Verdana"/>
      <family val="2"/>
    </font>
    <font>
      <b/>
      <sz val="11"/>
      <name val="Verdana"/>
      <family val="2"/>
    </font>
    <font>
      <sz val="10"/>
      <color theme="0"/>
      <name val="Aptos Narrow"/>
      <family val="2"/>
      <scheme val="minor"/>
    </font>
    <font>
      <b/>
      <i/>
      <sz val="14"/>
      <color rgb="FFFF0000"/>
      <name val="Verdana"/>
      <family val="2"/>
    </font>
    <font>
      <i/>
      <sz val="11"/>
      <color indexed="8"/>
      <name val="Verdana"/>
      <family val="2"/>
    </font>
    <font>
      <i/>
      <sz val="11"/>
      <name val="Verdana"/>
      <family val="2"/>
    </font>
    <font>
      <b/>
      <sz val="14"/>
      <color rgb="FF000000"/>
      <name val="Verdana"/>
      <family val="2"/>
    </font>
    <font>
      <b/>
      <i/>
      <sz val="11"/>
      <color theme="1"/>
      <name val="Verdana"/>
      <family val="2"/>
    </font>
    <font>
      <sz val="12"/>
      <color rgb="FFC00000"/>
      <name val="Verdana"/>
      <family val="2"/>
    </font>
    <font>
      <b/>
      <sz val="14"/>
      <color rgb="FFC00000"/>
      <name val="Verdana"/>
      <family val="2"/>
    </font>
    <font>
      <u/>
      <sz val="12"/>
      <color rgb="FFC00000"/>
      <name val="Verdana"/>
      <family val="2"/>
    </font>
    <font>
      <sz val="10"/>
      <color indexed="8"/>
      <name val="Arial"/>
      <family val="2"/>
    </font>
    <font>
      <sz val="11"/>
      <color rgb="FF1A1A1A"/>
      <name val="Arial"/>
      <family val="2"/>
    </font>
    <font>
      <sz val="10"/>
      <name val="Aptos Narrow"/>
      <family val="2"/>
      <scheme val="minor"/>
    </font>
  </fonts>
  <fills count="2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D9EAD3"/>
        <bgColor rgb="FFD9EAD3"/>
      </patternFill>
    </fill>
    <fill>
      <patternFill patternType="solid">
        <fgColor theme="7" tint="0.79998168889431442"/>
        <bgColor indexed="64"/>
      </patternFill>
    </fill>
    <fill>
      <patternFill patternType="solid">
        <fgColor rgb="FFE6B8AF"/>
        <bgColor rgb="FFE6B8AF"/>
      </patternFill>
    </fill>
    <fill>
      <patternFill patternType="solid">
        <fgColor rgb="FFB7E1CD"/>
        <bgColor rgb="FFB7E1CD"/>
      </patternFill>
    </fill>
    <fill>
      <patternFill patternType="solid">
        <fgColor rgb="FFD9D2E9"/>
        <bgColor rgb="FFD9D2E9"/>
      </patternFill>
    </fill>
    <fill>
      <patternFill patternType="solid">
        <fgColor theme="0"/>
        <bgColor indexed="64"/>
      </patternFill>
    </fill>
    <fill>
      <patternFill patternType="solid">
        <fgColor rgb="FFFFFFFF"/>
        <bgColor indexed="64"/>
      </patternFill>
    </fill>
    <fill>
      <patternFill patternType="solid">
        <fgColor theme="3" tint="0.749992370372631"/>
        <bgColor indexed="64"/>
      </patternFill>
    </fill>
    <fill>
      <patternFill patternType="solid">
        <fgColor theme="3" tint="0.749992370372631"/>
        <bgColor rgb="FFD9EAD3"/>
      </patternFill>
    </fill>
    <fill>
      <patternFill patternType="solid">
        <fgColor theme="3" tint="0.749992370372631"/>
        <bgColor rgb="FFD9D2E9"/>
      </patternFill>
    </fill>
    <fill>
      <patternFill patternType="solid">
        <fgColor theme="8" tint="0.79998168889431442"/>
        <bgColor rgb="FFD9D2E9"/>
      </patternFill>
    </fill>
    <fill>
      <patternFill patternType="solid">
        <fgColor rgb="FFD0DAF0"/>
        <bgColor indexed="64"/>
      </patternFill>
    </fill>
    <fill>
      <patternFill patternType="solid">
        <fgColor rgb="FF00636C"/>
        <bgColor indexed="64"/>
      </patternFill>
    </fill>
    <fill>
      <patternFill patternType="solid">
        <fgColor rgb="FFE0B233"/>
        <bgColor indexed="64"/>
      </patternFill>
    </fill>
    <fill>
      <patternFill patternType="solid">
        <fgColor rgb="FF7ECCA0"/>
        <bgColor indexed="64"/>
      </patternFill>
    </fill>
    <fill>
      <patternFill patternType="solid">
        <fgColor rgb="FF4C6BB3"/>
        <bgColor indexed="64"/>
      </patternFill>
    </fill>
    <fill>
      <patternFill patternType="solid">
        <fgColor rgb="FFE0B233"/>
        <bgColor theme="4"/>
      </patternFill>
    </fill>
    <fill>
      <patternFill patternType="solid">
        <fgColor rgb="FFFDEEC5"/>
        <bgColor indexed="64"/>
      </patternFill>
    </fill>
    <fill>
      <patternFill patternType="solid">
        <fgColor rgb="FFBF000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s>
  <borders count="5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medium">
        <color indexed="64"/>
      </bottom>
      <diagonal/>
    </border>
    <border>
      <left/>
      <right/>
      <top/>
      <bottom style="thin">
        <color auto="1"/>
      </bottom>
      <diagonal/>
    </border>
    <border>
      <left style="medium">
        <color indexed="64"/>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diagonal/>
    </border>
    <border>
      <left style="medium">
        <color indexed="64"/>
      </left>
      <right style="thin">
        <color auto="1"/>
      </right>
      <top/>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right style="thin">
        <color auto="1"/>
      </right>
      <top/>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medium">
        <color indexed="64"/>
      </bottom>
      <diagonal/>
    </border>
    <border>
      <left style="thin">
        <color auto="1"/>
      </left>
      <right/>
      <top style="thin">
        <color auto="1"/>
      </top>
      <bottom/>
      <diagonal/>
    </border>
    <border>
      <left/>
      <right style="thin">
        <color indexed="64"/>
      </right>
      <top style="thin">
        <color indexed="64"/>
      </top>
      <bottom/>
      <diagonal/>
    </border>
    <border>
      <left/>
      <right style="medium">
        <color indexed="64"/>
      </right>
      <top/>
      <bottom/>
      <diagonal/>
    </border>
  </borders>
  <cellStyleXfs count="4">
    <xf numFmtId="0" fontId="0" fillId="0" borderId="0">
      <alignment vertical="top" wrapText="1"/>
    </xf>
    <xf numFmtId="0" fontId="8" fillId="0" borderId="0"/>
    <xf numFmtId="0" fontId="25" fillId="0" borderId="0">
      <alignment vertical="top" wrapText="1"/>
    </xf>
    <xf numFmtId="0" fontId="22" fillId="0" borderId="0">
      <alignment vertical="top" wrapText="1"/>
    </xf>
  </cellStyleXfs>
  <cellXfs count="325">
    <xf numFmtId="0" fontId="0" fillId="0" borderId="0" xfId="0">
      <alignment vertical="top" wrapText="1"/>
    </xf>
    <xf numFmtId="0" fontId="4" fillId="0" borderId="0" xfId="0" applyFont="1" applyAlignment="1"/>
    <xf numFmtId="0" fontId="8" fillId="0" borderId="0" xfId="1" applyAlignment="1">
      <alignment vertical="top" wrapText="1"/>
    </xf>
    <xf numFmtId="0" fontId="11" fillId="0" borderId="0" xfId="1" applyFont="1" applyAlignment="1">
      <alignment vertical="top" wrapText="1"/>
    </xf>
    <xf numFmtId="0" fontId="10" fillId="0" borderId="0" xfId="1" applyFont="1" applyAlignment="1">
      <alignment vertical="top" wrapText="1"/>
    </xf>
    <xf numFmtId="0" fontId="8" fillId="0" borderId="0" xfId="1"/>
    <xf numFmtId="0" fontId="12" fillId="0" borderId="0" xfId="1" applyFont="1"/>
    <xf numFmtId="0" fontId="13" fillId="0" borderId="0" xfId="1" applyFont="1"/>
    <xf numFmtId="0" fontId="4" fillId="0" borderId="0" xfId="0" applyFont="1" applyAlignment="1">
      <alignment horizontal="center" vertical="center"/>
    </xf>
    <xf numFmtId="0" fontId="4" fillId="0" borderId="0" xfId="0" applyFont="1" applyAlignment="1">
      <alignment wrapText="1"/>
    </xf>
    <xf numFmtId="0" fontId="15" fillId="0" borderId="0" xfId="0" applyFont="1" applyAlignment="1">
      <alignment wrapText="1"/>
    </xf>
    <xf numFmtId="0" fontId="19" fillId="3" borderId="5" xfId="0" applyFont="1" applyFill="1" applyBorder="1" applyAlignment="1">
      <alignment vertical="center"/>
    </xf>
    <xf numFmtId="0" fontId="19" fillId="3" borderId="3" xfId="0" applyFont="1" applyFill="1" applyBorder="1" applyAlignment="1">
      <alignment vertical="center"/>
    </xf>
    <xf numFmtId="0" fontId="19" fillId="3" borderId="5" xfId="0" applyFont="1" applyFill="1" applyBorder="1" applyAlignment="1">
      <alignment horizontal="center" vertical="center" wrapText="1"/>
    </xf>
    <xf numFmtId="1" fontId="19" fillId="3" borderId="5" xfId="0" applyNumberFormat="1" applyFont="1" applyFill="1" applyBorder="1" applyAlignment="1">
      <alignment horizontal="left" vertical="center" wrapText="1"/>
    </xf>
    <xf numFmtId="1" fontId="20" fillId="3" borderId="5" xfId="0" applyNumberFormat="1" applyFont="1" applyFill="1" applyBorder="1" applyAlignment="1">
      <alignment horizontal="left" vertical="center" wrapText="1"/>
    </xf>
    <xf numFmtId="0" fontId="14" fillId="4" borderId="0" xfId="0" applyFont="1" applyFill="1" applyAlignment="1">
      <alignment vertical="center"/>
    </xf>
    <xf numFmtId="1" fontId="20" fillId="3" borderId="3" xfId="0" applyNumberFormat="1" applyFont="1" applyFill="1" applyBorder="1" applyAlignment="1">
      <alignment horizontal="left" vertical="center" wrapText="1"/>
    </xf>
    <xf numFmtId="0" fontId="16" fillId="2" borderId="7" xfId="0" applyFont="1" applyFill="1" applyBorder="1" applyAlignment="1">
      <alignment horizontal="left" vertical="center" wrapText="1"/>
    </xf>
    <xf numFmtId="0" fontId="4" fillId="2" borderId="3" xfId="0" applyFont="1" applyFill="1" applyBorder="1" applyAlignment="1">
      <alignment vertical="center" wrapText="1"/>
    </xf>
    <xf numFmtId="0" fontId="16" fillId="2" borderId="3" xfId="0" applyFont="1" applyFill="1" applyBorder="1" applyAlignment="1">
      <alignment horizontal="left" vertical="center" wrapText="1"/>
    </xf>
    <xf numFmtId="0" fontId="16" fillId="10" borderId="3" xfId="0" applyFont="1" applyFill="1" applyBorder="1" applyAlignment="1">
      <alignment horizontal="center" vertical="center" wrapText="1"/>
    </xf>
    <xf numFmtId="0" fontId="19" fillId="3" borderId="2" xfId="0" applyFont="1" applyFill="1" applyBorder="1" applyAlignment="1">
      <alignment vertical="center"/>
    </xf>
    <xf numFmtId="0" fontId="22" fillId="0" borderId="0" xfId="0" applyFont="1">
      <alignment vertical="top" wrapText="1"/>
    </xf>
    <xf numFmtId="0" fontId="3" fillId="2" borderId="0" xfId="0" applyFont="1" applyFill="1" applyAlignment="1">
      <alignment vertical="center"/>
    </xf>
    <xf numFmtId="0" fontId="6" fillId="0" borderId="0" xfId="0" applyFont="1" applyAlignment="1">
      <alignment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4" fillId="0" borderId="0" xfId="0" applyFont="1" applyAlignment="1">
      <alignment horizontal="center" vertical="center" wrapText="1"/>
    </xf>
    <xf numFmtId="0" fontId="22" fillId="0" borderId="14" xfId="0" applyFont="1" applyBorder="1" applyAlignment="1">
      <alignment horizontal="center" vertical="center" wrapText="1"/>
    </xf>
    <xf numFmtId="0" fontId="19" fillId="3" borderId="5" xfId="0" applyFont="1" applyFill="1" applyBorder="1" applyAlignment="1">
      <alignment horizontal="center" vertical="center"/>
    </xf>
    <xf numFmtId="0" fontId="21" fillId="0" borderId="4" xfId="0" applyFont="1" applyBorder="1" applyAlignment="1">
      <alignment vertical="center" wrapText="1"/>
    </xf>
    <xf numFmtId="0" fontId="21" fillId="0" borderId="4" xfId="0" applyFont="1" applyBorder="1" applyAlignment="1">
      <alignment vertical="center"/>
    </xf>
    <xf numFmtId="0" fontId="22" fillId="0" borderId="3" xfId="0" applyFont="1" applyBorder="1" applyAlignment="1">
      <alignment vertical="center" wrapText="1"/>
    </xf>
    <xf numFmtId="0" fontId="27" fillId="0" borderId="0" xfId="0" applyFont="1" applyAlignment="1"/>
    <xf numFmtId="164" fontId="18" fillId="10" borderId="4" xfId="0" applyNumberFormat="1" applyFont="1" applyFill="1" applyBorder="1" applyAlignment="1">
      <alignment horizontal="left" vertical="center"/>
    </xf>
    <xf numFmtId="0" fontId="17" fillId="2" borderId="1" xfId="0" applyFont="1" applyFill="1" applyBorder="1" applyAlignment="1">
      <alignment vertical="center"/>
    </xf>
    <xf numFmtId="0" fontId="17" fillId="2" borderId="2" xfId="0" applyFont="1" applyFill="1" applyBorder="1" applyAlignment="1">
      <alignment vertical="center"/>
    </xf>
    <xf numFmtId="0" fontId="27" fillId="11" borderId="3" xfId="0" applyFont="1" applyFill="1" applyBorder="1" applyAlignment="1">
      <alignment vertical="center" wrapText="1"/>
    </xf>
    <xf numFmtId="0" fontId="15" fillId="0" borderId="0" xfId="0" applyFont="1" applyAlignment="1">
      <alignment vertical="center" wrapText="1"/>
    </xf>
    <xf numFmtId="0" fontId="4" fillId="0" borderId="0" xfId="0" applyFont="1" applyAlignment="1">
      <alignment vertical="center"/>
    </xf>
    <xf numFmtId="0" fontId="17" fillId="4" borderId="0" xfId="0" applyFont="1" applyFill="1" applyAlignment="1">
      <alignment vertical="center"/>
    </xf>
    <xf numFmtId="0" fontId="23" fillId="0" borderId="3" xfId="0" applyFont="1" applyBorder="1" applyAlignment="1">
      <alignment horizontal="center" vertical="center" wrapText="1"/>
    </xf>
    <xf numFmtId="0" fontId="29"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20" xfId="0" applyFont="1" applyBorder="1" applyAlignment="1">
      <alignment horizontal="center" vertical="center" wrapText="1"/>
    </xf>
    <xf numFmtId="0" fontId="4" fillId="0" borderId="2" xfId="0" applyFont="1" applyBorder="1" applyAlignment="1"/>
    <xf numFmtId="0" fontId="1" fillId="0" borderId="0" xfId="3" applyFont="1" applyAlignment="1">
      <alignment vertical="top" shrinkToFit="1"/>
    </xf>
    <xf numFmtId="0" fontId="4" fillId="0" borderId="0" xfId="3" applyFont="1" applyAlignment="1"/>
    <xf numFmtId="0" fontId="4" fillId="0" borderId="0" xfId="3" applyFont="1" applyAlignment="1">
      <alignment horizontal="center" vertical="center"/>
    </xf>
    <xf numFmtId="0" fontId="4" fillId="0" borderId="0" xfId="3" applyFont="1" applyAlignment="1">
      <alignment wrapText="1"/>
    </xf>
    <xf numFmtId="0" fontId="22" fillId="0" borderId="0" xfId="3">
      <alignment vertical="top" wrapText="1"/>
    </xf>
    <xf numFmtId="0" fontId="19" fillId="3" borderId="3" xfId="3" applyFont="1" applyFill="1" applyBorder="1" applyAlignment="1">
      <alignment horizontal="center" vertical="center" wrapText="1"/>
    </xf>
    <xf numFmtId="0" fontId="16" fillId="2" borderId="3" xfId="3" applyFont="1" applyFill="1" applyBorder="1" applyAlignment="1">
      <alignment vertical="center" wrapText="1"/>
    </xf>
    <xf numFmtId="0" fontId="22" fillId="0" borderId="0" xfId="3" applyAlignment="1">
      <alignment horizontal="left" vertical="center" wrapText="1"/>
    </xf>
    <xf numFmtId="0" fontId="14" fillId="4" borderId="0" xfId="3" applyFont="1" applyFill="1" applyAlignment="1">
      <alignment horizontal="left" vertical="center" wrapText="1"/>
    </xf>
    <xf numFmtId="0" fontId="8" fillId="0" borderId="0" xfId="1" applyAlignment="1">
      <alignment horizontal="center"/>
    </xf>
    <xf numFmtId="0" fontId="19" fillId="3" borderId="3" xfId="3" applyFont="1" applyFill="1" applyBorder="1" applyAlignment="1">
      <alignment vertical="center"/>
    </xf>
    <xf numFmtId="0" fontId="16" fillId="2" borderId="3" xfId="3" applyFont="1" applyFill="1" applyBorder="1" applyAlignment="1">
      <alignment vertical="center"/>
    </xf>
    <xf numFmtId="0" fontId="3" fillId="2" borderId="0" xfId="3" applyFont="1" applyFill="1" applyAlignment="1">
      <alignment vertical="center"/>
    </xf>
    <xf numFmtId="164" fontId="18" fillId="10" borderId="1" xfId="0" applyNumberFormat="1" applyFont="1" applyFill="1" applyBorder="1" applyAlignment="1">
      <alignment horizontal="center" vertical="center"/>
    </xf>
    <xf numFmtId="0" fontId="14" fillId="4" borderId="0" xfId="0" applyFont="1" applyFill="1" applyAlignment="1">
      <alignment horizontal="center" vertical="center"/>
    </xf>
    <xf numFmtId="0" fontId="3" fillId="2" borderId="0" xfId="0" applyFont="1" applyFill="1" applyAlignment="1">
      <alignment horizontal="center" vertical="center"/>
    </xf>
    <xf numFmtId="0" fontId="6" fillId="0" borderId="0" xfId="0" applyFont="1" applyAlignment="1">
      <alignment horizontal="center" vertical="center"/>
    </xf>
    <xf numFmtId="0" fontId="4" fillId="0" borderId="0" xfId="0" applyFont="1" applyAlignment="1">
      <alignment horizontal="center" wrapText="1"/>
    </xf>
    <xf numFmtId="0" fontId="27" fillId="0" borderId="1"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21" fillId="0" borderId="1" xfId="0" applyFont="1" applyBorder="1" applyAlignment="1">
      <alignment horizontal="left" vertical="center"/>
    </xf>
    <xf numFmtId="0" fontId="17" fillId="2" borderId="4" xfId="0" applyFont="1" applyFill="1" applyBorder="1" applyAlignment="1">
      <alignment vertical="center"/>
    </xf>
    <xf numFmtId="0" fontId="16" fillId="2" borderId="1" xfId="0" applyFont="1" applyFill="1" applyBorder="1" applyAlignment="1">
      <alignment horizontal="left" vertical="center" wrapText="1"/>
    </xf>
    <xf numFmtId="1" fontId="20" fillId="3" borderId="24" xfId="0" applyNumberFormat="1" applyFont="1" applyFill="1" applyBorder="1" applyAlignment="1">
      <alignment horizontal="left" vertical="center" wrapText="1"/>
    </xf>
    <xf numFmtId="9" fontId="6" fillId="2" borderId="28" xfId="3" applyNumberFormat="1"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32" xfId="3" applyFont="1" applyFill="1" applyBorder="1" applyAlignment="1">
      <alignment horizontal="center" vertical="center" wrapText="1"/>
    </xf>
    <xf numFmtId="0" fontId="22" fillId="0" borderId="0" xfId="3" applyAlignment="1">
      <alignment vertical="center" wrapText="1"/>
    </xf>
    <xf numFmtId="0" fontId="7" fillId="0" borderId="33" xfId="3" applyFont="1" applyBorder="1" applyAlignment="1">
      <alignment vertical="center"/>
    </xf>
    <xf numFmtId="0" fontId="6" fillId="2" borderId="28" xfId="3" applyFont="1" applyFill="1" applyBorder="1" applyAlignment="1">
      <alignment horizontal="center" vertical="center" wrapText="1"/>
    </xf>
    <xf numFmtId="0" fontId="30" fillId="0" borderId="0" xfId="3" applyFont="1" applyAlignment="1">
      <alignment vertical="center" wrapText="1"/>
    </xf>
    <xf numFmtId="0" fontId="30" fillId="0" borderId="0" xfId="3" applyFont="1" applyAlignment="1">
      <alignment horizontal="center" vertical="center" wrapText="1"/>
    </xf>
    <xf numFmtId="0" fontId="4" fillId="0" borderId="0" xfId="3" applyFont="1" applyAlignment="1">
      <alignment vertical="center" wrapText="1"/>
    </xf>
    <xf numFmtId="0" fontId="6" fillId="0" borderId="0" xfId="3" applyFont="1" applyAlignment="1">
      <alignment vertical="center" wrapText="1"/>
    </xf>
    <xf numFmtId="0" fontId="7" fillId="0" borderId="0" xfId="3" applyFont="1" applyAlignment="1">
      <alignment horizontal="left" vertical="center"/>
    </xf>
    <xf numFmtId="0" fontId="32" fillId="0" borderId="0" xfId="1" applyFont="1"/>
    <xf numFmtId="0" fontId="33" fillId="0" borderId="0" xfId="1" applyFont="1"/>
    <xf numFmtId="0" fontId="33" fillId="0" borderId="0" xfId="1" applyFont="1" applyAlignment="1">
      <alignment horizontal="center"/>
    </xf>
    <xf numFmtId="0" fontId="4" fillId="0" borderId="0" xfId="3" applyFont="1" applyAlignment="1">
      <alignment horizontal="left" vertical="center"/>
    </xf>
    <xf numFmtId="0" fontId="4" fillId="0" borderId="0" xfId="3" applyFont="1" applyAlignment="1">
      <alignment horizontal="left" vertical="center" wrapText="1"/>
    </xf>
    <xf numFmtId="0" fontId="4" fillId="0" borderId="4" xfId="3" applyFont="1" applyBorder="1" applyAlignment="1">
      <alignment horizontal="left" vertical="center"/>
    </xf>
    <xf numFmtId="0" fontId="3" fillId="2" borderId="0" xfId="3" applyFont="1" applyFill="1" applyAlignment="1">
      <alignment horizontal="left" vertical="center"/>
    </xf>
    <xf numFmtId="0" fontId="19" fillId="3" borderId="9" xfId="3" applyFont="1" applyFill="1" applyBorder="1" applyAlignment="1">
      <alignment horizontal="left" vertical="center"/>
    </xf>
    <xf numFmtId="0" fontId="19" fillId="3" borderId="0" xfId="3" applyFont="1" applyFill="1" applyAlignment="1">
      <alignment horizontal="left" vertical="center"/>
    </xf>
    <xf numFmtId="0" fontId="9" fillId="12" borderId="0" xfId="1" applyFont="1" applyFill="1" applyAlignment="1">
      <alignment horizontal="center" vertical="center" wrapText="1"/>
    </xf>
    <xf numFmtId="0" fontId="9" fillId="13" borderId="0" xfId="1" applyFont="1" applyFill="1" applyAlignment="1">
      <alignment horizontal="center" vertical="center" wrapText="1"/>
    </xf>
    <xf numFmtId="0" fontId="26" fillId="13" borderId="0" xfId="1" applyFont="1" applyFill="1" applyAlignment="1">
      <alignment horizontal="center" vertical="center" wrapText="1"/>
    </xf>
    <xf numFmtId="0" fontId="26" fillId="14" borderId="0" xfId="1" applyFont="1" applyFill="1" applyAlignment="1">
      <alignment horizontal="center" vertical="center" wrapText="1"/>
    </xf>
    <xf numFmtId="0" fontId="9" fillId="14" borderId="0" xfId="1" applyFont="1" applyFill="1" applyAlignment="1">
      <alignment horizontal="center" vertical="center" wrapText="1"/>
    </xf>
    <xf numFmtId="0" fontId="34" fillId="0" borderId="0" xfId="0" applyFont="1">
      <alignment vertical="top" wrapText="1"/>
    </xf>
    <xf numFmtId="0" fontId="26" fillId="12" borderId="0" xfId="1" applyFont="1" applyFill="1" applyAlignment="1">
      <alignment horizontal="center" vertical="center" wrapText="1"/>
    </xf>
    <xf numFmtId="0" fontId="6" fillId="2" borderId="30" xfId="3" applyFont="1" applyFill="1" applyBorder="1" applyAlignment="1">
      <alignment horizontal="center" vertical="center" wrapText="1"/>
    </xf>
    <xf numFmtId="0" fontId="6" fillId="2" borderId="29" xfId="3" applyFont="1" applyFill="1" applyBorder="1" applyAlignment="1">
      <alignment horizontal="center" vertical="center" wrapText="1"/>
    </xf>
    <xf numFmtId="3" fontId="7" fillId="0" borderId="5" xfId="3" applyNumberFormat="1" applyFont="1" applyBorder="1" applyAlignment="1">
      <alignment horizontal="center" vertical="center" wrapText="1"/>
    </xf>
    <xf numFmtId="3" fontId="6" fillId="2" borderId="31" xfId="3" applyNumberFormat="1" applyFont="1" applyFill="1" applyBorder="1" applyAlignment="1">
      <alignment horizontal="center" vertical="center" wrapText="1"/>
    </xf>
    <xf numFmtId="0" fontId="6" fillId="10" borderId="32" xfId="3" applyFont="1" applyFill="1" applyBorder="1" applyAlignment="1">
      <alignment horizontal="left" vertical="center" wrapText="1"/>
    </xf>
    <xf numFmtId="0" fontId="6" fillId="10" borderId="29" xfId="3" applyFont="1" applyFill="1" applyBorder="1" applyAlignment="1">
      <alignment horizontal="center" vertical="center" wrapText="1"/>
    </xf>
    <xf numFmtId="3" fontId="6" fillId="10" borderId="31" xfId="3" applyNumberFormat="1" applyFont="1" applyFill="1" applyBorder="1" applyAlignment="1">
      <alignment horizontal="center" vertical="center" wrapText="1"/>
    </xf>
    <xf numFmtId="9" fontId="6" fillId="10" borderId="28" xfId="3" applyNumberFormat="1" applyFont="1" applyFill="1" applyBorder="1" applyAlignment="1">
      <alignment horizontal="center" vertical="center" wrapText="1"/>
    </xf>
    <xf numFmtId="0" fontId="7" fillId="0" borderId="23" xfId="3" applyFont="1" applyBorder="1" applyAlignment="1">
      <alignment vertical="center"/>
    </xf>
    <xf numFmtId="3" fontId="7" fillId="0" borderId="7" xfId="3" applyNumberFormat="1" applyFont="1" applyBorder="1" applyAlignment="1">
      <alignment horizontal="center" vertical="center" wrapText="1"/>
    </xf>
    <xf numFmtId="0" fontId="22" fillId="0" borderId="4" xfId="3" applyBorder="1" applyAlignment="1">
      <alignment vertical="center" wrapText="1"/>
    </xf>
    <xf numFmtId="0" fontId="22" fillId="0" borderId="21" xfId="3" applyBorder="1" applyAlignment="1">
      <alignment vertical="center" wrapText="1"/>
    </xf>
    <xf numFmtId="0" fontId="22" fillId="0" borderId="6" xfId="3" applyBorder="1" applyAlignment="1">
      <alignment vertical="center" wrapText="1"/>
    </xf>
    <xf numFmtId="0" fontId="22" fillId="0" borderId="36" xfId="3" applyBorder="1" applyAlignment="1">
      <alignment vertical="center" wrapText="1"/>
    </xf>
    <xf numFmtId="0" fontId="22" fillId="0" borderId="37" xfId="3" applyBorder="1" applyAlignment="1">
      <alignment vertical="center" wrapText="1"/>
    </xf>
    <xf numFmtId="0" fontId="22" fillId="0" borderId="38" xfId="3" applyBorder="1" applyAlignment="1">
      <alignment vertical="center" wrapText="1"/>
    </xf>
    <xf numFmtId="0" fontId="6" fillId="2" borderId="11" xfId="3" applyFont="1" applyFill="1" applyBorder="1" applyAlignment="1">
      <alignment horizontal="center" vertical="center" wrapText="1"/>
    </xf>
    <xf numFmtId="0" fontId="6" fillId="2" borderId="27" xfId="3" applyFont="1" applyFill="1" applyBorder="1" applyAlignment="1">
      <alignment horizontal="center" vertical="center" wrapText="1"/>
    </xf>
    <xf numFmtId="0" fontId="6" fillId="2" borderId="26" xfId="3" applyFont="1" applyFill="1" applyBorder="1" applyAlignment="1">
      <alignment horizontal="center" vertical="center" wrapText="1"/>
    </xf>
    <xf numFmtId="9" fontId="6" fillId="2" borderId="11" xfId="3" applyNumberFormat="1" applyFont="1" applyFill="1" applyBorder="1" applyAlignment="1">
      <alignment horizontal="center" vertical="center" wrapText="1"/>
    </xf>
    <xf numFmtId="9" fontId="6" fillId="2" borderId="27" xfId="3" applyNumberFormat="1" applyFont="1" applyFill="1" applyBorder="1" applyAlignment="1">
      <alignment horizontal="center" vertical="center" wrapText="1"/>
    </xf>
    <xf numFmtId="9" fontId="6" fillId="2" borderId="26" xfId="3" applyNumberFormat="1" applyFont="1" applyFill="1" applyBorder="1" applyAlignment="1">
      <alignment horizontal="center" vertical="center" wrapText="1"/>
    </xf>
    <xf numFmtId="0" fontId="25" fillId="3" borderId="5" xfId="2" applyFill="1" applyBorder="1" applyAlignment="1">
      <alignment horizontal="center" vertical="center"/>
    </xf>
    <xf numFmtId="0" fontId="35" fillId="3" borderId="5" xfId="2" applyFont="1" applyFill="1" applyBorder="1" applyAlignment="1">
      <alignment horizontal="center" vertical="center"/>
    </xf>
    <xf numFmtId="0" fontId="31" fillId="0" borderId="0" xfId="3" applyFont="1" applyAlignment="1">
      <alignment vertical="center" shrinkToFit="1"/>
    </xf>
    <xf numFmtId="0" fontId="4" fillId="0" borderId="1" xfId="3" applyFont="1" applyBorder="1" applyAlignment="1">
      <alignment horizontal="left" vertical="center"/>
    </xf>
    <xf numFmtId="0" fontId="4" fillId="0" borderId="42" xfId="3" applyFont="1" applyBorder="1" applyAlignment="1">
      <alignment horizontal="left" vertical="center"/>
    </xf>
    <xf numFmtId="0" fontId="4" fillId="0" borderId="43" xfId="3" applyFont="1" applyBorder="1" applyAlignment="1">
      <alignment horizontal="left" vertical="center"/>
    </xf>
    <xf numFmtId="0" fontId="6" fillId="0" borderId="44" xfId="3" applyFont="1" applyBorder="1" applyAlignment="1">
      <alignment vertical="center" wrapText="1"/>
    </xf>
    <xf numFmtId="0" fontId="6" fillId="0" borderId="37" xfId="3" applyFont="1" applyBorder="1" applyAlignment="1">
      <alignment vertical="center" wrapText="1"/>
    </xf>
    <xf numFmtId="0" fontId="4" fillId="0" borderId="47" xfId="3" applyFont="1" applyBorder="1" applyAlignment="1">
      <alignment horizontal="left" vertical="center"/>
    </xf>
    <xf numFmtId="0" fontId="6" fillId="0" borderId="48" xfId="3" applyFont="1" applyBorder="1" applyAlignment="1">
      <alignment vertical="center" wrapText="1"/>
    </xf>
    <xf numFmtId="0" fontId="6" fillId="2" borderId="41" xfId="3" applyFont="1" applyFill="1" applyBorder="1" applyAlignment="1">
      <alignment vertical="center" wrapText="1"/>
    </xf>
    <xf numFmtId="0" fontId="6" fillId="2" borderId="2" xfId="3" applyFont="1" applyFill="1" applyBorder="1" applyAlignment="1">
      <alignment vertical="center" wrapText="1"/>
    </xf>
    <xf numFmtId="0" fontId="6" fillId="2" borderId="46" xfId="3" applyFont="1" applyFill="1" applyBorder="1" applyAlignment="1">
      <alignment vertical="center" wrapText="1"/>
    </xf>
    <xf numFmtId="9" fontId="7" fillId="10" borderId="3" xfId="3" applyNumberFormat="1" applyFont="1" applyFill="1" applyBorder="1" applyAlignment="1">
      <alignment horizontal="center" vertical="center" wrapText="1"/>
    </xf>
    <xf numFmtId="9" fontId="7" fillId="10" borderId="5" xfId="3" applyNumberFormat="1" applyFont="1" applyFill="1" applyBorder="1" applyAlignment="1">
      <alignment horizontal="center" vertical="center" wrapText="1"/>
    </xf>
    <xf numFmtId="0" fontId="7" fillId="0" borderId="35" xfId="3" applyFont="1" applyBorder="1" applyAlignment="1">
      <alignment vertical="center"/>
    </xf>
    <xf numFmtId="0" fontId="7" fillId="0" borderId="39" xfId="3" applyFont="1" applyBorder="1" applyAlignment="1">
      <alignment vertical="center"/>
    </xf>
    <xf numFmtId="3" fontId="7" fillId="0" borderId="34" xfId="3" applyNumberFormat="1" applyFont="1" applyBorder="1" applyAlignment="1">
      <alignment horizontal="center" vertical="center" wrapText="1"/>
    </xf>
    <xf numFmtId="9" fontId="7" fillId="10" borderId="24" xfId="3" applyNumberFormat="1" applyFont="1" applyFill="1" applyBorder="1" applyAlignment="1">
      <alignment horizontal="center" vertical="center" wrapText="1"/>
    </xf>
    <xf numFmtId="3" fontId="7" fillId="0" borderId="3" xfId="3" applyNumberFormat="1" applyFont="1" applyBorder="1" applyAlignment="1">
      <alignment horizontal="center" vertical="center" wrapText="1"/>
    </xf>
    <xf numFmtId="0" fontId="22" fillId="0" borderId="49" xfId="0" applyFont="1" applyBorder="1" applyAlignment="1">
      <alignment horizontal="center" vertical="center" wrapText="1"/>
    </xf>
    <xf numFmtId="0" fontId="19" fillId="3" borderId="34" xfId="0" applyFont="1" applyFill="1" applyBorder="1" applyAlignment="1">
      <alignment horizontal="center" vertical="center"/>
    </xf>
    <xf numFmtId="0" fontId="22" fillId="0" borderId="51" xfId="0" applyFont="1" applyBorder="1" applyAlignment="1">
      <alignment horizontal="center" vertical="center" wrapText="1"/>
    </xf>
    <xf numFmtId="0" fontId="4" fillId="2" borderId="2" xfId="0" applyFont="1" applyFill="1" applyBorder="1" applyAlignment="1">
      <alignment vertical="center" wrapText="1"/>
    </xf>
    <xf numFmtId="0" fontId="6" fillId="2" borderId="40" xfId="3" applyFont="1" applyFill="1" applyBorder="1" applyAlignment="1">
      <alignment vertical="center"/>
    </xf>
    <xf numFmtId="0" fontId="6" fillId="2" borderId="16" xfId="3" applyFont="1" applyFill="1" applyBorder="1" applyAlignment="1">
      <alignment vertical="center"/>
    </xf>
    <xf numFmtId="0" fontId="6" fillId="2" borderId="45" xfId="3" applyFont="1" applyFill="1" applyBorder="1" applyAlignment="1">
      <alignment vertical="center"/>
    </xf>
    <xf numFmtId="0" fontId="26" fillId="15" borderId="0" xfId="1" applyFont="1" applyFill="1" applyAlignment="1">
      <alignment horizontal="center" vertical="center" wrapText="1"/>
    </xf>
    <xf numFmtId="0" fontId="36" fillId="0" borderId="11" xfId="0" applyFont="1" applyBorder="1">
      <alignment vertical="top" wrapText="1"/>
    </xf>
    <xf numFmtId="0" fontId="36" fillId="0" borderId="27" xfId="0" applyFont="1" applyBorder="1">
      <alignment vertical="top" wrapText="1"/>
    </xf>
    <xf numFmtId="0" fontId="36" fillId="0" borderId="26" xfId="0" applyFont="1" applyBorder="1">
      <alignment vertical="top" wrapText="1"/>
    </xf>
    <xf numFmtId="0" fontId="6" fillId="2" borderId="27" xfId="3" applyFont="1" applyFill="1" applyBorder="1" applyAlignment="1">
      <alignment vertical="center"/>
    </xf>
    <xf numFmtId="0" fontId="6" fillId="2" borderId="26" xfId="3" applyFont="1" applyFill="1" applyBorder="1" applyAlignment="1">
      <alignment vertical="center"/>
    </xf>
    <xf numFmtId="0" fontId="14" fillId="4" borderId="0" xfId="3" applyFont="1" applyFill="1" applyAlignment="1">
      <alignment vertical="center"/>
    </xf>
    <xf numFmtId="0" fontId="22" fillId="3" borderId="10" xfId="3" applyFill="1" applyBorder="1">
      <alignment vertical="top" wrapText="1"/>
    </xf>
    <xf numFmtId="1" fontId="37" fillId="2" borderId="7" xfId="0" applyNumberFormat="1" applyFont="1" applyFill="1" applyBorder="1" applyAlignment="1">
      <alignment vertical="center" wrapText="1"/>
    </xf>
    <xf numFmtId="0" fontId="2" fillId="17" borderId="0" xfId="0" applyFont="1" applyFill="1" applyAlignment="1">
      <alignment vertical="center"/>
    </xf>
    <xf numFmtId="0" fontId="2" fillId="17" borderId="0" xfId="0" applyFont="1" applyFill="1" applyAlignment="1">
      <alignment horizontal="center" vertical="center"/>
    </xf>
    <xf numFmtId="0" fontId="5" fillId="17" borderId="0" xfId="0" applyFont="1" applyFill="1" applyAlignment="1">
      <alignment horizontal="center" vertical="center" wrapText="1"/>
    </xf>
    <xf numFmtId="0" fontId="2" fillId="18" borderId="0" xfId="3" applyFont="1" applyFill="1" applyAlignment="1">
      <alignment horizontal="left" vertical="center"/>
    </xf>
    <xf numFmtId="0" fontId="5" fillId="18" borderId="0" xfId="3" applyFont="1" applyFill="1" applyAlignment="1">
      <alignment horizontal="center" vertical="center" wrapText="1"/>
    </xf>
    <xf numFmtId="0" fontId="28" fillId="18" borderId="0" xfId="0" applyFont="1" applyFill="1" applyAlignment="1">
      <alignment vertical="center"/>
    </xf>
    <xf numFmtId="0" fontId="28" fillId="18" borderId="0" xfId="3" applyFont="1" applyFill="1" applyAlignment="1">
      <alignment horizontal="left" vertical="center"/>
    </xf>
    <xf numFmtId="0" fontId="29" fillId="18" borderId="0" xfId="3" applyFont="1" applyFill="1" applyAlignment="1">
      <alignment horizontal="center" vertical="center" wrapText="1"/>
    </xf>
    <xf numFmtId="0" fontId="38" fillId="0" borderId="0" xfId="3" applyFont="1">
      <alignment vertical="top" wrapText="1"/>
    </xf>
    <xf numFmtId="0" fontId="28" fillId="18" borderId="0" xfId="0" applyFont="1" applyFill="1" applyAlignment="1">
      <alignment horizontal="center" vertical="center"/>
    </xf>
    <xf numFmtId="0" fontId="38" fillId="0" borderId="0" xfId="0" applyFont="1">
      <alignment vertical="top" wrapText="1"/>
    </xf>
    <xf numFmtId="0" fontId="28" fillId="19" borderId="0" xfId="3" applyFont="1" applyFill="1" applyAlignment="1">
      <alignment vertical="center"/>
    </xf>
    <xf numFmtId="0" fontId="5" fillId="20" borderId="17" xfId="0" applyFont="1" applyFill="1" applyBorder="1" applyAlignment="1">
      <alignment vertical="center"/>
    </xf>
    <xf numFmtId="0" fontId="5" fillId="20" borderId="18" xfId="0" applyFont="1" applyFill="1" applyBorder="1" applyAlignment="1">
      <alignment vertical="center"/>
    </xf>
    <xf numFmtId="0" fontId="5" fillId="20" borderId="19" xfId="0" applyFont="1" applyFill="1" applyBorder="1" applyAlignment="1">
      <alignment vertical="center"/>
    </xf>
    <xf numFmtId="0" fontId="22" fillId="16" borderId="3" xfId="0" applyFont="1" applyFill="1" applyBorder="1" applyAlignment="1">
      <alignment horizontal="center" vertical="center" wrapText="1"/>
    </xf>
    <xf numFmtId="0" fontId="27" fillId="16" borderId="3" xfId="0" applyFont="1" applyFill="1" applyBorder="1" applyAlignment="1">
      <alignment horizontal="center" vertical="center" wrapText="1"/>
    </xf>
    <xf numFmtId="0" fontId="39" fillId="21" borderId="10" xfId="0" applyFont="1" applyFill="1" applyBorder="1" applyAlignment="1">
      <alignment horizontal="center" vertical="center" wrapText="1"/>
    </xf>
    <xf numFmtId="0" fontId="22" fillId="22" borderId="8" xfId="0" applyFont="1" applyFill="1" applyBorder="1" applyAlignment="1">
      <alignment vertical="center" wrapText="1"/>
    </xf>
    <xf numFmtId="0" fontId="39" fillId="21" borderId="11" xfId="0" applyFont="1" applyFill="1" applyBorder="1" applyAlignment="1">
      <alignment horizontal="center" vertical="center" wrapText="1"/>
    </xf>
    <xf numFmtId="0" fontId="41" fillId="22" borderId="11" xfId="0" applyFont="1" applyFill="1" applyBorder="1" applyAlignment="1">
      <alignment horizontal="center" vertical="center" wrapText="1"/>
    </xf>
    <xf numFmtId="0" fontId="40" fillId="22" borderId="11" xfId="0" applyFont="1" applyFill="1" applyBorder="1" applyAlignment="1">
      <alignment horizontal="center" vertical="center" wrapText="1"/>
    </xf>
    <xf numFmtId="0" fontId="22" fillId="22" borderId="16" xfId="0" applyFont="1" applyFill="1" applyBorder="1" applyAlignment="1">
      <alignment vertical="center" wrapText="1"/>
    </xf>
    <xf numFmtId="0" fontId="22" fillId="22" borderId="50" xfId="0" applyFont="1" applyFill="1" applyBorder="1" applyAlignment="1">
      <alignment vertical="center" wrapText="1"/>
    </xf>
    <xf numFmtId="0" fontId="22" fillId="22" borderId="25" xfId="0" applyFont="1" applyFill="1" applyBorder="1" applyAlignment="1">
      <alignment vertical="center" wrapText="1"/>
    </xf>
    <xf numFmtId="0" fontId="22" fillId="22" borderId="16" xfId="0" applyFont="1" applyFill="1" applyBorder="1">
      <alignment vertical="top" wrapText="1"/>
    </xf>
    <xf numFmtId="0" fontId="4" fillId="0" borderId="39" xfId="0" applyFont="1" applyBorder="1" applyAlignment="1">
      <alignment vertical="center"/>
    </xf>
    <xf numFmtId="0" fontId="5" fillId="17" borderId="39" xfId="0" applyFont="1" applyFill="1" applyBorder="1" applyAlignment="1">
      <alignment horizontal="center" vertical="center" wrapText="1"/>
    </xf>
    <xf numFmtId="0" fontId="4" fillId="0" borderId="39" xfId="0" applyFont="1" applyBorder="1" applyAlignment="1"/>
    <xf numFmtId="0" fontId="39" fillId="21" borderId="22" xfId="0" applyFont="1" applyFill="1" applyBorder="1" applyAlignment="1">
      <alignment horizontal="center" vertical="center" wrapText="1"/>
    </xf>
    <xf numFmtId="0" fontId="22" fillId="22" borderId="8" xfId="0" applyFont="1" applyFill="1" applyBorder="1">
      <alignment vertical="top" wrapText="1"/>
    </xf>
    <xf numFmtId="0" fontId="39" fillId="21" borderId="32" xfId="0" applyFont="1" applyFill="1" applyBorder="1" applyAlignment="1">
      <alignment horizontal="center" vertical="center" wrapText="1"/>
    </xf>
    <xf numFmtId="0" fontId="39" fillId="21" borderId="52" xfId="0" applyFont="1" applyFill="1" applyBorder="1" applyAlignment="1">
      <alignment horizontal="center" vertical="center" wrapText="1"/>
    </xf>
    <xf numFmtId="0" fontId="22" fillId="22" borderId="14" xfId="0" applyFont="1" applyFill="1" applyBorder="1" applyAlignment="1">
      <alignment vertical="center" wrapText="1"/>
    </xf>
    <xf numFmtId="0" fontId="22" fillId="3" borderId="0" xfId="3" applyFill="1">
      <alignment vertical="top" wrapText="1"/>
    </xf>
    <xf numFmtId="0" fontId="17" fillId="18" borderId="0" xfId="3" applyFont="1" applyFill="1" applyAlignment="1">
      <alignment horizontal="center" vertical="center" wrapText="1"/>
    </xf>
    <xf numFmtId="0" fontId="42" fillId="3" borderId="34" xfId="0" applyFont="1" applyFill="1" applyBorder="1" applyAlignment="1">
      <alignment horizontal="center" vertical="center"/>
    </xf>
    <xf numFmtId="0" fontId="43" fillId="21" borderId="35" xfId="0" applyFont="1" applyFill="1" applyBorder="1" applyAlignment="1">
      <alignment horizontal="center" vertical="center" wrapText="1"/>
    </xf>
    <xf numFmtId="0" fontId="0" fillId="0" borderId="3" xfId="0" applyBorder="1" applyAlignment="1">
      <alignment vertical="center" wrapText="1"/>
    </xf>
    <xf numFmtId="0" fontId="22" fillId="3" borderId="3" xfId="3" applyFill="1" applyBorder="1" applyAlignment="1">
      <alignment vertical="center" wrapText="1"/>
    </xf>
    <xf numFmtId="0" fontId="6" fillId="0" borderId="41" xfId="3" applyFont="1" applyBorder="1" applyAlignment="1">
      <alignment vertical="center" wrapText="1"/>
    </xf>
    <xf numFmtId="0" fontId="6" fillId="0" borderId="2" xfId="3" applyFont="1" applyBorder="1" applyAlignment="1">
      <alignment vertical="center" wrapText="1"/>
    </xf>
    <xf numFmtId="0" fontId="6" fillId="0" borderId="46" xfId="3" applyFont="1" applyBorder="1" applyAlignment="1">
      <alignment vertical="center" wrapText="1"/>
    </xf>
    <xf numFmtId="0" fontId="6" fillId="0" borderId="9" xfId="3" applyFont="1" applyBorder="1" applyAlignment="1">
      <alignment vertical="center" wrapText="1"/>
    </xf>
    <xf numFmtId="0" fontId="31" fillId="0" borderId="9" xfId="3" applyFont="1" applyBorder="1" applyAlignment="1">
      <alignment vertical="center" shrinkToFit="1"/>
    </xf>
    <xf numFmtId="0" fontId="8" fillId="0" borderId="0" xfId="1" applyAlignment="1">
      <alignment horizontal="left"/>
    </xf>
    <xf numFmtId="0" fontId="10" fillId="0" borderId="0" xfId="0" applyFont="1" applyAlignment="1">
      <alignment horizontal="left" vertical="center" wrapText="1" indent="1"/>
    </xf>
    <xf numFmtId="0" fontId="19" fillId="23" borderId="3" xfId="3" applyFont="1" applyFill="1" applyBorder="1" applyAlignment="1">
      <alignment vertical="center"/>
    </xf>
    <xf numFmtId="0" fontId="19" fillId="23" borderId="2" xfId="0" applyFont="1" applyFill="1" applyBorder="1" applyAlignment="1">
      <alignment vertical="center"/>
    </xf>
    <xf numFmtId="0" fontId="19" fillId="23" borderId="5" xfId="0" applyFont="1" applyFill="1" applyBorder="1" applyAlignment="1">
      <alignment horizontal="center" vertical="center"/>
    </xf>
    <xf numFmtId="0" fontId="35" fillId="23" borderId="5" xfId="2" applyFont="1" applyFill="1" applyBorder="1" applyAlignment="1">
      <alignment horizontal="center" vertical="center"/>
    </xf>
    <xf numFmtId="165" fontId="25" fillId="0" borderId="21" xfId="2" applyNumberFormat="1" applyBorder="1" applyAlignment="1">
      <alignment horizontal="left" vertical="center"/>
    </xf>
    <xf numFmtId="165" fontId="25" fillId="0" borderId="4" xfId="2" applyNumberFormat="1" applyBorder="1" applyAlignment="1">
      <alignment horizontal="left" vertical="center"/>
    </xf>
    <xf numFmtId="165" fontId="25" fillId="0" borderId="6" xfId="2" applyNumberFormat="1" applyBorder="1" applyAlignment="1">
      <alignment horizontal="left" vertical="center"/>
    </xf>
    <xf numFmtId="0" fontId="11" fillId="0" borderId="3" xfId="1" applyFont="1" applyBorder="1" applyAlignment="1">
      <alignment vertical="top" wrapText="1"/>
    </xf>
    <xf numFmtId="0" fontId="13" fillId="4" borderId="0" xfId="1" applyFont="1" applyFill="1" applyAlignment="1">
      <alignment horizontal="center"/>
    </xf>
    <xf numFmtId="0" fontId="8" fillId="4" borderId="0" xfId="1" applyFill="1" applyAlignment="1">
      <alignment horizontal="center"/>
    </xf>
    <xf numFmtId="0" fontId="13" fillId="4" borderId="0" xfId="1" applyFont="1" applyFill="1"/>
    <xf numFmtId="0" fontId="8" fillId="4" borderId="0" xfId="1" applyFill="1"/>
    <xf numFmtId="0" fontId="8" fillId="4" borderId="0" xfId="1" applyFill="1" applyAlignment="1">
      <alignment horizontal="left"/>
    </xf>
    <xf numFmtId="0" fontId="12" fillId="4" borderId="0" xfId="1" applyFont="1" applyFill="1"/>
    <xf numFmtId="0" fontId="32" fillId="4" borderId="0" xfId="1" applyFont="1" applyFill="1"/>
    <xf numFmtId="0" fontId="25" fillId="2" borderId="9" xfId="2" applyFill="1" applyBorder="1" applyAlignment="1">
      <alignment vertical="center"/>
    </xf>
    <xf numFmtId="0" fontId="19" fillId="3" borderId="5" xfId="3" applyFont="1" applyFill="1" applyBorder="1" applyAlignment="1">
      <alignment vertical="center"/>
    </xf>
    <xf numFmtId="0" fontId="25" fillId="2" borderId="0" xfId="2" applyFill="1" applyAlignment="1">
      <alignment vertical="center"/>
    </xf>
    <xf numFmtId="0" fontId="29" fillId="2" borderId="0" xfId="2" applyFont="1" applyFill="1" applyAlignment="1">
      <alignment vertical="center"/>
    </xf>
    <xf numFmtId="0" fontId="24" fillId="0" borderId="0" xfId="3" applyFont="1">
      <alignment vertical="top" wrapText="1"/>
    </xf>
    <xf numFmtId="0" fontId="31" fillId="0" borderId="0" xfId="0" applyFont="1" applyAlignment="1">
      <alignment shrinkToFit="1"/>
    </xf>
    <xf numFmtId="0" fontId="1" fillId="0" borderId="0" xfId="0" applyFont="1" applyAlignment="1">
      <alignment vertical="top" shrinkToFit="1"/>
    </xf>
    <xf numFmtId="0" fontId="22" fillId="0" borderId="0" xfId="3" applyAlignment="1">
      <alignment vertical="top" shrinkToFit="1"/>
    </xf>
    <xf numFmtId="0" fontId="44" fillId="0" borderId="0" xfId="1" applyFont="1" applyAlignment="1">
      <alignment shrinkToFit="1"/>
    </xf>
    <xf numFmtId="0" fontId="44" fillId="0" borderId="0" xfId="1" applyFont="1" applyAlignment="1">
      <alignment vertical="top" shrinkToFit="1"/>
    </xf>
    <xf numFmtId="0" fontId="45" fillId="0" borderId="0" xfId="0" applyFont="1" applyAlignment="1">
      <alignment vertical="center"/>
    </xf>
    <xf numFmtId="0" fontId="25" fillId="4" borderId="0" xfId="2" applyFill="1" applyAlignment="1">
      <alignment vertical="center"/>
    </xf>
    <xf numFmtId="0" fontId="18" fillId="4" borderId="0" xfId="0" applyFont="1" applyFill="1" applyAlignment="1">
      <alignment vertical="center"/>
    </xf>
    <xf numFmtId="0" fontId="18" fillId="4" borderId="0" xfId="0" applyFont="1" applyFill="1" applyAlignment="1">
      <alignment horizontal="center" vertical="center"/>
    </xf>
    <xf numFmtId="0" fontId="46" fillId="0" borderId="0" xfId="0" applyFont="1" applyAlignment="1"/>
    <xf numFmtId="0" fontId="47" fillId="0" borderId="0" xfId="0" applyFont="1" applyAlignment="1"/>
    <xf numFmtId="0" fontId="14" fillId="4" borderId="0" xfId="3" applyFont="1" applyFill="1" applyAlignment="1">
      <alignment horizontal="left" vertical="center"/>
    </xf>
    <xf numFmtId="0" fontId="25" fillId="4" borderId="0" xfId="2" applyFill="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center" vertical="center" wrapText="1"/>
    </xf>
    <xf numFmtId="0" fontId="27" fillId="0" borderId="0" xfId="0" applyFont="1" applyAlignment="1">
      <alignment vertical="center" wrapText="1"/>
    </xf>
    <xf numFmtId="1" fontId="37" fillId="0" borderId="0" xfId="0" applyNumberFormat="1" applyFont="1" applyAlignment="1">
      <alignment vertical="center" wrapText="1"/>
    </xf>
    <xf numFmtId="0" fontId="4" fillId="0" borderId="18" xfId="3" applyFont="1" applyBorder="1" applyAlignment="1">
      <alignment horizontal="left" vertical="center" wrapText="1"/>
    </xf>
    <xf numFmtId="0" fontId="22" fillId="0" borderId="18" xfId="3" applyBorder="1">
      <alignment vertical="top" wrapText="1"/>
    </xf>
    <xf numFmtId="0" fontId="14" fillId="4" borderId="54" xfId="0" applyFont="1" applyFill="1" applyBorder="1" applyAlignment="1">
      <alignment vertical="center"/>
    </xf>
    <xf numFmtId="0" fontId="14" fillId="4" borderId="39" xfId="0" applyFont="1" applyFill="1" applyBorder="1" applyAlignment="1">
      <alignment vertical="center"/>
    </xf>
    <xf numFmtId="0" fontId="14" fillId="4" borderId="23" xfId="0" applyFont="1" applyFill="1" applyBorder="1" applyAlignment="1">
      <alignment vertical="center"/>
    </xf>
    <xf numFmtId="0" fontId="18" fillId="4" borderId="23" xfId="0" applyFont="1" applyFill="1" applyBorder="1" applyAlignment="1">
      <alignment vertical="center"/>
    </xf>
    <xf numFmtId="0" fontId="22" fillId="0" borderId="55" xfId="3" applyBorder="1" applyAlignment="1">
      <alignment vertical="center" wrapText="1"/>
    </xf>
    <xf numFmtId="0" fontId="4" fillId="0" borderId="0" xfId="0" applyFont="1" applyAlignment="1">
      <alignment vertical="top"/>
    </xf>
    <xf numFmtId="0" fontId="4" fillId="19" borderId="0" xfId="0" applyFont="1" applyFill="1" applyAlignment="1">
      <alignment horizontal="right" vertical="center"/>
    </xf>
    <xf numFmtId="0" fontId="3" fillId="2" borderId="39" xfId="3" applyFont="1" applyFill="1" applyBorder="1" applyAlignment="1">
      <alignment vertical="center"/>
    </xf>
    <xf numFmtId="0" fontId="3" fillId="2" borderId="23" xfId="3" applyFont="1" applyFill="1" applyBorder="1" applyAlignment="1">
      <alignment vertical="center"/>
    </xf>
    <xf numFmtId="0" fontId="22" fillId="0" borderId="0" xfId="3" applyAlignment="1">
      <alignment vertical="top"/>
    </xf>
    <xf numFmtId="0" fontId="1" fillId="0" borderId="0" xfId="3" applyFont="1">
      <alignment vertical="top" wrapText="1"/>
    </xf>
    <xf numFmtId="0" fontId="19" fillId="3" borderId="3" xfId="0" applyFont="1" applyFill="1" applyBorder="1" applyAlignment="1">
      <alignment horizontal="center" vertical="center"/>
    </xf>
    <xf numFmtId="0" fontId="17" fillId="4" borderId="0" xfId="3" applyFont="1" applyFill="1" applyAlignment="1">
      <alignment vertical="center"/>
    </xf>
    <xf numFmtId="0" fontId="17" fillId="4" borderId="0" xfId="3" applyFont="1" applyFill="1" applyAlignment="1">
      <alignment horizontal="left" vertical="center" wrapText="1"/>
    </xf>
    <xf numFmtId="0" fontId="48" fillId="2" borderId="11" xfId="3" applyFont="1" applyFill="1" applyBorder="1" applyAlignment="1">
      <alignment vertical="center"/>
    </xf>
    <xf numFmtId="0" fontId="19" fillId="24" borderId="3" xfId="3" applyFont="1" applyFill="1" applyBorder="1" applyAlignment="1">
      <alignment vertical="center"/>
    </xf>
    <xf numFmtId="0" fontId="19" fillId="24" borderId="3" xfId="3" applyFont="1" applyFill="1" applyBorder="1" applyAlignment="1">
      <alignment horizontal="center" vertical="center" wrapText="1"/>
    </xf>
    <xf numFmtId="0" fontId="22" fillId="24" borderId="0" xfId="3" applyFill="1">
      <alignment vertical="top" wrapText="1"/>
    </xf>
    <xf numFmtId="0" fontId="49" fillId="4" borderId="3" xfId="3" applyFont="1" applyFill="1" applyBorder="1" applyAlignment="1">
      <alignment vertical="center"/>
    </xf>
    <xf numFmtId="0" fontId="22" fillId="0" borderId="1" xfId="0" applyFont="1" applyBorder="1" applyAlignment="1">
      <alignment horizontal="left" vertical="center"/>
    </xf>
    <xf numFmtId="0" fontId="22" fillId="0" borderId="37" xfId="0" applyFont="1" applyBorder="1" applyAlignment="1">
      <alignment vertical="center" wrapText="1"/>
    </xf>
    <xf numFmtId="0" fontId="22" fillId="0" borderId="1" xfId="0" applyFont="1" applyBorder="1" applyAlignment="1">
      <alignment horizontal="center" vertical="center" wrapText="1"/>
    </xf>
    <xf numFmtId="0" fontId="22" fillId="0" borderId="2" xfId="0" applyFont="1" applyBorder="1" applyAlignment="1">
      <alignment vertical="center" wrapText="1"/>
    </xf>
    <xf numFmtId="0" fontId="23" fillId="0" borderId="27" xfId="0" applyFont="1" applyBorder="1" applyAlignment="1">
      <alignment horizontal="center" vertical="center" wrapText="1"/>
    </xf>
    <xf numFmtId="0" fontId="2" fillId="17" borderId="0" xfId="0" applyFont="1" applyFill="1" applyAlignment="1">
      <alignment vertical="center" wrapText="1"/>
    </xf>
    <xf numFmtId="164" fontId="18" fillId="10" borderId="4" xfId="0" applyNumberFormat="1" applyFont="1" applyFill="1" applyBorder="1" applyAlignment="1">
      <alignment horizontal="left" vertical="center" wrapText="1"/>
    </xf>
    <xf numFmtId="0" fontId="14" fillId="4" borderId="0" xfId="0" applyFont="1" applyFill="1" applyAlignment="1">
      <alignment vertical="center" wrapText="1"/>
    </xf>
    <xf numFmtId="0" fontId="19" fillId="3" borderId="3" xfId="0" applyFont="1" applyFill="1" applyBorder="1" applyAlignment="1">
      <alignment horizontal="center" vertical="center" wrapText="1"/>
    </xf>
    <xf numFmtId="0" fontId="27" fillId="0" borderId="1" xfId="0" applyFont="1" applyBorder="1" applyAlignment="1">
      <alignment vertical="center" wrapText="1"/>
    </xf>
    <xf numFmtId="0" fontId="27" fillId="0" borderId="2" xfId="0" applyFont="1" applyBorder="1" applyAlignment="1">
      <alignment vertical="center" wrapText="1"/>
    </xf>
    <xf numFmtId="0" fontId="16" fillId="0" borderId="1" xfId="0" applyFont="1" applyBorder="1" applyAlignment="1">
      <alignment vertical="center" wrapText="1"/>
    </xf>
    <xf numFmtId="0" fontId="16" fillId="0" borderId="3" xfId="0" applyFont="1" applyBorder="1" applyAlignment="1">
      <alignment vertical="center" wrapText="1"/>
    </xf>
    <xf numFmtId="0" fontId="16" fillId="0" borderId="2" xfId="0" applyFont="1" applyBorder="1" applyAlignment="1">
      <alignment vertical="center" wrapText="1"/>
    </xf>
    <xf numFmtId="0" fontId="16" fillId="0" borderId="0" xfId="0" applyFont="1" applyAlignment="1">
      <alignment vertical="center" wrapText="1"/>
    </xf>
    <xf numFmtId="0" fontId="18" fillId="4" borderId="0" xfId="0" applyFont="1" applyFill="1" applyAlignment="1">
      <alignment vertical="center" wrapText="1"/>
    </xf>
    <xf numFmtId="0" fontId="21" fillId="0" borderId="2" xfId="0" applyFont="1" applyBorder="1" applyAlignment="1">
      <alignment vertical="center" wrapText="1"/>
    </xf>
    <xf numFmtId="0" fontId="21" fillId="0" borderId="0" xfId="0" applyFont="1" applyAlignment="1">
      <alignment vertical="center" wrapText="1"/>
    </xf>
    <xf numFmtId="0" fontId="21" fillId="0" borderId="3" xfId="0" applyFont="1" applyBorder="1" applyAlignment="1">
      <alignment vertical="center" wrapText="1"/>
    </xf>
    <xf numFmtId="0" fontId="19" fillId="3" borderId="24" xfId="0" applyFont="1" applyFill="1" applyBorder="1" applyAlignment="1">
      <alignment horizontal="center" vertical="center" wrapText="1"/>
    </xf>
    <xf numFmtId="0" fontId="30" fillId="0" borderId="4" xfId="0" applyFont="1" applyBorder="1" applyAlignment="1">
      <alignment horizontal="left" vertical="center"/>
    </xf>
    <xf numFmtId="0" fontId="20" fillId="3" borderId="5" xfId="0" applyFont="1" applyFill="1" applyBorder="1" applyAlignment="1">
      <alignment horizontal="left" vertical="center"/>
    </xf>
    <xf numFmtId="0" fontId="50" fillId="0" borderId="3" xfId="0" applyFont="1" applyBorder="1" applyAlignment="1">
      <alignment horizontal="left" vertical="center" wrapText="1"/>
    </xf>
    <xf numFmtId="0" fontId="51" fillId="3" borderId="5" xfId="0" applyFont="1" applyFill="1" applyBorder="1" applyAlignment="1">
      <alignment horizontal="left" vertical="center"/>
    </xf>
    <xf numFmtId="0" fontId="50" fillId="0" borderId="2" xfId="0" applyFont="1" applyBorder="1" applyAlignment="1">
      <alignment horizontal="left" vertical="center" wrapText="1"/>
    </xf>
    <xf numFmtId="0" fontId="50" fillId="0" borderId="1" xfId="0" applyFont="1" applyBorder="1" applyAlignment="1">
      <alignment horizontal="left" vertical="center" wrapText="1"/>
    </xf>
    <xf numFmtId="0" fontId="52" fillId="3" borderId="5" xfId="2" applyFont="1" applyFill="1" applyBorder="1" applyAlignment="1">
      <alignment horizontal="left" vertical="center"/>
    </xf>
    <xf numFmtId="0" fontId="42" fillId="3" borderId="5" xfId="0" applyFont="1" applyFill="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164" fontId="18" fillId="10" borderId="53" xfId="0" applyNumberFormat="1" applyFont="1" applyFill="1" applyBorder="1" applyAlignment="1">
      <alignment horizontal="left" vertical="center"/>
    </xf>
    <xf numFmtId="164" fontId="18" fillId="10" borderId="1" xfId="0" applyNumberFormat="1" applyFont="1" applyFill="1" applyBorder="1" applyAlignment="1">
      <alignment horizontal="left" vertical="center"/>
    </xf>
    <xf numFmtId="0" fontId="44" fillId="10" borderId="3" xfId="1" applyFont="1" applyFill="1" applyBorder="1" applyAlignment="1">
      <alignment vertical="top" shrinkToFit="1"/>
    </xf>
    <xf numFmtId="0" fontId="8" fillId="0" borderId="3" xfId="1" applyBorder="1" applyAlignment="1">
      <alignment vertical="top" wrapText="1"/>
    </xf>
    <xf numFmtId="0" fontId="9" fillId="0" borderId="3" xfId="1" applyFont="1" applyBorder="1" applyAlignment="1">
      <alignment vertical="top" wrapText="1"/>
    </xf>
    <xf numFmtId="0" fontId="9" fillId="5" borderId="3" xfId="1" applyFont="1" applyFill="1" applyBorder="1" applyAlignment="1">
      <alignment vertical="top" wrapText="1"/>
    </xf>
    <xf numFmtId="0" fontId="9" fillId="6" borderId="3" xfId="1" applyFont="1" applyFill="1" applyBorder="1" applyAlignment="1">
      <alignment vertical="top" wrapText="1"/>
    </xf>
    <xf numFmtId="0" fontId="9" fillId="7" borderId="3" xfId="1" applyFont="1" applyFill="1" applyBorder="1" applyAlignment="1">
      <alignment vertical="top" wrapText="1"/>
    </xf>
    <xf numFmtId="0" fontId="9" fillId="8" borderId="3" xfId="1" applyFont="1" applyFill="1" applyBorder="1" applyAlignment="1">
      <alignment vertical="top" wrapText="1"/>
    </xf>
    <xf numFmtId="0" fontId="9" fillId="9" borderId="3" xfId="1" applyFont="1" applyFill="1" applyBorder="1" applyAlignment="1">
      <alignment vertical="top" wrapText="1"/>
    </xf>
    <xf numFmtId="0" fontId="10" fillId="0" borderId="3" xfId="1" applyFont="1" applyBorder="1" applyAlignment="1">
      <alignment vertical="top" wrapText="1"/>
    </xf>
    <xf numFmtId="0" fontId="34" fillId="0" borderId="3" xfId="0" applyFont="1" applyBorder="1">
      <alignment vertical="top" wrapText="1"/>
    </xf>
    <xf numFmtId="0" fontId="34" fillId="0" borderId="3" xfId="0" applyFont="1" applyBorder="1" applyAlignment="1">
      <alignment horizontal="right" vertical="top" wrapText="1"/>
    </xf>
    <xf numFmtId="0" fontId="53" fillId="0" borderId="3" xfId="0" applyFont="1" applyBorder="1">
      <alignment vertical="top" wrapText="1"/>
    </xf>
    <xf numFmtId="0" fontId="34" fillId="0" borderId="3" xfId="0" applyFont="1" applyBorder="1" applyAlignment="1">
      <alignment vertical="center"/>
    </xf>
    <xf numFmtId="0" fontId="34" fillId="0" borderId="3" xfId="0" applyFont="1" applyBorder="1" applyAlignment="1">
      <alignment wrapText="1"/>
    </xf>
    <xf numFmtId="0" fontId="53" fillId="0" borderId="3" xfId="0" applyFont="1" applyBorder="1" applyAlignment="1">
      <alignment wrapText="1"/>
    </xf>
    <xf numFmtId="0" fontId="54" fillId="0" borderId="3" xfId="0" applyFont="1" applyBorder="1" applyAlignment="1">
      <alignment wrapText="1"/>
    </xf>
    <xf numFmtId="0" fontId="10" fillId="0" borderId="0" xfId="0" applyFont="1">
      <alignment vertical="top" wrapText="1"/>
    </xf>
    <xf numFmtId="0" fontId="1" fillId="0" borderId="0" xfId="3" applyFont="1" applyAlignment="1">
      <alignment vertical="center" wrapText="1"/>
    </xf>
    <xf numFmtId="0" fontId="55" fillId="25" borderId="0" xfId="1" applyFont="1" applyFill="1"/>
    <xf numFmtId="0" fontId="10" fillId="26" borderId="3" xfId="1" applyFont="1" applyFill="1" applyBorder="1" applyAlignment="1">
      <alignment vertical="top" wrapText="1"/>
    </xf>
    <xf numFmtId="0" fontId="11" fillId="26" borderId="3" xfId="1" applyFont="1" applyFill="1" applyBorder="1" applyAlignment="1">
      <alignment vertical="top" wrapText="1"/>
    </xf>
    <xf numFmtId="0" fontId="34" fillId="26" borderId="3" xfId="0" applyFont="1" applyFill="1" applyBorder="1">
      <alignment vertical="top" wrapText="1"/>
    </xf>
    <xf numFmtId="0" fontId="0" fillId="0" borderId="0" xfId="0" applyAlignment="1"/>
    <xf numFmtId="0" fontId="30" fillId="0" borderId="0" xfId="3" applyFont="1" applyAlignment="1">
      <alignment horizontal="center" vertical="center" wrapText="1"/>
    </xf>
    <xf numFmtId="0" fontId="30" fillId="0" borderId="0" xfId="3" applyFont="1" applyAlignment="1">
      <alignment vertical="center" wrapText="1"/>
    </xf>
    <xf numFmtId="0" fontId="25" fillId="0" borderId="0" xfId="2">
      <alignment vertical="top" wrapText="1"/>
    </xf>
    <xf numFmtId="0" fontId="21" fillId="0" borderId="1" xfId="0" quotePrefix="1" applyFont="1" applyBorder="1" applyAlignment="1">
      <alignment horizontal="left" vertical="center"/>
    </xf>
  </cellXfs>
  <cellStyles count="4">
    <cellStyle name="Hyperlink" xfId="2" builtinId="8"/>
    <cellStyle name="Normal" xfId="0" builtinId="0"/>
    <cellStyle name="Normal 2" xfId="1" xr:uid="{00000000-0005-0000-0000-000001000000}"/>
    <cellStyle name="Normal 3" xfId="3" xr:uid="{00000000-0005-0000-0000-00000300000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lan@accredible.com" TargetMode="External"/><Relationship Id="rId1" Type="http://schemas.openxmlformats.org/officeDocument/2006/relationships/hyperlink" Target="http://www.educause.edu/HECVAT"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www.educause.edu/higher-education-community-vendor-assessment-toolkit/how-to-use-the-higher-education-community-vendor-assessment-toolkit"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www.educause.edu/HECVAT" TargetMode="External"/><Relationship Id="rId1" Type="http://schemas.openxmlformats.org/officeDocument/2006/relationships/hyperlink" Target="https://connect.educause.edu/community-home?CommunityKey=dd48df3c-8db8-4551-a9e5-a393b7a15e40" TargetMode="External"/></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hyperlink" Target="mailto:alan@accredible.com" TargetMode="External"/><Relationship Id="rId1" Type="http://schemas.openxmlformats.org/officeDocument/2006/relationships/hyperlink" Target="http://www.educause.edu/HEC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help.accredible.com/s/article/accessibility" TargetMode="External"/><Relationship Id="rId2" Type="http://schemas.openxmlformats.org/officeDocument/2006/relationships/hyperlink" Target="mailto:alan@accredible.com" TargetMode="External"/><Relationship Id="rId1" Type="http://schemas.openxmlformats.org/officeDocument/2006/relationships/hyperlink" Target="http://www.educause.edu/HECVA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educause.edu/HECVAT"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www.educause.edu/HECVAT" TargetMode="External"/><Relationship Id="rId1" Type="http://schemas.openxmlformats.org/officeDocument/2006/relationships/hyperlink" Target="http://www.educause.edu/HECV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36C"/>
  </sheetPr>
  <dimension ref="A1:L75"/>
  <sheetViews>
    <sheetView showGridLines="0" showZeros="0" tabSelected="1" topLeftCell="A24" zoomScale="120" zoomScaleNormal="120" workbookViewId="0">
      <selection activeCell="D15" sqref="D15"/>
    </sheetView>
  </sheetViews>
  <sheetFormatPr baseColWidth="10" defaultColWidth="0" defaultRowHeight="0" customHeight="1" zeroHeight="1" x14ac:dyDescent="0.2"/>
  <cols>
    <col min="1" max="1" width="8.25" style="320" customWidth="1"/>
    <col min="2" max="2" width="55.125" style="1" customWidth="1"/>
    <col min="3" max="3" width="18.875" style="8" bestFit="1" customWidth="1"/>
    <col min="4" max="4" width="55.75" style="9" customWidth="1"/>
    <col min="5" max="5" width="32" style="10" customWidth="1"/>
    <col min="6" max="6" width="30.75" style="1" customWidth="1"/>
    <col min="7" max="7" width="18.125" style="1" customWidth="1"/>
    <col min="8" max="8" width="16.625" style="1" hidden="1" customWidth="1"/>
    <col min="9" max="9" width="18.125" style="35" hidden="1" customWidth="1"/>
    <col min="10" max="10" width="18.125" style="1" hidden="1" customWidth="1"/>
    <col min="11" max="11" width="4.5" style="1" hidden="1" customWidth="1"/>
    <col min="12" max="12" width="6.625" style="1" hidden="1" customWidth="1"/>
    <col min="13" max="13" width="6.625" style="320" hidden="1" customWidth="1"/>
    <col min="14" max="16384" width="6.625" style="320" hidden="1"/>
  </cols>
  <sheetData>
    <row r="1" spans="1:9" ht="0" hidden="1" customHeight="1" x14ac:dyDescent="0.2">
      <c r="A1" t="s">
        <v>346</v>
      </c>
    </row>
    <row r="2" spans="1:9" ht="36" customHeight="1" x14ac:dyDescent="0.2">
      <c r="A2" s="161" t="s">
        <v>347</v>
      </c>
      <c r="B2" s="161"/>
      <c r="C2" s="162"/>
      <c r="D2" s="271"/>
      <c r="E2" s="163"/>
      <c r="F2" s="163" t="str">
        <f>'Auto Responses'!$A$36</f>
        <v>Version 4.1.5</v>
      </c>
    </row>
    <row r="3" spans="1:9" s="1" customFormat="1" ht="29" customHeight="1" x14ac:dyDescent="0.15">
      <c r="A3" s="37" t="s">
        <v>348</v>
      </c>
      <c r="B3" s="38"/>
      <c r="C3" s="297" t="s">
        <v>349</v>
      </c>
      <c r="D3" s="272"/>
      <c r="E3" s="36"/>
      <c r="F3" s="50"/>
      <c r="I3" s="35"/>
    </row>
    <row r="4" spans="1:9" s="1" customFormat="1" ht="36" customHeight="1" x14ac:dyDescent="0.15">
      <c r="A4" s="11" t="s">
        <v>350</v>
      </c>
      <c r="B4" s="12"/>
      <c r="C4" s="13"/>
      <c r="D4" s="14"/>
      <c r="E4" s="15"/>
      <c r="F4" s="15"/>
      <c r="I4" s="35"/>
    </row>
    <row r="5" spans="1:9" s="1" customFormat="1" ht="19.5" customHeight="1" x14ac:dyDescent="0.15">
      <c r="A5" s="42" t="str">
        <f>HLOOKUP($A$4,'Auto Responses'!$D$2:$D$8,2,0)&amp;""</f>
        <v>1. Complete the "Start Here" tab and review the "Required Questions" guidance to find the other sections are required for your product or service.</v>
      </c>
      <c r="B5" s="16"/>
      <c r="C5" s="65"/>
      <c r="D5" s="273"/>
      <c r="E5" s="16"/>
      <c r="F5" s="247"/>
      <c r="I5" s="35"/>
    </row>
    <row r="6" spans="1:9" s="1" customFormat="1" ht="19.5" customHeight="1" x14ac:dyDescent="0.15">
      <c r="A6" s="42" t="str">
        <f>HLOOKUP($A$4,'Auto Responses'!$D$2:$D$8,3,0)&amp;""</f>
        <v>2. Complete the "Organization" tab and the applicable questions in each of the next 5 tabs (Product through Privacy) that apply, based on your answers to the "Required Questions."</v>
      </c>
      <c r="B6" s="16"/>
      <c r="C6" s="65"/>
      <c r="D6" s="273"/>
      <c r="E6" s="16"/>
      <c r="F6" s="248"/>
      <c r="I6" s="35"/>
    </row>
    <row r="7" spans="1:9" s="1" customFormat="1" ht="19.5" customHeight="1" x14ac:dyDescent="0.15">
      <c r="A7" s="42" t="str">
        <f>HLOOKUP($A$4,'Auto Responses'!$D$2:$D$8,4,0)&amp;""</f>
        <v xml:space="preserve">3. Guidance in column E may change based on your answers to prompt details in "Additional Information." If leaving an answer blank, you must also state why in "Additional Information". </v>
      </c>
      <c r="B7" s="16"/>
      <c r="C7" s="65"/>
      <c r="D7" s="273"/>
      <c r="E7" s="16"/>
      <c r="F7" s="248"/>
      <c r="I7" s="35"/>
    </row>
    <row r="8" spans="1:9" s="1" customFormat="1" ht="19.5" customHeight="1" x14ac:dyDescent="0.15">
      <c r="A8" s="42" t="str">
        <f>HLOOKUP($A$4,'Auto Responses'!$D$2:$D$8,5,0)&amp;""</f>
        <v>4. DO NOT complete any fields in the "Evaluation" sheets or the "Analyst Notes" column.</v>
      </c>
      <c r="B8" s="16"/>
      <c r="C8" s="65"/>
      <c r="D8" s="273"/>
      <c r="E8" s="16"/>
      <c r="F8" s="248"/>
      <c r="I8" s="35"/>
    </row>
    <row r="9" spans="1:9" s="1" customFormat="1" ht="19.5" customHeight="1" x14ac:dyDescent="0.15">
      <c r="A9" s="42" t="str">
        <f>HLOOKUP($A$4,'Auto Responses'!$D$2:$D$8,6,0)&amp;""</f>
        <v>5. Return the completed file to institutions.</v>
      </c>
      <c r="B9" s="16"/>
      <c r="C9" s="65"/>
      <c r="D9" s="273"/>
      <c r="E9" s="16"/>
      <c r="F9" s="248"/>
      <c r="I9" s="35"/>
    </row>
    <row r="10" spans="1:9" s="1" customFormat="1" ht="19.5" customHeight="1" x14ac:dyDescent="0.15">
      <c r="A10" s="235" t="str">
        <f>HLOOKUP($A$4,'Auto Responses'!$D$2:$D$8,7,0)&amp;""</f>
        <v>* Denotes critical questions. Critical questions are those deemed most important to institutions by higher education volunteers.</v>
      </c>
      <c r="B10" s="16"/>
      <c r="C10" s="65"/>
      <c r="D10" s="273"/>
      <c r="E10" s="16"/>
      <c r="F10" s="248"/>
      <c r="I10" s="35"/>
    </row>
    <row r="11" spans="1:9" s="1" customFormat="1" ht="19.5" customHeight="1" x14ac:dyDescent="0.15">
      <c r="A11" s="234" t="str">
        <f>HLOOKUP($A$4,'Auto Responses'!$D$2:$D$9,8,0)&amp;""</f>
        <v>For full instructions, please visit educause.edu/HECVAT</v>
      </c>
      <c r="B11" s="16"/>
      <c r="C11" s="65"/>
      <c r="D11" s="273"/>
      <c r="E11" s="16"/>
      <c r="F11" s="249"/>
      <c r="I11" s="35"/>
    </row>
    <row r="12" spans="1:9" s="1" customFormat="1" ht="36" customHeight="1" x14ac:dyDescent="0.15">
      <c r="A12" s="61" t="str">
        <f>VLOOKUP(LEFT($A13,4),'Auto Responses'!$N$4:$O$38,2,0)&amp;""</f>
        <v xml:space="preserve"> General Information</v>
      </c>
      <c r="B12" s="12"/>
      <c r="C12" s="258"/>
      <c r="D12" s="274"/>
      <c r="E12" s="17"/>
      <c r="F12" s="17"/>
      <c r="I12" s="35"/>
    </row>
    <row r="13" spans="1:9" s="1" customFormat="1" ht="22.25" customHeight="1" x14ac:dyDescent="0.15">
      <c r="A13" s="19" t="s">
        <v>7</v>
      </c>
      <c r="B13" s="20" t="str">
        <f>VLOOKUP($A13,Questions!$A$2:$X$333,2,0)&amp;""</f>
        <v>Solution Provider Name</v>
      </c>
      <c r="C13" s="72" t="str">
        <f ca="1">VLOOKUP($A13,'START HERE'!$A$13:$C$21,3,0)&amp;""</f>
        <v>Accredible (EdInvent Inc. d.b.a. Accredible)</v>
      </c>
      <c r="D13" s="32"/>
      <c r="E13" s="32"/>
      <c r="F13" s="50"/>
      <c r="I13" s="35"/>
    </row>
    <row r="14" spans="1:9" s="1" customFormat="1" ht="22.25" customHeight="1" x14ac:dyDescent="0.15">
      <c r="A14" s="19" t="s">
        <v>8</v>
      </c>
      <c r="B14" s="20" t="str">
        <f>VLOOKUP($A14,Questions!$A$2:$X$333,2,0)&amp;""</f>
        <v>Solution Name</v>
      </c>
      <c r="C14" s="72" t="str">
        <f ca="1">VLOOKUP($A14,'START HERE'!$A$13:$C$21,3,0)&amp;""</f>
        <v>Accredible Digital Credentialing Platform</v>
      </c>
      <c r="D14" s="32"/>
      <c r="E14" s="33"/>
      <c r="F14" s="50"/>
      <c r="I14" s="35"/>
    </row>
    <row r="15" spans="1:9" s="1" customFormat="1" ht="22.25" customHeight="1" x14ac:dyDescent="0.15">
      <c r="A15" s="19" t="s">
        <v>9</v>
      </c>
      <c r="B15" s="20" t="str">
        <f>VLOOKUP($A15,Questions!$A$2:$X$333,2,0)&amp;""</f>
        <v>Solution Description</v>
      </c>
      <c r="C15" s="72" t="str">
        <f ca="1">VLOOKUP($A15,'START HERE'!$A$13:$C$21,3,0)&amp;""</f>
        <v>Accredible is a cloud-hosted, multi-tenant Software as a Service (SaaS) digital credentialing platform that enables organizations to design, issue, manage, and verify digital credentials including certificates and badges.</v>
      </c>
      <c r="D15" s="32"/>
      <c r="E15" s="33"/>
      <c r="F15" s="50"/>
      <c r="I15" s="35"/>
    </row>
    <row r="16" spans="1:9" s="1" customFormat="1" ht="22.25" customHeight="1" x14ac:dyDescent="0.15">
      <c r="A16" s="19" t="s">
        <v>10</v>
      </c>
      <c r="B16" s="20" t="str">
        <f>VLOOKUP($A16,Questions!$A$2:$X$333,2,0)&amp;""</f>
        <v>Solution Provider Contact Name</v>
      </c>
      <c r="C16" s="72" t="s">
        <v>2148</v>
      </c>
      <c r="D16" s="32"/>
      <c r="E16" s="33"/>
      <c r="F16" s="50"/>
      <c r="I16" s="35"/>
    </row>
    <row r="17" spans="1:9" s="1" customFormat="1" ht="22.25" customHeight="1" x14ac:dyDescent="0.15">
      <c r="A17" s="19" t="s">
        <v>11</v>
      </c>
      <c r="B17" s="20" t="str">
        <f>VLOOKUP($A17,Questions!$A$2:$X$333,2,0)&amp;""</f>
        <v>Solution Provider Contact Title</v>
      </c>
      <c r="C17" s="72" t="s">
        <v>2149</v>
      </c>
      <c r="D17" s="9"/>
      <c r="E17" s="33"/>
      <c r="F17" s="50"/>
      <c r="I17" s="35"/>
    </row>
    <row r="18" spans="1:9" s="1" customFormat="1" ht="22.25" customHeight="1" x14ac:dyDescent="0.15">
      <c r="A18" s="19" t="s">
        <v>12</v>
      </c>
      <c r="B18" s="20" t="str">
        <f>VLOOKUP($A18,Questions!$A$2:$X$333,2,0)&amp;""</f>
        <v>Solution Provider Contact Email</v>
      </c>
      <c r="C18" s="323" t="s">
        <v>2150</v>
      </c>
      <c r="D18" s="32"/>
      <c r="E18" s="33"/>
      <c r="F18" s="50"/>
      <c r="I18" s="35"/>
    </row>
    <row r="19" spans="1:9" s="1" customFormat="1" ht="22.25" customHeight="1" x14ac:dyDescent="0.15">
      <c r="A19" s="19" t="s">
        <v>13</v>
      </c>
      <c r="B19" s="20" t="str">
        <f>VLOOKUP($A19,Questions!$A$2:$X$333,2,0)&amp;""</f>
        <v>Solution Provider Contact Phone Number</v>
      </c>
      <c r="C19" s="324" t="s">
        <v>2151</v>
      </c>
      <c r="D19" s="32"/>
      <c r="E19" s="33"/>
      <c r="F19" s="50"/>
      <c r="I19" s="35"/>
    </row>
    <row r="20" spans="1:9" s="1" customFormat="1" ht="22.25" customHeight="1" x14ac:dyDescent="0.15">
      <c r="A20" s="19" t="s">
        <v>14</v>
      </c>
      <c r="B20" s="20" t="str">
        <f>VLOOKUP($A20,Questions!$A$2:$X$333,2,0)&amp;""</f>
        <v>Country of Company Headquarters</v>
      </c>
      <c r="C20" s="72" t="str">
        <f ca="1">VLOOKUP($A20,'START HERE'!$A$13:$C$21,3,0)&amp;""</f>
        <v>United States</v>
      </c>
      <c r="D20" s="32"/>
      <c r="E20" s="33"/>
      <c r="F20" s="50"/>
      <c r="I20" s="35"/>
    </row>
    <row r="21" spans="1:9" s="1" customFormat="1" ht="22.25" customHeight="1" x14ac:dyDescent="0.15">
      <c r="A21" s="19" t="s">
        <v>15</v>
      </c>
      <c r="B21" s="20" t="str">
        <f>VLOOKUP($A21,Questions!$A$2:$X$333,2,0)&amp;""</f>
        <v>Employee Work Locations (all)</v>
      </c>
      <c r="C21" s="72"/>
      <c r="D21" s="32"/>
      <c r="E21" s="33"/>
      <c r="F21" s="50"/>
      <c r="I21" s="35"/>
    </row>
    <row r="22" spans="1:9" s="1" customFormat="1" ht="37.25" customHeight="1" thickBot="1" x14ac:dyDescent="0.2">
      <c r="A22" s="61" t="str">
        <f>VLOOKUP(LEFT($A23,4),'Auto Responses'!$N$4:$O$38,2,0)&amp;""</f>
        <v xml:space="preserve"> Company Information</v>
      </c>
      <c r="B22" s="22"/>
      <c r="C22" s="13" t="s">
        <v>351</v>
      </c>
      <c r="D22" s="13" t="s">
        <v>352</v>
      </c>
      <c r="E22" s="31" t="s">
        <v>353</v>
      </c>
      <c r="F22" s="190" t="s">
        <v>354</v>
      </c>
      <c r="I22" s="35"/>
    </row>
    <row r="23" spans="1:9" s="1" customFormat="1" ht="55.5" customHeight="1" x14ac:dyDescent="0.15">
      <c r="A23" s="19" t="s">
        <v>17</v>
      </c>
      <c r="B23" s="18" t="str">
        <f>VLOOKUP($A23,Questions!$A$2:$X$333,2,0)&amp;""</f>
        <v>Do you have a dedicated software and system development team(s) (e.g., customer support, implementation, product management, etc.)?*</v>
      </c>
      <c r="C23" s="21" t="s">
        <v>355</v>
      </c>
      <c r="D23" s="276" t="s">
        <v>356</v>
      </c>
      <c r="E23" s="160" t="str">
        <f>IF($C23='Auto Responses'!$J$3,VLOOKUP($A23,Questions!$A$2:$X$333,17,0)&amp;"",IF($C23='Auto Responses'!$J$4,VLOOKUP($A23,Questions!$A$2:$X$333,16,0)&amp;"",VLOOKUP($A23,Questions!$A$2:$X$333,15,0)&amp;""))</f>
        <v>Describe the structure and size of your software and system development teams. (e.g., customer support, implementation, product management, etc.).</v>
      </c>
      <c r="F23" s="191" t="str">
        <f>VLOOKUP($A23,'Institution Evaluation'!$A$56:$F$345,6,0)&amp;""</f>
        <v/>
      </c>
      <c r="I23" s="35"/>
    </row>
    <row r="24" spans="1:9" s="1" customFormat="1" ht="28.5" customHeight="1" x14ac:dyDescent="0.15">
      <c r="A24" s="19" t="s">
        <v>18</v>
      </c>
      <c r="B24" s="18" t="str">
        <f>VLOOKUP($A24,Questions!$A$2:$X$333,2,0)&amp;""</f>
        <v>Describe your organization’s business background and ownership structure, including all parent and subsidiary relationships.</v>
      </c>
      <c r="C24" s="295" t="s">
        <v>355</v>
      </c>
      <c r="D24" s="276" t="s">
        <v>357</v>
      </c>
      <c r="E24" s="160" t="str">
        <f>IF($C24='Auto Responses'!$J$3,VLOOKUP($A24,Questions!$A$2:$X$333,17,0)&amp;"",IF($C24='Auto Responses'!$J$4,VLOOKUP($A24,Questions!$A$2:$X$333,16,0)&amp;"",VLOOKUP($A24,Questions!$A$2:$X$333,15,0)&amp;""))</f>
        <v>Include circumstances that may involve offshoring or multinational agreements.</v>
      </c>
      <c r="F24" s="191" t="str">
        <f>VLOOKUP($A24,'Institution Evaluation'!$A$56:$F$345,6,0)&amp;""</f>
        <v/>
      </c>
      <c r="I24" s="35"/>
    </row>
    <row r="25" spans="1:9" s="1" customFormat="1" ht="39.75" customHeight="1" x14ac:dyDescent="0.15">
      <c r="A25" s="19" t="s">
        <v>19</v>
      </c>
      <c r="B25" s="18" t="str">
        <f>VLOOKUP($A25,Questions!$A$2:$X$333,2,0)&amp;""</f>
        <v>Have you operated without unplanned disruptions to this solution in the past 12 months?</v>
      </c>
      <c r="C25" s="21" t="s">
        <v>355</v>
      </c>
      <c r="D25" s="276" t="s">
        <v>358</v>
      </c>
      <c r="E25" s="160" t="str">
        <f>IF($C25='Auto Responses'!$J$3,VLOOKUP($A25,Questions!$A$2:$X$333,17,0)&amp;"",IF($C25='Auto Responses'!$J$4,VLOOKUP($A25,Questions!$A$2:$X$333,16,0)&amp;"",VLOOKUP($A25,Questions!$A$2:$X$333,15,0)&amp;""))</f>
        <v/>
      </c>
      <c r="F25" s="191" t="str">
        <f>VLOOKUP($A25,'Institution Evaluation'!$A$56:$F$345,6,0)&amp;""</f>
        <v/>
      </c>
      <c r="I25" s="35"/>
    </row>
    <row r="26" spans="1:9" s="1" customFormat="1" ht="49.5" customHeight="1" x14ac:dyDescent="0.15">
      <c r="A26" s="19" t="s">
        <v>20</v>
      </c>
      <c r="B26" s="18" t="str">
        <f>VLOOKUP($A26,Questions!$A$2:$X$333,2,0)&amp;""</f>
        <v>Do you have a dedicated information security staff or office?</v>
      </c>
      <c r="C26" s="21" t="s">
        <v>355</v>
      </c>
      <c r="D26" s="276" t="s">
        <v>359</v>
      </c>
      <c r="E26" s="160" t="str">
        <f>IF($C26='Auto Responses'!$J$3,VLOOKUP($A26,Questions!$A$2:$X$333,17,0)&amp;"",IF($C26='Auto Responses'!$J$4,VLOOKUP($A26,Questions!$A$2:$X$333,16,0)&amp;"",VLOOKUP($A26,Questions!$A$2:$X$333,15,0)&amp;""))</f>
        <v>Describe your information security office, including size, talents, resources, etc.</v>
      </c>
      <c r="F26" s="191" t="str">
        <f>VLOOKUP($A26,'Institution Evaluation'!$A$56:$F$345,6,0)&amp;""</f>
        <v/>
      </c>
      <c r="I26" s="35"/>
    </row>
    <row r="27" spans="1:9" s="1" customFormat="1" ht="43.5" customHeight="1" thickBot="1" x14ac:dyDescent="0.2">
      <c r="A27" s="19" t="s">
        <v>21</v>
      </c>
      <c r="B27" s="18" t="str">
        <f>VLOOKUP($A27,Questions!$A$2:$X$333,2,0)&amp;""</f>
        <v>Use this area to share information about your environment that will assist those who are assessing your company's data security program.</v>
      </c>
      <c r="C27" s="294" t="s">
        <v>355</v>
      </c>
      <c r="D27" s="276" t="s">
        <v>360</v>
      </c>
      <c r="E27" s="160" t="str">
        <f>IF($C27='Auto Responses'!$J$3,VLOOKUP($A27,Questions!$A$2:$X$333,17,0)&amp;"",IF($C27='Auto Responses'!$J$4,VLOOKUP($A27,Questions!$A$2:$X$333,16,0)&amp;"",VLOOKUP($A27,Questions!$A$2:$X$333,15,0)&amp;""))</f>
        <v>Share any details that would help information security analysts assess your solution.</v>
      </c>
      <c r="F27" s="191" t="str">
        <f>VLOOKUP($A27,'Institution Evaluation'!$A$56:$F$345,6,0)&amp;""</f>
        <v/>
      </c>
      <c r="G27" s="228" t="s">
        <v>361</v>
      </c>
      <c r="I27" s="35"/>
    </row>
    <row r="28" spans="1:9" s="1" customFormat="1" ht="37.25" customHeight="1" thickBot="1" x14ac:dyDescent="0.2">
      <c r="A28" s="61" t="str">
        <f>VLOOKUP(LEFT($A29,4),'Auto Responses'!$N$4:$O$38,2,0)&amp;""</f>
        <v xml:space="preserve"> Required Questions</v>
      </c>
      <c r="B28" s="22"/>
      <c r="C28" s="13" t="s">
        <v>351</v>
      </c>
      <c r="D28" s="13" t="s">
        <v>352</v>
      </c>
      <c r="E28" s="31" t="s">
        <v>353</v>
      </c>
      <c r="F28" s="178" t="s">
        <v>354</v>
      </c>
      <c r="I28" s="35"/>
    </row>
    <row r="29" spans="1:9" s="1" customFormat="1" ht="48" customHeight="1" x14ac:dyDescent="0.15">
      <c r="A29" s="19" t="s">
        <v>23</v>
      </c>
      <c r="B29" s="18" t="str">
        <f>VLOOKUP($A29,Questions!$A$2:$X$333,2,0)&amp;""</f>
        <v>Are you offering a cloud-based product?</v>
      </c>
      <c r="C29" s="21" t="s">
        <v>355</v>
      </c>
      <c r="D29" s="39" t="s">
        <v>362</v>
      </c>
      <c r="E29" s="160" t="str">
        <f>IF($C29='Auto Responses'!$J$3,VLOOKUP($A29,Questions!$A$2:$X$333,17,0)&amp;"",IF($C29='Auto Responses'!$J$4,VLOOKUP($A29,Questions!$A$2:$X$333,16,0)&amp;"",VLOOKUP($A29,Questions!$A$2:$X$333,15,0)&amp;""))</f>
        <v>DO complete the Product and Infrastructure worksheets</v>
      </c>
      <c r="F29" s="191" t="str">
        <f>VLOOKUP($A29,'Institution Evaluation'!$A$56:$F$345,6,0)&amp;""</f>
        <v/>
      </c>
      <c r="I29" s="35"/>
    </row>
    <row r="30" spans="1:9" s="1" customFormat="1" ht="58.5" customHeight="1" x14ac:dyDescent="0.15">
      <c r="A30" s="19" t="s">
        <v>25</v>
      </c>
      <c r="B30" s="18" t="str">
        <f>VLOOKUP($A30,Questions!$A$2:$X$333,2,0)&amp;""</f>
        <v>Does your product or service have an interface?</v>
      </c>
      <c r="C30" s="21" t="s">
        <v>355</v>
      </c>
      <c r="D30" s="39" t="s">
        <v>363</v>
      </c>
      <c r="E30" s="160" t="str">
        <f>IF($C30='Auto Responses'!$J$3,VLOOKUP($A30,Questions!$A$2:$X$333,17,0)&amp;"",IF($C30='Auto Responses'!$J$4,VLOOKUP($A30,Questions!$A$2:$X$333,16,0)&amp;"",VLOOKUP($A30,Questions!$A$2:$X$333,15,0)&amp;""))</f>
        <v>DO complete the IT Accessibility worksheet.</v>
      </c>
      <c r="F30" s="191" t="str">
        <f>VLOOKUP($A30,'Institution Evaluation'!$A$56:$F$345,6,0)&amp;""</f>
        <v/>
      </c>
      <c r="I30" s="35"/>
    </row>
    <row r="31" spans="1:9" s="1" customFormat="1" ht="54" customHeight="1" x14ac:dyDescent="0.15">
      <c r="A31" s="19" t="s">
        <v>27</v>
      </c>
      <c r="B31" s="18" t="str">
        <f>VLOOKUP($A31,Questions!$A$2:$X$333,2,0)&amp;""</f>
        <v>Are you providing consulting services?</v>
      </c>
      <c r="C31" s="21" t="s">
        <v>364</v>
      </c>
      <c r="D31" s="39"/>
      <c r="E31" s="160" t="str">
        <f>IF($C31='Auto Responses'!$J$3,VLOOKUP($A31,Questions!$A$2:$X$333,17,0)&amp;"",IF($C31='Auto Responses'!$J$4,VLOOKUP($A31,Questions!$A$2:$X$333,16,0)&amp;"",VLOOKUP($A31,Questions!$A$2:$X$333,15,0)&amp;""))</f>
        <v>DO NOT complete the Consulting section in the Case-Specific worksheet</v>
      </c>
      <c r="F31" s="191" t="str">
        <f>VLOOKUP($A31,'Institution Evaluation'!$A$56:$F$345,6,0)&amp;""</f>
        <v/>
      </c>
      <c r="I31" s="35"/>
    </row>
    <row r="32" spans="1:9" s="1" customFormat="1" ht="54" customHeight="1" x14ac:dyDescent="0.15">
      <c r="A32" s="19" t="s">
        <v>29</v>
      </c>
      <c r="B32" s="18" t="str">
        <f>VLOOKUP($A32,Questions!$A$2:$X$333,2,0)&amp;""</f>
        <v>Does your solution have AI features, or are there plans to implement AI features in the next 12 months?</v>
      </c>
      <c r="C32" s="21" t="s">
        <v>355</v>
      </c>
      <c r="D32" s="39" t="s">
        <v>365</v>
      </c>
      <c r="E32" s="160" t="str">
        <f>IF($C32='Auto Responses'!$J$3,VLOOKUP($A32,Questions!$A$2:$X$333,17,0)&amp;"",IF($C32='Auto Responses'!$J$4,VLOOKUP($A32,Questions!$A$2:$X$333,16,0)&amp;"",VLOOKUP($A32,Questions!$A$2:$X$333,15,0)&amp;""))</f>
        <v>DO complete the Artificial Intelligence (AI) worksheet</v>
      </c>
      <c r="F32" s="191" t="str">
        <f>VLOOKUP($A32,'Institution Evaluation'!$A$56:$F$345,6,0)&amp;""</f>
        <v/>
      </c>
      <c r="I32" s="35"/>
    </row>
    <row r="33" spans="1:10" s="1" customFormat="1" ht="54" customHeight="1" x14ac:dyDescent="0.15">
      <c r="A33" s="19" t="s">
        <v>31</v>
      </c>
      <c r="B33" s="18" t="str">
        <f>VLOOKUP($A33,Questions!$A$2:$X$333,2,0)&amp;""</f>
        <v>Does your solution process protected health information (PHI) or any data covered by the Health Insurance Portability and Accountability Act (HIPAA)?</v>
      </c>
      <c r="C33" s="21" t="s">
        <v>364</v>
      </c>
      <c r="D33" s="39" t="s">
        <v>366</v>
      </c>
      <c r="E33" s="160" t="str">
        <f>IF($C33='Auto Responses'!$J$3,VLOOKUP($A33,Questions!$A$2:$X$333,17,0)&amp;"",IF($C33='Auto Responses'!$J$4,VLOOKUP($A33,Questions!$A$2:$X$333,16,0)&amp;"",VLOOKUP($A33,Questions!$A$2:$X$333,15,0)&amp;""))</f>
        <v>DO NOT complete the HIPAA section in the Case-Specific worksheet</v>
      </c>
      <c r="F33" s="191" t="str">
        <f>VLOOKUP($A33,'Institution Evaluation'!$A$56:$F$345,6,0)&amp;""</f>
        <v/>
      </c>
      <c r="I33" s="35"/>
    </row>
    <row r="34" spans="1:10" s="1" customFormat="1" ht="54" customHeight="1" x14ac:dyDescent="0.15">
      <c r="A34" s="19" t="s">
        <v>33</v>
      </c>
      <c r="B34" s="18" t="str">
        <f>VLOOKUP($A34,Questions!$A$2:$X$333,2,0)&amp;""</f>
        <v>Is the solution designed to process, store, or transmit credit card information?</v>
      </c>
      <c r="C34" s="21" t="s">
        <v>364</v>
      </c>
      <c r="D34" s="39" t="s">
        <v>367</v>
      </c>
      <c r="E34" s="160" t="str">
        <f>IF($C34='Auto Responses'!$J$3,VLOOKUP($A34,Questions!$A$2:$X$333,17,0)&amp;"",IF($C34='Auto Responses'!$J$4,VLOOKUP($A34,Questions!$A$2:$X$333,16,0)&amp;"",VLOOKUP($A34,Questions!$A$2:$X$333,15,0)&amp;""))</f>
        <v>DO NOT complete the PCI-DSS section in the Case-Specific worksheet</v>
      </c>
      <c r="F34" s="191" t="str">
        <f>VLOOKUP($A34,'Institution Evaluation'!$A$56:$F$345,6,0)&amp;""</f>
        <v/>
      </c>
      <c r="I34" s="35"/>
    </row>
    <row r="35" spans="1:10" s="1" customFormat="1" ht="66" customHeight="1" x14ac:dyDescent="0.15">
      <c r="A35" s="19" t="s">
        <v>35</v>
      </c>
      <c r="B35" s="18" t="str">
        <f>VLOOKUP($A35,Questions!$A$2:$X$333,2,0)&amp;""</f>
        <v>Does operating your solution require the institution to operate a physical or virtual appliance in their own environment or to provide inbound firewall exceptions to allow your employees to remotely administer systems in the institution's environment?</v>
      </c>
      <c r="C35" s="21" t="s">
        <v>364</v>
      </c>
      <c r="D35" s="39" t="s">
        <v>368</v>
      </c>
      <c r="E35" s="160" t="str">
        <f>IF($C35='Auto Responses'!$J$3,VLOOKUP($A35,Questions!$A$2:$X$333,17,0)&amp;"",IF($C35='Auto Responses'!$J$4,VLOOKUP($A35,Questions!$A$2:$X$333,16,0)&amp;"",VLOOKUP($A35,Questions!$A$2:$X$333,15,0)&amp;""))</f>
        <v>DO NOT complete the On-Prem section in the Case-Specific worksheet</v>
      </c>
      <c r="F35" s="191" t="str">
        <f>VLOOKUP($A35,'Institution Evaluation'!$A$56:$F$345,6,0)&amp;""</f>
        <v/>
      </c>
      <c r="I35" s="35"/>
    </row>
    <row r="36" spans="1:10" s="1" customFormat="1" ht="63.75" customHeight="1" x14ac:dyDescent="0.15">
      <c r="A36" s="148" t="s">
        <v>369</v>
      </c>
      <c r="B36" s="18" t="str">
        <f>VLOOKUP($A36,Questions!$A$2:$X$333,2,0)&amp;""</f>
        <v>Does your solution have access to personal or institutional data?</v>
      </c>
      <c r="C36" s="21" t="s">
        <v>355</v>
      </c>
      <c r="D36" s="39" t="s">
        <v>370</v>
      </c>
      <c r="E36" s="160" t="str">
        <f>IF($C36='Auto Responses'!$J$3,VLOOKUP($A36,Questions!$A$2:$X$333,17,0)&amp;"",IF($C36='Auto Responses'!$J$4,VLOOKUP($A36,Questions!$A$2:$X$333,16,0)&amp;"",VLOOKUP($A36,Questions!$A$2:$X$333,15,0)&amp;""))</f>
        <v>DO complete the Privacy tab</v>
      </c>
      <c r="F36" s="191" t="str">
        <f>VLOOKUP($A36,'Institution Evaluation'!$A$56:$F$345,6,0)&amp;""</f>
        <v/>
      </c>
      <c r="G36" s="228" t="s">
        <v>361</v>
      </c>
      <c r="H36" s="35"/>
      <c r="J36" s="35"/>
    </row>
    <row r="37" spans="1:10" s="1" customFormat="1" ht="63.75" customHeight="1" x14ac:dyDescent="0.15">
      <c r="A37" s="233" t="s">
        <v>371</v>
      </c>
      <c r="B37" s="241"/>
      <c r="C37" s="242"/>
      <c r="D37" s="243"/>
      <c r="E37" s="244"/>
      <c r="F37" s="23"/>
      <c r="G37" s="228"/>
      <c r="H37" s="35"/>
      <c r="J37" s="35"/>
    </row>
    <row r="38" spans="1:10" ht="24.75" customHeight="1" x14ac:dyDescent="0.2">
      <c r="A38" s="41" t="s">
        <v>2</v>
      </c>
    </row>
    <row r="39" spans="1:10" ht="15" hidden="1" customHeight="1" x14ac:dyDescent="0.2"/>
    <row r="74" ht="15" hidden="1" customHeight="1" x14ac:dyDescent="0.2"/>
    <row r="75" ht="15" hidden="1" customHeight="1" x14ac:dyDescent="0.2"/>
  </sheetData>
  <dataValidations count="3">
    <dataValidation allowBlank="1" showInputMessage="1" showErrorMessage="1" promptTitle="Warning!" prompt="The HECVAT is built using a number of complex formulas. Editing this cell can break the functionality of the tool. " sqref="A1 A3:A38 B1:B38 C2:F2 C4:F12 C22:F22 C28:D28 E23:F36" xr:uid="{00000000-0002-0000-0000-000000000000}"/>
    <dataValidation allowBlank="1" showInputMessage="1" showErrorMessage="1" prompt="This cell should be left blank. Input your answer in column C." sqref="D3:F3 D13:F15 D16 D18:F21 D24 D27 E16:F17" xr:uid="{00000000-0002-0000-0000-000001000000}"/>
    <dataValidation allowBlank="1" showInputMessage="1" showErrorMessage="1" prompt="This answer has been populated from the &quot;START HERE&quot; tab and does not need to be re-entered." sqref="C13:C20" xr:uid="{17E39AC9-5741-1047-B210-AB5A41FA1432}"/>
  </dataValidations>
  <hyperlinks>
    <hyperlink ref="A11" r:id="rId1" display="http://www.educause.edu/HECVAT" xr:uid="{00000000-0004-0000-0000-000000000000}"/>
    <hyperlink ref="C18" r:id="rId2" xr:uid="{0BDE4508-65DF-C448-8E20-DFBDDECB7EF9}"/>
  </hyperlinks>
  <pageMargins left="0.75" right="0.75" top="1" bottom="1" header="0.5" footer="0.5"/>
  <pageSetup orientation="landscape"/>
  <headerFooter>
    <oddFooter>&amp;L&amp;"Helvetica,Regular"&amp;12 &amp;K000000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0B233"/>
  </sheetPr>
  <dimension ref="A1:LZ695"/>
  <sheetViews>
    <sheetView showGridLines="0" showZeros="0" topLeftCell="A91" zoomScale="80" zoomScaleNormal="80" workbookViewId="0">
      <selection activeCell="C25" sqref="C25"/>
    </sheetView>
  </sheetViews>
  <sheetFormatPr baseColWidth="10" defaultColWidth="0" defaultRowHeight="16" zeroHeight="1" x14ac:dyDescent="0.2"/>
  <cols>
    <col min="1" max="1" width="8.125" style="55" customWidth="1"/>
    <col min="2" max="2" width="21.75" style="55" customWidth="1"/>
    <col min="3" max="3" width="27.75" style="55" customWidth="1"/>
    <col min="4" max="4" width="21.5" style="55" bestFit="1" customWidth="1"/>
    <col min="5" max="5" width="21.375" style="55" bestFit="1" customWidth="1"/>
    <col min="6" max="6" width="17" style="55" customWidth="1"/>
    <col min="7" max="7" width="2.25" style="55" customWidth="1"/>
    <col min="8" max="8" width="6.5" style="55" customWidth="1"/>
    <col min="9" max="9" width="8.375" style="55" bestFit="1" customWidth="1"/>
    <col min="10" max="10" width="31.125" style="55" customWidth="1"/>
    <col min="11" max="13" width="22.75" style="55" customWidth="1"/>
    <col min="14" max="14" width="8.5" style="55" customWidth="1"/>
    <col min="15" max="16" width="8.25" style="55" hidden="1" customWidth="1"/>
    <col min="17" max="17" width="8.375" style="55" hidden="1" customWidth="1"/>
    <col min="18" max="24" width="8.5" style="55" hidden="1" customWidth="1"/>
    <col min="25" max="25" width="8.375" style="55" hidden="1" customWidth="1"/>
    <col min="26" max="26" width="8.25" style="55" hidden="1" customWidth="1"/>
    <col min="27" max="28" width="8.5" style="55" hidden="1" customWidth="1"/>
    <col min="29" max="29" width="8.25" style="55" hidden="1" customWidth="1"/>
    <col min="30" max="30" width="8.5" style="55" hidden="1" customWidth="1"/>
    <col min="31" max="32" width="8.375" style="55" hidden="1" customWidth="1"/>
    <col min="33" max="34" width="8.5" style="55" hidden="1" customWidth="1"/>
    <col min="35" max="35" width="10.625" style="55" hidden="1" customWidth="1"/>
    <col min="36" max="43" width="8.5" style="55" hidden="1" customWidth="1"/>
    <col min="44" max="46" width="8.375" style="55" hidden="1" customWidth="1"/>
    <col min="47" max="47" width="8.5" style="55" hidden="1" customWidth="1"/>
    <col min="48" max="48" width="8.375" style="55" hidden="1" customWidth="1"/>
    <col min="49" max="53" width="8.5" style="55" hidden="1" customWidth="1"/>
    <col min="54" max="54" width="8.75" style="55" hidden="1" customWidth="1"/>
    <col min="55" max="55" width="8.5" style="55" hidden="1" customWidth="1"/>
    <col min="56" max="56" width="8.25" style="55" hidden="1" customWidth="1"/>
    <col min="57" max="57" width="8.5" style="55" hidden="1" customWidth="1"/>
    <col min="58" max="60" width="8.375" style="55" hidden="1" customWidth="1"/>
    <col min="61" max="63" width="8.5" style="55" hidden="1" customWidth="1"/>
    <col min="64" max="64" width="17.375" style="55" hidden="1" customWidth="1"/>
    <col min="65" max="68" width="8.5" style="55" hidden="1" customWidth="1"/>
    <col min="69" max="70" width="8.375" style="55" hidden="1" customWidth="1"/>
    <col min="71" max="90" width="8.5" style="55" hidden="1" customWidth="1"/>
    <col min="91" max="91" width="11.5" style="55" hidden="1" customWidth="1"/>
    <col min="92" max="94" width="8.5" style="55" hidden="1" customWidth="1"/>
    <col min="95" max="95" width="8.375" style="55" hidden="1" customWidth="1"/>
    <col min="96" max="96" width="11.375" style="55" hidden="1" customWidth="1"/>
    <col min="97" max="97" width="8.5" style="55" hidden="1" customWidth="1"/>
    <col min="98" max="98" width="8.25" style="55" hidden="1" customWidth="1"/>
    <col min="99" max="100" width="8.375" style="55" hidden="1" customWidth="1"/>
    <col min="101" max="102" width="8.5" style="55" hidden="1" customWidth="1"/>
    <col min="103" max="103" width="8.875" style="55" hidden="1" customWidth="1"/>
    <col min="104" max="109" width="8.5" style="55" hidden="1" customWidth="1"/>
    <col min="110" max="111" width="8.375" style="55" hidden="1" customWidth="1"/>
    <col min="112" max="114" width="8.5" style="55" hidden="1" customWidth="1"/>
    <col min="115" max="116" width="8.375" style="55" hidden="1" customWidth="1"/>
    <col min="117" max="117" width="8.5" style="55" hidden="1" customWidth="1"/>
    <col min="118" max="118" width="8.375" style="55" hidden="1" customWidth="1"/>
    <col min="119" max="119" width="10.875" style="55" hidden="1" customWidth="1"/>
    <col min="120" max="124" width="8.5" style="55" hidden="1" customWidth="1"/>
    <col min="125" max="125" width="9" style="55" hidden="1" customWidth="1"/>
    <col min="126" max="128" width="8.5" style="55" hidden="1" customWidth="1"/>
    <col min="129" max="129" width="8.375" style="55" hidden="1" customWidth="1"/>
    <col min="130" max="133" width="8.5" style="55" hidden="1" customWidth="1"/>
    <col min="134" max="134" width="10.625" style="55" hidden="1" customWidth="1"/>
    <col min="135" max="135" width="8.375" style="55" hidden="1" customWidth="1"/>
    <col min="136" max="138" width="8.5" style="55" hidden="1" customWidth="1"/>
    <col min="139" max="140" width="8.375" style="55" hidden="1" customWidth="1"/>
    <col min="141" max="145" width="8.5" style="55" hidden="1" customWidth="1"/>
    <col min="146" max="146" width="8.375" style="55" hidden="1" customWidth="1"/>
    <col min="147" max="148" width="8.5" style="55" hidden="1" customWidth="1"/>
    <col min="149" max="149" width="8.375" style="55" hidden="1" customWidth="1"/>
    <col min="150" max="151" width="8.5" style="55" hidden="1" customWidth="1"/>
    <col min="152" max="152" width="8.25" style="55" hidden="1" customWidth="1"/>
    <col min="153" max="155" width="8.5" style="55" hidden="1" customWidth="1"/>
    <col min="156" max="156" width="8.375" style="55" hidden="1" customWidth="1"/>
    <col min="157" max="157" width="14.75" style="55" hidden="1" customWidth="1"/>
    <col min="158" max="158" width="8.375" style="55" hidden="1" customWidth="1"/>
    <col min="159" max="159" width="12.375" style="55" hidden="1" customWidth="1"/>
    <col min="160" max="161" width="8.5" style="55" hidden="1" customWidth="1"/>
    <col min="162" max="162" width="8.375" style="55" hidden="1" customWidth="1"/>
    <col min="163" max="164" width="8.5" style="55" hidden="1" customWidth="1"/>
    <col min="165" max="165" width="8" style="55" hidden="1" customWidth="1"/>
    <col min="166" max="166" width="8.5" style="55" hidden="1" customWidth="1"/>
    <col min="167" max="167" width="8.375" style="55" hidden="1" customWidth="1"/>
    <col min="168" max="169" width="8.5" style="55" hidden="1" customWidth="1"/>
    <col min="170" max="170" width="9" style="55" hidden="1" customWidth="1"/>
    <col min="171" max="171" width="8.25" style="55" hidden="1" customWidth="1"/>
    <col min="172" max="172" width="8.375" style="55" hidden="1" customWidth="1"/>
    <col min="173" max="173" width="8.5" style="55" hidden="1" customWidth="1"/>
    <col min="174" max="174" width="8.375" style="55" hidden="1" customWidth="1"/>
    <col min="175" max="175" width="8.5" style="55" hidden="1" customWidth="1"/>
    <col min="176" max="176" width="8.375" style="55" hidden="1" customWidth="1"/>
    <col min="177" max="177" width="8.25" style="55" hidden="1" customWidth="1"/>
    <col min="178" max="179" width="8.5" style="55" hidden="1" customWidth="1"/>
    <col min="180" max="180" width="8.25" style="55" hidden="1" customWidth="1"/>
    <col min="181" max="181" width="8.375" style="55" hidden="1" customWidth="1"/>
    <col min="182" max="183" width="8.5" style="55" hidden="1" customWidth="1"/>
    <col min="184" max="184" width="11.875" style="55" hidden="1" customWidth="1"/>
    <col min="185" max="185" width="9.125" style="55" hidden="1" customWidth="1"/>
    <col min="186" max="186" width="8.5" style="55" hidden="1" customWidth="1"/>
    <col min="187" max="187" width="10.25" style="55" hidden="1" customWidth="1"/>
    <col min="188" max="190" width="8.5" style="55" hidden="1" customWidth="1"/>
    <col min="191" max="191" width="8.375" style="55" hidden="1" customWidth="1"/>
    <col min="192" max="192" width="8.5" style="55" hidden="1" customWidth="1"/>
    <col min="193" max="193" width="8.25" style="55" hidden="1" customWidth="1"/>
    <col min="194" max="194" width="8.375" style="55" hidden="1" customWidth="1"/>
    <col min="195" max="198" width="8.5" style="55" hidden="1" customWidth="1"/>
    <col min="199" max="201" width="8.375" style="55" hidden="1" customWidth="1"/>
    <col min="202" max="202" width="8.5" style="55" hidden="1" customWidth="1"/>
    <col min="203" max="206" width="8.375" style="55" hidden="1" customWidth="1"/>
    <col min="207" max="209" width="8.5" style="55" hidden="1" customWidth="1"/>
    <col min="210" max="210" width="8.125" style="55" hidden="1" customWidth="1"/>
    <col min="211" max="211" width="8.5" style="55" hidden="1" customWidth="1"/>
    <col min="212" max="213" width="8.375" style="55" hidden="1" customWidth="1"/>
    <col min="214" max="214" width="7.875" style="55" hidden="1" customWidth="1"/>
    <col min="215" max="216" width="8.5" style="55" hidden="1" customWidth="1"/>
    <col min="217" max="217" width="8.375" style="55" hidden="1" customWidth="1"/>
    <col min="218" max="219" width="8.5" style="55" hidden="1" customWidth="1"/>
    <col min="220" max="220" width="8.375" style="55" hidden="1" customWidth="1"/>
    <col min="221" max="221" width="8.25" style="55" hidden="1" customWidth="1"/>
    <col min="222" max="222" width="8.375" style="55" hidden="1" customWidth="1"/>
    <col min="223" max="224" width="8.5" style="55" hidden="1" customWidth="1"/>
    <col min="225" max="225" width="8.375" style="55" hidden="1" customWidth="1"/>
    <col min="226" max="227" width="8.5" style="55" hidden="1" customWidth="1"/>
    <col min="228" max="231" width="8.375" style="55" hidden="1" customWidth="1"/>
    <col min="232" max="233" width="8.5" style="55" hidden="1" customWidth="1"/>
    <col min="234" max="234" width="8.375" style="55" hidden="1" customWidth="1"/>
    <col min="235" max="235" width="8.25" style="55" hidden="1" customWidth="1"/>
    <col min="236" max="236" width="8.375" style="55" hidden="1" customWidth="1"/>
    <col min="237" max="237" width="8.5" style="55" hidden="1" customWidth="1"/>
    <col min="238" max="238" width="8.25" style="55" hidden="1" customWidth="1"/>
    <col min="239" max="242" width="8.375" style="55" hidden="1" customWidth="1"/>
    <col min="243" max="243" width="10.125" style="55" hidden="1" customWidth="1"/>
    <col min="244" max="244" width="8.375" style="55" hidden="1" customWidth="1"/>
    <col min="245" max="249" width="8.5" style="55" hidden="1" customWidth="1"/>
    <col min="250" max="250" width="8.375" style="55" hidden="1" customWidth="1"/>
    <col min="251" max="254" width="8.5" style="55" hidden="1" customWidth="1"/>
    <col min="255" max="256" width="8.375" style="55" hidden="1" customWidth="1"/>
    <col min="257" max="259" width="8.5" style="55" hidden="1" customWidth="1"/>
    <col min="260" max="261" width="8.375" style="55" hidden="1" customWidth="1"/>
    <col min="262" max="263" width="8.5" style="55" hidden="1" customWidth="1"/>
    <col min="264" max="264" width="8.25" style="55" hidden="1" customWidth="1"/>
    <col min="265" max="265" width="8.5" style="55" hidden="1" customWidth="1"/>
    <col min="266" max="266" width="8.375" style="55" hidden="1" customWidth="1"/>
    <col min="267" max="267" width="8.5" style="55" hidden="1" customWidth="1"/>
    <col min="268" max="268" width="8.875" style="55" hidden="1" customWidth="1"/>
    <col min="269" max="269" width="10.375" style="55" hidden="1" customWidth="1"/>
    <col min="270" max="270" width="8.5" style="55" hidden="1" customWidth="1"/>
    <col min="271" max="273" width="8.375" style="55" hidden="1" customWidth="1"/>
    <col min="274" max="276" width="8.5" style="55" hidden="1" customWidth="1"/>
    <col min="277" max="277" width="8.25" style="55" hidden="1" customWidth="1"/>
    <col min="278" max="278" width="8.375" style="55" hidden="1" customWidth="1"/>
    <col min="279" max="282" width="8.5" style="55" hidden="1" customWidth="1"/>
    <col min="283" max="283" width="8.25" style="55" hidden="1" customWidth="1"/>
    <col min="284" max="284" width="8.375" style="55" hidden="1" customWidth="1"/>
    <col min="285" max="286" width="8.25" style="55" hidden="1" customWidth="1"/>
    <col min="287" max="288" width="8.375" style="55" hidden="1" customWidth="1"/>
    <col min="289" max="295" width="8.5" style="55" hidden="1" customWidth="1"/>
    <col min="296" max="296" width="8.125" style="55" hidden="1" customWidth="1"/>
    <col min="297" max="297" width="8.5" style="55" hidden="1" customWidth="1"/>
    <col min="298" max="298" width="7.875" style="55" hidden="1" customWidth="1"/>
    <col min="299" max="300" width="8.5" style="55" hidden="1" customWidth="1"/>
    <col min="301" max="308" width="8.25" style="55" hidden="1" customWidth="1"/>
    <col min="309" max="309" width="7.625" style="55" hidden="1" customWidth="1"/>
    <col min="310" max="310" width="8.375" style="55" hidden="1" customWidth="1"/>
    <col min="311" max="311" width="8.25" style="55" hidden="1" customWidth="1"/>
    <col min="312" max="313" width="8.375" style="55" hidden="1" customWidth="1"/>
    <col min="314" max="314" width="8.5" style="55" hidden="1" customWidth="1"/>
    <col min="315" max="315" width="8.375" style="55" hidden="1" customWidth="1"/>
    <col min="316" max="316" width="8.5" style="55" hidden="1" customWidth="1"/>
    <col min="317" max="318" width="8.375" style="55" hidden="1" customWidth="1"/>
    <col min="319" max="319" width="8.5" style="55" hidden="1" customWidth="1"/>
    <col min="320" max="321" width="8.375" style="55" hidden="1" customWidth="1"/>
    <col min="322" max="324" width="8.5" style="55" hidden="1" customWidth="1"/>
    <col min="325" max="325" width="8.375" style="55" hidden="1" customWidth="1"/>
    <col min="326" max="329" width="8.5" style="55" hidden="1" customWidth="1"/>
    <col min="330" max="330" width="9.375" style="55" hidden="1" customWidth="1"/>
    <col min="331" max="334" width="8.5" style="55" hidden="1" customWidth="1"/>
    <col min="335" max="335" width="8.375" style="55" hidden="1" customWidth="1"/>
    <col min="336" max="336" width="8.5" style="55" hidden="1" customWidth="1"/>
    <col min="337" max="337" width="8.375" style="55" hidden="1" customWidth="1"/>
    <col min="338" max="338" width="6.5" style="55" hidden="1" customWidth="1"/>
    <col min="339" max="339" width="8.5" style="55" hidden="1" customWidth="1"/>
    <col min="340" max="16384" width="8.5" style="55" hidden="1"/>
  </cols>
  <sheetData>
    <row r="1" spans="1:13" hidden="1" x14ac:dyDescent="0.2">
      <c r="A1" s="230" t="s">
        <v>653</v>
      </c>
    </row>
    <row r="2" spans="1:13" ht="36" customHeight="1" x14ac:dyDescent="0.2">
      <c r="A2" s="167" t="s">
        <v>654</v>
      </c>
      <c r="B2" s="167"/>
      <c r="C2" s="167"/>
      <c r="D2" s="167"/>
      <c r="E2" s="167"/>
      <c r="F2" s="167"/>
      <c r="G2" s="167"/>
      <c r="H2" s="167"/>
      <c r="I2" s="168"/>
      <c r="J2" s="168"/>
      <c r="K2" s="168" t="str">
        <f>'Auto Responses'!$A$36</f>
        <v>Version 4.1.5</v>
      </c>
      <c r="L2" s="168"/>
      <c r="M2" s="168"/>
    </row>
    <row r="3" spans="1:13" ht="22.5" customHeight="1" x14ac:dyDescent="0.2">
      <c r="A3" s="93"/>
      <c r="B3" s="93"/>
      <c r="C3" s="93"/>
      <c r="D3" s="93"/>
      <c r="E3" s="93"/>
      <c r="F3" s="93"/>
      <c r="G3" s="93"/>
      <c r="H3" s="93"/>
      <c r="I3" s="93"/>
      <c r="J3" s="93"/>
      <c r="K3" s="93"/>
      <c r="L3" s="93"/>
      <c r="M3" s="93"/>
    </row>
    <row r="4" spans="1:13" ht="36" customHeight="1" x14ac:dyDescent="0.2">
      <c r="A4" s="94" t="s">
        <v>655</v>
      </c>
      <c r="B4" s="95"/>
      <c r="C4" s="95"/>
      <c r="D4" s="95"/>
      <c r="E4" s="95"/>
      <c r="F4" s="95"/>
      <c r="G4" s="95"/>
      <c r="H4" s="95"/>
      <c r="I4" s="95"/>
      <c r="J4" s="95"/>
      <c r="K4" s="95"/>
      <c r="L4" s="95"/>
      <c r="M4" s="95"/>
    </row>
    <row r="5" spans="1:13" ht="19.5" customHeight="1" x14ac:dyDescent="0.2">
      <c r="A5" s="259" t="str">
        <f>HLOOKUP($A$4,'Auto Responses'!$H$2:$H$5,2,0)&amp;""</f>
        <v xml:space="preserve">1. The scorecard below reflects those questions marked as "Critical Importance" or those where the "Non-Negotiable" box was checked. </v>
      </c>
      <c r="B5" s="158"/>
      <c r="C5" s="158"/>
      <c r="D5" s="158"/>
      <c r="E5" s="158"/>
      <c r="F5" s="158"/>
      <c r="G5" s="158"/>
      <c r="H5" s="158"/>
      <c r="I5" s="158"/>
      <c r="J5" s="59"/>
      <c r="K5" s="59"/>
      <c r="L5" s="59"/>
      <c r="M5" s="59"/>
    </row>
    <row r="6" spans="1:13" s="227" customFormat="1" ht="19.5" customHeight="1" x14ac:dyDescent="0.2">
      <c r="A6" s="259" t="str">
        <f>HLOOKUP($A$4,'Auto Responses'!$H$2:$H$5,3,0)&amp;""</f>
        <v xml:space="preserve">2. Use these condensed, aggregated views to review those questions that pose the highest risk. </v>
      </c>
      <c r="B6" s="259"/>
      <c r="C6" s="259"/>
      <c r="D6" s="259"/>
      <c r="E6" s="259"/>
      <c r="F6" s="259"/>
      <c r="G6" s="259"/>
      <c r="H6" s="259"/>
      <c r="I6" s="259"/>
      <c r="J6" s="260"/>
      <c r="K6" s="260"/>
      <c r="L6" s="260"/>
      <c r="M6" s="260"/>
    </row>
    <row r="7" spans="1:13" ht="19.5" customHeight="1" x14ac:dyDescent="0.2">
      <c r="A7" s="259" t="str">
        <f>HLOOKUP($A$4,'Auto Responses'!$H$2:$H$5,4,0)&amp;""</f>
        <v>3. Changes cannot be made in this sheet. Please make changes in the appropriate "Evaluation" tab.</v>
      </c>
      <c r="B7" s="158"/>
      <c r="C7" s="158"/>
      <c r="D7" s="158"/>
      <c r="E7" s="158"/>
      <c r="F7" s="158"/>
      <c r="G7" s="158"/>
      <c r="H7" s="158"/>
      <c r="I7" s="158"/>
      <c r="J7" s="59"/>
      <c r="K7" s="59"/>
      <c r="L7" s="59"/>
      <c r="M7" s="59"/>
    </row>
    <row r="8" spans="1:13" ht="19.5" customHeight="1" thickBot="1" x14ac:dyDescent="0.25">
      <c r="A8" s="234" t="s">
        <v>656</v>
      </c>
      <c r="B8" s="158"/>
      <c r="C8" s="158"/>
      <c r="D8" s="158"/>
      <c r="E8" s="158"/>
      <c r="F8" s="158"/>
      <c r="G8" s="158"/>
      <c r="H8" s="158"/>
      <c r="I8" s="158"/>
      <c r="J8" s="59"/>
      <c r="K8" s="59"/>
      <c r="L8" s="59"/>
      <c r="M8" s="59"/>
    </row>
    <row r="9" spans="1:13" s="84" customFormat="1" ht="25.5" customHeight="1" x14ac:dyDescent="0.2">
      <c r="A9" s="149" t="str">
        <f>'START HERE'!$B$13</f>
        <v>Solution Provider Name</v>
      </c>
      <c r="B9" s="135"/>
      <c r="C9" s="129" t="str">
        <f ca="1">VLOOKUP($A9,'START HERE'!$B$13:$C$21,2,0)&amp;""</f>
        <v>Accredible (EdInvent Inc. d.b.a. Accredible)</v>
      </c>
      <c r="D9" s="130"/>
      <c r="E9" s="131"/>
      <c r="F9" s="85"/>
      <c r="G9" s="85"/>
      <c r="H9" s="90"/>
      <c r="I9" s="85"/>
      <c r="J9" s="85"/>
    </row>
    <row r="10" spans="1:13" s="84" customFormat="1" ht="25.5" customHeight="1" x14ac:dyDescent="0.2">
      <c r="A10" s="150" t="str">
        <f>'START HERE'!$B$16</f>
        <v>Solution Provider Contact Name</v>
      </c>
      <c r="B10" s="136"/>
      <c r="C10" s="128" t="str">
        <f>VLOOKUP($A10,'START HERE'!$B$13:$C$21,2,0)&amp;""</f>
        <v>Alan Heppenstall</v>
      </c>
      <c r="D10" s="92"/>
      <c r="E10" s="132"/>
      <c r="F10" s="85"/>
      <c r="G10" s="85"/>
      <c r="H10" s="90"/>
      <c r="I10" s="85"/>
      <c r="J10" s="85"/>
    </row>
    <row r="11" spans="1:13" s="84" customFormat="1" ht="25.5" customHeight="1" x14ac:dyDescent="0.2">
      <c r="A11" s="150" t="str">
        <f>'START HERE'!$B$17</f>
        <v>Solution Provider Contact Title</v>
      </c>
      <c r="B11" s="136"/>
      <c r="C11" s="128" t="str">
        <f>VLOOKUP($A11,'START HERE'!$B$13:$C$21,2,0)&amp;""</f>
        <v>CTO</v>
      </c>
      <c r="D11" s="92"/>
      <c r="E11" s="132"/>
      <c r="F11" s="85"/>
      <c r="G11" s="85"/>
      <c r="H11" s="90"/>
      <c r="I11" s="85"/>
      <c r="J11" s="85"/>
    </row>
    <row r="12" spans="1:13" s="84" customFormat="1" ht="25.5" customHeight="1" x14ac:dyDescent="0.2">
      <c r="A12" s="150" t="str">
        <f>'START HERE'!$B$18</f>
        <v>Solution Provider Contact Email</v>
      </c>
      <c r="B12" s="136"/>
      <c r="C12" s="128" t="str">
        <f>VLOOKUP($A12,'START HERE'!$B$13:$C$21,2,0)&amp;""</f>
        <v>alan@accredible.com</v>
      </c>
      <c r="D12" s="92"/>
      <c r="E12" s="132"/>
      <c r="F12" s="127"/>
    </row>
    <row r="13" spans="1:13" s="84" customFormat="1" ht="25.5" customHeight="1" x14ac:dyDescent="0.2">
      <c r="A13" s="150" t="str">
        <f>'START HERE'!$B$14</f>
        <v>Solution Name</v>
      </c>
      <c r="B13" s="136"/>
      <c r="C13" s="128" t="str">
        <f ca="1">VLOOKUP($A13,'START HERE'!$B$13:$C$21,2,0)&amp;""</f>
        <v>Accredible Digital Credentialing Platform</v>
      </c>
      <c r="D13" s="92"/>
      <c r="E13" s="132"/>
      <c r="F13" s="127"/>
    </row>
    <row r="14" spans="1:13" s="84" customFormat="1" ht="25.5" customHeight="1" x14ac:dyDescent="0.2">
      <c r="A14" s="150" t="str">
        <f>'START HERE'!$B$15</f>
        <v>Solution Description</v>
      </c>
      <c r="B14" s="136"/>
      <c r="C14" s="128" t="str">
        <f ca="1">VLOOKUP($A14,'START HERE'!$B$13:$C$21,2,0)&amp;""</f>
        <v>Accredible is a cloud-hosted, multi-tenant Software as a Service (SaaS) digital credentialing platform that enables organizations to design, issue, manage, and verify digital credentials including certificates and badges.</v>
      </c>
      <c r="D14" s="92"/>
      <c r="E14" s="132"/>
      <c r="F14" s="127"/>
    </row>
    <row r="15" spans="1:13" s="84" customFormat="1" ht="25.5" customHeight="1" thickBot="1" x14ac:dyDescent="0.25">
      <c r="A15" s="151" t="s">
        <v>612</v>
      </c>
      <c r="B15" s="137"/>
      <c r="C15" s="296" t="str">
        <f>'START HERE'!$C$3</f>
        <v>2025-04-08</v>
      </c>
      <c r="D15" s="133"/>
      <c r="E15" s="134"/>
      <c r="F15" s="127"/>
    </row>
    <row r="16" spans="1:13" x14ac:dyDescent="0.2">
      <c r="A16" s="51" t="s">
        <v>657</v>
      </c>
      <c r="C16" s="246"/>
    </row>
    <row r="17" spans="1:338" s="82" customFormat="1" ht="24" customHeight="1" thickBot="1" x14ac:dyDescent="0.25">
      <c r="A17" s="83"/>
      <c r="B17" s="83"/>
      <c r="C17" s="83"/>
    </row>
    <row r="18" spans="1:338" ht="37.25" customHeight="1" thickBot="1" x14ac:dyDescent="0.25">
      <c r="B18" s="78" t="s">
        <v>614</v>
      </c>
      <c r="C18" s="104" t="s">
        <v>658</v>
      </c>
      <c r="D18" s="77" t="s">
        <v>616</v>
      </c>
      <c r="E18" s="103" t="s">
        <v>617</v>
      </c>
      <c r="F18" s="81" t="s">
        <v>618</v>
      </c>
    </row>
    <row r="19" spans="1:338" s="79" customFormat="1" ht="37.25" customHeight="1" thickBot="1" x14ac:dyDescent="0.25">
      <c r="B19" s="107" t="s">
        <v>659</v>
      </c>
      <c r="C19" s="108">
        <f>SUM('(backend scoring)'!$Q$3:$Q$333)</f>
        <v>0</v>
      </c>
      <c r="D19" s="109">
        <f>SUMIF('(backend scoring)'!$Q$3:$Q$333,1,'(backend scoring)'!$O$3:$O$333)</f>
        <v>0</v>
      </c>
      <c r="E19" s="109">
        <f>SUMIF('(backend scoring)'!$Q$3:$Q$333,1,'(backend scoring)'!$P$3:$P$333)</f>
        <v>0</v>
      </c>
      <c r="F19" s="110" t="str">
        <f>IF(D19=0,'Auto Responses'!$J$5,E19/D19)</f>
        <v>N/A</v>
      </c>
    </row>
    <row r="20" spans="1:338" s="79" customFormat="1" ht="37.25" customHeight="1" thickBot="1" x14ac:dyDescent="0.2">
      <c r="B20" s="107" t="s">
        <v>660</v>
      </c>
      <c r="C20" s="108">
        <f>SUM('(backend scoring)'!$T$3:$T$333)</f>
        <v>87</v>
      </c>
      <c r="D20" s="109">
        <f>SUMIF('(backend scoring)'!$N$3:$N$333,1,'(backend scoring)'!$O$3:$O$333)</f>
        <v>1420</v>
      </c>
      <c r="E20" s="109">
        <f>SUMIF('(backend scoring)'!$N$3:$N$333,1,'(backend scoring)'!$P$3:$P$333)</f>
        <v>1320</v>
      </c>
      <c r="F20" s="110">
        <f>IF(D20=0,'Auto Responses'!$J$5,E20/D20)</f>
        <v>0.92957746478873238</v>
      </c>
      <c r="G20" s="228" t="s">
        <v>361</v>
      </c>
    </row>
    <row r="21" spans="1:338"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row>
    <row r="22" spans="1:338" ht="15.75" customHeight="1" thickBo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row>
    <row r="23" spans="1:338" ht="34.5" customHeight="1" thickBot="1" x14ac:dyDescent="0.25">
      <c r="A23" s="261" t="s">
        <v>661</v>
      </c>
      <c r="B23" s="156"/>
      <c r="C23" s="156"/>
      <c r="D23" s="156"/>
      <c r="E23" s="156"/>
      <c r="F23" s="157"/>
      <c r="G23" s="159"/>
      <c r="H23" s="261" t="s">
        <v>662</v>
      </c>
      <c r="I23" s="156"/>
      <c r="J23" s="156"/>
      <c r="K23" s="156"/>
      <c r="L23" s="156"/>
      <c r="M23" s="157"/>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row>
    <row r="24" spans="1:338" ht="34.5" customHeight="1" x14ac:dyDescent="0.2">
      <c r="A24" s="146"/>
      <c r="B24" s="197" t="s">
        <v>663</v>
      </c>
      <c r="C24" s="197" t="s">
        <v>645</v>
      </c>
      <c r="D24" s="197" t="s">
        <v>351</v>
      </c>
      <c r="E24" s="197" t="s">
        <v>352</v>
      </c>
      <c r="F24" s="198" t="s">
        <v>354</v>
      </c>
      <c r="G24" s="195"/>
      <c r="H24" s="146"/>
      <c r="I24" s="197" t="s">
        <v>663</v>
      </c>
      <c r="J24" s="197" t="s">
        <v>645</v>
      </c>
      <c r="K24" s="197" t="s">
        <v>351</v>
      </c>
      <c r="L24" s="197" t="s">
        <v>352</v>
      </c>
      <c r="M24" s="198" t="s">
        <v>354</v>
      </c>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row>
    <row r="25" spans="1:338" ht="96.75" customHeight="1" x14ac:dyDescent="0.2">
      <c r="A25" s="199">
        <v>1</v>
      </c>
      <c r="B25" s="199" t="str">
        <f>_xlfn.XLOOKUP($A25,'(backend scoring)'!$V$2:$V$333,'(backend scoring)'!$A$2:$A$333,"")</f>
        <v>DOCU-01</v>
      </c>
      <c r="C25" s="199" t="str">
        <f>IFERROR(VLOOKUP($B25,'Institution Evaluation'!$A$55:$F$345,2,0),IFERROR(VLOOKUP($B25,'Privacy Analyst Evaluation'!$A$46:$F$120,2,0),""))&amp;""</f>
        <v>Do you have a well-documented business continuity plan (BCP), with a clear owner, that is tested annually?*</v>
      </c>
      <c r="D25" s="199" t="str">
        <f>IFERROR(VLOOKUP($B25,'Institution Evaluation'!$A$55:$F$345,3,0),IFERROR(VLOOKUP($B25,'Privacy Analyst Evaluation'!$A$46:$F$120,3,0),""))&amp;""</f>
        <v>Yes</v>
      </c>
      <c r="E25" s="199" t="str">
        <f>IFERROR(VLOOKUP($B25,'Institution Evaluation'!$A$55:$F$345,4,0),IFERROR(VLOOKUP($B25,'Privacy Analyst Evaluation'!$A$46:$F$120,4,0),""))&amp;""</f>
        <v>Accredible maintains a documented Business Continuity Plan (BCP) with a named owner. BCP and DR tests are conducted multiple times per year using simulations and tabletop scenarios.</v>
      </c>
      <c r="F25" s="199" t="str">
        <f>IFERROR(VLOOKUP($B25,'Institution Evaluation'!$A$55:$F$345,6,0),IFERROR(VLOOKUP($B25,'Privacy Analyst Evaluation'!$A$46:$F$120,6,0),""))&amp;""</f>
        <v/>
      </c>
      <c r="G25" s="200"/>
      <c r="H25" s="199">
        <v>1</v>
      </c>
      <c r="I25" s="199" t="str">
        <f>_xlfn.XLOOKUP($H25,'(backend scoring)'!$S$2:$S$333,'(backend scoring)'!$A$2:$A$333,"")</f>
        <v/>
      </c>
      <c r="J25" s="199" t="str">
        <f>IFERROR(VLOOKUP($I25,'Institution Evaluation'!$A$55:$F$345,2,0),IFERROR(VLOOKUP($I25,'Privacy Analyst Evaluation'!$A$46:$F$120,2,0),""))&amp;""</f>
        <v/>
      </c>
      <c r="K25" s="199" t="str">
        <f>IFERROR(VLOOKUP($I25,'Institution Evaluation'!$A$55:$F$345,3,0),IFERROR(VLOOKUP($I25,'Privacy Analyst Evaluation'!$A$46:$F$120,3,0),""))&amp;""</f>
        <v/>
      </c>
      <c r="L25" s="199" t="str">
        <f>IFERROR(VLOOKUP($I25,'Institution Evaluation'!$A$55:$F$345,4,0),IFERROR(VLOOKUP($I25,'Privacy Analyst Evaluation'!$A$46:$F$120,4,0),""))&amp;""</f>
        <v/>
      </c>
      <c r="M25" s="199" t="str">
        <f>IFERROR(VLOOKUP($I25,'Institution Evaluation'!$A$55:$F$345,6,0),IFERROR(VLOOKUP($I25,'Privacy Analyst Evaluation'!$A$46:$F$120,6,0),""))&amp;""</f>
        <v/>
      </c>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row>
    <row r="26" spans="1:338" ht="64.5" customHeight="1" x14ac:dyDescent="0.2">
      <c r="A26" s="199">
        <f>IFERROR(IF($A25+1&gt;'(backend scoring)'!$T$335,"",$A25+1),"")</f>
        <v>2</v>
      </c>
      <c r="B26" s="199" t="str">
        <f>_xlfn.XLOOKUP($A26,'(backend scoring)'!$V$2:$V$333,'(backend scoring)'!$A$2:$A$333,"")</f>
        <v>DOCU-02</v>
      </c>
      <c r="C26" s="199" t="str">
        <f>IFERROR(VLOOKUP($B26,'Institution Evaluation'!$A$55:$F$345,2,0),IFERROR(VLOOKUP($B26,'Privacy Analyst Evaluation'!$A$46:$F$120,2,0),""))&amp;""</f>
        <v>Do you have a well-documented disaster recovery plan (DRP), with a clear owner, that is tested annually?*</v>
      </c>
      <c r="D26" s="199" t="str">
        <f>IFERROR(VLOOKUP($B26,'Institution Evaluation'!$A$55:$F$345,3,0),IFERROR(VLOOKUP($B26,'Privacy Analyst Evaluation'!$A$46:$F$120,3,0),""))&amp;""</f>
        <v>Yes</v>
      </c>
      <c r="E26" s="199" t="str">
        <f>IFERROR(VLOOKUP($B26,'Institution Evaluation'!$A$55:$F$345,4,0),IFERROR(VLOOKUP($B26,'Privacy Analyst Evaluation'!$A$46:$F$120,4,0),""))&amp;""</f>
        <v>Accredible maintains a documented Disaster Recovery Plan (DRP) with a named owner. DR tests are performed multiple times annually.</v>
      </c>
      <c r="F26" s="199" t="str">
        <f>IFERROR(VLOOKUP($B26,'Institution Evaluation'!$A$55:$F$345,6,0),IFERROR(VLOOKUP($B26,'Privacy Analyst Evaluation'!$A$46:$F$120,6,0),""))&amp;""</f>
        <v/>
      </c>
      <c r="G26" s="200"/>
      <c r="H26" s="199" t="str">
        <f>IFERROR(IF($H25+1&gt;'(backend scoring)'!$Q$335,"",$H25+1),"")</f>
        <v/>
      </c>
      <c r="I26" s="199" t="str">
        <f>_xlfn.XLOOKUP($H26,'(backend scoring)'!$S$2:$S$333,'(backend scoring)'!$A$2:$A$333,"")</f>
        <v/>
      </c>
      <c r="J26" s="199" t="str">
        <f>IFERROR(VLOOKUP($I26,'Institution Evaluation'!$A$55:$F$345,2,0),IFERROR(VLOOKUP($I26,'Privacy Analyst Evaluation'!$A$46:$F$120,2,0),""))</f>
        <v/>
      </c>
      <c r="K26" s="199" t="str">
        <f>IFERROR(VLOOKUP($I26,'Institution Evaluation'!$A$55:$F$345,3,0),IFERROR(VLOOKUP($I26,'Privacy Analyst Evaluation'!$A$46:$F$120,3,0),""))&amp;""</f>
        <v/>
      </c>
      <c r="L26" s="199" t="str">
        <f>IFERROR(VLOOKUP($I26,'Institution Evaluation'!$A$55:$F$345,4,0),IFERROR(VLOOKUP($I26,'Privacy Analyst Evaluation'!$A$46:$F$120,4,0),""))&amp;""</f>
        <v/>
      </c>
      <c r="M26" s="199" t="str">
        <f>IFERROR(VLOOKUP($I26,'Institution Evaluation'!$A$55:$F$345,6,0),IFERROR(VLOOKUP($I26,'Privacy Analyst Evaluation'!$A$46:$F$120,6,0),""))&amp;""</f>
        <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row>
    <row r="27" spans="1:338" ht="66.75" customHeight="1" x14ac:dyDescent="0.2">
      <c r="A27" s="199">
        <f>IFERROR(IF($A26+1&gt;'(backend scoring)'!$T$335,"",$A26+1),"")</f>
        <v>3</v>
      </c>
      <c r="B27" s="199" t="str">
        <f>_xlfn.XLOOKUP($A27,'(backend scoring)'!$V$2:$V$333,'(backend scoring)'!$A$2:$A$333,"")</f>
        <v>ITAC-06</v>
      </c>
      <c r="C27" s="199" t="str">
        <f>IFERROR(VLOOKUP($B27,'Institution Evaluation'!$A$55:$F$345,2,0),IFERROR(VLOOKUP($B27,'Privacy Analyst Evaluation'!$A$46:$F$120,2,0),""))&amp;""</f>
        <v>Has a VPAT or ACR been created or updated for the solution and version under consideration within the past 12 months?*</v>
      </c>
      <c r="D27" s="199" t="str">
        <f>IFERROR(VLOOKUP($B27,'Institution Evaluation'!$A$55:$F$345,3,0),IFERROR(VLOOKUP($B27,'Privacy Analyst Evaluation'!$A$46:$F$120,3,0),""))&amp;""</f>
        <v>Yes</v>
      </c>
      <c r="E27" s="199" t="str">
        <f>IFERROR(VLOOKUP($B27,'Institution Evaluation'!$A$55:$F$345,4,0),IFERROR(VLOOKUP($B27,'Privacy Analyst Evaluation'!$A$46:$F$120,4,0),""))&amp;""</f>
        <v>Accredible's VPAT has been created and updated within the past 12 months, tested by an IAAP-accredited tester.</v>
      </c>
      <c r="F27" s="199" t="str">
        <f>IFERROR(VLOOKUP($B27,'Institution Evaluation'!$A$55:$F$345,6,0),IFERROR(VLOOKUP($B27,'Privacy Analyst Evaluation'!$A$46:$F$120,6,0),""))&amp;""</f>
        <v/>
      </c>
      <c r="G27" s="200"/>
      <c r="H27" s="199" t="str">
        <f>IFERROR(IF($H26+1&gt;'(backend scoring)'!$Q$335,"",$H26+1),"")</f>
        <v/>
      </c>
      <c r="I27" s="199" t="str">
        <f>_xlfn.XLOOKUP($H27,'(backend scoring)'!$S$2:$S$333,'(backend scoring)'!$A$2:$A$333,"")</f>
        <v/>
      </c>
      <c r="J27" s="199" t="str">
        <f>IFERROR(VLOOKUP($I27,'Institution Evaluation'!$A$55:$F$345,2,0),IFERROR(VLOOKUP($I27,'Privacy Analyst Evaluation'!$A$46:$F$120,2,0),""))</f>
        <v/>
      </c>
      <c r="K27" s="199" t="str">
        <f>IFERROR(VLOOKUP($I27,'Institution Evaluation'!$A$55:$F$345,3,0),IFERROR(VLOOKUP($I27,'Privacy Analyst Evaluation'!$A$46:$F$120,3,0),""))&amp;""</f>
        <v/>
      </c>
      <c r="L27" s="199" t="str">
        <f>IFERROR(VLOOKUP($I27,'Institution Evaluation'!$A$55:$F$345,4,0),IFERROR(VLOOKUP($I27,'Privacy Analyst Evaluation'!$A$46:$F$120,4,0),""))&amp;""</f>
        <v/>
      </c>
      <c r="M27" s="199" t="str">
        <f>IFERROR(VLOOKUP($I27,'Institution Evaluation'!$A$55:$F$345,6,0),IFERROR(VLOOKUP($I27,'Privacy Analyst Evaluation'!$A$46:$F$120,6,0),""))&amp;""</f>
        <v/>
      </c>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row>
    <row r="28" spans="1:338" ht="75" customHeight="1" x14ac:dyDescent="0.2">
      <c r="A28" s="199">
        <f>IFERROR(IF($A27+1&gt;'(backend scoring)'!$T$335,"",$A27+1),"")</f>
        <v>4</v>
      </c>
      <c r="B28" s="199" t="str">
        <f>_xlfn.XLOOKUP($A28,'(backend scoring)'!$V$2:$V$333,'(backend scoring)'!$A$2:$A$333,"")</f>
        <v>ITAC-07</v>
      </c>
      <c r="C28" s="199" t="str">
        <f>IFERROR(VLOOKUP($B28,'Institution Evaluation'!$A$55:$F$345,2,0),IFERROR(VLOOKUP($B28,'Privacy Analyst Evaluation'!$A$46:$F$120,2,0),""))&amp;""</f>
        <v>Will your company agree to meet your stated accessibility standard or WCAG 2.1 AA as part of your contractual agreement for the solution?*</v>
      </c>
      <c r="D28" s="199" t="str">
        <f>IFERROR(VLOOKUP($B28,'Institution Evaluation'!$A$55:$F$345,3,0),IFERROR(VLOOKUP($B28,'Privacy Analyst Evaluation'!$A$46:$F$120,3,0),""))&amp;""</f>
        <v>Yes</v>
      </c>
      <c r="E28" s="199" t="str">
        <f>IFERROR(VLOOKUP($B28,'Institution Evaluation'!$A$55:$F$345,4,0),IFERROR(VLOOKUP($B28,'Privacy Analyst Evaluation'!$A$46:$F$120,4,0),""))&amp;""</f>
        <v>Accredible will agree to meet its stated accessibility standard (WCAG 2.1 AA) as part of contractual agreements.</v>
      </c>
      <c r="F28" s="199" t="str">
        <f>IFERROR(VLOOKUP($B28,'Institution Evaluation'!$A$55:$F$345,6,0),IFERROR(VLOOKUP($B28,'Privacy Analyst Evaluation'!$A$46:$F$120,6,0),""))&amp;""</f>
        <v/>
      </c>
      <c r="G28" s="200"/>
      <c r="H28" s="199" t="str">
        <f>IFERROR(IF($H27+1&gt;'(backend scoring)'!$Q$335,"",$H27+1),"")</f>
        <v/>
      </c>
      <c r="I28" s="199" t="str">
        <f>_xlfn.XLOOKUP($H28,'(backend scoring)'!$S$2:$S$333,'(backend scoring)'!$A$2:$A$333,"")</f>
        <v/>
      </c>
      <c r="J28" s="199" t="str">
        <f>IFERROR(VLOOKUP($I28,'Institution Evaluation'!$A$55:$F$345,2,0),IFERROR(VLOOKUP($I28,'Privacy Analyst Evaluation'!$A$46:$F$120,2,0),""))</f>
        <v/>
      </c>
      <c r="K28" s="199" t="str">
        <f>IFERROR(VLOOKUP($I28,'Institution Evaluation'!$A$55:$F$345,3,0),IFERROR(VLOOKUP($I28,'Privacy Analyst Evaluation'!$A$46:$F$120,3,0),""))&amp;""</f>
        <v/>
      </c>
      <c r="L28" s="199" t="str">
        <f>IFERROR(VLOOKUP($I28,'Institution Evaluation'!$A$55:$F$345,4,0),IFERROR(VLOOKUP($I28,'Privacy Analyst Evaluation'!$A$46:$F$120,4,0),""))&amp;""</f>
        <v/>
      </c>
      <c r="M28" s="199" t="str">
        <f>IFERROR(VLOOKUP($I28,'Institution Evaluation'!$A$55:$F$345,6,0),IFERROR(VLOOKUP($I28,'Privacy Analyst Evaluation'!$A$46:$F$120,6,0),""))&amp;""</f>
        <v/>
      </c>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row>
    <row r="29" spans="1:338" ht="30" customHeight="1" x14ac:dyDescent="0.2">
      <c r="A29" s="199">
        <f>IFERROR(IF($A28+1&gt;'(backend scoring)'!$T$335,"",$A28+1),"")</f>
        <v>5</v>
      </c>
      <c r="B29" s="199" t="str">
        <f>_xlfn.XLOOKUP($A29,'(backend scoring)'!$V$2:$V$333,'(backend scoring)'!$A$2:$A$333,"")</f>
        <v>ITAC-08</v>
      </c>
      <c r="C29" s="199" t="str">
        <f>IFERROR(VLOOKUP($B29,'Institution Evaluation'!$A$55:$F$345,2,0),IFERROR(VLOOKUP($B29,'Privacy Analyst Evaluation'!$A$46:$F$120,2,0),""))&amp;""</f>
        <v>Does the solution substantially conform to WCAG 2.1 AA?*</v>
      </c>
      <c r="D29" s="199" t="str">
        <f>IFERROR(VLOOKUP($B29,'Institution Evaluation'!$A$55:$F$345,3,0),IFERROR(VLOOKUP($B29,'Privacy Analyst Evaluation'!$A$46:$F$120,3,0),""))&amp;""</f>
        <v>Yes</v>
      </c>
      <c r="E29" s="199" t="str">
        <f>IFERROR(VLOOKUP($B29,'Institution Evaluation'!$A$55:$F$345,4,0),IFERROR(VLOOKUP($B29,'Privacy Analyst Evaluation'!$A$46:$F$120,4,0),""))&amp;""</f>
        <v>Accredible's solution substantially conforms to WCAG 2.1 AA. The product was tested by an IAAP-accredited tester across multiple browsers and assistive technologies.</v>
      </c>
      <c r="F29" s="199" t="str">
        <f>IFERROR(VLOOKUP($B29,'Institution Evaluation'!$A$55:$F$345,6,0),IFERROR(VLOOKUP($B29,'Privacy Analyst Evaluation'!$A$46:$F$120,6,0),""))&amp;""</f>
        <v/>
      </c>
      <c r="G29" s="200"/>
      <c r="H29" s="199" t="str">
        <f>IFERROR(IF($H28+1&gt;'(backend scoring)'!$Q$335,"",$H28+1),"")</f>
        <v/>
      </c>
      <c r="I29" s="199" t="str">
        <f>_xlfn.XLOOKUP($H29,'(backend scoring)'!$S$2:$S$333,'(backend scoring)'!$A$2:$A$333,"")</f>
        <v/>
      </c>
      <c r="J29" s="199" t="str">
        <f>IFERROR(VLOOKUP($I29,'Institution Evaluation'!$A$55:$F$345,2,0),IFERROR(VLOOKUP($I29,'Privacy Analyst Evaluation'!$A$46:$F$120,2,0),""))</f>
        <v/>
      </c>
      <c r="K29" s="199" t="str">
        <f>IFERROR(VLOOKUP($I29,'Institution Evaluation'!$A$55:$F$345,3,0),IFERROR(VLOOKUP($I29,'Privacy Analyst Evaluation'!$A$46:$F$120,3,0),""))&amp;""</f>
        <v/>
      </c>
      <c r="L29" s="199" t="str">
        <f>IFERROR(VLOOKUP($I29,'Institution Evaluation'!$A$55:$F$345,4,0),IFERROR(VLOOKUP($I29,'Privacy Analyst Evaluation'!$A$46:$F$120,4,0),""))&amp;""</f>
        <v/>
      </c>
      <c r="M29" s="199" t="str">
        <f>IFERROR(VLOOKUP($I29,'Institution Evaluation'!$A$55:$F$345,6,0),IFERROR(VLOOKUP($I29,'Privacy Analyst Evaluation'!$A$46:$F$120,6,0),""))&amp;""</f>
        <v/>
      </c>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row>
    <row r="30" spans="1:338" ht="60" customHeight="1" x14ac:dyDescent="0.2">
      <c r="A30" s="199">
        <f>IFERROR(IF($A29+1&gt;'(backend scoring)'!$T$335,"",$A29+1),"")</f>
        <v>6</v>
      </c>
      <c r="B30" s="199" t="str">
        <f>_xlfn.XLOOKUP($A30,'(backend scoring)'!$V$2:$V$333,'(backend scoring)'!$A$2:$A$333,"")</f>
        <v>ITAC-09</v>
      </c>
      <c r="C30" s="199" t="str">
        <f>IFERROR(VLOOKUP($B30,'Institution Evaluation'!$A$55:$F$345,2,0),IFERROR(VLOOKUP($B30,'Privacy Analyst Evaluation'!$A$46:$F$120,2,0),""))&amp;""</f>
        <v>Do you have a documented and implemented process for reporting and tracking accessibility issues?*</v>
      </c>
      <c r="D30" s="199" t="str">
        <f>IFERROR(VLOOKUP($B30,'Institution Evaluation'!$A$55:$F$345,3,0),IFERROR(VLOOKUP($B30,'Privacy Analyst Evaluation'!$A$46:$F$120,3,0),""))&amp;""</f>
        <v>Yes</v>
      </c>
      <c r="E30" s="199" t="str">
        <f>IFERROR(VLOOKUP($B30,'Institution Evaluation'!$A$55:$F$345,4,0),IFERROR(VLOOKUP($B30,'Privacy Analyst Evaluation'!$A$46:$F$120,4,0),""))&amp;""</f>
        <v>Accredible has a documented and implemented process for reporting and tracking accessibility issues.</v>
      </c>
      <c r="F30" s="199" t="str">
        <f>IFERROR(VLOOKUP($B30,'Institution Evaluation'!$A$55:$F$345,6,0),IFERROR(VLOOKUP($B30,'Privacy Analyst Evaluation'!$A$46:$F$120,6,0),""))&amp;""</f>
        <v/>
      </c>
      <c r="G30" s="200"/>
      <c r="H30" s="199" t="str">
        <f>IFERROR(IF($H29+1&gt;'(backend scoring)'!$Q$335,"",$H29+1),"")</f>
        <v/>
      </c>
      <c r="I30" s="199" t="str">
        <f>_xlfn.XLOOKUP($H30,'(backend scoring)'!$S$2:$S$333,'(backend scoring)'!$A$2:$A$333,"")</f>
        <v/>
      </c>
      <c r="J30" s="199" t="str">
        <f>IFERROR(VLOOKUP($I30,'Institution Evaluation'!$A$55:$F$345,2,0),IFERROR(VLOOKUP($I30,'Privacy Analyst Evaluation'!$A$46:$F$120,2,0),""))</f>
        <v/>
      </c>
      <c r="K30" s="199" t="str">
        <f>IFERROR(VLOOKUP($I30,'Institution Evaluation'!$A$55:$F$345,3,0),IFERROR(VLOOKUP($I30,'Privacy Analyst Evaluation'!$A$46:$F$120,3,0),""))&amp;""</f>
        <v/>
      </c>
      <c r="L30" s="199" t="str">
        <f>IFERROR(VLOOKUP($I30,'Institution Evaluation'!$A$55:$F$345,4,0),IFERROR(VLOOKUP($I30,'Privacy Analyst Evaluation'!$A$46:$F$120,4,0),""))&amp;""</f>
        <v/>
      </c>
      <c r="M30" s="199" t="str">
        <f>IFERROR(VLOOKUP($I30,'Institution Evaluation'!$A$55:$F$345,6,0),IFERROR(VLOOKUP($I30,'Privacy Analyst Evaluation'!$A$46:$F$120,6,0),""))&amp;""</f>
        <v/>
      </c>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row>
    <row r="31" spans="1:338" ht="60" customHeight="1" x14ac:dyDescent="0.2">
      <c r="A31" s="199">
        <f>IFERROR(IF($A30+1&gt;'(backend scoring)'!$T$335,"",$A30+1),"")</f>
        <v>7</v>
      </c>
      <c r="B31" s="199" t="str">
        <f>_xlfn.XLOOKUP($A31,'(backend scoring)'!$V$2:$V$333,'(backend scoring)'!$A$2:$A$333,"")</f>
        <v>THRD-02</v>
      </c>
      <c r="C31" s="199" t="str">
        <f>IFERROR(VLOOKUP($B31,'Institution Evaluation'!$A$55:$F$345,2,0),IFERROR(VLOOKUP($B31,'Privacy Analyst Evaluation'!$A$46:$F$120,2,0),""))&amp;""</f>
        <v>Do you have contractual language in place with third parties governing access to institutional data?*</v>
      </c>
      <c r="D31" s="199" t="str">
        <f>IFERROR(VLOOKUP($B31,'Institution Evaluation'!$A$55:$F$345,3,0),IFERROR(VLOOKUP($B31,'Privacy Analyst Evaluation'!$A$46:$F$120,3,0),""))&amp;""</f>
        <v>Yes</v>
      </c>
      <c r="E31" s="199" t="str">
        <f>IFERROR(VLOOKUP($B31,'Institution Evaluation'!$A$55:$F$345,4,0),IFERROR(VLOOKUP($B31,'Privacy Analyst Evaluation'!$A$46:$F$120,4,0),""))&amp;""</f>
        <v>Accredible has contractual agreements with all third parties governing access to institutional data, including requirements that they do not use or pass on customer data to other parties.</v>
      </c>
      <c r="F31" s="199" t="str">
        <f>IFERROR(VLOOKUP($B31,'Institution Evaluation'!$A$55:$F$345,6,0),IFERROR(VLOOKUP($B31,'Privacy Analyst Evaluation'!$A$46:$F$120,6,0),""))&amp;""</f>
        <v/>
      </c>
      <c r="G31" s="200"/>
      <c r="H31" s="199" t="str">
        <f>IFERROR(IF($H30+1&gt;'(backend scoring)'!$Q$335,"",$H30+1),"")</f>
        <v/>
      </c>
      <c r="I31" s="199" t="str">
        <f>_xlfn.XLOOKUP($H31,'(backend scoring)'!$S$2:$S$333,'(backend scoring)'!$A$2:$A$333,"")</f>
        <v/>
      </c>
      <c r="J31" s="199" t="str">
        <f>IFERROR(VLOOKUP($I31,'Institution Evaluation'!$A$55:$F$345,2,0),IFERROR(VLOOKUP($I31,'Privacy Analyst Evaluation'!$A$46:$F$120,2,0),""))</f>
        <v/>
      </c>
      <c r="K31" s="199" t="str">
        <f>IFERROR(VLOOKUP($I31,'Institution Evaluation'!$A$55:$F$345,3,0),IFERROR(VLOOKUP($I31,'Privacy Analyst Evaluation'!$A$46:$F$120,3,0),""))&amp;""</f>
        <v/>
      </c>
      <c r="L31" s="199" t="str">
        <f>IFERROR(VLOOKUP($I31,'Institution Evaluation'!$A$55:$F$345,4,0),IFERROR(VLOOKUP($I31,'Privacy Analyst Evaluation'!$A$46:$F$120,4,0),""))&amp;""</f>
        <v/>
      </c>
      <c r="M31" s="199" t="str">
        <f>IFERROR(VLOOKUP($I31,'Institution Evaluation'!$A$55:$F$345,6,0),IFERROR(VLOOKUP($I31,'Privacy Analyst Evaluation'!$A$46:$F$120,6,0),""))&amp;""</f>
        <v/>
      </c>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row>
    <row r="32" spans="1:338" ht="90" customHeight="1" x14ac:dyDescent="0.2">
      <c r="A32" s="199">
        <f>IFERROR(IF($A31+1&gt;'(backend scoring)'!$T$335,"",$A31+1),"")</f>
        <v>8</v>
      </c>
      <c r="B32" s="199" t="str">
        <f>_xlfn.XLOOKUP($A32,'(backend scoring)'!$V$2:$V$333,'(backend scoring)'!$A$2:$A$333,"")</f>
        <v>THRD-01</v>
      </c>
      <c r="C32" s="199" t="str">
        <f>IFERROR(VLOOKUP($B32,'Institution Evaluation'!$A$55:$F$345,2,0),IFERROR(VLOOKUP($B32,'Privacy Analyst Evaluation'!$A$46:$F$120,2,0),""))&amp;""</f>
        <v>Do you perform security assessments of third-party companies with which you share data (e.g., hosting providers, cloud services, PaaS, IaaS, SaaS)?*</v>
      </c>
      <c r="D32" s="199" t="str">
        <f>IFERROR(VLOOKUP($B32,'Institution Evaluation'!$A$55:$F$345,3,0),IFERROR(VLOOKUP($B32,'Privacy Analyst Evaluation'!$A$46:$F$120,3,0),""))&amp;""</f>
        <v>Yes</v>
      </c>
      <c r="E32" s="199" t="str">
        <f>IFERROR(VLOOKUP($B32,'Institution Evaluation'!$A$55:$F$345,4,0),IFERROR(VLOOKUP($B32,'Privacy Analyst Evaluation'!$A$46:$F$120,4,0),""))&amp;""</f>
        <v>Accredible reviews SOC 2 reports from all sub-processors that process customer data on an annual basis under NDA.</v>
      </c>
      <c r="F32" s="199" t="str">
        <f>IFERROR(VLOOKUP($B32,'Institution Evaluation'!$A$55:$F$345,6,0),IFERROR(VLOOKUP($B32,'Privacy Analyst Evaluation'!$A$46:$F$120,6,0),""))&amp;""</f>
        <v/>
      </c>
      <c r="G32" s="200"/>
      <c r="H32" s="199" t="str">
        <f>IFERROR(IF($H31+1&gt;'(backend scoring)'!$Q$335,"",$H31+1),"")</f>
        <v/>
      </c>
      <c r="I32" s="199" t="str">
        <f>_xlfn.XLOOKUP($H32,'(backend scoring)'!$S$2:$S$333,'(backend scoring)'!$A$2:$A$333,"")</f>
        <v/>
      </c>
      <c r="J32" s="199" t="str">
        <f>IFERROR(VLOOKUP($I32,'Institution Evaluation'!$A$55:$F$345,2,0),IFERROR(VLOOKUP($I32,'Privacy Analyst Evaluation'!$A$46:$F$120,2,0),""))</f>
        <v/>
      </c>
      <c r="K32" s="199" t="str">
        <f>IFERROR(VLOOKUP($I32,'Institution Evaluation'!$A$55:$F$345,3,0),IFERROR(VLOOKUP($I32,'Privacy Analyst Evaluation'!$A$46:$F$120,3,0),""))&amp;""</f>
        <v/>
      </c>
      <c r="L32" s="199" t="str">
        <f>IFERROR(VLOOKUP($I32,'Institution Evaluation'!$A$55:$F$345,4,0),IFERROR(VLOOKUP($I32,'Privacy Analyst Evaluation'!$A$46:$F$120,4,0),""))&amp;""</f>
        <v/>
      </c>
      <c r="M32" s="199" t="str">
        <f>IFERROR(VLOOKUP($I32,'Institution Evaluation'!$A$55:$F$345,6,0),IFERROR(VLOOKUP($I32,'Privacy Analyst Evaluation'!$A$46:$F$120,6,0),""))&amp;""</f>
        <v/>
      </c>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row>
    <row r="33" spans="1:338" ht="60" customHeight="1" x14ac:dyDescent="0.2">
      <c r="A33" s="199">
        <f>IFERROR(IF($A32+1&gt;'(backend scoring)'!$T$335,"",$A32+1),"")</f>
        <v>9</v>
      </c>
      <c r="B33" s="199" t="str">
        <f>_xlfn.XLOOKUP($A33,'(backend scoring)'!$V$2:$V$333,'(backend scoring)'!$A$2:$A$333,"")</f>
        <v>THRD-03</v>
      </c>
      <c r="C33" s="199" t="str">
        <f>IFERROR(VLOOKUP($B33,'Institution Evaluation'!$A$55:$F$345,2,0),IFERROR(VLOOKUP($B33,'Privacy Analyst Evaluation'!$A$46:$F$120,2,0),""))&amp;""</f>
        <v>Do the contracts in place with these third parties address liability in the event of a data breach?*</v>
      </c>
      <c r="D33" s="199" t="str">
        <f>IFERROR(VLOOKUP($B33,'Institution Evaluation'!$A$55:$F$345,3,0),IFERROR(VLOOKUP($B33,'Privacy Analyst Evaluation'!$A$46:$F$120,3,0),""))&amp;""</f>
        <v>Yes</v>
      </c>
      <c r="E33" s="199" t="str">
        <f>IFERROR(VLOOKUP($B33,'Institution Evaluation'!$A$55:$F$345,4,0),IFERROR(VLOOKUP($B33,'Privacy Analyst Evaluation'!$A$46:$F$120,4,0),""))&amp;""</f>
        <v>Contracts with sub-processors address liability in the event of a data breach. Accredible also carries cyber-risk insurance covering data breaches and security incidents.</v>
      </c>
      <c r="F33" s="199" t="str">
        <f>IFERROR(VLOOKUP($B33,'Institution Evaluation'!$A$55:$F$345,6,0),IFERROR(VLOOKUP($B33,'Privacy Analyst Evaluation'!$A$46:$F$120,6,0),""))&amp;""</f>
        <v/>
      </c>
      <c r="G33" s="200"/>
      <c r="H33" s="199" t="str">
        <f>IFERROR(IF($H32+1&gt;'(backend scoring)'!$Q$335,"",$H32+1),"")</f>
        <v/>
      </c>
      <c r="I33" s="199" t="str">
        <f>_xlfn.XLOOKUP($H33,'(backend scoring)'!$S$2:$S$333,'(backend scoring)'!$A$2:$A$333,"")</f>
        <v/>
      </c>
      <c r="J33" s="199" t="str">
        <f>IFERROR(VLOOKUP($I33,'Institution Evaluation'!$A$55:$F$345,2,0),IFERROR(VLOOKUP($I33,'Privacy Analyst Evaluation'!$A$46:$F$120,2,0),""))</f>
        <v/>
      </c>
      <c r="K33" s="199" t="str">
        <f>IFERROR(VLOOKUP($I33,'Institution Evaluation'!$A$55:$F$345,3,0),IFERROR(VLOOKUP($I33,'Privacy Analyst Evaluation'!$A$46:$F$120,3,0),""))&amp;""</f>
        <v/>
      </c>
      <c r="L33" s="199" t="str">
        <f>IFERROR(VLOOKUP($I33,'Institution Evaluation'!$A$55:$F$345,4,0),IFERROR(VLOOKUP($I33,'Privacy Analyst Evaluation'!$A$46:$F$120,4,0),""))&amp;""</f>
        <v/>
      </c>
      <c r="M33" s="199" t="str">
        <f>IFERROR(VLOOKUP($I33,'Institution Evaluation'!$A$55:$F$345,6,0),IFERROR(VLOOKUP($I33,'Privacy Analyst Evaluation'!$A$46:$F$120,6,0),""))&amp;""</f>
        <v/>
      </c>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row>
    <row r="34" spans="1:338" ht="45" customHeight="1" x14ac:dyDescent="0.2">
      <c r="A34" s="199">
        <f>IFERROR(IF($A33+1&gt;'(backend scoring)'!$T$335,"",$A33+1),"")</f>
        <v>10</v>
      </c>
      <c r="B34" s="199" t="str">
        <f>_xlfn.XLOOKUP($A34,'(backend scoring)'!$V$2:$V$333,'(backend scoring)'!$A$2:$A$333,"")</f>
        <v>THRD-04</v>
      </c>
      <c r="C34" s="199" t="str">
        <f>IFERROR(VLOOKUP($B34,'Institution Evaluation'!$A$55:$F$345,2,0),IFERROR(VLOOKUP($B34,'Privacy Analyst Evaluation'!$A$46:$F$120,2,0),""))&amp;""</f>
        <v>Do you have an implemented third-party management strategy?*</v>
      </c>
      <c r="D34" s="199" t="str">
        <f>IFERROR(VLOOKUP($B34,'Institution Evaluation'!$A$55:$F$345,3,0),IFERROR(VLOOKUP($B34,'Privacy Analyst Evaluation'!$A$46:$F$120,3,0),""))&amp;""</f>
        <v>Yes</v>
      </c>
      <c r="E34" s="199" t="str">
        <f>IFERROR(VLOOKUP($B34,'Institution Evaluation'!$A$55:$F$345,4,0),IFERROR(VLOOKUP($B34,'Privacy Analyst Evaluation'!$A$46:$F$120,4,0),""))&amp;""</f>
        <v>Accredible maintains a documented third-party management strategy including vendor evaluation, contracting, and annual SOC 2 review.</v>
      </c>
      <c r="F34" s="199" t="str">
        <f>IFERROR(VLOOKUP($B34,'Institution Evaluation'!$A$55:$F$345,6,0),IFERROR(VLOOKUP($B34,'Privacy Analyst Evaluation'!$A$46:$F$120,6,0),""))&amp;""</f>
        <v/>
      </c>
      <c r="G34" s="200"/>
      <c r="H34" s="199" t="str">
        <f>IFERROR(IF($H33+1&gt;'(backend scoring)'!$Q$335,"",$H33+1),"")</f>
        <v/>
      </c>
      <c r="I34" s="199" t="str">
        <f>_xlfn.XLOOKUP($H34,'(backend scoring)'!$S$2:$S$333,'(backend scoring)'!$A$2:$A$333,"")</f>
        <v/>
      </c>
      <c r="J34" s="199" t="str">
        <f>IFERROR(VLOOKUP($I34,'Institution Evaluation'!$A$55:$F$345,2,0),IFERROR(VLOOKUP($I34,'Privacy Analyst Evaluation'!$A$46:$F$120,2,0),""))</f>
        <v/>
      </c>
      <c r="K34" s="199" t="str">
        <f>IFERROR(VLOOKUP($I34,'Institution Evaluation'!$A$55:$F$345,3,0),IFERROR(VLOOKUP($I34,'Privacy Analyst Evaluation'!$A$46:$F$120,3,0),""))&amp;""</f>
        <v/>
      </c>
      <c r="L34" s="199" t="str">
        <f>IFERROR(VLOOKUP($I34,'Institution Evaluation'!$A$55:$F$345,4,0),IFERROR(VLOOKUP($I34,'Privacy Analyst Evaluation'!$A$46:$F$120,4,0),""))&amp;""</f>
        <v/>
      </c>
      <c r="M34" s="199" t="str">
        <f>IFERROR(VLOOKUP($I34,'Institution Evaluation'!$A$55:$F$345,6,0),IFERROR(VLOOKUP($I34,'Privacy Analyst Evaluation'!$A$46:$F$120,6,0),""))&amp;""</f>
        <v/>
      </c>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row>
    <row r="35" spans="1:338" ht="45" customHeight="1" x14ac:dyDescent="0.2">
      <c r="A35" s="199">
        <f>IFERROR(IF($A34+1&gt;'(backend scoring)'!$T$335,"",$A34+1),"")</f>
        <v>11</v>
      </c>
      <c r="B35" s="199" t="str">
        <f>_xlfn.XLOOKUP($A35,'(backend scoring)'!$V$2:$V$333,'(backend scoring)'!$A$2:$A$333,"")</f>
        <v>CONS-01</v>
      </c>
      <c r="C35" s="199" t="str">
        <f>IFERROR(VLOOKUP($B35,'Institution Evaluation'!$A$55:$F$345,2,0),IFERROR(VLOOKUP($B35,'Privacy Analyst Evaluation'!$A$46:$F$120,2,0),""))&amp;""</f>
        <v>Will the consultant require access to the institution's network resources?*</v>
      </c>
      <c r="D35" s="199" t="str">
        <f>IFERROR(VLOOKUP($B35,'Institution Evaluation'!$A$55:$F$345,3,0),IFERROR(VLOOKUP($B35,'Privacy Analyst Evaluation'!$A$46:$F$120,3,0),""))&amp;""</f>
        <v>N/A</v>
      </c>
      <c r="E35" s="199" t="str">
        <f>IFERROR(VLOOKUP($B35,'Institution Evaluation'!$A$55:$F$345,4,0),IFERROR(VLOOKUP($B35,'Privacy Analyst Evaluation'!$A$46:$F$120,4,0),""))&amp;""</f>
        <v>This question does not apply.</v>
      </c>
      <c r="F35" s="199" t="str">
        <f>IFERROR(VLOOKUP($B35,'Institution Evaluation'!$A$55:$F$345,6,0),IFERROR(VLOOKUP($B35,'Privacy Analyst Evaluation'!$A$46:$F$120,6,0),""))&amp;""</f>
        <v/>
      </c>
      <c r="G35" s="200"/>
      <c r="H35" s="199" t="str">
        <f>IFERROR(IF($H34+1&gt;'(backend scoring)'!$Q$335,"",$H34+1),"")</f>
        <v/>
      </c>
      <c r="I35" s="199" t="str">
        <f>_xlfn.XLOOKUP($H35,'(backend scoring)'!$S$2:$S$333,'(backend scoring)'!$A$2:$A$333,"")</f>
        <v/>
      </c>
      <c r="J35" s="199" t="str">
        <f>IFERROR(VLOOKUP($I35,'Institution Evaluation'!$A$55:$F$345,2,0),IFERROR(VLOOKUP($I35,'Privacy Analyst Evaluation'!$A$46:$F$120,2,0),""))</f>
        <v/>
      </c>
      <c r="K35" s="199" t="str">
        <f>IFERROR(VLOOKUP($I35,'Institution Evaluation'!$A$55:$F$345,3,0),IFERROR(VLOOKUP($I35,'Privacy Analyst Evaluation'!$A$46:$F$120,3,0),""))&amp;""</f>
        <v/>
      </c>
      <c r="L35" s="199" t="str">
        <f>IFERROR(VLOOKUP($I35,'Institution Evaluation'!$A$55:$F$345,4,0),IFERROR(VLOOKUP($I35,'Privacy Analyst Evaluation'!$A$46:$F$120,4,0),""))&amp;""</f>
        <v/>
      </c>
      <c r="M35" s="199" t="str">
        <f>IFERROR(VLOOKUP($I35,'Institution Evaluation'!$A$55:$F$345,6,0),IFERROR(VLOOKUP($I35,'Privacy Analyst Evaluation'!$A$46:$F$120,6,0),""))&amp;""</f>
        <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row>
    <row r="36" spans="1:338" ht="45" customHeight="1" x14ac:dyDescent="0.2">
      <c r="A36" s="199">
        <f>IFERROR(IF($A35+1&gt;'(backend scoring)'!$T$335,"",$A35+1),"")</f>
        <v>12</v>
      </c>
      <c r="B36" s="199" t="str">
        <f>_xlfn.XLOOKUP($A36,'(backend scoring)'!$V$2:$V$333,'(backend scoring)'!$A$2:$A$333,"")</f>
        <v>CONS-02</v>
      </c>
      <c r="C36" s="199" t="str">
        <f>IFERROR(VLOOKUP($B36,'Institution Evaluation'!$A$55:$F$345,2,0),IFERROR(VLOOKUP($B36,'Privacy Analyst Evaluation'!$A$46:$F$120,2,0),""))&amp;""</f>
        <v>Has the consultant received training on (sensitive, HIPAA, PCI, etc.) data handling?*</v>
      </c>
      <c r="D36" s="199" t="str">
        <f>IFERROR(VLOOKUP($B36,'Institution Evaluation'!$A$55:$F$345,3,0),IFERROR(VLOOKUP($B36,'Privacy Analyst Evaluation'!$A$46:$F$120,3,0),""))&amp;""</f>
        <v>N/A</v>
      </c>
      <c r="E36" s="199" t="str">
        <f>IFERROR(VLOOKUP($B36,'Institution Evaluation'!$A$55:$F$345,4,0),IFERROR(VLOOKUP($B36,'Privacy Analyst Evaluation'!$A$46:$F$120,4,0),""))&amp;""</f>
        <v>This question does not apply.</v>
      </c>
      <c r="F36" s="199" t="str">
        <f>IFERROR(VLOOKUP($B36,'Institution Evaluation'!$A$55:$F$345,6,0),IFERROR(VLOOKUP($B36,'Privacy Analyst Evaluation'!$A$46:$F$120,6,0),""))&amp;""</f>
        <v/>
      </c>
      <c r="G36" s="200"/>
      <c r="H36" s="199" t="str">
        <f>IFERROR(IF($H35+1&gt;'(backend scoring)'!$Q$335,"",$H35+1),"")</f>
        <v/>
      </c>
      <c r="I36" s="199" t="str">
        <f>_xlfn.XLOOKUP($H36,'(backend scoring)'!$S$2:$S$333,'(backend scoring)'!$A$2:$A$333,"")</f>
        <v/>
      </c>
      <c r="J36" s="199" t="str">
        <f>IFERROR(VLOOKUP($I36,'Institution Evaluation'!$A$55:$F$345,2,0),IFERROR(VLOOKUP($I36,'Privacy Analyst Evaluation'!$A$46:$F$120,2,0),""))</f>
        <v/>
      </c>
      <c r="K36" s="199" t="str">
        <f>IFERROR(VLOOKUP($I36,'Institution Evaluation'!$A$55:$F$345,3,0),IFERROR(VLOOKUP($I36,'Privacy Analyst Evaluation'!$A$46:$F$120,3,0),""))&amp;""</f>
        <v/>
      </c>
      <c r="L36" s="199" t="str">
        <f>IFERROR(VLOOKUP($I36,'Institution Evaluation'!$A$55:$F$345,4,0),IFERROR(VLOOKUP($I36,'Privacy Analyst Evaluation'!$A$46:$F$120,4,0),""))&amp;""</f>
        <v/>
      </c>
      <c r="M36" s="199" t="str">
        <f>IFERROR(VLOOKUP($I36,'Institution Evaluation'!$A$55:$F$345,6,0),IFERROR(VLOOKUP($I36,'Privacy Analyst Evaluation'!$A$46:$F$120,6,0),""))&amp;""</f>
        <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row>
    <row r="37" spans="1:338" ht="45" customHeight="1" x14ac:dyDescent="0.2">
      <c r="A37" s="199">
        <f>IFERROR(IF($A36+1&gt;'(backend scoring)'!$T$335,"",$A36+1),"")</f>
        <v>13</v>
      </c>
      <c r="B37" s="199" t="str">
        <f>_xlfn.XLOOKUP($A37,'(backend scoring)'!$V$2:$V$333,'(backend scoring)'!$A$2:$A$333,"")</f>
        <v>CONS-03</v>
      </c>
      <c r="C37" s="199" t="str">
        <f>IFERROR(VLOOKUP($B37,'Institution Evaluation'!$A$55:$F$345,2,0),IFERROR(VLOOKUP($B37,'Privacy Analyst Evaluation'!$A$46:$F$120,2,0),""))&amp;""</f>
        <v>Is the data encrypted (at rest) while in the consultant's possession?*</v>
      </c>
      <c r="D37" s="199" t="str">
        <f>IFERROR(VLOOKUP($B37,'Institution Evaluation'!$A$55:$F$345,3,0),IFERROR(VLOOKUP($B37,'Privacy Analyst Evaluation'!$A$46:$F$120,3,0),""))&amp;""</f>
        <v>N/A</v>
      </c>
      <c r="E37" s="199" t="str">
        <f>IFERROR(VLOOKUP($B37,'Institution Evaluation'!$A$55:$F$345,4,0),IFERROR(VLOOKUP($B37,'Privacy Analyst Evaluation'!$A$46:$F$120,4,0),""))&amp;""</f>
        <v>This question does not apply.</v>
      </c>
      <c r="F37" s="199" t="str">
        <f>IFERROR(VLOOKUP($B37,'Institution Evaluation'!$A$55:$F$345,6,0),IFERROR(VLOOKUP($B37,'Privacy Analyst Evaluation'!$A$46:$F$120,6,0),""))&amp;""</f>
        <v/>
      </c>
      <c r="G37" s="200"/>
      <c r="H37" s="199" t="str">
        <f>IFERROR(IF($H36+1&gt;'(backend scoring)'!$Q$335,"",$H36+1),"")</f>
        <v/>
      </c>
      <c r="I37" s="199" t="str">
        <f>_xlfn.XLOOKUP($H37,'(backend scoring)'!$S$2:$S$333,'(backend scoring)'!$A$2:$A$333,"")</f>
        <v/>
      </c>
      <c r="J37" s="199" t="str">
        <f>IFERROR(VLOOKUP($I37,'Institution Evaluation'!$A$55:$F$345,2,0),IFERROR(VLOOKUP($I37,'Privacy Analyst Evaluation'!$A$46:$F$120,2,0),""))</f>
        <v/>
      </c>
      <c r="K37" s="199" t="str">
        <f>IFERROR(VLOOKUP($I37,'Institution Evaluation'!$A$55:$F$345,3,0),IFERROR(VLOOKUP($I37,'Privacy Analyst Evaluation'!$A$46:$F$120,3,0),""))&amp;""</f>
        <v/>
      </c>
      <c r="L37" s="199" t="str">
        <f>IFERROR(VLOOKUP($I37,'Institution Evaluation'!$A$55:$F$345,4,0),IFERROR(VLOOKUP($I37,'Privacy Analyst Evaluation'!$A$46:$F$120,4,0),""))&amp;""</f>
        <v/>
      </c>
      <c r="M37" s="199" t="str">
        <f>IFERROR(VLOOKUP($I37,'Institution Evaluation'!$A$55:$F$345,6,0),IFERROR(VLOOKUP($I37,'Privacy Analyst Evaluation'!$A$46:$F$120,6,0),""))&amp;""</f>
        <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row>
    <row r="38" spans="1:338" ht="53.25" customHeight="1" x14ac:dyDescent="0.2">
      <c r="A38" s="199">
        <f>IFERROR(IF($A37+1&gt;'(backend scoring)'!$T$335,"",$A37+1),"")</f>
        <v>14</v>
      </c>
      <c r="B38" s="199" t="str">
        <f>_xlfn.XLOOKUP($A38,'(backend scoring)'!$V$2:$V$333,'(backend scoring)'!$A$2:$A$333,"")</f>
        <v>CONS-04</v>
      </c>
      <c r="C38" s="199" t="str">
        <f>IFERROR(VLOOKUP($B38,'Institution Evaluation'!$A$55:$F$345,2,0),IFERROR(VLOOKUP($B38,'Privacy Analyst Evaluation'!$A$46:$F$120,2,0),""))&amp;""</f>
        <v>Can access be restricted based on source IP address?*</v>
      </c>
      <c r="D38" s="199" t="str">
        <f>IFERROR(VLOOKUP($B38,'Institution Evaluation'!$A$55:$F$345,3,0),IFERROR(VLOOKUP($B38,'Privacy Analyst Evaluation'!$A$46:$F$120,3,0),""))&amp;""</f>
        <v>N/A</v>
      </c>
      <c r="E38" s="199" t="str">
        <f>IFERROR(VLOOKUP($B38,'Institution Evaluation'!$A$55:$F$345,4,0),IFERROR(VLOOKUP($B38,'Privacy Analyst Evaluation'!$A$46:$F$120,4,0),""))&amp;""</f>
        <v>This question does not apply.</v>
      </c>
      <c r="F38" s="199" t="str">
        <f>IFERROR(VLOOKUP($B38,'Institution Evaluation'!$A$55:$F$345,6,0),IFERROR(VLOOKUP($B38,'Privacy Analyst Evaluation'!$A$46:$F$120,6,0),""))&amp;""</f>
        <v/>
      </c>
      <c r="G38" s="200"/>
      <c r="H38" s="199" t="str">
        <f>IFERROR(IF($H37+1&gt;'(backend scoring)'!$Q$335,"",$H37+1),"")</f>
        <v/>
      </c>
      <c r="I38" s="199" t="str">
        <f>_xlfn.XLOOKUP($H38,'(backend scoring)'!$S$2:$S$333,'(backend scoring)'!$A$2:$A$333,"")</f>
        <v/>
      </c>
      <c r="J38" s="199" t="str">
        <f>IFERROR(VLOOKUP($I38,'Institution Evaluation'!$A$55:$F$345,2,0),IFERROR(VLOOKUP($I38,'Privacy Analyst Evaluation'!$A$46:$F$120,2,0),""))</f>
        <v/>
      </c>
      <c r="K38" s="199" t="str">
        <f>IFERROR(VLOOKUP($I38,'Institution Evaluation'!$A$55:$F$345,3,0),IFERROR(VLOOKUP($I38,'Privacy Analyst Evaluation'!$A$46:$F$120,3,0),""))&amp;""</f>
        <v/>
      </c>
      <c r="L38" s="199" t="str">
        <f>IFERROR(VLOOKUP($I38,'Institution Evaluation'!$A$55:$F$345,4,0),IFERROR(VLOOKUP($I38,'Privacy Analyst Evaluation'!$A$46:$F$120,4,0),""))&amp;""</f>
        <v/>
      </c>
      <c r="M38" s="199" t="str">
        <f>IFERROR(VLOOKUP($I38,'Institution Evaluation'!$A$55:$F$345,6,0),IFERROR(VLOOKUP($I38,'Privacy Analyst Evaluation'!$A$46:$F$120,6,0),""))&amp;""</f>
        <v/>
      </c>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row>
    <row r="39" spans="1:338" ht="105" customHeight="1" x14ac:dyDescent="0.2">
      <c r="A39" s="199">
        <f>IFERROR(IF($A38+1&gt;'(backend scoring)'!$T$335,"",$A38+1),"")</f>
        <v>15</v>
      </c>
      <c r="B39" s="199" t="str">
        <f>_xlfn.XLOOKUP($A39,'(backend scoring)'!$V$2:$V$333,'(backend scoring)'!$A$2:$A$333,"")</f>
        <v>APPL-01</v>
      </c>
      <c r="C39" s="199" t="str">
        <f>IFERROR(VLOOKUP($B39,'Institution Evaluation'!$A$55:$F$345,2,0),IFERROR(VLOOKUP($B39,'Privacy Analyst Evaluation'!$A$46:$F$120,2,0),""))&amp;""</f>
        <v>Are access controls for institutional accounts based on structured rules, such as role-based access control (RBAC), attribute-based access control (ABAC), or policy-based access control (PBAC)?*</v>
      </c>
      <c r="D39" s="199" t="str">
        <f>IFERROR(VLOOKUP($B39,'Institution Evaluation'!$A$55:$F$345,3,0),IFERROR(VLOOKUP($B39,'Privacy Analyst Evaluation'!$A$46:$F$120,3,0),""))&amp;""</f>
        <v>Yes</v>
      </c>
      <c r="E39" s="199" t="str">
        <f>IFERROR(VLOOKUP($B39,'Institution Evaluation'!$A$55:$F$345,4,0),IFERROR(VLOOKUP($B39,'Privacy Analyst Evaluation'!$A$46:$F$120,4,0),""))&amp;""</f>
        <v>Accredible implements role-based access control (RBAC) for all institutional accounts.</v>
      </c>
      <c r="F39" s="199" t="str">
        <f>IFERROR(VLOOKUP($B39,'Institution Evaluation'!$A$55:$F$345,6,0),IFERROR(VLOOKUP($B39,'Privacy Analyst Evaluation'!$A$46:$F$120,6,0),""))&amp;""</f>
        <v/>
      </c>
      <c r="G39" s="200"/>
      <c r="H39" s="199" t="str">
        <f>IFERROR(IF($H38+1&gt;'(backend scoring)'!$Q$335,"",$H38+1),"")</f>
        <v/>
      </c>
      <c r="I39" s="199" t="str">
        <f>_xlfn.XLOOKUP($H39,'(backend scoring)'!$S$2:$S$333,'(backend scoring)'!$A$2:$A$333,"")</f>
        <v/>
      </c>
      <c r="J39" s="199" t="str">
        <f>IFERROR(VLOOKUP($I39,'Institution Evaluation'!$A$55:$F$345,2,0),IFERROR(VLOOKUP($I39,'Privacy Analyst Evaluation'!$A$46:$F$120,2,0),""))</f>
        <v/>
      </c>
      <c r="K39" s="199" t="str">
        <f>IFERROR(VLOOKUP($I39,'Institution Evaluation'!$A$55:$F$345,3,0),IFERROR(VLOOKUP($I39,'Privacy Analyst Evaluation'!$A$46:$F$120,3,0),""))&amp;""</f>
        <v/>
      </c>
      <c r="L39" s="199" t="str">
        <f>IFERROR(VLOOKUP($I39,'Institution Evaluation'!$A$55:$F$345,4,0),IFERROR(VLOOKUP($I39,'Privacy Analyst Evaluation'!$A$46:$F$120,4,0),""))&amp;""</f>
        <v/>
      </c>
      <c r="M39" s="199" t="str">
        <f>IFERROR(VLOOKUP($I39,'Institution Evaluation'!$A$55:$F$345,6,0),IFERROR(VLOOKUP($I39,'Privacy Analyst Evaluation'!$A$46:$F$120,6,0),""))&amp;""</f>
        <v/>
      </c>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row>
    <row r="40" spans="1:338" ht="30" customHeight="1" x14ac:dyDescent="0.2">
      <c r="A40" s="199">
        <f>IFERROR(IF($A39+1&gt;'(backend scoring)'!$T$335,"",$A39+1),"")</f>
        <v>16</v>
      </c>
      <c r="B40" s="199" t="str">
        <f>_xlfn.XLOOKUP($A40,'(backend scoring)'!$V$2:$V$333,'(backend scoring)'!$A$2:$A$333,"")</f>
        <v>APPL-02</v>
      </c>
      <c r="C40" s="199" t="str">
        <f>IFERROR(VLOOKUP($B40,'Institution Evaluation'!$A$55:$F$345,2,0),IFERROR(VLOOKUP($B40,'Privacy Analyst Evaluation'!$A$46:$F$120,2,0),""))&amp;""</f>
        <v>Are you using a web application firewall (WAF)?*</v>
      </c>
      <c r="D40" s="199" t="str">
        <f>IFERROR(VLOOKUP($B40,'Institution Evaluation'!$A$55:$F$345,3,0),IFERROR(VLOOKUP($B40,'Privacy Analyst Evaluation'!$A$46:$F$120,3,0),""))&amp;""</f>
        <v>Yes</v>
      </c>
      <c r="E40" s="199" t="str">
        <f>IFERROR(VLOOKUP($B40,'Institution Evaluation'!$A$55:$F$345,4,0),IFERROR(VLOOKUP($B40,'Privacy Analyst Evaluation'!$A$46:$F$120,4,0),""))&amp;""</f>
        <v>Accredible uses a Web Application Firewall (WAF) to protect against common web attacks.</v>
      </c>
      <c r="F40" s="199" t="str">
        <f>IFERROR(VLOOKUP($B40,'Institution Evaluation'!$A$55:$F$345,6,0),IFERROR(VLOOKUP($B40,'Privacy Analyst Evaluation'!$A$46:$F$120,6,0),""))&amp;""</f>
        <v/>
      </c>
      <c r="G40" s="200"/>
      <c r="H40" s="199" t="str">
        <f>IFERROR(IF($H39+1&gt;'(backend scoring)'!$Q$335,"",$H39+1),"")</f>
        <v/>
      </c>
      <c r="I40" s="199" t="str">
        <f>_xlfn.XLOOKUP($H40,'(backend scoring)'!$S$2:$S$333,'(backend scoring)'!$A$2:$A$333,"")</f>
        <v/>
      </c>
      <c r="J40" s="199" t="str">
        <f>IFERROR(VLOOKUP($I40,'Institution Evaluation'!$A$55:$F$345,2,0),IFERROR(VLOOKUP($I40,'Privacy Analyst Evaluation'!$A$46:$F$120,2,0),""))</f>
        <v/>
      </c>
      <c r="K40" s="199" t="str">
        <f>IFERROR(VLOOKUP($I40,'Institution Evaluation'!$A$55:$F$345,3,0),IFERROR(VLOOKUP($I40,'Privacy Analyst Evaluation'!$A$46:$F$120,3,0),""))&amp;""</f>
        <v/>
      </c>
      <c r="L40" s="199" t="str">
        <f>IFERROR(VLOOKUP($I40,'Institution Evaluation'!$A$55:$F$345,4,0),IFERROR(VLOOKUP($I40,'Privacy Analyst Evaluation'!$A$46:$F$120,4,0),""))&amp;""</f>
        <v/>
      </c>
      <c r="M40" s="199" t="str">
        <f>IFERROR(VLOOKUP($I40,'Institution Evaluation'!$A$55:$F$345,6,0),IFERROR(VLOOKUP($I40,'Privacy Analyst Evaluation'!$A$46:$F$120,6,0),""))&amp;""</f>
        <v/>
      </c>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row>
    <row r="41" spans="1:338" ht="90" customHeight="1" x14ac:dyDescent="0.2">
      <c r="A41" s="199">
        <f>IFERROR(IF($A40+1&gt;'(backend scoring)'!$T$335,"",$A40+1),"")</f>
        <v>17</v>
      </c>
      <c r="B41" s="199" t="str">
        <f>_xlfn.XLOOKUP($A41,'(backend scoring)'!$V$2:$V$333,'(backend scoring)'!$A$2:$A$333,"")</f>
        <v>APPL-03</v>
      </c>
      <c r="C41" s="199" t="str">
        <f>IFERROR(VLOOKUP($B41,'Institution Evaluation'!$A$55:$F$345,2,0),IFERROR(VLOOKUP($B41,'Privacy Analyst Evaluation'!$A$46:$F$120,2,0),""))&amp;""</f>
        <v>Are only currently supported operating system(s), software, and libraries leveraged by the system(s)/application(s) that will have access to institution's data?*</v>
      </c>
      <c r="D41" s="199" t="str">
        <f>IFERROR(VLOOKUP($B41,'Institution Evaluation'!$A$55:$F$345,3,0),IFERROR(VLOOKUP($B41,'Privacy Analyst Evaluation'!$A$46:$F$120,3,0),""))&amp;""</f>
        <v>Yes</v>
      </c>
      <c r="E41" s="199" t="str">
        <f>IFERROR(VLOOKUP($B41,'Institution Evaluation'!$A$55:$F$345,4,0),IFERROR(VLOOKUP($B41,'Privacy Analyst Evaluation'!$A$46:$F$120,4,0),""))&amp;""</f>
        <v>Accredible uses only currently supported operating systems, software, and libraries. GitHub Dependabot and security bulletin subscriptions are used to monitor for vulnerabilities in dependencies.</v>
      </c>
      <c r="F41" s="199" t="str">
        <f>IFERROR(VLOOKUP($B41,'Institution Evaluation'!$A$55:$F$345,6,0),IFERROR(VLOOKUP($B41,'Privacy Analyst Evaluation'!$A$46:$F$120,6,0),""))&amp;""</f>
        <v/>
      </c>
      <c r="G41" s="200"/>
      <c r="H41" s="199" t="str">
        <f>IFERROR(IF($H40+1&gt;'(backend scoring)'!$Q$335,"",$H40+1),"")</f>
        <v/>
      </c>
      <c r="I41" s="199" t="str">
        <f>_xlfn.XLOOKUP($H41,'(backend scoring)'!$S$2:$S$333,'(backend scoring)'!$A$2:$A$333,"")</f>
        <v/>
      </c>
      <c r="J41" s="199" t="str">
        <f>IFERROR(VLOOKUP($I41,'Institution Evaluation'!$A$55:$F$345,2,0),IFERROR(VLOOKUP($I41,'Privacy Analyst Evaluation'!$A$46:$F$120,2,0),""))</f>
        <v/>
      </c>
      <c r="K41" s="199" t="str">
        <f>IFERROR(VLOOKUP($I41,'Institution Evaluation'!$A$55:$F$345,3,0),IFERROR(VLOOKUP($I41,'Privacy Analyst Evaluation'!$A$46:$F$120,3,0),""))&amp;""</f>
        <v/>
      </c>
      <c r="L41" s="199" t="str">
        <f>IFERROR(VLOOKUP($I41,'Institution Evaluation'!$A$55:$F$345,4,0),IFERROR(VLOOKUP($I41,'Privacy Analyst Evaluation'!$A$46:$F$120,4,0),""))&amp;""</f>
        <v/>
      </c>
      <c r="M41" s="199" t="str">
        <f>IFERROR(VLOOKUP($I41,'Institution Evaluation'!$A$55:$F$345,6,0),IFERROR(VLOOKUP($I41,'Privacy Analyst Evaluation'!$A$46:$F$120,6,0),""))&amp;""</f>
        <v/>
      </c>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row>
    <row r="42" spans="1:338" ht="45" customHeight="1" x14ac:dyDescent="0.2">
      <c r="A42" s="199">
        <f>IFERROR(IF($A41+1&gt;'(backend scoring)'!$T$335,"",$A41+1),"")</f>
        <v>18</v>
      </c>
      <c r="B42" s="199" t="str">
        <f>_xlfn.XLOOKUP($A42,'(backend scoring)'!$V$2:$V$333,'(backend scoring)'!$A$2:$A$333,"")</f>
        <v>APPL-04</v>
      </c>
      <c r="C42" s="199" t="str">
        <f>IFERROR(VLOOKUP($B42,'Institution Evaluation'!$A$55:$F$345,2,0),IFERROR(VLOOKUP($B42,'Privacy Analyst Evaluation'!$A$46:$F$120,2,0),""))&amp;""</f>
        <v>Does your application require access to location or GPS data?*</v>
      </c>
      <c r="D42" s="199" t="str">
        <f>IFERROR(VLOOKUP($B42,'Institution Evaluation'!$A$55:$F$345,3,0),IFERROR(VLOOKUP($B42,'Privacy Analyst Evaluation'!$A$46:$F$120,3,0),""))&amp;""</f>
        <v>No</v>
      </c>
      <c r="E42" s="199" t="str">
        <f>IFERROR(VLOOKUP($B42,'Institution Evaluation'!$A$55:$F$345,4,0),IFERROR(VLOOKUP($B42,'Privacy Analyst Evaluation'!$A$46:$F$120,4,0),""))&amp;""</f>
        <v>Accredible's application does not require access to user location or GPS data.</v>
      </c>
      <c r="F42" s="199" t="str">
        <f>IFERROR(VLOOKUP($B42,'Institution Evaluation'!$A$55:$F$345,6,0),IFERROR(VLOOKUP($B42,'Privacy Analyst Evaluation'!$A$46:$F$120,6,0),""))&amp;""</f>
        <v/>
      </c>
      <c r="G42" s="200"/>
      <c r="H42" s="199" t="str">
        <f>IFERROR(IF($H41+1&gt;'(backend scoring)'!$Q$335,"",$H41+1),"")</f>
        <v/>
      </c>
      <c r="I42" s="199" t="str">
        <f>_xlfn.XLOOKUP($H42,'(backend scoring)'!$S$2:$S$333,'(backend scoring)'!$A$2:$A$333,"")</f>
        <v/>
      </c>
      <c r="J42" s="199" t="str">
        <f>IFERROR(VLOOKUP($I42,'Institution Evaluation'!$A$55:$F$345,2,0),IFERROR(VLOOKUP($I42,'Privacy Analyst Evaluation'!$A$46:$F$120,2,0),""))</f>
        <v/>
      </c>
      <c r="K42" s="199" t="str">
        <f>IFERROR(VLOOKUP($I42,'Institution Evaluation'!$A$55:$F$345,3,0),IFERROR(VLOOKUP($I42,'Privacy Analyst Evaluation'!$A$46:$F$120,3,0),""))&amp;""</f>
        <v/>
      </c>
      <c r="L42" s="199" t="str">
        <f>IFERROR(VLOOKUP($I42,'Institution Evaluation'!$A$55:$F$345,4,0),IFERROR(VLOOKUP($I42,'Privacy Analyst Evaluation'!$A$46:$F$120,4,0),""))&amp;""</f>
        <v/>
      </c>
      <c r="M42" s="199" t="str">
        <f>IFERROR(VLOOKUP($I42,'Institution Evaluation'!$A$55:$F$345,6,0),IFERROR(VLOOKUP($I42,'Privacy Analyst Evaluation'!$A$46:$F$120,6,0),""))&amp;""</f>
        <v/>
      </c>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row>
    <row r="43" spans="1:338" ht="75" customHeight="1" x14ac:dyDescent="0.2">
      <c r="A43" s="199">
        <f>IFERROR(IF($A42+1&gt;'(backend scoring)'!$T$335,"",$A42+1),"")</f>
        <v>19</v>
      </c>
      <c r="B43" s="199" t="str">
        <f>_xlfn.XLOOKUP($A43,'(backend scoring)'!$V$2:$V$333,'(backend scoring)'!$A$2:$A$333,"")</f>
        <v>APPL-05</v>
      </c>
      <c r="C43" s="199" t="str">
        <f>IFERROR(VLOOKUP($B43,'Institution Evaluation'!$A$55:$F$345,2,0),IFERROR(VLOOKUP($B43,'Privacy Analyst Evaluation'!$A$46:$F$120,2,0),""))&amp;""</f>
        <v>Does your application provide separation of duties between security administration, system administration, and standard user functions?*</v>
      </c>
      <c r="D43" s="199" t="str">
        <f>IFERROR(VLOOKUP($B43,'Institution Evaluation'!$A$55:$F$345,3,0),IFERROR(VLOOKUP($B43,'Privacy Analyst Evaluation'!$A$46:$F$120,3,0),""))&amp;""</f>
        <v>Yes</v>
      </c>
      <c r="E43" s="199" t="str">
        <f>IFERROR(VLOOKUP($B43,'Institution Evaluation'!$A$55:$F$345,4,0),IFERROR(VLOOKUP($B43,'Privacy Analyst Evaluation'!$A$46:$F$120,4,0),""))&amp;""</f>
        <v>Accredible provides separation of duties between security administration, system administration, and standard user functions via RBAC.</v>
      </c>
      <c r="F43" s="199" t="str">
        <f>IFERROR(VLOOKUP($B43,'Institution Evaluation'!$A$55:$F$345,6,0),IFERROR(VLOOKUP($B43,'Privacy Analyst Evaluation'!$A$46:$F$120,6,0),""))&amp;""</f>
        <v/>
      </c>
      <c r="G43" s="200"/>
      <c r="H43" s="199" t="str">
        <f>IFERROR(IF($H42+1&gt;'(backend scoring)'!$Q$335,"",$H42+1),"")</f>
        <v/>
      </c>
      <c r="I43" s="199" t="str">
        <f>_xlfn.XLOOKUP($H43,'(backend scoring)'!$S$2:$S$333,'(backend scoring)'!$A$2:$A$333,"")</f>
        <v/>
      </c>
      <c r="J43" s="199" t="str">
        <f>IFERROR(VLOOKUP($I43,'Institution Evaluation'!$A$55:$F$345,2,0),IFERROR(VLOOKUP($I43,'Privacy Analyst Evaluation'!$A$46:$F$120,2,0),""))</f>
        <v/>
      </c>
      <c r="K43" s="199" t="str">
        <f>IFERROR(VLOOKUP($I43,'Institution Evaluation'!$A$55:$F$345,3,0),IFERROR(VLOOKUP($I43,'Privacy Analyst Evaluation'!$A$46:$F$120,3,0),""))&amp;""</f>
        <v/>
      </c>
      <c r="L43" s="199" t="str">
        <f>IFERROR(VLOOKUP($I43,'Institution Evaluation'!$A$55:$F$345,4,0),IFERROR(VLOOKUP($I43,'Privacy Analyst Evaluation'!$A$46:$F$120,4,0),""))&amp;""</f>
        <v/>
      </c>
      <c r="M43" s="199" t="str">
        <f>IFERROR(VLOOKUP($I43,'Institution Evaluation'!$A$55:$F$345,6,0),IFERROR(VLOOKUP($I43,'Privacy Analyst Evaluation'!$A$46:$F$120,6,0),""))&amp;""</f>
        <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row>
    <row r="44" spans="1:338" ht="60" customHeight="1" x14ac:dyDescent="0.2">
      <c r="A44" s="199">
        <f>IFERROR(IF($A43+1&gt;'(backend scoring)'!$T$335,"",$A43+1),"")</f>
        <v>20</v>
      </c>
      <c r="B44" s="199" t="str">
        <f>_xlfn.XLOOKUP($A44,'(backend scoring)'!$V$2:$V$333,'(backend scoring)'!$A$2:$A$333,"")</f>
        <v>APPL-06</v>
      </c>
      <c r="C44" s="199" t="str">
        <f>IFERROR(VLOOKUP($B44,'Institution Evaluation'!$A$55:$F$345,2,0),IFERROR(VLOOKUP($B44,'Privacy Analyst Evaluation'!$A$46:$F$120,2,0),""))&amp;""</f>
        <v>Do you subject your code to static code analysis and/or static application security testing prior to release?*</v>
      </c>
      <c r="D44" s="199" t="str">
        <f>IFERROR(VLOOKUP($B44,'Institution Evaluation'!$A$55:$F$345,3,0),IFERROR(VLOOKUP($B44,'Privacy Analyst Evaluation'!$A$46:$F$120,3,0),""))&amp;""</f>
        <v>Yes</v>
      </c>
      <c r="E44" s="199" t="str">
        <f>IFERROR(VLOOKUP($B44,'Institution Evaluation'!$A$55:$F$345,4,0),IFERROR(VLOOKUP($B44,'Privacy Analyst Evaluation'!$A$46:$F$120,4,0),""))&amp;""</f>
        <v>Accredible subjects code to static code analysis and static application security testing (SAST) prior to release as part of the CI/CD pipeline.</v>
      </c>
      <c r="F44" s="199" t="str">
        <f>IFERROR(VLOOKUP($B44,'Institution Evaluation'!$A$55:$F$345,6,0),IFERROR(VLOOKUP($B44,'Privacy Analyst Evaluation'!$A$46:$F$120,6,0),""))&amp;""</f>
        <v/>
      </c>
      <c r="G44" s="200"/>
      <c r="H44" s="199" t="str">
        <f>IFERROR(IF($H43+1&gt;'(backend scoring)'!$Q$335,"",$H43+1),"")</f>
        <v/>
      </c>
      <c r="I44" s="199" t="str">
        <f>_xlfn.XLOOKUP($H44,'(backend scoring)'!$S$2:$S$333,'(backend scoring)'!$A$2:$A$333,"")</f>
        <v/>
      </c>
      <c r="J44" s="199" t="str">
        <f>IFERROR(VLOOKUP($I44,'Institution Evaluation'!$A$55:$F$345,2,0),IFERROR(VLOOKUP($I44,'Privacy Analyst Evaluation'!$A$46:$F$120,2,0),""))</f>
        <v/>
      </c>
      <c r="K44" s="199" t="str">
        <f>IFERROR(VLOOKUP($I44,'Institution Evaluation'!$A$55:$F$345,3,0),IFERROR(VLOOKUP($I44,'Privacy Analyst Evaluation'!$A$46:$F$120,3,0),""))&amp;""</f>
        <v/>
      </c>
      <c r="L44" s="199" t="str">
        <f>IFERROR(VLOOKUP($I44,'Institution Evaluation'!$A$55:$F$345,4,0),IFERROR(VLOOKUP($I44,'Privacy Analyst Evaluation'!$A$46:$F$120,4,0),""))&amp;""</f>
        <v/>
      </c>
      <c r="M44" s="199" t="str">
        <f>IFERROR(VLOOKUP($I44,'Institution Evaluation'!$A$55:$F$345,6,0),IFERROR(VLOOKUP($I44,'Privacy Analyst Evaluation'!$A$46:$F$120,6,0),""))&amp;""</f>
        <v/>
      </c>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row>
    <row r="45" spans="1:338" ht="60" customHeight="1" x14ac:dyDescent="0.2">
      <c r="A45" s="199">
        <f>IFERROR(IF($A44+1&gt;'(backend scoring)'!$T$335,"",$A44+1),"")</f>
        <v>21</v>
      </c>
      <c r="B45" s="199" t="str">
        <f>_xlfn.XLOOKUP($A45,'(backend scoring)'!$V$2:$V$333,'(backend scoring)'!$A$2:$A$333,"")</f>
        <v>APPL-07</v>
      </c>
      <c r="C45" s="199" t="str">
        <f>IFERROR(VLOOKUP($B45,'Institution Evaluation'!$A$55:$F$345,2,0),IFERROR(VLOOKUP($B45,'Privacy Analyst Evaluation'!$A$46:$F$120,2,0),""))&amp;""</f>
        <v>Do you have software testing processes (dynamic or static) that are established and followed?*</v>
      </c>
      <c r="D45" s="199" t="str">
        <f>IFERROR(VLOOKUP($B45,'Institution Evaluation'!$A$55:$F$345,3,0),IFERROR(VLOOKUP($B45,'Privacy Analyst Evaluation'!$A$46:$F$120,3,0),""))&amp;""</f>
        <v>Yes</v>
      </c>
      <c r="E45" s="199" t="str">
        <f>IFERROR(VLOOKUP($B45,'Institution Evaluation'!$A$55:$F$345,4,0),IFERROR(VLOOKUP($B45,'Privacy Analyst Evaluation'!$A$46:$F$120,4,0),""))&amp;""</f>
        <v>Accredible employs automated and manual testing processes including unit tests, integration tests, staging environment validation, and code review before all releases.</v>
      </c>
      <c r="F45" s="199" t="str">
        <f>IFERROR(VLOOKUP($B45,'Institution Evaluation'!$A$55:$F$345,6,0),IFERROR(VLOOKUP($B45,'Privacy Analyst Evaluation'!$A$46:$F$120,6,0),""))&amp;""</f>
        <v/>
      </c>
      <c r="G45" s="200"/>
      <c r="H45" s="199" t="str">
        <f>IFERROR(IF($H44+1&gt;'(backend scoring)'!$Q$335,"",$H44+1),"")</f>
        <v/>
      </c>
      <c r="I45" s="199" t="str">
        <f>_xlfn.XLOOKUP($H45,'(backend scoring)'!$S$2:$S$333,'(backend scoring)'!$A$2:$A$333,"")</f>
        <v/>
      </c>
      <c r="J45" s="199" t="str">
        <f>IFERROR(VLOOKUP($I45,'Institution Evaluation'!$A$55:$F$345,2,0),IFERROR(VLOOKUP($I45,'Privacy Analyst Evaluation'!$A$46:$F$120,2,0),""))</f>
        <v/>
      </c>
      <c r="K45" s="199" t="str">
        <f>IFERROR(VLOOKUP($I45,'Institution Evaluation'!$A$55:$F$345,3,0),IFERROR(VLOOKUP($I45,'Privacy Analyst Evaluation'!$A$46:$F$120,3,0),""))&amp;""</f>
        <v/>
      </c>
      <c r="L45" s="199" t="str">
        <f>IFERROR(VLOOKUP($I45,'Institution Evaluation'!$A$55:$F$345,4,0),IFERROR(VLOOKUP($I45,'Privacy Analyst Evaluation'!$A$46:$F$120,4,0),""))&amp;""</f>
        <v/>
      </c>
      <c r="M45" s="199" t="str">
        <f>IFERROR(VLOOKUP($I45,'Institution Evaluation'!$A$55:$F$345,6,0),IFERROR(VLOOKUP($I45,'Privacy Analyst Evaluation'!$A$46:$F$120,6,0),""))&amp;""</f>
        <v/>
      </c>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row>
    <row r="46" spans="1:338" ht="60" customHeight="1" x14ac:dyDescent="0.2">
      <c r="A46" s="199">
        <f>IFERROR(IF($A45+1&gt;'(backend scoring)'!$T$335,"",$A45+1),"")</f>
        <v>22</v>
      </c>
      <c r="B46" s="199" t="str">
        <f>_xlfn.XLOOKUP($A46,'(backend scoring)'!$V$2:$V$333,'(backend scoring)'!$A$2:$A$333,"")</f>
        <v>AAAI-01</v>
      </c>
      <c r="C46" s="199" t="str">
        <f>IFERROR(VLOOKUP($B46,'Institution Evaluation'!$A$55:$F$345,2,0),IFERROR(VLOOKUP($B46,'Privacy Analyst Evaluation'!$A$46:$F$120,2,0),""))&amp;""</f>
        <v>Does your solution support single sign-on (SSO) protocols for user and administrator authentication?*</v>
      </c>
      <c r="D46" s="199" t="str">
        <f>IFERROR(VLOOKUP($B46,'Institution Evaluation'!$A$55:$F$345,3,0),IFERROR(VLOOKUP($B46,'Privacy Analyst Evaluation'!$A$46:$F$120,3,0),""))&amp;""</f>
        <v>Yes</v>
      </c>
      <c r="E46" s="199" t="str">
        <f>IFERROR(VLOOKUP($B46,'Institution Evaluation'!$A$55:$F$345,4,0),IFERROR(VLOOKUP($B46,'Privacy Analyst Evaluation'!$A$46:$F$120,4,0),""))&amp;""</f>
        <v>Accredible supports SAML2 SSO for both user and administrator authentication.</v>
      </c>
      <c r="F46" s="199" t="str">
        <f>IFERROR(VLOOKUP($B46,'Institution Evaluation'!$A$55:$F$345,6,0),IFERROR(VLOOKUP($B46,'Privacy Analyst Evaluation'!$A$46:$F$120,6,0),""))&amp;""</f>
        <v/>
      </c>
      <c r="G46" s="200"/>
      <c r="H46" s="199" t="str">
        <f>IFERROR(IF($H45+1&gt;'(backend scoring)'!$Q$335,"",$H45+1),"")</f>
        <v/>
      </c>
      <c r="I46" s="199" t="str">
        <f>_xlfn.XLOOKUP($H46,'(backend scoring)'!$S$2:$S$333,'(backend scoring)'!$A$2:$A$333,"")</f>
        <v/>
      </c>
      <c r="J46" s="199" t="str">
        <f>IFERROR(VLOOKUP($I46,'Institution Evaluation'!$A$55:$F$345,2,0),IFERROR(VLOOKUP($I46,'Privacy Analyst Evaluation'!$A$46:$F$120,2,0),""))</f>
        <v/>
      </c>
      <c r="K46" s="199" t="str">
        <f>IFERROR(VLOOKUP($I46,'Institution Evaluation'!$A$55:$F$345,3,0),IFERROR(VLOOKUP($I46,'Privacy Analyst Evaluation'!$A$46:$F$120,3,0),""))&amp;""</f>
        <v/>
      </c>
      <c r="L46" s="199" t="str">
        <f>IFERROR(VLOOKUP($I46,'Institution Evaluation'!$A$55:$F$345,4,0),IFERROR(VLOOKUP($I46,'Privacy Analyst Evaluation'!$A$46:$F$120,4,0),""))&amp;""</f>
        <v/>
      </c>
      <c r="M46" s="199" t="str">
        <f>IFERROR(VLOOKUP($I46,'Institution Evaluation'!$A$55:$F$345,6,0),IFERROR(VLOOKUP($I46,'Privacy Analyst Evaluation'!$A$46:$F$120,6,0),""))&amp;""</f>
        <v/>
      </c>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row>
    <row r="47" spans="1:338" ht="75" customHeight="1" x14ac:dyDescent="0.2">
      <c r="A47" s="199">
        <f>IFERROR(IF($A46+1&gt;'(backend scoring)'!$T$335,"",$A46+1),"")</f>
        <v>23</v>
      </c>
      <c r="B47" s="199" t="str">
        <f>_xlfn.XLOOKUP($A47,'(backend scoring)'!$V$2:$V$333,'(backend scoring)'!$A$2:$A$333,"")</f>
        <v>AAAI-02</v>
      </c>
      <c r="C47" s="199" t="str">
        <f>IFERROR(VLOOKUP($B47,'Institution Evaluation'!$A$55:$F$345,2,0),IFERROR(VLOOKUP($B47,'Privacy Analyst Evaluation'!$A$46:$F$120,2,0),""))&amp;""</f>
        <v>For customers not using SSO, does your solution support local authentication protocols for user and administrator authentication?*</v>
      </c>
      <c r="D47" s="199" t="str">
        <f>IFERROR(VLOOKUP($B47,'Institution Evaluation'!$A$55:$F$345,3,0),IFERROR(VLOOKUP($B47,'Privacy Analyst Evaluation'!$A$46:$F$120,3,0),""))&amp;""</f>
        <v>Yes</v>
      </c>
      <c r="E47" s="199" t="str">
        <f>IFERROR(VLOOKUP($B47,'Institution Evaluation'!$A$55:$F$345,4,0),IFERROR(VLOOKUP($B47,'Privacy Analyst Evaluation'!$A$46:$F$120,4,0),""))&amp;""</f>
        <v>For customers not using SSO, Accredible supports local username/password authentication over secure HTTPS connections.</v>
      </c>
      <c r="F47" s="199" t="str">
        <f>IFERROR(VLOOKUP($B47,'Institution Evaluation'!$A$55:$F$345,6,0),IFERROR(VLOOKUP($B47,'Privacy Analyst Evaluation'!$A$46:$F$120,6,0),""))&amp;""</f>
        <v/>
      </c>
      <c r="G47" s="200"/>
      <c r="H47" s="199" t="str">
        <f>IFERROR(IF($H46+1&gt;'(backend scoring)'!$Q$335,"",$H46+1),"")</f>
        <v/>
      </c>
      <c r="I47" s="199" t="str">
        <f>_xlfn.XLOOKUP($H47,'(backend scoring)'!$S$2:$S$333,'(backend scoring)'!$A$2:$A$333,"")</f>
        <v/>
      </c>
      <c r="J47" s="199" t="str">
        <f>IFERROR(VLOOKUP($I47,'Institution Evaluation'!$A$55:$F$345,2,0),IFERROR(VLOOKUP($I47,'Privacy Analyst Evaluation'!$A$46:$F$120,2,0),""))</f>
        <v/>
      </c>
      <c r="K47" s="199" t="str">
        <f>IFERROR(VLOOKUP($I47,'Institution Evaluation'!$A$55:$F$345,3,0),IFERROR(VLOOKUP($I47,'Privacy Analyst Evaluation'!$A$46:$F$120,3,0),""))&amp;""</f>
        <v/>
      </c>
      <c r="L47" s="199" t="str">
        <f>IFERROR(VLOOKUP($I47,'Institution Evaluation'!$A$55:$F$345,4,0),IFERROR(VLOOKUP($I47,'Privacy Analyst Evaluation'!$A$46:$F$120,4,0),""))&amp;""</f>
        <v/>
      </c>
      <c r="M47" s="199" t="str">
        <f>IFERROR(VLOOKUP($I47,'Institution Evaluation'!$A$55:$F$345,6,0),IFERROR(VLOOKUP($I47,'Privacy Analyst Evaluation'!$A$46:$F$120,6,0),""))&amp;""</f>
        <v/>
      </c>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row>
    <row r="48" spans="1:338" ht="75" customHeight="1" x14ac:dyDescent="0.2">
      <c r="A48" s="199">
        <f>IFERROR(IF($A47+1&gt;'(backend scoring)'!$T$335,"",$A47+1),"")</f>
        <v>24</v>
      </c>
      <c r="B48" s="199" t="str">
        <f>_xlfn.XLOOKUP($A48,'(backend scoring)'!$V$2:$V$333,'(backend scoring)'!$A$2:$A$333,"")</f>
        <v>AAAI-03</v>
      </c>
      <c r="C48" s="199" t="str">
        <f>IFERROR(VLOOKUP($B48,'Institution Evaluation'!$A$55:$F$345,2,0),IFERROR(VLOOKUP($B48,'Privacy Analyst Evaluation'!$A$46:$F$120,2,0),""))&amp;""</f>
        <v>For customers not using SSO, can you enforce password/passphrase complexity requirements (provided by the institution)?*</v>
      </c>
      <c r="D48" s="199" t="str">
        <f>IFERROR(VLOOKUP($B48,'Institution Evaluation'!$A$55:$F$345,3,0),IFERROR(VLOOKUP($B48,'Privacy Analyst Evaluation'!$A$46:$F$120,3,0),""))&amp;""</f>
        <v>Yes</v>
      </c>
      <c r="E48" s="199" t="str">
        <f>IFERROR(VLOOKUP($B48,'Institution Evaluation'!$A$55:$F$345,4,0),IFERROR(VLOOKUP($B48,'Privacy Analyst Evaluation'!$A$46:$F$120,4,0),""))&amp;""</f>
        <v>Password complexity requirements can be enforced. Accredible supports configurable password policies.</v>
      </c>
      <c r="F48" s="199" t="str">
        <f>IFERROR(VLOOKUP($B48,'Institution Evaluation'!$A$55:$F$345,6,0),IFERROR(VLOOKUP($B48,'Privacy Analyst Evaluation'!$A$46:$F$120,6,0),""))&amp;""</f>
        <v/>
      </c>
      <c r="G48" s="200"/>
      <c r="H48" s="199" t="str">
        <f>IFERROR(IF($H47+1&gt;'(backend scoring)'!$Q$335,"",$H47+1),"")</f>
        <v/>
      </c>
      <c r="I48" s="199" t="str">
        <f>_xlfn.XLOOKUP($H48,'(backend scoring)'!$S$2:$S$333,'(backend scoring)'!$A$2:$A$333,"")</f>
        <v/>
      </c>
      <c r="J48" s="199" t="str">
        <f>IFERROR(VLOOKUP($I48,'Institution Evaluation'!$A$55:$F$345,2,0),IFERROR(VLOOKUP($I48,'Privacy Analyst Evaluation'!$A$46:$F$120,2,0),""))</f>
        <v/>
      </c>
      <c r="K48" s="199" t="str">
        <f>IFERROR(VLOOKUP($I48,'Institution Evaluation'!$A$55:$F$345,3,0),IFERROR(VLOOKUP($I48,'Privacy Analyst Evaluation'!$A$46:$F$120,3,0),""))&amp;""</f>
        <v/>
      </c>
      <c r="L48" s="199" t="str">
        <f>IFERROR(VLOOKUP($I48,'Institution Evaluation'!$A$55:$F$345,4,0),IFERROR(VLOOKUP($I48,'Privacy Analyst Evaluation'!$A$46:$F$120,4,0),""))&amp;""</f>
        <v/>
      </c>
      <c r="M48" s="199" t="str">
        <f>IFERROR(VLOOKUP($I48,'Institution Evaluation'!$A$55:$F$345,6,0),IFERROR(VLOOKUP($I48,'Privacy Analyst Evaluation'!$A$46:$F$120,6,0),""))&amp;""</f>
        <v/>
      </c>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row>
    <row r="49" spans="1:338" ht="60" customHeight="1" x14ac:dyDescent="0.2">
      <c r="A49" s="199">
        <f>IFERROR(IF($A48+1&gt;'(backend scoring)'!$T$335,"",$A48+1),"")</f>
        <v>25</v>
      </c>
      <c r="B49" s="199" t="str">
        <f>_xlfn.XLOOKUP($A49,'(backend scoring)'!$V$2:$V$333,'(backend scoring)'!$A$2:$A$333,"")</f>
        <v>AAAI-04</v>
      </c>
      <c r="C49" s="199" t="str">
        <f>IFERROR(VLOOKUP($B49,'Institution Evaluation'!$A$55:$F$345,2,0),IFERROR(VLOOKUP($B49,'Privacy Analyst Evaluation'!$A$46:$F$120,2,0),""))&amp;""</f>
        <v>For customers not using SSO, does the system have password complexity or length limitations and/or restrictions?*</v>
      </c>
      <c r="D49" s="199" t="str">
        <f>IFERROR(VLOOKUP($B49,'Institution Evaluation'!$A$55:$F$345,3,0),IFERROR(VLOOKUP($B49,'Privacy Analyst Evaluation'!$A$46:$F$120,3,0),""))&amp;""</f>
        <v>Yes</v>
      </c>
      <c r="E49" s="199" t="str">
        <f>IFERROR(VLOOKUP($B49,'Institution Evaluation'!$A$55:$F$345,4,0),IFERROR(VLOOKUP($B49,'Privacy Analyst Evaluation'!$A$46:$F$120,4,0),""))&amp;""</f>
        <v>Passwords must meet minimum complexity requirements. Accredible enforces strong password standards by default.</v>
      </c>
      <c r="F49" s="199" t="str">
        <f>IFERROR(VLOOKUP($B49,'Institution Evaluation'!$A$55:$F$345,6,0),IFERROR(VLOOKUP($B49,'Privacy Analyst Evaluation'!$A$46:$F$120,6,0),""))&amp;""</f>
        <v/>
      </c>
      <c r="G49" s="200"/>
      <c r="H49" s="199" t="str">
        <f>IFERROR(IF($H48+1&gt;'(backend scoring)'!$Q$335,"",$H48+1),"")</f>
        <v/>
      </c>
      <c r="I49" s="199" t="str">
        <f>_xlfn.XLOOKUP($H49,'(backend scoring)'!$S$2:$S$333,'(backend scoring)'!$A$2:$A$333,"")</f>
        <v/>
      </c>
      <c r="J49" s="199" t="str">
        <f>IFERROR(VLOOKUP($I49,'Institution Evaluation'!$A$55:$F$345,2,0),IFERROR(VLOOKUP($I49,'Privacy Analyst Evaluation'!$A$46:$F$120,2,0),""))</f>
        <v/>
      </c>
      <c r="K49" s="199" t="str">
        <f>IFERROR(VLOOKUP($I49,'Institution Evaluation'!$A$55:$F$345,3,0),IFERROR(VLOOKUP($I49,'Privacy Analyst Evaluation'!$A$46:$F$120,3,0),""))&amp;""</f>
        <v/>
      </c>
      <c r="L49" s="199" t="str">
        <f>IFERROR(VLOOKUP($I49,'Institution Evaluation'!$A$55:$F$345,4,0),IFERROR(VLOOKUP($I49,'Privacy Analyst Evaluation'!$A$46:$F$120,4,0),""))&amp;""</f>
        <v/>
      </c>
      <c r="M49" s="199" t="str">
        <f>IFERROR(VLOOKUP($I49,'Institution Evaluation'!$A$55:$F$345,6,0),IFERROR(VLOOKUP($I49,'Privacy Analyst Evaluation'!$A$46:$F$120,6,0),""))&amp;""</f>
        <v/>
      </c>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row>
    <row r="50" spans="1:338" ht="90" customHeight="1" x14ac:dyDescent="0.2">
      <c r="A50" s="199">
        <f>IFERROR(IF($A49+1&gt;'(backend scoring)'!$T$335,"",$A49+1),"")</f>
        <v>26</v>
      </c>
      <c r="B50" s="199" t="str">
        <f>_xlfn.XLOOKUP($A50,'(backend scoring)'!$V$2:$V$333,'(backend scoring)'!$A$2:$A$333,"")</f>
        <v>AAAI-05</v>
      </c>
      <c r="C50" s="199" t="str">
        <f>IFERROR(VLOOKUP($B50,'Institution Evaluation'!$A$55:$F$345,2,0),IFERROR(VLOOKUP($B50,'Privacy Analyst Evaluation'!$A$46:$F$120,2,0),""))&amp;""</f>
        <v>For customers not using SSO, do you have documented password/passphrase reset procedures that are currently implemented in the system and/or customer support?*</v>
      </c>
      <c r="D50" s="199" t="str">
        <f>IFERROR(VLOOKUP($B50,'Institution Evaluation'!$A$55:$F$345,3,0),IFERROR(VLOOKUP($B50,'Privacy Analyst Evaluation'!$A$46:$F$120,3,0),""))&amp;""</f>
        <v>Yes</v>
      </c>
      <c r="E50" s="199" t="str">
        <f>IFERROR(VLOOKUP($B50,'Institution Evaluation'!$A$55:$F$345,4,0),IFERROR(VLOOKUP($B50,'Privacy Analyst Evaluation'!$A$46:$F$120,4,0),""))&amp;""</f>
        <v>Accredible has documented password reset procedures implemented in both the system and customer support processes.</v>
      </c>
      <c r="F50" s="199" t="str">
        <f>IFERROR(VLOOKUP($B50,'Institution Evaluation'!$A$55:$F$345,6,0),IFERROR(VLOOKUP($B50,'Privacy Analyst Evaluation'!$A$46:$F$120,6,0),""))&amp;""</f>
        <v/>
      </c>
      <c r="G50" s="200"/>
      <c r="H50" s="199" t="str">
        <f>IFERROR(IF($H49+1&gt;'(backend scoring)'!$Q$335,"",$H49+1),"")</f>
        <v/>
      </c>
      <c r="I50" s="199" t="str">
        <f>_xlfn.XLOOKUP($H50,'(backend scoring)'!$S$2:$S$333,'(backend scoring)'!$A$2:$A$333,"")</f>
        <v/>
      </c>
      <c r="J50" s="199" t="str">
        <f>IFERROR(VLOOKUP($I50,'Institution Evaluation'!$A$55:$F$345,2,0),IFERROR(VLOOKUP($I50,'Privacy Analyst Evaluation'!$A$46:$F$120,2,0),""))</f>
        <v/>
      </c>
      <c r="K50" s="199" t="str">
        <f>IFERROR(VLOOKUP($I50,'Institution Evaluation'!$A$55:$F$345,3,0),IFERROR(VLOOKUP($I50,'Privacy Analyst Evaluation'!$A$46:$F$120,3,0),""))&amp;""</f>
        <v/>
      </c>
      <c r="L50" s="199" t="str">
        <f>IFERROR(VLOOKUP($I50,'Institution Evaluation'!$A$55:$F$345,4,0),IFERROR(VLOOKUP($I50,'Privacy Analyst Evaluation'!$A$46:$F$120,4,0),""))&amp;""</f>
        <v/>
      </c>
      <c r="M50" s="199" t="str">
        <f>IFERROR(VLOOKUP($I50,'Institution Evaluation'!$A$55:$F$345,6,0),IFERROR(VLOOKUP($I50,'Privacy Analyst Evaluation'!$A$46:$F$120,6,0),""))&amp;""</f>
        <v/>
      </c>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row>
    <row r="51" spans="1:338" ht="60" customHeight="1" x14ac:dyDescent="0.2">
      <c r="A51" s="199">
        <f>IFERROR(IF($A50+1&gt;'(backend scoring)'!$T$335,"",$A50+1),"")</f>
        <v>27</v>
      </c>
      <c r="B51" s="199" t="str">
        <f>_xlfn.XLOOKUP($A51,'(backend scoring)'!$V$2:$V$333,'(backend scoring)'!$A$2:$A$333,"")</f>
        <v>AAAI-06</v>
      </c>
      <c r="C51" s="199" t="str">
        <f>IFERROR(VLOOKUP($B51,'Institution Evaluation'!$A$55:$F$345,2,0),IFERROR(VLOOKUP($B51,'Privacy Analyst Evaluation'!$A$46:$F$120,2,0),""))&amp;""</f>
        <v>Does your organization participate in InCommon or another eduGAIN-affiliated trust federation?*</v>
      </c>
      <c r="D51" s="199" t="str">
        <f>IFERROR(VLOOKUP($B51,'Institution Evaluation'!$A$55:$F$345,3,0),IFERROR(VLOOKUP($B51,'Privacy Analyst Evaluation'!$A$46:$F$120,3,0),""))&amp;""</f>
        <v>No</v>
      </c>
      <c r="E51" s="199" t="str">
        <f>IFERROR(VLOOKUP($B51,'Institution Evaluation'!$A$55:$F$345,4,0),IFERROR(VLOOKUP($B51,'Privacy Analyst Evaluation'!$A$46:$F$120,4,0),""))&amp;""</f>
        <v>Accredible does not currently participate in InCommon or an eduGAIN-affiliated trust federation, though SAML2 SSO is supported.</v>
      </c>
      <c r="F51" s="199" t="str">
        <f>IFERROR(VLOOKUP($B51,'Institution Evaluation'!$A$55:$F$345,6,0),IFERROR(VLOOKUP($B51,'Privacy Analyst Evaluation'!$A$46:$F$120,6,0),""))&amp;""</f>
        <v/>
      </c>
      <c r="G51" s="200"/>
      <c r="H51" s="199" t="str">
        <f>IFERROR(IF($H50+1&gt;'(backend scoring)'!$Q$335,"",$H50+1),"")</f>
        <v/>
      </c>
      <c r="I51" s="199" t="str">
        <f>_xlfn.XLOOKUP($H51,'(backend scoring)'!$S$2:$S$333,'(backend scoring)'!$A$2:$A$333,"")</f>
        <v/>
      </c>
      <c r="J51" s="199" t="str">
        <f>IFERROR(VLOOKUP($I51,'Institution Evaluation'!$A$55:$F$345,2,0),IFERROR(VLOOKUP($I51,'Privacy Analyst Evaluation'!$A$46:$F$120,2,0),""))</f>
        <v/>
      </c>
      <c r="K51" s="199" t="str">
        <f>IFERROR(VLOOKUP($I51,'Institution Evaluation'!$A$55:$F$345,3,0),IFERROR(VLOOKUP($I51,'Privacy Analyst Evaluation'!$A$46:$F$120,3,0),""))&amp;""</f>
        <v/>
      </c>
      <c r="L51" s="199" t="str">
        <f>IFERROR(VLOOKUP($I51,'Institution Evaluation'!$A$55:$F$345,4,0),IFERROR(VLOOKUP($I51,'Privacy Analyst Evaluation'!$A$46:$F$120,4,0),""))&amp;""</f>
        <v/>
      </c>
      <c r="M51" s="199" t="str">
        <f>IFERROR(VLOOKUP($I51,'Institution Evaluation'!$A$55:$F$345,6,0),IFERROR(VLOOKUP($I51,'Privacy Analyst Evaluation'!$A$46:$F$120,6,0),""))&amp;""</f>
        <v/>
      </c>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row>
    <row r="52" spans="1:338" ht="60" customHeight="1" x14ac:dyDescent="0.2">
      <c r="A52" s="199">
        <f>IFERROR(IF($A51+1&gt;'(backend scoring)'!$T$335,"",$A51+1),"")</f>
        <v>28</v>
      </c>
      <c r="B52" s="199" t="str">
        <f>_xlfn.XLOOKUP($A52,'(backend scoring)'!$V$2:$V$333,'(backend scoring)'!$A$2:$A$333,"")</f>
        <v>AAAI-07</v>
      </c>
      <c r="C52" s="199" t="str">
        <f>IFERROR(VLOOKUP($B52,'Institution Evaluation'!$A$55:$F$345,2,0),IFERROR(VLOOKUP($B52,'Privacy Analyst Evaluation'!$A$46:$F$120,2,0),""))&amp;""</f>
        <v>Are there any passwords/passphrases hard-coded into your systems or solutions?*</v>
      </c>
      <c r="D52" s="199" t="str">
        <f>IFERROR(VLOOKUP($B52,'Institution Evaluation'!$A$55:$F$345,3,0),IFERROR(VLOOKUP($B52,'Privacy Analyst Evaluation'!$A$46:$F$120,3,0),""))&amp;""</f>
        <v>No</v>
      </c>
      <c r="E52" s="199" t="str">
        <f>IFERROR(VLOOKUP($B52,'Institution Evaluation'!$A$55:$F$345,4,0),IFERROR(VLOOKUP($B52,'Privacy Analyst Evaluation'!$A$46:$F$120,4,0),""))&amp;""</f>
        <v>No passwords are hard-coded into Accredible's systems or solutions. API keys are stored encrypted in the database.</v>
      </c>
      <c r="F52" s="199" t="str">
        <f>IFERROR(VLOOKUP($B52,'Institution Evaluation'!$A$55:$F$345,6,0),IFERROR(VLOOKUP($B52,'Privacy Analyst Evaluation'!$A$46:$F$120,6,0),""))&amp;""</f>
        <v/>
      </c>
      <c r="G52" s="200"/>
      <c r="H52" s="199" t="str">
        <f>IFERROR(IF($H51+1&gt;'(backend scoring)'!$Q$335,"",$H51+1),"")</f>
        <v/>
      </c>
      <c r="I52" s="199" t="str">
        <f>_xlfn.XLOOKUP($H52,'(backend scoring)'!$S$2:$S$333,'(backend scoring)'!$A$2:$A$333,"")</f>
        <v/>
      </c>
      <c r="J52" s="199" t="str">
        <f>IFERROR(VLOOKUP($I52,'Institution Evaluation'!$A$55:$F$345,2,0),IFERROR(VLOOKUP($I52,'Privacy Analyst Evaluation'!$A$46:$F$120,2,0),""))</f>
        <v/>
      </c>
      <c r="K52" s="199" t="str">
        <f>IFERROR(VLOOKUP($I52,'Institution Evaluation'!$A$55:$F$345,3,0),IFERROR(VLOOKUP($I52,'Privacy Analyst Evaluation'!$A$46:$F$120,3,0),""))&amp;""</f>
        <v/>
      </c>
      <c r="L52" s="199" t="str">
        <f>IFERROR(VLOOKUP($I52,'Institution Evaluation'!$A$55:$F$345,4,0),IFERROR(VLOOKUP($I52,'Privacy Analyst Evaluation'!$A$46:$F$120,4,0),""))&amp;""</f>
        <v/>
      </c>
      <c r="M52" s="199" t="str">
        <f>IFERROR(VLOOKUP($I52,'Institution Evaluation'!$A$55:$F$345,6,0),IFERROR(VLOOKUP($I52,'Privacy Analyst Evaluation'!$A$46:$F$120,6,0),""))&amp;""</f>
        <v/>
      </c>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row>
    <row r="53" spans="1:338" ht="30" customHeight="1" x14ac:dyDescent="0.2">
      <c r="A53" s="199">
        <f>IFERROR(IF($A52+1&gt;'(backend scoring)'!$T$335,"",$A52+1),"")</f>
        <v>29</v>
      </c>
      <c r="B53" s="199" t="str">
        <f>_xlfn.XLOOKUP($A53,'(backend scoring)'!$V$2:$V$333,'(backend scoring)'!$A$2:$A$333,"")</f>
        <v>AAAI-08</v>
      </c>
      <c r="C53" s="199" t="str">
        <f>IFERROR(VLOOKUP($B53,'Institution Evaluation'!$A$55:$F$345,2,0),IFERROR(VLOOKUP($B53,'Privacy Analyst Evaluation'!$A$46:$F$120,2,0),""))&amp;""</f>
        <v>Are you storing any passwords in plaintext?*</v>
      </c>
      <c r="D53" s="199" t="str">
        <f>IFERROR(VLOOKUP($B53,'Institution Evaluation'!$A$55:$F$345,3,0),IFERROR(VLOOKUP($B53,'Privacy Analyst Evaluation'!$A$46:$F$120,3,0),""))&amp;""</f>
        <v>No</v>
      </c>
      <c r="E53" s="199" t="str">
        <f>IFERROR(VLOOKUP($B53,'Institution Evaluation'!$A$55:$F$345,4,0),IFERROR(VLOOKUP($B53,'Privacy Analyst Evaluation'!$A$46:$F$120,4,0),""))&amp;""</f>
        <v>Accredible does not store passwords in plaintext. All passwords are hashed using industry-standard algorithms.</v>
      </c>
      <c r="F53" s="199" t="str">
        <f>IFERROR(VLOOKUP($B53,'Institution Evaluation'!$A$55:$F$345,6,0),IFERROR(VLOOKUP($B53,'Privacy Analyst Evaluation'!$A$46:$F$120,6,0),""))&amp;""</f>
        <v/>
      </c>
      <c r="G53" s="200"/>
      <c r="H53" s="199" t="str">
        <f>IFERROR(IF($H52+1&gt;'(backend scoring)'!$Q$335,"",$H52+1),"")</f>
        <v/>
      </c>
      <c r="I53" s="199" t="str">
        <f>_xlfn.XLOOKUP($H53,'(backend scoring)'!$S$2:$S$333,'(backend scoring)'!$A$2:$A$333,"")</f>
        <v/>
      </c>
      <c r="J53" s="199" t="str">
        <f>IFERROR(VLOOKUP($I53,'Institution Evaluation'!$A$55:$F$345,2,0),IFERROR(VLOOKUP($I53,'Privacy Analyst Evaluation'!$A$46:$F$120,2,0),""))</f>
        <v/>
      </c>
      <c r="K53" s="199" t="str">
        <f>IFERROR(VLOOKUP($I53,'Institution Evaluation'!$A$55:$F$345,3,0),IFERROR(VLOOKUP($I53,'Privacy Analyst Evaluation'!$A$46:$F$120,3,0),""))&amp;""</f>
        <v/>
      </c>
      <c r="L53" s="199" t="str">
        <f>IFERROR(VLOOKUP($I53,'Institution Evaluation'!$A$55:$F$345,4,0),IFERROR(VLOOKUP($I53,'Privacy Analyst Evaluation'!$A$46:$F$120,4,0),""))&amp;""</f>
        <v/>
      </c>
      <c r="M53" s="199" t="str">
        <f>IFERROR(VLOOKUP($I53,'Institution Evaluation'!$A$55:$F$345,6,0),IFERROR(VLOOKUP($I53,'Privacy Analyst Evaluation'!$A$46:$F$120,6,0),""))&amp;""</f>
        <v/>
      </c>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row>
    <row r="54" spans="1:338" ht="75" customHeight="1" x14ac:dyDescent="0.2">
      <c r="A54" s="199">
        <f>IFERROR(IF($A53+1&gt;'(backend scoring)'!$T$335,"",$A53+1),"")</f>
        <v>30</v>
      </c>
      <c r="B54" s="199" t="str">
        <f>_xlfn.XLOOKUP($A54,'(backend scoring)'!$V$2:$V$333,'(backend scoring)'!$A$2:$A$333,"")</f>
        <v>AAAI-09</v>
      </c>
      <c r="C54" s="199" t="str">
        <f>IFERROR(VLOOKUP($B54,'Institution Evaluation'!$A$55:$F$345,2,0),IFERROR(VLOOKUP($B54,'Privacy Analyst Evaluation'!$A$46:$F$120,2,0),""))&amp;""</f>
        <v>Are audit logs available that include AT LEAST all of the following: login, logout, actions performed, and source IP address?*</v>
      </c>
      <c r="D54" s="199" t="str">
        <f>IFERROR(VLOOKUP($B54,'Institution Evaluation'!$A$55:$F$345,3,0),IFERROR(VLOOKUP($B54,'Privacy Analyst Evaluation'!$A$46:$F$120,3,0),""))&amp;""</f>
        <v>Yes</v>
      </c>
      <c r="E54" s="199" t="str">
        <f>IFERROR(VLOOKUP($B54,'Institution Evaluation'!$A$55:$F$345,4,0),IFERROR(VLOOKUP($B54,'Privacy Analyst Evaluation'!$A$46:$F$120,4,0),""))&amp;""</f>
        <v>Audit logs are available including login, logout, actions performed, and source IP address via the Dashboard audit log.</v>
      </c>
      <c r="F54" s="199" t="str">
        <f>IFERROR(VLOOKUP($B54,'Institution Evaluation'!$A$55:$F$345,6,0),IFERROR(VLOOKUP($B54,'Privacy Analyst Evaluation'!$A$46:$F$120,6,0),""))&amp;""</f>
        <v/>
      </c>
      <c r="G54" s="200"/>
      <c r="H54" s="199" t="str">
        <f>IFERROR(IF($H53+1&gt;'(backend scoring)'!$Q$335,"",$H53+1),"")</f>
        <v/>
      </c>
      <c r="I54" s="199" t="str">
        <f>_xlfn.XLOOKUP($H54,'(backend scoring)'!$S$2:$S$333,'(backend scoring)'!$A$2:$A$333,"")</f>
        <v/>
      </c>
      <c r="J54" s="199" t="str">
        <f>IFERROR(VLOOKUP($I54,'Institution Evaluation'!$A$55:$F$345,2,0),IFERROR(VLOOKUP($I54,'Privacy Analyst Evaluation'!$A$46:$F$120,2,0),""))</f>
        <v/>
      </c>
      <c r="K54" s="199" t="str">
        <f>IFERROR(VLOOKUP($I54,'Institution Evaluation'!$A$55:$F$345,3,0),IFERROR(VLOOKUP($I54,'Privacy Analyst Evaluation'!$A$46:$F$120,3,0),""))&amp;""</f>
        <v/>
      </c>
      <c r="L54" s="199" t="str">
        <f>IFERROR(VLOOKUP($I54,'Institution Evaluation'!$A$55:$F$345,4,0),IFERROR(VLOOKUP($I54,'Privacy Analyst Evaluation'!$A$46:$F$120,4,0),""))&amp;""</f>
        <v/>
      </c>
      <c r="M54" s="199" t="str">
        <f>IFERROR(VLOOKUP($I54,'Institution Evaluation'!$A$55:$F$345,6,0),IFERROR(VLOOKUP($I54,'Privacy Analyst Evaluation'!$A$46:$F$120,6,0),""))&amp;""</f>
        <v/>
      </c>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row>
    <row r="55" spans="1:338" ht="90" customHeight="1" x14ac:dyDescent="0.2">
      <c r="A55" s="199">
        <f>IFERROR(IF($A54+1&gt;'(backend scoring)'!$T$335,"",$A54+1),"")</f>
        <v>31</v>
      </c>
      <c r="B55" s="199" t="str">
        <f>_xlfn.XLOOKUP($A55,'(backend scoring)'!$V$2:$V$333,'(backend scoring)'!$A$2:$A$333,"")</f>
        <v>AAAI-11</v>
      </c>
      <c r="C55" s="199" t="str">
        <f>IFERROR(VLOOKUP($B55,'Institution Evaluation'!$A$55:$F$345,2,0),IFERROR(VLOOKUP($B55,'Privacy Analyst Evaluation'!$A$46:$F$120,2,0),""))&amp;""</f>
        <v>Can you provide the institution documentation regarding the retention period for those logs, how logs are protected, and whether they are accessible to the customer (and if so, how)?*</v>
      </c>
      <c r="D55" s="199" t="str">
        <f>IFERROR(VLOOKUP($B55,'Institution Evaluation'!$A$55:$F$345,3,0),IFERROR(VLOOKUP($B55,'Privacy Analyst Evaluation'!$A$46:$F$120,3,0),""))&amp;""</f>
        <v>Yes</v>
      </c>
      <c r="E55" s="199" t="str">
        <f>IFERROR(VLOOKUP($B55,'Institution Evaluation'!$A$55:$F$345,4,0),IFERROR(VLOOKUP($B55,'Privacy Analyst Evaluation'!$A$46:$F$120,4,0),""))&amp;""</f>
        <v>Logs are retained for a minimum of 30 days in LogDNA, then archived in S3. Documentation on retention periods, log protection, and customer access is available on request. Customer-facing audit logs are accessible via the Dashboard.</v>
      </c>
      <c r="F55" s="199" t="str">
        <f>IFERROR(VLOOKUP($B55,'Institution Evaluation'!$A$55:$F$345,6,0),IFERROR(VLOOKUP($B55,'Privacy Analyst Evaluation'!$A$46:$F$120,6,0),""))&amp;""</f>
        <v/>
      </c>
      <c r="G55" s="200"/>
      <c r="H55" s="199" t="str">
        <f>IFERROR(IF($H54+1&gt;'(backend scoring)'!$Q$335,"",$H54+1),"")</f>
        <v/>
      </c>
      <c r="I55" s="199" t="str">
        <f>_xlfn.XLOOKUP($H55,'(backend scoring)'!$S$2:$S$333,'(backend scoring)'!$A$2:$A$333,"")</f>
        <v/>
      </c>
      <c r="J55" s="199" t="str">
        <f>IFERROR(VLOOKUP($I55,'Institution Evaluation'!$A$55:$F$345,2,0),IFERROR(VLOOKUP($I55,'Privacy Analyst Evaluation'!$A$46:$F$120,2,0),""))</f>
        <v/>
      </c>
      <c r="K55" s="199" t="str">
        <f>IFERROR(VLOOKUP($I55,'Institution Evaluation'!$A$55:$F$345,3,0),IFERROR(VLOOKUP($I55,'Privacy Analyst Evaluation'!$A$46:$F$120,3,0),""))&amp;""</f>
        <v/>
      </c>
      <c r="L55" s="199" t="str">
        <f>IFERROR(VLOOKUP($I55,'Institution Evaluation'!$A$55:$F$345,4,0),IFERROR(VLOOKUP($I55,'Privacy Analyst Evaluation'!$A$46:$F$120,4,0),""))&amp;""</f>
        <v/>
      </c>
      <c r="M55" s="199" t="str">
        <f>IFERROR(VLOOKUP($I55,'Institution Evaluation'!$A$55:$F$345,6,0),IFERROR(VLOOKUP($I55,'Privacy Analyst Evaluation'!$A$46:$F$120,6,0),""))&amp;""</f>
        <v/>
      </c>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row>
    <row r="56" spans="1:338" ht="75" customHeight="1" x14ac:dyDescent="0.2">
      <c r="A56" s="199">
        <f>IFERROR(IF($A55+1&gt;'(backend scoring)'!$T$335,"",$A55+1),"")</f>
        <v>32</v>
      </c>
      <c r="B56" s="199" t="str">
        <f>_xlfn.XLOOKUP($A56,'(backend scoring)'!$V$2:$V$333,'(backend scoring)'!$A$2:$A$333,"")</f>
        <v>CHNG-01</v>
      </c>
      <c r="C56" s="199" t="str">
        <f>IFERROR(VLOOKUP($B56,'Institution Evaluation'!$A$55:$F$345,2,0),IFERROR(VLOOKUP($B56,'Privacy Analyst Evaluation'!$A$46:$F$120,2,0),""))&amp;""</f>
        <v>Will the institution be notified of major changes to your environment that could impact the institution's security posture?*</v>
      </c>
      <c r="D56" s="199" t="str">
        <f>IFERROR(VLOOKUP($B56,'Institution Evaluation'!$A$55:$F$345,3,0),IFERROR(VLOOKUP($B56,'Privacy Analyst Evaluation'!$A$46:$F$120,3,0),""))&amp;""</f>
        <v>Yes</v>
      </c>
      <c r="E56" s="199" t="str">
        <f>IFERROR(VLOOKUP($B56,'Institution Evaluation'!$A$55:$F$345,4,0),IFERROR(VLOOKUP($B56,'Privacy Analyst Evaluation'!$A$46:$F$120,4,0),""))&amp;""</f>
        <v>Accredible notifies customers of major changes that could impact security posture via email communications and release notes.</v>
      </c>
      <c r="F56" s="199" t="str">
        <f>IFERROR(VLOOKUP($B56,'Institution Evaluation'!$A$55:$F$345,6,0),IFERROR(VLOOKUP($B56,'Privacy Analyst Evaluation'!$A$46:$F$120,6,0),""))&amp;""</f>
        <v/>
      </c>
      <c r="G56" s="200"/>
      <c r="H56" s="199" t="str">
        <f>IFERROR(IF($H55+1&gt;'(backend scoring)'!$Q$335,"",$H55+1),"")</f>
        <v/>
      </c>
      <c r="I56" s="199" t="str">
        <f>_xlfn.XLOOKUP($H56,'(backend scoring)'!$S$2:$S$333,'(backend scoring)'!$A$2:$A$333,"")</f>
        <v/>
      </c>
      <c r="J56" s="199" t="str">
        <f>IFERROR(VLOOKUP($I56,'Institution Evaluation'!$A$55:$F$345,2,0),IFERROR(VLOOKUP($I56,'Privacy Analyst Evaluation'!$A$46:$F$120,2,0),""))</f>
        <v/>
      </c>
      <c r="K56" s="199" t="str">
        <f>IFERROR(VLOOKUP($I56,'Institution Evaluation'!$A$55:$F$345,3,0),IFERROR(VLOOKUP($I56,'Privacy Analyst Evaluation'!$A$46:$F$120,3,0),""))&amp;""</f>
        <v/>
      </c>
      <c r="L56" s="199" t="str">
        <f>IFERROR(VLOOKUP($I56,'Institution Evaluation'!$A$55:$F$345,4,0),IFERROR(VLOOKUP($I56,'Privacy Analyst Evaluation'!$A$46:$F$120,4,0),""))&amp;""</f>
        <v/>
      </c>
      <c r="M56" s="199" t="str">
        <f>IFERROR(VLOOKUP($I56,'Institution Evaluation'!$A$55:$F$345,6,0),IFERROR(VLOOKUP($I56,'Privacy Analyst Evaluation'!$A$46:$F$120,6,0),""))&amp;""</f>
        <v/>
      </c>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row>
    <row r="57" spans="1:338" ht="45" customHeight="1" x14ac:dyDescent="0.2">
      <c r="A57" s="199">
        <f>IFERROR(IF($A56+1&gt;'(backend scoring)'!$T$335,"",$A56+1),"")</f>
        <v>33</v>
      </c>
      <c r="B57" s="199" t="str">
        <f>_xlfn.XLOOKUP($A57,'(backend scoring)'!$V$2:$V$333,'(backend scoring)'!$A$2:$A$333,"")</f>
        <v>CHNG-02</v>
      </c>
      <c r="C57" s="199" t="str">
        <f>IFERROR(VLOOKUP($B57,'Institution Evaluation'!$A$55:$F$345,2,0),IFERROR(VLOOKUP($B57,'Privacy Analyst Evaluation'!$A$46:$F$120,2,0),""))&amp;""</f>
        <v>Does the system support client customizations from one release to another?*</v>
      </c>
      <c r="D57" s="199" t="str">
        <f>IFERROR(VLOOKUP($B57,'Institution Evaluation'!$A$55:$F$345,3,0),IFERROR(VLOOKUP($B57,'Privacy Analyst Evaluation'!$A$46:$F$120,3,0),""))&amp;""</f>
        <v>Yes</v>
      </c>
      <c r="E57" s="199" t="str">
        <f>IFERROR(VLOOKUP($B57,'Institution Evaluation'!$A$55:$F$345,4,0),IFERROR(VLOOKUP($B57,'Privacy Analyst Evaluation'!$A$46:$F$120,4,0),""))&amp;""</f>
        <v>As a SaaS solution, Accredible manages updates centrally. Client customizations are maintained across releases to the extent supported by the platform.</v>
      </c>
      <c r="F57" s="199" t="str">
        <f>IFERROR(VLOOKUP($B57,'Institution Evaluation'!$A$55:$F$345,6,0),IFERROR(VLOOKUP($B57,'Privacy Analyst Evaluation'!$A$46:$F$120,6,0),""))&amp;""</f>
        <v/>
      </c>
      <c r="G57" s="200"/>
      <c r="H57" s="199" t="str">
        <f>IFERROR(IF($H56+1&gt;'(backend scoring)'!$Q$335,"",$H56+1),"")</f>
        <v/>
      </c>
      <c r="I57" s="199" t="str">
        <f>_xlfn.XLOOKUP($H57,'(backend scoring)'!$S$2:$S$333,'(backend scoring)'!$A$2:$A$333,"")</f>
        <v/>
      </c>
      <c r="J57" s="199" t="str">
        <f>IFERROR(VLOOKUP($I57,'Institution Evaluation'!$A$55:$F$345,2,0),IFERROR(VLOOKUP($I57,'Privacy Analyst Evaluation'!$A$46:$F$120,2,0),""))</f>
        <v/>
      </c>
      <c r="K57" s="199" t="str">
        <f>IFERROR(VLOOKUP($I57,'Institution Evaluation'!$A$55:$F$345,3,0),IFERROR(VLOOKUP($I57,'Privacy Analyst Evaluation'!$A$46:$F$120,3,0),""))&amp;""</f>
        <v/>
      </c>
      <c r="L57" s="199" t="str">
        <f>IFERROR(VLOOKUP($I57,'Institution Evaluation'!$A$55:$F$345,4,0),IFERROR(VLOOKUP($I57,'Privacy Analyst Evaluation'!$A$46:$F$120,4,0),""))&amp;""</f>
        <v/>
      </c>
      <c r="M57" s="199" t="str">
        <f>IFERROR(VLOOKUP($I57,'Institution Evaluation'!$A$55:$F$345,6,0),IFERROR(VLOOKUP($I57,'Privacy Analyst Evaluation'!$A$46:$F$120,6,0),""))&amp;""</f>
        <v/>
      </c>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row>
    <row r="58" spans="1:338" ht="60" customHeight="1" x14ac:dyDescent="0.2">
      <c r="A58" s="199">
        <f>IFERROR(IF($A57+1&gt;'(backend scoring)'!$T$335,"",$A57+1),"")</f>
        <v>34</v>
      </c>
      <c r="B58" s="199" t="str">
        <f>_xlfn.XLOOKUP($A58,'(backend scoring)'!$V$2:$V$333,'(backend scoring)'!$A$2:$A$333,"")</f>
        <v>CHNG-03</v>
      </c>
      <c r="C58" s="199" t="str">
        <f>IFERROR(VLOOKUP($B58,'Institution Evaluation'!$A$55:$F$345,2,0),IFERROR(VLOOKUP($B58,'Privacy Analyst Evaluation'!$A$46:$F$120,2,0),""))&amp;""</f>
        <v>Do you have an implemented system configuration management process (e.g., secure "gold" images, etc.)?*</v>
      </c>
      <c r="D58" s="199" t="str">
        <f>IFERROR(VLOOKUP($B58,'Institution Evaluation'!$A$55:$F$345,3,0),IFERROR(VLOOKUP($B58,'Privacy Analyst Evaluation'!$A$46:$F$120,3,0),""))&amp;""</f>
        <v>Yes</v>
      </c>
      <c r="E58" s="199" t="str">
        <f>IFERROR(VLOOKUP($B58,'Institution Evaluation'!$A$55:$F$345,4,0),IFERROR(VLOOKUP($B58,'Privacy Analyst Evaluation'!$A$46:$F$120,4,0),""))&amp;""</f>
        <v>Accredible uses infrastructure-as-code and hardened base images with baseline configurations, patching standards, and least-privilege access. Changes to system configurations follow peer review and approval prior to deployment.</v>
      </c>
      <c r="F58" s="199" t="str">
        <f>IFERROR(VLOOKUP($B58,'Institution Evaluation'!$A$55:$F$345,6,0),IFERROR(VLOOKUP($B58,'Privacy Analyst Evaluation'!$A$46:$F$120,6,0),""))&amp;""</f>
        <v/>
      </c>
      <c r="G58" s="200"/>
      <c r="H58" s="199" t="str">
        <f>IFERROR(IF($H57+1&gt;'(backend scoring)'!$Q$335,"",$H57+1),"")</f>
        <v/>
      </c>
      <c r="I58" s="199" t="str">
        <f>_xlfn.XLOOKUP($H58,'(backend scoring)'!$S$2:$S$333,'(backend scoring)'!$A$2:$A$333,"")</f>
        <v/>
      </c>
      <c r="J58" s="199" t="str">
        <f>IFERROR(VLOOKUP($I58,'Institution Evaluation'!$A$55:$F$345,2,0),IFERROR(VLOOKUP($I58,'Privacy Analyst Evaluation'!$A$46:$F$120,2,0),""))</f>
        <v/>
      </c>
      <c r="K58" s="199" t="str">
        <f>IFERROR(VLOOKUP($I58,'Institution Evaluation'!$A$55:$F$345,3,0),IFERROR(VLOOKUP($I58,'Privacy Analyst Evaluation'!$A$46:$F$120,3,0),""))&amp;""</f>
        <v/>
      </c>
      <c r="L58" s="199" t="str">
        <f>IFERROR(VLOOKUP($I58,'Institution Evaluation'!$A$55:$F$345,4,0),IFERROR(VLOOKUP($I58,'Privacy Analyst Evaluation'!$A$46:$F$120,4,0),""))&amp;""</f>
        <v/>
      </c>
      <c r="M58" s="199" t="str">
        <f>IFERROR(VLOOKUP($I58,'Institution Evaluation'!$A$55:$F$345,6,0),IFERROR(VLOOKUP($I58,'Privacy Analyst Evaluation'!$A$46:$F$120,6,0),""))&amp;""</f>
        <v/>
      </c>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row>
    <row r="59" spans="1:338" ht="105" customHeight="1" x14ac:dyDescent="0.2">
      <c r="A59" s="199">
        <f>IFERROR(IF($A58+1&gt;'(backend scoring)'!$T$335,"",$A58+1),"")</f>
        <v>35</v>
      </c>
      <c r="B59" s="199" t="str">
        <f>_xlfn.XLOOKUP($A59,'(backend scoring)'!$V$2:$V$333,'(backend scoring)'!$A$2:$A$333,"")</f>
        <v>DATA-01</v>
      </c>
      <c r="C59" s="199" t="str">
        <f>IFERROR(VLOOKUP($B59,'Institution Evaluation'!$A$55:$F$345,2,0),IFERROR(VLOOKUP($B59,'Privacy Analyst Evaluation'!$A$46:$F$120,2,0),""))&amp;""</f>
        <v>Will the institution's data be stored on any devices (database servers, file servers, SAN, NAS, etc.) configured with non-RFC 1918/4193 (i.e., publicly routable) IP addresses?*</v>
      </c>
      <c r="D59" s="199" t="str">
        <f>IFERROR(VLOOKUP($B59,'Institution Evaluation'!$A$55:$F$345,3,0),IFERROR(VLOOKUP($B59,'Privacy Analyst Evaluation'!$A$46:$F$120,3,0),""))&amp;""</f>
        <v>No</v>
      </c>
      <c r="E59" s="199" t="str">
        <f>IFERROR(VLOOKUP($B59,'Institution Evaluation'!$A$55:$F$345,4,0),IFERROR(VLOOKUP($B59,'Privacy Analyst Evaluation'!$A$46:$F$120,4,0),""))&amp;""</f>
        <v>Institutional data is stored on servers with private, non-routable IP addresses within AWS VPC infrastructure.</v>
      </c>
      <c r="F59" s="199" t="str">
        <f>IFERROR(VLOOKUP($B59,'Institution Evaluation'!$A$55:$F$345,6,0),IFERROR(VLOOKUP($B59,'Privacy Analyst Evaluation'!$A$46:$F$120,6,0),""))&amp;""</f>
        <v/>
      </c>
      <c r="G59" s="200"/>
      <c r="H59" s="199" t="str">
        <f>IFERROR(IF($H58+1&gt;'(backend scoring)'!$Q$335,"",$H58+1),"")</f>
        <v/>
      </c>
      <c r="I59" s="199" t="str">
        <f>_xlfn.XLOOKUP($H59,'(backend scoring)'!$S$2:$S$333,'(backend scoring)'!$A$2:$A$333,"")</f>
        <v/>
      </c>
      <c r="J59" s="199" t="str">
        <f>IFERROR(VLOOKUP($I59,'Institution Evaluation'!$A$55:$F$345,2,0),IFERROR(VLOOKUP($I59,'Privacy Analyst Evaluation'!$A$46:$F$120,2,0),""))</f>
        <v/>
      </c>
      <c r="K59" s="199" t="str">
        <f>IFERROR(VLOOKUP($I59,'Institution Evaluation'!$A$55:$F$345,3,0),IFERROR(VLOOKUP($I59,'Privacy Analyst Evaluation'!$A$46:$F$120,3,0),""))&amp;""</f>
        <v/>
      </c>
      <c r="L59" s="199" t="str">
        <f>IFERROR(VLOOKUP($I59,'Institution Evaluation'!$A$55:$F$345,4,0),IFERROR(VLOOKUP($I59,'Privacy Analyst Evaluation'!$A$46:$F$120,4,0),""))&amp;""</f>
        <v/>
      </c>
      <c r="M59" s="199" t="str">
        <f>IFERROR(VLOOKUP($I59,'Institution Evaluation'!$A$55:$F$345,6,0),IFERROR(VLOOKUP($I59,'Privacy Analyst Evaluation'!$A$46:$F$120,6,0),""))&amp;""</f>
        <v/>
      </c>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row>
    <row r="60" spans="1:338" ht="60" customHeight="1" x14ac:dyDescent="0.2">
      <c r="A60" s="199">
        <f>IFERROR(IF($A59+1&gt;'(backend scoring)'!$T$335,"",$A59+1),"")</f>
        <v>36</v>
      </c>
      <c r="B60" s="199" t="str">
        <f>_xlfn.XLOOKUP($A60,'(backend scoring)'!$V$2:$V$333,'(backend scoring)'!$A$2:$A$333,"")</f>
        <v>DATA-02</v>
      </c>
      <c r="C60" s="199" t="str">
        <f>IFERROR(VLOOKUP($B60,'Institution Evaluation'!$A$55:$F$345,2,0),IFERROR(VLOOKUP($B60,'Privacy Analyst Evaluation'!$A$46:$F$120,2,0),""))&amp;""</f>
        <v>Is the transport of sensitive data encrypted using security protocols/algorithms (e.g., system-to-client)?*</v>
      </c>
      <c r="D60" s="199" t="str">
        <f>IFERROR(VLOOKUP($B60,'Institution Evaluation'!$A$55:$F$345,3,0),IFERROR(VLOOKUP($B60,'Privacy Analyst Evaluation'!$A$46:$F$120,3,0),""))&amp;""</f>
        <v>Yes</v>
      </c>
      <c r="E60" s="199" t="str">
        <f>IFERROR(VLOOKUP($B60,'Institution Evaluation'!$A$55:$F$345,4,0),IFERROR(VLOOKUP($B60,'Privacy Analyst Evaluation'!$A$46:$F$120,4,0),""))&amp;""</f>
        <v>All data in transit is encrypted using TLS 1.2 or higher. All connections are made over HTTPS. There is no non-TLS option for connecting to Accredible.</v>
      </c>
      <c r="F60" s="199" t="str">
        <f>IFERROR(VLOOKUP($B60,'Institution Evaluation'!$A$55:$F$345,6,0),IFERROR(VLOOKUP($B60,'Privacy Analyst Evaluation'!$A$46:$F$120,6,0),""))&amp;""</f>
        <v/>
      </c>
      <c r="G60" s="200"/>
      <c r="H60" s="199" t="str">
        <f>IFERROR(IF($H59+1&gt;'(backend scoring)'!$Q$335,"",$H59+1),"")</f>
        <v/>
      </c>
      <c r="I60" s="199" t="str">
        <f>_xlfn.XLOOKUP($H60,'(backend scoring)'!$S$2:$S$333,'(backend scoring)'!$A$2:$A$333,"")</f>
        <v/>
      </c>
      <c r="J60" s="199" t="str">
        <f>IFERROR(VLOOKUP($I60,'Institution Evaluation'!$A$55:$F$345,2,0),IFERROR(VLOOKUP($I60,'Privacy Analyst Evaluation'!$A$46:$F$120,2,0),""))</f>
        <v/>
      </c>
      <c r="K60" s="199" t="str">
        <f>IFERROR(VLOOKUP($I60,'Institution Evaluation'!$A$55:$F$345,3,0),IFERROR(VLOOKUP($I60,'Privacy Analyst Evaluation'!$A$46:$F$120,3,0),""))&amp;""</f>
        <v/>
      </c>
      <c r="L60" s="199" t="str">
        <f>IFERROR(VLOOKUP($I60,'Institution Evaluation'!$A$55:$F$345,4,0),IFERROR(VLOOKUP($I60,'Privacy Analyst Evaluation'!$A$46:$F$120,4,0),""))&amp;""</f>
        <v/>
      </c>
      <c r="M60" s="199" t="str">
        <f>IFERROR(VLOOKUP($I60,'Institution Evaluation'!$A$55:$F$345,6,0),IFERROR(VLOOKUP($I60,'Privacy Analyst Evaluation'!$A$46:$F$120,6,0),""))&amp;""</f>
        <v/>
      </c>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row>
    <row r="61" spans="1:338" ht="75" customHeight="1" x14ac:dyDescent="0.2">
      <c r="A61" s="199">
        <f>IFERROR(IF($A60+1&gt;'(backend scoring)'!$T$335,"",$A60+1),"")</f>
        <v>37</v>
      </c>
      <c r="B61" s="199" t="str">
        <f>_xlfn.XLOOKUP($A61,'(backend scoring)'!$V$2:$V$333,'(backend scoring)'!$A$2:$A$333,"")</f>
        <v>DATA-03</v>
      </c>
      <c r="C61" s="199" t="str">
        <f>IFERROR(VLOOKUP($B61,'Institution Evaluation'!$A$55:$F$345,2,0),IFERROR(VLOOKUP($B61,'Privacy Analyst Evaluation'!$A$46:$F$120,2,0),""))&amp;""</f>
        <v>Is the storage of sensitive data encrypted using security protocols/algorithms (e.g., disk encryption, at-rest, files, and within a running database)?*</v>
      </c>
      <c r="D61" s="199" t="str">
        <f>IFERROR(VLOOKUP($B61,'Institution Evaluation'!$A$55:$F$345,3,0),IFERROR(VLOOKUP($B61,'Privacy Analyst Evaluation'!$A$46:$F$120,3,0),""))&amp;""</f>
        <v>Yes</v>
      </c>
      <c r="E61" s="199" t="str">
        <f>IFERROR(VLOOKUP($B61,'Institution Evaluation'!$A$55:$F$345,4,0),IFERROR(VLOOKUP($B61,'Privacy Analyst Evaluation'!$A$46:$F$120,4,0),""))&amp;""</f>
        <v>Data at rest is encrypted using industry-standard AES-256 encryption. All Accredible backups are also encrypted with AES encryption. Encryption is verified regularly by Amazon as part of their audit process.</v>
      </c>
      <c r="F61" s="199" t="str">
        <f>IFERROR(VLOOKUP($B61,'Institution Evaluation'!$A$55:$F$345,6,0),IFERROR(VLOOKUP($B61,'Privacy Analyst Evaluation'!$A$46:$F$120,6,0),""))&amp;""</f>
        <v/>
      </c>
      <c r="G61" s="200"/>
      <c r="H61" s="199" t="str">
        <f>IFERROR(IF($H60+1&gt;'(backend scoring)'!$Q$335,"",$H60+1),"")</f>
        <v/>
      </c>
      <c r="I61" s="199" t="str">
        <f>_xlfn.XLOOKUP($H61,'(backend scoring)'!$S$2:$S$333,'(backend scoring)'!$A$2:$A$333,"")</f>
        <v/>
      </c>
      <c r="J61" s="199" t="str">
        <f>IFERROR(VLOOKUP($I61,'Institution Evaluation'!$A$55:$F$345,2,0),IFERROR(VLOOKUP($I61,'Privacy Analyst Evaluation'!$A$46:$F$120,2,0),""))</f>
        <v/>
      </c>
      <c r="K61" s="199" t="str">
        <f>IFERROR(VLOOKUP($I61,'Institution Evaluation'!$A$55:$F$345,3,0),IFERROR(VLOOKUP($I61,'Privacy Analyst Evaluation'!$A$46:$F$120,3,0),""))&amp;""</f>
        <v/>
      </c>
      <c r="L61" s="199" t="str">
        <f>IFERROR(VLOOKUP($I61,'Institution Evaluation'!$A$55:$F$345,4,0),IFERROR(VLOOKUP($I61,'Privacy Analyst Evaluation'!$A$46:$F$120,4,0),""))&amp;""</f>
        <v/>
      </c>
      <c r="M61" s="199" t="str">
        <f>IFERROR(VLOOKUP($I61,'Institution Evaluation'!$A$55:$F$345,6,0),IFERROR(VLOOKUP($I61,'Privacy Analyst Evaluation'!$A$46:$F$120,6,0),""))&amp;""</f>
        <v/>
      </c>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row>
    <row r="62" spans="1:338" ht="75" customHeight="1" x14ac:dyDescent="0.2">
      <c r="A62" s="199">
        <f>IFERROR(IF($A61+1&gt;'(backend scoring)'!$T$335,"",$A61+1),"")</f>
        <v>38</v>
      </c>
      <c r="B62" s="199" t="str">
        <f>_xlfn.XLOOKUP($A62,'(backend scoring)'!$V$2:$V$333,'(backend scoring)'!$A$2:$A$333,"")</f>
        <v>DATA-04</v>
      </c>
      <c r="C62" s="199" t="str">
        <f>IFERROR(VLOOKUP($B62,'Institution Evaluation'!$A$55:$F$345,2,0),IFERROR(VLOOKUP($B62,'Privacy Analyst Evaluation'!$A$46:$F$120,2,0),""))&amp;""</f>
        <v>Do all cryptographic modules in use in your solution conform to the Federal Information Processing Standards (FIPS PUB 140-2 or 140-3)?*</v>
      </c>
      <c r="D62" s="199" t="str">
        <f>IFERROR(VLOOKUP($B62,'Institution Evaluation'!$A$55:$F$345,3,0),IFERROR(VLOOKUP($B62,'Privacy Analyst Evaluation'!$A$46:$F$120,3,0),""))&amp;""</f>
        <v>No</v>
      </c>
      <c r="E62" s="199" t="str">
        <f>IFERROR(VLOOKUP($B62,'Institution Evaluation'!$A$55:$F$345,4,0),IFERROR(VLOOKUP($B62,'Privacy Analyst Evaluation'!$A$46:$F$120,4,0),""))&amp;""</f>
        <v>Accredible uses industry-standard TLS and AES encryption. Explicit FIPS PUB 140-2/140-3 certification of all cryptographic modules is not confirmed. AWS infrastructure supports FIPS-compliant endpoints where required.</v>
      </c>
      <c r="F62" s="199" t="str">
        <f>IFERROR(VLOOKUP($B62,'Institution Evaluation'!$A$55:$F$345,6,0),IFERROR(VLOOKUP($B62,'Privacy Analyst Evaluation'!$A$46:$F$120,6,0),""))&amp;""</f>
        <v/>
      </c>
      <c r="G62" s="200"/>
      <c r="H62" s="199" t="str">
        <f>IFERROR(IF($H61+1&gt;'(backend scoring)'!$Q$335,"",$H61+1),"")</f>
        <v/>
      </c>
      <c r="I62" s="199" t="str">
        <f>_xlfn.XLOOKUP($H62,'(backend scoring)'!$S$2:$S$333,'(backend scoring)'!$A$2:$A$333,"")</f>
        <v/>
      </c>
      <c r="J62" s="199" t="str">
        <f>IFERROR(VLOOKUP($I62,'Institution Evaluation'!$A$55:$F$345,2,0),IFERROR(VLOOKUP($I62,'Privacy Analyst Evaluation'!$A$46:$F$120,2,0),""))</f>
        <v/>
      </c>
      <c r="K62" s="199" t="str">
        <f>IFERROR(VLOOKUP($I62,'Institution Evaluation'!$A$55:$F$345,3,0),IFERROR(VLOOKUP($I62,'Privacy Analyst Evaluation'!$A$46:$F$120,3,0),""))&amp;""</f>
        <v/>
      </c>
      <c r="L62" s="199" t="str">
        <f>IFERROR(VLOOKUP($I62,'Institution Evaluation'!$A$55:$F$345,4,0),IFERROR(VLOOKUP($I62,'Privacy Analyst Evaluation'!$A$46:$F$120,4,0),""))&amp;""</f>
        <v/>
      </c>
      <c r="M62" s="199" t="str">
        <f>IFERROR(VLOOKUP($I62,'Institution Evaluation'!$A$55:$F$345,6,0),IFERROR(VLOOKUP($I62,'Privacy Analyst Evaluation'!$A$46:$F$120,6,0),""))&amp;""</f>
        <v/>
      </c>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row>
    <row r="63" spans="1:338" ht="60" customHeight="1" x14ac:dyDescent="0.2">
      <c r="A63" s="199">
        <f>IFERROR(IF($A62+1&gt;'(backend scoring)'!$T$335,"",$A62+1),"")</f>
        <v>39</v>
      </c>
      <c r="B63" s="199" t="str">
        <f>_xlfn.XLOOKUP($A63,'(backend scoring)'!$V$2:$V$333,'(backend scoring)'!$A$2:$A$333,"")</f>
        <v>DATA-05</v>
      </c>
      <c r="C63" s="199" t="str">
        <f>IFERROR(VLOOKUP($B63,'Institution Evaluation'!$A$55:$F$345,2,0),IFERROR(VLOOKUP($B63,'Privacy Analyst Evaluation'!$A$46:$F$120,2,0),""))&amp;""</f>
        <v>Will the institution's data be available within the system for a period of time at the completion of this contract?*</v>
      </c>
      <c r="D63" s="199" t="str">
        <f>IFERROR(VLOOKUP($B63,'Institution Evaluation'!$A$55:$F$345,3,0),IFERROR(VLOOKUP($B63,'Privacy Analyst Evaluation'!$A$46:$F$120,3,0),""))&amp;""</f>
        <v>Yes</v>
      </c>
      <c r="E63" s="199" t="str">
        <f>IFERROR(VLOOKUP($B63,'Institution Evaluation'!$A$55:$F$345,4,0),IFERROR(VLOOKUP($B63,'Privacy Analyst Evaluation'!$A$46:$F$120,4,0),""))&amp;""</f>
        <v xml:space="preserve">At the end of a contract, data handling is managed in accordance with the Data Processing Agreement (DPA). This includes provisions for data access, export, and deletion, ensuring that customers can retrieve their data and that it is not retained longer than necessary without authorization.   </v>
      </c>
      <c r="F63" s="199" t="str">
        <f>IFERROR(VLOOKUP($B63,'Institution Evaluation'!$A$55:$F$345,6,0),IFERROR(VLOOKUP($B63,'Privacy Analyst Evaluation'!$A$46:$F$120,6,0),""))&amp;""</f>
        <v/>
      </c>
      <c r="G63" s="200"/>
      <c r="H63" s="199" t="str">
        <f>IFERROR(IF($H62+1&gt;'(backend scoring)'!$Q$335,"",$H62+1),"")</f>
        <v/>
      </c>
      <c r="I63" s="199" t="str">
        <f>_xlfn.XLOOKUP($H63,'(backend scoring)'!$S$2:$S$333,'(backend scoring)'!$A$2:$A$333,"")</f>
        <v/>
      </c>
      <c r="J63" s="199" t="str">
        <f>IFERROR(VLOOKUP($I63,'Institution Evaluation'!$A$55:$F$345,2,0),IFERROR(VLOOKUP($I63,'Privacy Analyst Evaluation'!$A$46:$F$120,2,0),""))</f>
        <v/>
      </c>
      <c r="K63" s="199" t="str">
        <f>IFERROR(VLOOKUP($I63,'Institution Evaluation'!$A$55:$F$345,3,0),IFERROR(VLOOKUP($I63,'Privacy Analyst Evaluation'!$A$46:$F$120,3,0),""))&amp;""</f>
        <v/>
      </c>
      <c r="L63" s="199" t="str">
        <f>IFERROR(VLOOKUP($I63,'Institution Evaluation'!$A$55:$F$345,4,0),IFERROR(VLOOKUP($I63,'Privacy Analyst Evaluation'!$A$46:$F$120,4,0),""))&amp;""</f>
        <v/>
      </c>
      <c r="M63" s="199" t="str">
        <f>IFERROR(VLOOKUP($I63,'Institution Evaluation'!$A$55:$F$345,6,0),IFERROR(VLOOKUP($I63,'Privacy Analyst Evaluation'!$A$46:$F$120,6,0),""))&amp;""</f>
        <v/>
      </c>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row>
    <row r="64" spans="1:338" ht="75" customHeight="1" x14ac:dyDescent="0.2">
      <c r="A64" s="199">
        <f>IFERROR(IF($A63+1&gt;'(backend scoring)'!$T$335,"",$A63+1),"")</f>
        <v>40</v>
      </c>
      <c r="B64" s="199" t="str">
        <f>_xlfn.XLOOKUP($A64,'(backend scoring)'!$V$2:$V$333,'(backend scoring)'!$A$2:$A$333,"")</f>
        <v>DATA-06</v>
      </c>
      <c r="C64" s="199" t="str">
        <f>IFERROR(VLOOKUP($B64,'Institution Evaluation'!$A$55:$F$345,2,0),IFERROR(VLOOKUP($B64,'Privacy Analyst Evaluation'!$A$46:$F$120,2,0),""))&amp;""</f>
        <v>Are ownership rights to all data, inputs, outputs, and metadata retained even through a provider acquisition or bankruptcy event?*</v>
      </c>
      <c r="D64" s="199" t="str">
        <f>IFERROR(VLOOKUP($B64,'Institution Evaluation'!$A$55:$F$345,3,0),IFERROR(VLOOKUP($B64,'Privacy Analyst Evaluation'!$A$46:$F$120,3,0),""))&amp;""</f>
        <v>Yes</v>
      </c>
      <c r="E64" s="199" t="str">
        <f>IFERROR(VLOOKUP($B64,'Institution Evaluation'!$A$55:$F$345,4,0),IFERROR(VLOOKUP($B64,'Privacy Analyst Evaluation'!$A$46:$F$120,4,0),""))&amp;""</f>
        <v>Ownership rights to all data, inputs, outputs, and metadata are retained by the institution (Data Controller) through provider acquisition or bankruptcy events.</v>
      </c>
      <c r="F64" s="199" t="str">
        <f>IFERROR(VLOOKUP($B64,'Institution Evaluation'!$A$55:$F$345,6,0),IFERROR(VLOOKUP($B64,'Privacy Analyst Evaluation'!$A$46:$F$120,6,0),""))&amp;""</f>
        <v/>
      </c>
      <c r="G64" s="200"/>
      <c r="H64" s="199" t="str">
        <f>IFERROR(IF($H63+1&gt;'(backend scoring)'!$Q$335,"",$H63+1),"")</f>
        <v/>
      </c>
      <c r="I64" s="199" t="str">
        <f>_xlfn.XLOOKUP($H64,'(backend scoring)'!$S$2:$S$333,'(backend scoring)'!$A$2:$A$333,"")</f>
        <v/>
      </c>
      <c r="J64" s="199" t="str">
        <f>IFERROR(VLOOKUP($I64,'Institution Evaluation'!$A$55:$F$345,2,0),IFERROR(VLOOKUP($I64,'Privacy Analyst Evaluation'!$A$46:$F$120,2,0),""))</f>
        <v/>
      </c>
      <c r="K64" s="199" t="str">
        <f>IFERROR(VLOOKUP($I64,'Institution Evaluation'!$A$55:$F$345,3,0),IFERROR(VLOOKUP($I64,'Privacy Analyst Evaluation'!$A$46:$F$120,3,0),""))&amp;""</f>
        <v/>
      </c>
      <c r="L64" s="199" t="str">
        <f>IFERROR(VLOOKUP($I64,'Institution Evaluation'!$A$55:$F$345,4,0),IFERROR(VLOOKUP($I64,'Privacy Analyst Evaluation'!$A$46:$F$120,4,0),""))&amp;""</f>
        <v/>
      </c>
      <c r="M64" s="199" t="str">
        <f>IFERROR(VLOOKUP($I64,'Institution Evaluation'!$A$55:$F$345,6,0),IFERROR(VLOOKUP($I64,'Privacy Analyst Evaluation'!$A$46:$F$120,6,0),""))&amp;""</f>
        <v/>
      </c>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row>
    <row r="65" spans="1:338" ht="75" customHeight="1" x14ac:dyDescent="0.2">
      <c r="A65" s="199">
        <f>IFERROR(IF($A64+1&gt;'(backend scoring)'!$T$335,"",$A64+1),"")</f>
        <v>41</v>
      </c>
      <c r="B65" s="199" t="str">
        <f>_xlfn.XLOOKUP($A65,'(backend scoring)'!$V$2:$V$333,'(backend scoring)'!$A$2:$A$333,"")</f>
        <v>DATA-07</v>
      </c>
      <c r="C65" s="199" t="str">
        <f>IFERROR(VLOOKUP($B65,'Institution Evaluation'!$A$55:$F$345,2,0),IFERROR(VLOOKUP($B65,'Privacy Analyst Evaluation'!$A$46:$F$120,2,0),""))&amp;""</f>
        <v>Do backups containing the institution's data ever leave the institution's data zone either physically or via network routing?*</v>
      </c>
      <c r="D65" s="199" t="str">
        <f>IFERROR(VLOOKUP($B65,'Institution Evaluation'!$A$55:$F$345,3,0),IFERROR(VLOOKUP($B65,'Privacy Analyst Evaluation'!$A$46:$F$120,3,0),""))&amp;""</f>
        <v>No</v>
      </c>
      <c r="E65" s="199" t="str">
        <f>IFERROR(VLOOKUP($B65,'Institution Evaluation'!$A$55:$F$345,4,0),IFERROR(VLOOKUP($B65,'Privacy Analyst Evaluation'!$A$46:$F$120,4,0),""))&amp;""</f>
        <v>Backups remain within the designated AWS region. Data is not moved outside its hosting zone.</v>
      </c>
      <c r="F65" s="199" t="str">
        <f>IFERROR(VLOOKUP($B65,'Institution Evaluation'!$A$55:$F$345,6,0),IFERROR(VLOOKUP($B65,'Privacy Analyst Evaluation'!$A$46:$F$120,6,0),""))&amp;""</f>
        <v/>
      </c>
      <c r="G65" s="200"/>
      <c r="H65" s="199" t="str">
        <f>IFERROR(IF($H64+1&gt;'(backend scoring)'!$Q$335,"",$H64+1),"")</f>
        <v/>
      </c>
      <c r="I65" s="199" t="str">
        <f>_xlfn.XLOOKUP($H65,'(backend scoring)'!$S$2:$S$333,'(backend scoring)'!$A$2:$A$333,"")</f>
        <v/>
      </c>
      <c r="J65" s="199" t="str">
        <f>IFERROR(VLOOKUP($I65,'Institution Evaluation'!$A$55:$F$345,2,0),IFERROR(VLOOKUP($I65,'Privacy Analyst Evaluation'!$A$46:$F$120,2,0),""))</f>
        <v/>
      </c>
      <c r="K65" s="199" t="str">
        <f>IFERROR(VLOOKUP($I65,'Institution Evaluation'!$A$55:$F$345,3,0),IFERROR(VLOOKUP($I65,'Privacy Analyst Evaluation'!$A$46:$F$120,3,0),""))&amp;""</f>
        <v/>
      </c>
      <c r="L65" s="199" t="str">
        <f>IFERROR(VLOOKUP($I65,'Institution Evaluation'!$A$55:$F$345,4,0),IFERROR(VLOOKUP($I65,'Privacy Analyst Evaluation'!$A$46:$F$120,4,0),""))&amp;""</f>
        <v/>
      </c>
      <c r="M65" s="199" t="str">
        <f>IFERROR(VLOOKUP($I65,'Institution Evaluation'!$A$55:$F$345,6,0),IFERROR(VLOOKUP($I65,'Privacy Analyst Evaluation'!$A$46:$F$120,6,0),""))&amp;""</f>
        <v/>
      </c>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row>
    <row r="66" spans="1:338" ht="75" customHeight="1" x14ac:dyDescent="0.2">
      <c r="A66" s="199">
        <f>IFERROR(IF($A65+1&gt;'(backend scoring)'!$T$335,"",$A65+1),"")</f>
        <v>42</v>
      </c>
      <c r="B66" s="199" t="str">
        <f>_xlfn.XLOOKUP($A66,'(backend scoring)'!$V$2:$V$333,'(backend scoring)'!$A$2:$A$333,"")</f>
        <v>DATA-08</v>
      </c>
      <c r="C66" s="199" t="str">
        <f>IFERROR(VLOOKUP($B66,'Institution Evaluation'!$A$55:$F$345,2,0),IFERROR(VLOOKUP($B66,'Privacy Analyst Evaluation'!$A$46:$F$120,2,0),""))&amp;""</f>
        <v>Is media used for long-term retention of business data and archival purposes stored in a secure, environmentally protected area?*</v>
      </c>
      <c r="D66" s="199" t="str">
        <f>IFERROR(VLOOKUP($B66,'Institution Evaluation'!$A$55:$F$345,3,0),IFERROR(VLOOKUP($B66,'Privacy Analyst Evaluation'!$A$46:$F$120,3,0),""))&amp;""</f>
        <v>No</v>
      </c>
      <c r="E66" s="199" t="str">
        <f>IFERROR(VLOOKUP($B66,'Institution Evaluation'!$A$55:$F$345,4,0),IFERROR(VLOOKUP($B66,'Privacy Analyst Evaluation'!$A$46:$F$120,4,0),""))&amp;""</f>
        <v>AWS data centers where Accredible data resides are secure, environmentally protected facilities meeting stringent physical and environmental standards.</v>
      </c>
      <c r="F66" s="199" t="str">
        <f>IFERROR(VLOOKUP($B66,'Institution Evaluation'!$A$55:$F$345,6,0),IFERROR(VLOOKUP($B66,'Privacy Analyst Evaluation'!$A$46:$F$120,6,0),""))&amp;""</f>
        <v/>
      </c>
      <c r="G66" s="200"/>
      <c r="H66" s="199" t="str">
        <f>IFERROR(IF($H65+1&gt;'(backend scoring)'!$Q$335,"",$H65+1),"")</f>
        <v/>
      </c>
      <c r="I66" s="199" t="str">
        <f>_xlfn.XLOOKUP($H66,'(backend scoring)'!$S$2:$S$333,'(backend scoring)'!$A$2:$A$333,"")</f>
        <v/>
      </c>
      <c r="J66" s="199" t="str">
        <f>IFERROR(VLOOKUP($I66,'Institution Evaluation'!$A$55:$F$345,2,0),IFERROR(VLOOKUP($I66,'Privacy Analyst Evaluation'!$A$46:$F$120,2,0),""))</f>
        <v/>
      </c>
      <c r="K66" s="199" t="str">
        <f>IFERROR(VLOOKUP($I66,'Institution Evaluation'!$A$55:$F$345,3,0),IFERROR(VLOOKUP($I66,'Privacy Analyst Evaluation'!$A$46:$F$120,3,0),""))&amp;""</f>
        <v/>
      </c>
      <c r="L66" s="199" t="str">
        <f>IFERROR(VLOOKUP($I66,'Institution Evaluation'!$A$55:$F$345,4,0),IFERROR(VLOOKUP($I66,'Privacy Analyst Evaluation'!$A$46:$F$120,4,0),""))&amp;""</f>
        <v/>
      </c>
      <c r="M66" s="199" t="str">
        <f>IFERROR(VLOOKUP($I66,'Institution Evaluation'!$A$55:$F$345,6,0),IFERROR(VLOOKUP($I66,'Privacy Analyst Evaluation'!$A$46:$F$120,6,0),""))&amp;""</f>
        <v/>
      </c>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row>
    <row r="67" spans="1:338" ht="75" customHeight="1" x14ac:dyDescent="0.2">
      <c r="A67" s="199">
        <f>IFERROR(IF($A66+1&gt;'(backend scoring)'!$T$335,"",$A66+1),"")</f>
        <v>43</v>
      </c>
      <c r="B67" s="199" t="str">
        <f>_xlfn.XLOOKUP($A67,'(backend scoring)'!$V$2:$V$333,'(backend scoring)'!$A$2:$A$333,"")</f>
        <v>DCTR-06</v>
      </c>
      <c r="C67" s="199" t="str">
        <f>IFERROR(VLOOKUP($B67,'Institution Evaluation'!$A$55:$F$345,2,0),IFERROR(VLOOKUP($B67,'Privacy Analyst Evaluation'!$A$46:$F$120,2,0),""))&amp;""</f>
        <v>Does a physical barrier fully enclose the physical space, preventing unauthorized physical contact with any of your devices?*</v>
      </c>
      <c r="D67" s="199" t="str">
        <f>IFERROR(VLOOKUP($B67,'Institution Evaluation'!$A$55:$F$345,3,0),IFERROR(VLOOKUP($B67,'Privacy Analyst Evaluation'!$A$46:$F$120,3,0),""))&amp;""</f>
        <v>N/A</v>
      </c>
      <c r="E67" s="199" t="str">
        <f>IFERROR(VLOOKUP($B67,'Institution Evaluation'!$A$55:$F$345,4,0),IFERROR(VLOOKUP($B67,'Privacy Analyst Evaluation'!$A$46:$F$120,4,0),""))&amp;""</f>
        <v>This question does not apply.</v>
      </c>
      <c r="F67" s="199" t="str">
        <f>IFERROR(VLOOKUP($B67,'Institution Evaluation'!$A$55:$F$345,6,0),IFERROR(VLOOKUP($B67,'Privacy Analyst Evaluation'!$A$46:$F$120,6,0),""))&amp;""</f>
        <v/>
      </c>
      <c r="G67" s="200"/>
      <c r="H67" s="199" t="str">
        <f>IFERROR(IF($H66+1&gt;'(backend scoring)'!$Q$335,"",$H66+1),"")</f>
        <v/>
      </c>
      <c r="I67" s="199" t="str">
        <f>_xlfn.XLOOKUP($H67,'(backend scoring)'!$S$2:$S$333,'(backend scoring)'!$A$2:$A$333,"")</f>
        <v/>
      </c>
      <c r="J67" s="199" t="str">
        <f>IFERROR(VLOOKUP($I67,'Institution Evaluation'!$A$55:$F$345,2,0),IFERROR(VLOOKUP($I67,'Privacy Analyst Evaluation'!$A$46:$F$120,2,0),""))</f>
        <v/>
      </c>
      <c r="K67" s="199" t="str">
        <f>IFERROR(VLOOKUP($I67,'Institution Evaluation'!$A$55:$F$345,3,0),IFERROR(VLOOKUP($I67,'Privacy Analyst Evaluation'!$A$46:$F$120,3,0),""))&amp;""</f>
        <v/>
      </c>
      <c r="L67" s="199" t="str">
        <f>IFERROR(VLOOKUP($I67,'Institution Evaluation'!$A$55:$F$345,4,0),IFERROR(VLOOKUP($I67,'Privacy Analyst Evaluation'!$A$46:$F$120,4,0),""))&amp;""</f>
        <v/>
      </c>
      <c r="M67" s="199" t="str">
        <f>IFERROR(VLOOKUP($I67,'Institution Evaluation'!$A$55:$F$345,6,0),IFERROR(VLOOKUP($I67,'Privacy Analyst Evaluation'!$A$46:$F$120,6,0),""))&amp;""</f>
        <v/>
      </c>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row>
    <row r="68" spans="1:338" ht="30" customHeight="1" x14ac:dyDescent="0.2">
      <c r="A68" s="199">
        <f>IFERROR(IF($A67+1&gt;'(backend scoring)'!$T$335,"",$A67+1),"")</f>
        <v>44</v>
      </c>
      <c r="B68" s="199" t="str">
        <f>_xlfn.XLOOKUP($A68,'(backend scoring)'!$V$2:$V$333,'(backend scoring)'!$A$2:$A$333,"")</f>
        <v>DCTR-10</v>
      </c>
      <c r="C68" s="199" t="str">
        <f>IFERROR(VLOOKUP($B68,'Institution Evaluation'!$A$55:$F$345,2,0),IFERROR(VLOOKUP($B68,'Privacy Analyst Evaluation'!$A$46:$F$120,2,0),""))&amp;""</f>
        <v>Are redundant power strategies tested?*</v>
      </c>
      <c r="D68" s="199" t="str">
        <f>IFERROR(VLOOKUP($B68,'Institution Evaluation'!$A$55:$F$345,3,0),IFERROR(VLOOKUP($B68,'Privacy Analyst Evaluation'!$A$46:$F$120,3,0),""))&amp;""</f>
        <v>N/A</v>
      </c>
      <c r="E68" s="199" t="str">
        <f>IFERROR(VLOOKUP($B68,'Institution Evaluation'!$A$55:$F$345,4,0),IFERROR(VLOOKUP($B68,'Privacy Analyst Evaluation'!$A$46:$F$120,4,0),""))&amp;""</f>
        <v>This question does not apply.</v>
      </c>
      <c r="F68" s="199" t="str">
        <f>IFERROR(VLOOKUP($B68,'Institution Evaluation'!$A$55:$F$345,6,0),IFERROR(VLOOKUP($B68,'Privacy Analyst Evaluation'!$A$46:$F$120,6,0),""))&amp;""</f>
        <v/>
      </c>
      <c r="G68" s="200"/>
      <c r="H68" s="199" t="str">
        <f>IFERROR(IF($H67+1&gt;'(backend scoring)'!$Q$335,"",$H67+1),"")</f>
        <v/>
      </c>
      <c r="I68" s="199" t="str">
        <f>_xlfn.XLOOKUP($H68,'(backend scoring)'!$S$2:$S$333,'(backend scoring)'!$A$2:$A$333,"")</f>
        <v/>
      </c>
      <c r="J68" s="199" t="str">
        <f>IFERROR(VLOOKUP($I68,'Institution Evaluation'!$A$55:$F$345,2,0),IFERROR(VLOOKUP($I68,'Privacy Analyst Evaluation'!$A$46:$F$120,2,0),""))</f>
        <v/>
      </c>
      <c r="K68" s="199" t="str">
        <f>IFERROR(VLOOKUP($I68,'Institution Evaluation'!$A$55:$F$345,3,0),IFERROR(VLOOKUP($I68,'Privacy Analyst Evaluation'!$A$46:$F$120,3,0),""))&amp;""</f>
        <v/>
      </c>
      <c r="L68" s="199" t="str">
        <f>IFERROR(VLOOKUP($I68,'Institution Evaluation'!$A$55:$F$345,4,0),IFERROR(VLOOKUP($I68,'Privacy Analyst Evaluation'!$A$46:$F$120,4,0),""))&amp;""</f>
        <v/>
      </c>
      <c r="M68" s="199" t="str">
        <f>IFERROR(VLOOKUP($I68,'Institution Evaluation'!$A$55:$F$345,6,0),IFERROR(VLOOKUP($I68,'Privacy Analyst Evaluation'!$A$46:$F$120,6,0),""))&amp;""</f>
        <v/>
      </c>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row>
    <row r="69" spans="1:338" ht="45" customHeight="1" x14ac:dyDescent="0.2">
      <c r="A69" s="199">
        <f>IFERROR(IF($A68+1&gt;'(backend scoring)'!$T$335,"",$A68+1),"")</f>
        <v>45</v>
      </c>
      <c r="B69" s="199" t="str">
        <f>_xlfn.XLOOKUP($A69,'(backend scoring)'!$V$2:$V$333,'(backend scoring)'!$A$2:$A$333,"")</f>
        <v>FIDP-01</v>
      </c>
      <c r="C69" s="199" t="str">
        <f>IFERROR(VLOOKUP($B69,'Institution Evaluation'!$A$55:$F$345,2,0),IFERROR(VLOOKUP($B69,'Privacy Analyst Evaluation'!$A$46:$F$120,2,0),""))&amp;""</f>
        <v>Are you utilizing a stateful packet inspection (SPI) firewall?*</v>
      </c>
      <c r="D69" s="199" t="str">
        <f>IFERROR(VLOOKUP($B69,'Institution Evaluation'!$A$55:$F$345,3,0),IFERROR(VLOOKUP($B69,'Privacy Analyst Evaluation'!$A$46:$F$120,3,0),""))&amp;""</f>
        <v>Yes</v>
      </c>
      <c r="E69" s="199" t="str">
        <f>IFERROR(VLOOKUP($B69,'Institution Evaluation'!$A$55:$F$345,4,0),IFERROR(VLOOKUP($B69,'Privacy Analyst Evaluation'!$A$46:$F$120,4,0),""))&amp;""</f>
        <v>Accredible uses stateful packet inspection firewalls as part of its AWS security infrastructure.</v>
      </c>
      <c r="F69" s="199" t="str">
        <f>IFERROR(VLOOKUP($B69,'Institution Evaluation'!$A$55:$F$345,6,0),IFERROR(VLOOKUP($B69,'Privacy Analyst Evaluation'!$A$46:$F$120,6,0),""))&amp;""</f>
        <v/>
      </c>
      <c r="G69" s="200"/>
      <c r="H69" s="199" t="str">
        <f>IFERROR(IF($H68+1&gt;'(backend scoring)'!$Q$335,"",$H68+1),"")</f>
        <v/>
      </c>
      <c r="I69" s="199" t="str">
        <f>_xlfn.XLOOKUP($H69,'(backend scoring)'!$S$2:$S$333,'(backend scoring)'!$A$2:$A$333,"")</f>
        <v/>
      </c>
      <c r="J69" s="199" t="str">
        <f>IFERROR(VLOOKUP($I69,'Institution Evaluation'!$A$55:$F$345,2,0),IFERROR(VLOOKUP($I69,'Privacy Analyst Evaluation'!$A$46:$F$120,2,0),""))</f>
        <v/>
      </c>
      <c r="K69" s="199" t="str">
        <f>IFERROR(VLOOKUP($I69,'Institution Evaluation'!$A$55:$F$345,3,0),IFERROR(VLOOKUP($I69,'Privacy Analyst Evaluation'!$A$46:$F$120,3,0),""))&amp;""</f>
        <v/>
      </c>
      <c r="L69" s="199" t="str">
        <f>IFERROR(VLOOKUP($I69,'Institution Evaluation'!$A$55:$F$345,4,0),IFERROR(VLOOKUP($I69,'Privacy Analyst Evaluation'!$A$46:$F$120,4,0),""))&amp;""</f>
        <v/>
      </c>
      <c r="M69" s="199" t="str">
        <f>IFERROR(VLOOKUP($I69,'Institution Evaluation'!$A$55:$F$345,6,0),IFERROR(VLOOKUP($I69,'Privacy Analyst Evaluation'!$A$46:$F$120,6,0),""))&amp;""</f>
        <v/>
      </c>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row>
    <row r="70" spans="1:338" ht="45" customHeight="1" x14ac:dyDescent="0.2">
      <c r="A70" s="199">
        <f>IFERROR(IF($A69+1&gt;'(backend scoring)'!$T$335,"",$A69+1),"")</f>
        <v>46</v>
      </c>
      <c r="B70" s="199" t="str">
        <f>_xlfn.XLOOKUP($A70,'(backend scoring)'!$V$2:$V$333,'(backend scoring)'!$A$2:$A$333,"")</f>
        <v>FIDP-02</v>
      </c>
      <c r="C70" s="199" t="str">
        <f>IFERROR(VLOOKUP($B70,'Institution Evaluation'!$A$55:$F$345,2,0),IFERROR(VLOOKUP($B70,'Privacy Analyst Evaluation'!$A$46:$F$120,2,0),""))&amp;""</f>
        <v>Do you have a documented policy for firewall change requests?*</v>
      </c>
      <c r="D70" s="199" t="str">
        <f>IFERROR(VLOOKUP($B70,'Institution Evaluation'!$A$55:$F$345,3,0),IFERROR(VLOOKUP($B70,'Privacy Analyst Evaluation'!$A$46:$F$120,3,0),""))&amp;""</f>
        <v>Yes</v>
      </c>
      <c r="E70" s="199" t="str">
        <f>IFERROR(VLOOKUP($B70,'Institution Evaluation'!$A$55:$F$345,4,0),IFERROR(VLOOKUP($B70,'Privacy Analyst Evaluation'!$A$46:$F$120,4,0),""))&amp;""</f>
        <v>Accredible has a documented policy for firewall change requests. Changes require peer review and use infrastructure as code where applicable.</v>
      </c>
      <c r="F70" s="199" t="str">
        <f>IFERROR(VLOOKUP($B70,'Institution Evaluation'!$A$55:$F$345,6,0),IFERROR(VLOOKUP($B70,'Privacy Analyst Evaluation'!$A$46:$F$120,6,0),""))&amp;""</f>
        <v/>
      </c>
      <c r="G70" s="200"/>
      <c r="H70" s="199" t="str">
        <f>IFERROR(IF($H69+1&gt;'(backend scoring)'!$Q$335,"",$H69+1),"")</f>
        <v/>
      </c>
      <c r="I70" s="199" t="str">
        <f>_xlfn.XLOOKUP($H70,'(backend scoring)'!$S$2:$S$333,'(backend scoring)'!$A$2:$A$333,"")</f>
        <v/>
      </c>
      <c r="J70" s="199" t="str">
        <f>IFERROR(VLOOKUP($I70,'Institution Evaluation'!$A$55:$F$345,2,0),IFERROR(VLOOKUP($I70,'Privacy Analyst Evaluation'!$A$46:$F$120,2,0),""))</f>
        <v/>
      </c>
      <c r="K70" s="199" t="str">
        <f>IFERROR(VLOOKUP($I70,'Institution Evaluation'!$A$55:$F$345,3,0),IFERROR(VLOOKUP($I70,'Privacy Analyst Evaluation'!$A$46:$F$120,3,0),""))&amp;""</f>
        <v/>
      </c>
      <c r="L70" s="199" t="str">
        <f>IFERROR(VLOOKUP($I70,'Institution Evaluation'!$A$55:$F$345,4,0),IFERROR(VLOOKUP($I70,'Privacy Analyst Evaluation'!$A$46:$F$120,4,0),""))&amp;""</f>
        <v/>
      </c>
      <c r="M70" s="199" t="str">
        <f>IFERROR(VLOOKUP($I70,'Institution Evaluation'!$A$55:$F$345,6,0),IFERROR(VLOOKUP($I70,'Privacy Analyst Evaluation'!$A$46:$F$120,6,0),""))&amp;""</f>
        <v/>
      </c>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row>
    <row r="71" spans="1:338" ht="45" customHeight="1" x14ac:dyDescent="0.2">
      <c r="A71" s="199">
        <f>IFERROR(IF($A70+1&gt;'(backend scoring)'!$T$335,"",$A70+1),"")</f>
        <v>47</v>
      </c>
      <c r="B71" s="199" t="str">
        <f>_xlfn.XLOOKUP($A71,'(backend scoring)'!$V$2:$V$333,'(backend scoring)'!$A$2:$A$333,"")</f>
        <v>FIDP-03</v>
      </c>
      <c r="C71" s="199" t="str">
        <f>IFERROR(VLOOKUP($B71,'Institution Evaluation'!$A$55:$F$345,2,0),IFERROR(VLOOKUP($B71,'Privacy Analyst Evaluation'!$A$46:$F$120,2,0),""))&amp;""</f>
        <v>Have you implemented an intrusion detection system (network-based)?*</v>
      </c>
      <c r="D71" s="199" t="str">
        <f>IFERROR(VLOOKUP($B71,'Institution Evaluation'!$A$55:$F$345,3,0),IFERROR(VLOOKUP($B71,'Privacy Analyst Evaluation'!$A$46:$F$120,3,0),""))&amp;""</f>
        <v>Yes</v>
      </c>
      <c r="E71" s="199" t="str">
        <f>IFERROR(VLOOKUP($B71,'Institution Evaluation'!$A$55:$F$345,4,0),IFERROR(VLOOKUP($B71,'Privacy Analyst Evaluation'!$A$46:$F$120,4,0),""))&amp;""</f>
        <v>Accredible uses AWS GuardDuty for network-based intrusion detection.</v>
      </c>
      <c r="F71" s="199" t="str">
        <f>IFERROR(VLOOKUP($B71,'Institution Evaluation'!$A$55:$F$345,6,0),IFERROR(VLOOKUP($B71,'Privacy Analyst Evaluation'!$A$46:$F$120,6,0),""))&amp;""</f>
        <v/>
      </c>
      <c r="G71" s="200"/>
      <c r="H71" s="199" t="str">
        <f>IFERROR(IF($H70+1&gt;'(backend scoring)'!$Q$335,"",$H70+1),"")</f>
        <v/>
      </c>
      <c r="I71" s="199" t="str">
        <f>_xlfn.XLOOKUP($H71,'(backend scoring)'!$S$2:$S$333,'(backend scoring)'!$A$2:$A$333,"")</f>
        <v/>
      </c>
      <c r="J71" s="199" t="str">
        <f>IFERROR(VLOOKUP($I71,'Institution Evaluation'!$A$55:$F$345,2,0),IFERROR(VLOOKUP($I71,'Privacy Analyst Evaluation'!$A$46:$F$120,2,0),""))</f>
        <v/>
      </c>
      <c r="K71" s="199" t="str">
        <f>IFERROR(VLOOKUP($I71,'Institution Evaluation'!$A$55:$F$345,3,0),IFERROR(VLOOKUP($I71,'Privacy Analyst Evaluation'!$A$46:$F$120,3,0),""))&amp;""</f>
        <v/>
      </c>
      <c r="L71" s="199" t="str">
        <f>IFERROR(VLOOKUP($I71,'Institution Evaluation'!$A$55:$F$345,4,0),IFERROR(VLOOKUP($I71,'Privacy Analyst Evaluation'!$A$46:$F$120,4,0),""))&amp;""</f>
        <v/>
      </c>
      <c r="M71" s="199" t="str">
        <f>IFERROR(VLOOKUP($I71,'Institution Evaluation'!$A$55:$F$345,6,0),IFERROR(VLOOKUP($I71,'Privacy Analyst Evaluation'!$A$46:$F$120,6,0),""))&amp;""</f>
        <v/>
      </c>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row>
    <row r="72" spans="1:338" ht="30" customHeight="1" x14ac:dyDescent="0.2">
      <c r="A72" s="199">
        <f>IFERROR(IF($A71+1&gt;'(backend scoring)'!$T$335,"",$A71+1),"")</f>
        <v>48</v>
      </c>
      <c r="B72" s="199" t="str">
        <f>_xlfn.XLOOKUP($A72,'(backend scoring)'!$V$2:$V$333,'(backend scoring)'!$A$2:$A$333,"")</f>
        <v>FIDP-04</v>
      </c>
      <c r="C72" s="199" t="str">
        <f>IFERROR(VLOOKUP($B72,'Institution Evaluation'!$A$55:$F$345,2,0),IFERROR(VLOOKUP($B72,'Privacy Analyst Evaluation'!$A$46:$F$120,2,0),""))&amp;""</f>
        <v>Do you employ host-based intrusion detection?*</v>
      </c>
      <c r="D72" s="199" t="str">
        <f>IFERROR(VLOOKUP($B72,'Institution Evaluation'!$A$55:$F$345,3,0),IFERROR(VLOOKUP($B72,'Privacy Analyst Evaluation'!$A$46:$F$120,3,0),""))&amp;""</f>
        <v>Yes</v>
      </c>
      <c r="E72" s="199" t="str">
        <f>IFERROR(VLOOKUP($B72,'Institution Evaluation'!$A$55:$F$345,4,0),IFERROR(VLOOKUP($B72,'Privacy Analyst Evaluation'!$A$46:$F$120,4,0),""))&amp;""</f>
        <v>Accredible employs host-based intrusion detection via continuous monitoring through Vanta and AWS GuardDuty.</v>
      </c>
      <c r="F72" s="199" t="str">
        <f>IFERROR(VLOOKUP($B72,'Institution Evaluation'!$A$55:$F$345,6,0),IFERROR(VLOOKUP($B72,'Privacy Analyst Evaluation'!$A$46:$F$120,6,0),""))&amp;""</f>
        <v/>
      </c>
      <c r="G72" s="200"/>
      <c r="H72" s="199" t="str">
        <f>IFERROR(IF($H71+1&gt;'(backend scoring)'!$Q$335,"",$H71+1),"")</f>
        <v/>
      </c>
      <c r="I72" s="199" t="str">
        <f>_xlfn.XLOOKUP($H72,'(backend scoring)'!$S$2:$S$333,'(backend scoring)'!$A$2:$A$333,"")</f>
        <v/>
      </c>
      <c r="J72" s="199" t="str">
        <f>IFERROR(VLOOKUP($I72,'Institution Evaluation'!$A$55:$F$345,2,0),IFERROR(VLOOKUP($I72,'Privacy Analyst Evaluation'!$A$46:$F$120,2,0),""))</f>
        <v/>
      </c>
      <c r="K72" s="199" t="str">
        <f>IFERROR(VLOOKUP($I72,'Institution Evaluation'!$A$55:$F$345,3,0),IFERROR(VLOOKUP($I72,'Privacy Analyst Evaluation'!$A$46:$F$120,3,0),""))&amp;""</f>
        <v/>
      </c>
      <c r="L72" s="199" t="str">
        <f>IFERROR(VLOOKUP($I72,'Institution Evaluation'!$A$55:$F$345,4,0),IFERROR(VLOOKUP($I72,'Privacy Analyst Evaluation'!$A$46:$F$120,4,0),""))&amp;""</f>
        <v/>
      </c>
      <c r="M72" s="199" t="str">
        <f>IFERROR(VLOOKUP($I72,'Institution Evaluation'!$A$55:$F$345,6,0),IFERROR(VLOOKUP($I72,'Privacy Analyst Evaluation'!$A$46:$F$120,6,0),""))&amp;""</f>
        <v/>
      </c>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row>
    <row r="73" spans="1:338" ht="60" customHeight="1" x14ac:dyDescent="0.2">
      <c r="A73" s="199">
        <f>IFERROR(IF($A72+1&gt;'(backend scoring)'!$T$335,"",$A72+1),"")</f>
        <v>49</v>
      </c>
      <c r="B73" s="199" t="str">
        <f>_xlfn.XLOOKUP($A73,'(backend scoring)'!$V$2:$V$333,'(backend scoring)'!$A$2:$A$333,"")</f>
        <v>FIDP-05</v>
      </c>
      <c r="C73" s="199" t="str">
        <f>IFERROR(VLOOKUP($B73,'Institution Evaluation'!$A$55:$F$345,2,0),IFERROR(VLOOKUP($B73,'Privacy Analyst Evaluation'!$A$46:$F$120,2,0),""))&amp;""</f>
        <v>Are audit logs available for all changes to the network, firewall, IDS, and IPS systems?*</v>
      </c>
      <c r="D73" s="199" t="str">
        <f>IFERROR(VLOOKUP($B73,'Institution Evaluation'!$A$55:$F$345,3,0),IFERROR(VLOOKUP($B73,'Privacy Analyst Evaluation'!$A$46:$F$120,3,0),""))&amp;""</f>
        <v>Yes</v>
      </c>
      <c r="E73" s="199" t="str">
        <f>IFERROR(VLOOKUP($B73,'Institution Evaluation'!$A$55:$F$345,4,0),IFERROR(VLOOKUP($B73,'Privacy Analyst Evaluation'!$A$46:$F$120,4,0),""))&amp;""</f>
        <v>Audit logs are available for all changes to the network, firewall, IDS, and IPS systems.</v>
      </c>
      <c r="F73" s="199" t="str">
        <f>IFERROR(VLOOKUP($B73,'Institution Evaluation'!$A$55:$F$345,6,0),IFERROR(VLOOKUP($B73,'Privacy Analyst Evaluation'!$A$46:$F$120,6,0),""))&amp;""</f>
        <v/>
      </c>
      <c r="G73" s="200"/>
      <c r="H73" s="199" t="str">
        <f>IFERROR(IF($H72+1&gt;'(backend scoring)'!$Q$335,"",$H72+1),"")</f>
        <v/>
      </c>
      <c r="I73" s="199" t="str">
        <f>_xlfn.XLOOKUP($H73,'(backend scoring)'!$S$2:$S$333,'(backend scoring)'!$A$2:$A$333,"")</f>
        <v/>
      </c>
      <c r="J73" s="199" t="str">
        <f>IFERROR(VLOOKUP($I73,'Institution Evaluation'!$A$55:$F$345,2,0),IFERROR(VLOOKUP($I73,'Privacy Analyst Evaluation'!$A$46:$F$120,2,0),""))</f>
        <v/>
      </c>
      <c r="K73" s="199" t="str">
        <f>IFERROR(VLOOKUP($I73,'Institution Evaluation'!$A$55:$F$345,3,0),IFERROR(VLOOKUP($I73,'Privacy Analyst Evaluation'!$A$46:$F$120,3,0),""))&amp;""</f>
        <v/>
      </c>
      <c r="L73" s="199" t="str">
        <f>IFERROR(VLOOKUP($I73,'Institution Evaluation'!$A$55:$F$345,4,0),IFERROR(VLOOKUP($I73,'Privacy Analyst Evaluation'!$A$46:$F$120,4,0),""))&amp;""</f>
        <v/>
      </c>
      <c r="M73" s="199" t="str">
        <f>IFERROR(VLOOKUP($I73,'Institution Evaluation'!$A$55:$F$345,6,0),IFERROR(VLOOKUP($I73,'Privacy Analyst Evaluation'!$A$46:$F$120,6,0),""))&amp;""</f>
        <v/>
      </c>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row>
    <row r="74" spans="1:338" ht="30" customHeight="1" x14ac:dyDescent="0.2">
      <c r="A74" s="199">
        <f>IFERROR(IF($A73+1&gt;'(backend scoring)'!$T$335,"",$A73+1),"")</f>
        <v>50</v>
      </c>
      <c r="B74" s="199" t="str">
        <f>_xlfn.XLOOKUP($A74,'(backend scoring)'!$V$2:$V$333,'(backend scoring)'!$A$2:$A$333,"")</f>
        <v>PPPR-01</v>
      </c>
      <c r="C74" s="199" t="str">
        <f>IFERROR(VLOOKUP($B74,'Institution Evaluation'!$A$55:$F$345,2,0),IFERROR(VLOOKUP($B74,'Privacy Analyst Evaluation'!$A$46:$F$120,2,0),""))&amp;""</f>
        <v>Do you have a documented patch management process?*</v>
      </c>
      <c r="D74" s="199" t="str">
        <f>IFERROR(VLOOKUP($B74,'Institution Evaluation'!$A$55:$F$345,3,0),IFERROR(VLOOKUP($B74,'Privacy Analyst Evaluation'!$A$46:$F$120,3,0),""))&amp;""</f>
        <v>Yes</v>
      </c>
      <c r="E74" s="199" t="str">
        <f>IFERROR(VLOOKUP($B74,'Institution Evaluation'!$A$55:$F$345,4,0),IFERROR(VLOOKUP($B74,'Privacy Analyst Evaluation'!$A$46:$F$120,4,0),""))&amp;""</f>
        <v>Accredible has a documented patch management process that classifies vulnerabilities and mandates timely remediation of critical and high-risk issues.</v>
      </c>
      <c r="F74" s="199" t="str">
        <f>IFERROR(VLOOKUP($B74,'Institution Evaluation'!$A$55:$F$345,6,0),IFERROR(VLOOKUP($B74,'Privacy Analyst Evaluation'!$A$46:$F$120,6,0),""))&amp;""</f>
        <v/>
      </c>
      <c r="G74" s="200"/>
      <c r="H74" s="199" t="str">
        <f>IFERROR(IF($H73+1&gt;'(backend scoring)'!$Q$335,"",$H73+1),"")</f>
        <v/>
      </c>
      <c r="I74" s="199" t="str">
        <f>_xlfn.XLOOKUP($H74,'(backend scoring)'!$S$2:$S$333,'(backend scoring)'!$A$2:$A$333,"")</f>
        <v/>
      </c>
      <c r="J74" s="199" t="str">
        <f>IFERROR(VLOOKUP($I74,'Institution Evaluation'!$A$55:$F$345,2,0),IFERROR(VLOOKUP($I74,'Privacy Analyst Evaluation'!$A$46:$F$120,2,0),""))</f>
        <v/>
      </c>
      <c r="K74" s="199" t="str">
        <f>IFERROR(VLOOKUP($I74,'Institution Evaluation'!$A$55:$F$345,3,0),IFERROR(VLOOKUP($I74,'Privacy Analyst Evaluation'!$A$46:$F$120,3,0),""))&amp;""</f>
        <v/>
      </c>
      <c r="L74" s="199" t="str">
        <f>IFERROR(VLOOKUP($I74,'Institution Evaluation'!$A$55:$F$345,4,0),IFERROR(VLOOKUP($I74,'Privacy Analyst Evaluation'!$A$46:$F$120,4,0),""))&amp;""</f>
        <v/>
      </c>
      <c r="M74" s="199" t="str">
        <f>IFERROR(VLOOKUP($I74,'Institution Evaluation'!$A$55:$F$345,6,0),IFERROR(VLOOKUP($I74,'Privacy Analyst Evaluation'!$A$46:$F$120,6,0),""))&amp;""</f>
        <v/>
      </c>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row>
    <row r="75" spans="1:338" ht="90" customHeight="1" x14ac:dyDescent="0.2">
      <c r="A75" s="199">
        <f>IFERROR(IF($A74+1&gt;'(backend scoring)'!$T$335,"",$A74+1),"")</f>
        <v>51</v>
      </c>
      <c r="B75" s="199" t="str">
        <f>_xlfn.XLOOKUP($A75,'(backend scoring)'!$V$2:$V$333,'(backend scoring)'!$A$2:$A$333,"")</f>
        <v>PPPR-02</v>
      </c>
      <c r="C75" s="199" t="str">
        <f>IFERROR(VLOOKUP($B75,'Institution Evaluation'!$A$55:$F$345,2,0),IFERROR(VLOOKUP($B75,'Privacy Analyst Evaluation'!$A$46:$F$120,2,0),""))&amp;""</f>
        <v>Can your organization comply with institutional policies on privacy and data protection with regard to users of institutional systems, if required?*</v>
      </c>
      <c r="D75" s="199" t="str">
        <f>IFERROR(VLOOKUP($B75,'Institution Evaluation'!$A$55:$F$345,3,0),IFERROR(VLOOKUP($B75,'Privacy Analyst Evaluation'!$A$46:$F$120,3,0),""))&amp;""</f>
        <v>Yes</v>
      </c>
      <c r="E75" s="199" t="str">
        <f>IFERROR(VLOOKUP($B75,'Institution Evaluation'!$A$55:$F$345,4,0),IFERROR(VLOOKUP($B75,'Privacy Analyst Evaluation'!$A$46:$F$120,4,0),""))&amp;""</f>
        <v>Accredible can comply with institutional privacy and data protection policies for institutional systems as required, subject to review.</v>
      </c>
      <c r="F75" s="199" t="str">
        <f>IFERROR(VLOOKUP($B75,'Institution Evaluation'!$A$55:$F$345,6,0),IFERROR(VLOOKUP($B75,'Privacy Analyst Evaluation'!$A$46:$F$120,6,0),""))&amp;""</f>
        <v/>
      </c>
      <c r="G75" s="200"/>
      <c r="H75" s="199" t="str">
        <f>IFERROR(IF($H74+1&gt;'(backend scoring)'!$Q$335,"",$H74+1),"")</f>
        <v/>
      </c>
      <c r="I75" s="199" t="str">
        <f>_xlfn.XLOOKUP($H75,'(backend scoring)'!$S$2:$S$333,'(backend scoring)'!$A$2:$A$333,"")</f>
        <v/>
      </c>
      <c r="J75" s="199" t="str">
        <f>IFERROR(VLOOKUP($I75,'Institution Evaluation'!$A$55:$F$345,2,0),IFERROR(VLOOKUP($I75,'Privacy Analyst Evaluation'!$A$46:$F$120,2,0),""))</f>
        <v/>
      </c>
      <c r="K75" s="199" t="str">
        <f>IFERROR(VLOOKUP($I75,'Institution Evaluation'!$A$55:$F$345,3,0),IFERROR(VLOOKUP($I75,'Privacy Analyst Evaluation'!$A$46:$F$120,3,0),""))&amp;""</f>
        <v/>
      </c>
      <c r="L75" s="199" t="str">
        <f>IFERROR(VLOOKUP($I75,'Institution Evaluation'!$A$55:$F$345,4,0),IFERROR(VLOOKUP($I75,'Privacy Analyst Evaluation'!$A$46:$F$120,4,0),""))&amp;""</f>
        <v/>
      </c>
      <c r="M75" s="199" t="str">
        <f>IFERROR(VLOOKUP($I75,'Institution Evaluation'!$A$55:$F$345,6,0),IFERROR(VLOOKUP($I75,'Privacy Analyst Evaluation'!$A$46:$F$120,6,0),""))&amp;""</f>
        <v/>
      </c>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row>
    <row r="76" spans="1:338" ht="45" customHeight="1" x14ac:dyDescent="0.2">
      <c r="A76" s="199">
        <f>IFERROR(IF($A75+1&gt;'(backend scoring)'!$T$335,"",$A75+1),"")</f>
        <v>52</v>
      </c>
      <c r="B76" s="199" t="str">
        <f>_xlfn.XLOOKUP($A76,'(backend scoring)'!$V$2:$V$333,'(backend scoring)'!$A$2:$A$333,"")</f>
        <v>PPPR-03</v>
      </c>
      <c r="C76" s="199" t="str">
        <f>IFERROR(VLOOKUP($B76,'Institution Evaluation'!$A$55:$F$345,2,0),IFERROR(VLOOKUP($B76,'Privacy Analyst Evaluation'!$A$46:$F$120,2,0),""))&amp;""</f>
        <v>Is your company subject to the institution's geographic region's laws and regulations?*</v>
      </c>
      <c r="D76" s="199" t="str">
        <f>IFERROR(VLOOKUP($B76,'Institution Evaluation'!$A$55:$F$345,3,0),IFERROR(VLOOKUP($B76,'Privacy Analyst Evaluation'!$A$46:$F$120,3,0),""))&amp;""</f>
        <v>Yes</v>
      </c>
      <c r="E76" s="199" t="str">
        <f>IFERROR(VLOOKUP($B76,'Institution Evaluation'!$A$55:$F$345,4,0),IFERROR(VLOOKUP($B76,'Privacy Analyst Evaluation'!$A$46:$F$120,4,0),""))&amp;""</f>
        <v>Accredible (EdInvent Inc.) is a US-registered company subject to applicable US federal and state laws. Accredible Ltd. is subject to UK laws. Accredible complies with GDPR as a data processor for EU customers.</v>
      </c>
      <c r="F76" s="199" t="str">
        <f>IFERROR(VLOOKUP($B76,'Institution Evaluation'!$A$55:$F$345,6,0),IFERROR(VLOOKUP($B76,'Privacy Analyst Evaluation'!$A$46:$F$120,6,0),""))&amp;""</f>
        <v/>
      </c>
      <c r="G76" s="200"/>
      <c r="H76" s="199" t="str">
        <f>IFERROR(IF($H75+1&gt;'(backend scoring)'!$Q$335,"",$H75+1),"")</f>
        <v/>
      </c>
      <c r="I76" s="199" t="str">
        <f>_xlfn.XLOOKUP($H76,'(backend scoring)'!$S$2:$S$333,'(backend scoring)'!$A$2:$A$333,"")</f>
        <v/>
      </c>
      <c r="J76" s="199" t="str">
        <f>IFERROR(VLOOKUP($I76,'Institution Evaluation'!$A$55:$F$345,2,0),IFERROR(VLOOKUP($I76,'Privacy Analyst Evaluation'!$A$46:$F$120,2,0),""))</f>
        <v/>
      </c>
      <c r="K76" s="199" t="str">
        <f>IFERROR(VLOOKUP($I76,'Institution Evaluation'!$A$55:$F$345,3,0),IFERROR(VLOOKUP($I76,'Privacy Analyst Evaluation'!$A$46:$F$120,3,0),""))&amp;""</f>
        <v/>
      </c>
      <c r="L76" s="199" t="str">
        <f>IFERROR(VLOOKUP($I76,'Institution Evaluation'!$A$55:$F$345,4,0),IFERROR(VLOOKUP($I76,'Privacy Analyst Evaluation'!$A$46:$F$120,4,0),""))&amp;""</f>
        <v/>
      </c>
      <c r="M76" s="199" t="str">
        <f>IFERROR(VLOOKUP($I76,'Institution Evaluation'!$A$55:$F$345,6,0),IFERROR(VLOOKUP($I76,'Privacy Analyst Evaluation'!$A$46:$F$120,6,0),""))&amp;""</f>
        <v/>
      </c>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row>
    <row r="77" spans="1:338" ht="90" customHeight="1" x14ac:dyDescent="0.2">
      <c r="A77" s="199">
        <f>IFERROR(IF($A76+1&gt;'(backend scoring)'!$T$335,"",$A76+1),"")</f>
        <v>53</v>
      </c>
      <c r="B77" s="199" t="str">
        <f>_xlfn.XLOOKUP($A77,'(backend scoring)'!$V$2:$V$333,'(backend scoring)'!$A$2:$A$333,"")</f>
        <v>VULN-01</v>
      </c>
      <c r="C77" s="199" t="str">
        <f>IFERROR(VLOOKUP($B77,'Institution Evaluation'!$A$55:$F$345,2,0),IFERROR(VLOOKUP($B77,'Privacy Analyst Evaluation'!$A$46:$F$120,2,0),""))&amp;""</f>
        <v>Are your systems and applications scanned with an authenticated user account for vulnerabilities (that are remediated) prior to new releases?*</v>
      </c>
      <c r="D77" s="199" t="str">
        <f>IFERROR(VLOOKUP($B77,'Institution Evaluation'!$A$55:$F$345,3,0),IFERROR(VLOOKUP($B77,'Privacy Analyst Evaluation'!$A$46:$F$120,3,0),""))&amp;""</f>
        <v>Yes</v>
      </c>
      <c r="E77" s="199" t="str">
        <f>IFERROR(VLOOKUP($B77,'Institution Evaluation'!$A$55:$F$345,4,0),IFERROR(VLOOKUP($B77,'Privacy Analyst Evaluation'!$A$46:$F$120,4,0),""))&amp;""</f>
        <v>Accredible scans systems and applications with authenticated accounts for vulnerabilities prior to new releases. Automated scans of production websites are performed at least every 7 days.</v>
      </c>
      <c r="F77" s="199" t="str">
        <f>IFERROR(VLOOKUP($B77,'Institution Evaluation'!$A$55:$F$345,6,0),IFERROR(VLOOKUP($B77,'Privacy Analyst Evaluation'!$A$46:$F$120,6,0),""))&amp;""</f>
        <v/>
      </c>
      <c r="G77" s="200"/>
      <c r="H77" s="199" t="str">
        <f>IFERROR(IF($H76+1&gt;'(backend scoring)'!$Q$335,"",$H76+1),"")</f>
        <v/>
      </c>
      <c r="I77" s="199" t="str">
        <f>_xlfn.XLOOKUP($H77,'(backend scoring)'!$S$2:$S$333,'(backend scoring)'!$A$2:$A$333,"")</f>
        <v/>
      </c>
      <c r="J77" s="199" t="str">
        <f>IFERROR(VLOOKUP($I77,'Institution Evaluation'!$A$55:$F$345,2,0),IFERROR(VLOOKUP($I77,'Privacy Analyst Evaluation'!$A$46:$F$120,2,0),""))</f>
        <v/>
      </c>
      <c r="K77" s="199" t="str">
        <f>IFERROR(VLOOKUP($I77,'Institution Evaluation'!$A$55:$F$345,3,0),IFERROR(VLOOKUP($I77,'Privacy Analyst Evaluation'!$A$46:$F$120,3,0),""))&amp;""</f>
        <v/>
      </c>
      <c r="L77" s="199" t="str">
        <f>IFERROR(VLOOKUP($I77,'Institution Evaluation'!$A$55:$F$345,4,0),IFERROR(VLOOKUP($I77,'Privacy Analyst Evaluation'!$A$46:$F$120,4,0),""))&amp;""</f>
        <v/>
      </c>
      <c r="M77" s="199" t="str">
        <f>IFERROR(VLOOKUP($I77,'Institution Evaluation'!$A$55:$F$345,6,0),IFERROR(VLOOKUP($I77,'Privacy Analyst Evaluation'!$A$46:$F$120,6,0),""))&amp;""</f>
        <v/>
      </c>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row>
    <row r="78" spans="1:338" ht="60" customHeight="1" x14ac:dyDescent="0.2">
      <c r="A78" s="199">
        <f>IFERROR(IF($A77+1&gt;'(backend scoring)'!$T$335,"",$A77+1),"")</f>
        <v>54</v>
      </c>
      <c r="B78" s="199" t="str">
        <f>_xlfn.XLOOKUP($A78,'(backend scoring)'!$V$2:$V$333,'(backend scoring)'!$A$2:$A$333,"")</f>
        <v>VULN-02</v>
      </c>
      <c r="C78" s="199" t="str">
        <f>IFERROR(VLOOKUP($B78,'Institution Evaluation'!$A$55:$F$345,2,0),IFERROR(VLOOKUP($B78,'Privacy Analyst Evaluation'!$A$46:$F$120,2,0),""))&amp;""</f>
        <v>Will you provide results of application and system vulnerability scans to the institution?*</v>
      </c>
      <c r="D78" s="199" t="str">
        <f>IFERROR(VLOOKUP($B78,'Institution Evaluation'!$A$55:$F$345,3,0),IFERROR(VLOOKUP($B78,'Privacy Analyst Evaluation'!$A$46:$F$120,3,0),""))&amp;""</f>
        <v>Yes</v>
      </c>
      <c r="E78" s="199" t="str">
        <f>IFERROR(VLOOKUP($B78,'Institution Evaluation'!$A$55:$F$345,4,0),IFERROR(VLOOKUP($B78,'Privacy Analyst Evaluation'!$A$46:$F$120,4,0),""))&amp;""</f>
        <v>Accredible can provide results of vulnerability scans to the institution under NDA upon request.</v>
      </c>
      <c r="F78" s="199" t="str">
        <f>IFERROR(VLOOKUP($B78,'Institution Evaluation'!$A$55:$F$345,6,0),IFERROR(VLOOKUP($B78,'Privacy Analyst Evaluation'!$A$46:$F$120,6,0),""))&amp;""</f>
        <v/>
      </c>
      <c r="G78" s="200"/>
      <c r="H78" s="199" t="str">
        <f>IFERROR(IF($H77+1&gt;'(backend scoring)'!$Q$335,"",$H77+1),"")</f>
        <v/>
      </c>
      <c r="I78" s="199" t="str">
        <f>_xlfn.XLOOKUP($H78,'(backend scoring)'!$S$2:$S$333,'(backend scoring)'!$A$2:$A$333,"")</f>
        <v/>
      </c>
      <c r="J78" s="199" t="str">
        <f>IFERROR(VLOOKUP($I78,'Institution Evaluation'!$A$55:$F$345,2,0),IFERROR(VLOOKUP($I78,'Privacy Analyst Evaluation'!$A$46:$F$120,2,0),""))</f>
        <v/>
      </c>
      <c r="K78" s="199" t="str">
        <f>IFERROR(VLOOKUP($I78,'Institution Evaluation'!$A$55:$F$345,3,0),IFERROR(VLOOKUP($I78,'Privacy Analyst Evaluation'!$A$46:$F$120,3,0),""))&amp;""</f>
        <v/>
      </c>
      <c r="L78" s="199" t="str">
        <f>IFERROR(VLOOKUP($I78,'Institution Evaluation'!$A$55:$F$345,4,0),IFERROR(VLOOKUP($I78,'Privacy Analyst Evaluation'!$A$46:$F$120,4,0),""))&amp;""</f>
        <v/>
      </c>
      <c r="M78" s="199" t="str">
        <f>IFERROR(VLOOKUP($I78,'Institution Evaluation'!$A$55:$F$345,6,0),IFERROR(VLOOKUP($I78,'Privacy Analyst Evaluation'!$A$46:$F$120,6,0),""))&amp;""</f>
        <v/>
      </c>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row>
    <row r="79" spans="1:338" ht="105" customHeight="1" x14ac:dyDescent="0.2">
      <c r="A79" s="199">
        <f>IFERROR(IF($A78+1&gt;'(backend scoring)'!$T$335,"",$A78+1),"")</f>
        <v>55</v>
      </c>
      <c r="B79" s="199" t="str">
        <f>_xlfn.XLOOKUP($A79,'(backend scoring)'!$V$2:$V$333,'(backend scoring)'!$A$2:$A$333,"")</f>
        <v>VULN-03</v>
      </c>
      <c r="C79" s="199" t="str">
        <f>IFERROR(VLOOKUP($B79,'Institution Evaluation'!$A$55:$F$345,2,0),IFERROR(VLOOKUP($B79,'Privacy Analyst Evaluation'!$A$46:$F$120,2,0),""))&amp;""</f>
        <v>Will you allow the institution to perform its own vulnerability testing and/or scanning of your systems and/or application, provided that testing is performed at a mutually agreed upon time and date?*</v>
      </c>
      <c r="D79" s="199" t="str">
        <f>IFERROR(VLOOKUP($B79,'Institution Evaluation'!$A$55:$F$345,3,0),IFERROR(VLOOKUP($B79,'Privacy Analyst Evaluation'!$A$46:$F$120,3,0),""))&amp;""</f>
        <v>Yes</v>
      </c>
      <c r="E79" s="199" t="str">
        <f>IFERROR(VLOOKUP($B79,'Institution Evaluation'!$A$55:$F$345,4,0),IFERROR(VLOOKUP($B79,'Privacy Analyst Evaluation'!$A$46:$F$120,4,0),""))&amp;""</f>
        <v>Accredible will allow the institution to perform its own vulnerability testing at a mutually agreed upon time and date.</v>
      </c>
      <c r="F79" s="199" t="str">
        <f>IFERROR(VLOOKUP($B79,'Institution Evaluation'!$A$55:$F$345,6,0),IFERROR(VLOOKUP($B79,'Privacy Analyst Evaluation'!$A$46:$F$120,6,0),""))&amp;""</f>
        <v/>
      </c>
      <c r="G79" s="200"/>
      <c r="H79" s="199" t="str">
        <f>IFERROR(IF($H78+1&gt;'(backend scoring)'!$Q$335,"",$H78+1),"")</f>
        <v/>
      </c>
      <c r="I79" s="199" t="str">
        <f>_xlfn.XLOOKUP($H79,'(backend scoring)'!$S$2:$S$333,'(backend scoring)'!$A$2:$A$333,"")</f>
        <v/>
      </c>
      <c r="J79" s="199" t="str">
        <f>IFERROR(VLOOKUP($I79,'Institution Evaluation'!$A$55:$F$345,2,0),IFERROR(VLOOKUP($I79,'Privacy Analyst Evaluation'!$A$46:$F$120,2,0),""))</f>
        <v/>
      </c>
      <c r="K79" s="199" t="str">
        <f>IFERROR(VLOOKUP($I79,'Institution Evaluation'!$A$55:$F$345,3,0),IFERROR(VLOOKUP($I79,'Privacy Analyst Evaluation'!$A$46:$F$120,3,0),""))&amp;""</f>
        <v/>
      </c>
      <c r="L79" s="199" t="str">
        <f>IFERROR(VLOOKUP($I79,'Institution Evaluation'!$A$55:$F$345,4,0),IFERROR(VLOOKUP($I79,'Privacy Analyst Evaluation'!$A$46:$F$120,4,0),""))&amp;""</f>
        <v/>
      </c>
      <c r="M79" s="199" t="str">
        <f>IFERROR(VLOOKUP($I79,'Institution Evaluation'!$A$55:$F$345,6,0),IFERROR(VLOOKUP($I79,'Privacy Analyst Evaluation'!$A$46:$F$120,6,0),""))&amp;""</f>
        <v/>
      </c>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row>
    <row r="80" spans="1:338" ht="105" customHeight="1" x14ac:dyDescent="0.2">
      <c r="A80" s="199">
        <f>IFERROR(IF($A79+1&gt;'(backend scoring)'!$T$335,"",$A79+1),"")</f>
        <v>56</v>
      </c>
      <c r="B80" s="199" t="str">
        <f>_xlfn.XLOOKUP($A80,'(backend scoring)'!$V$2:$V$333,'(backend scoring)'!$A$2:$A$333,"")</f>
        <v>HIPA-01</v>
      </c>
      <c r="C80" s="199" t="str">
        <f>IFERROR(VLOOKUP($B80,'Institution Evaluation'!$A$55:$F$345,2,0),IFERROR(VLOOKUP($B80,'Privacy Analyst Evaluation'!$A$46:$F$120,2,0),""))&amp;""</f>
        <v>Do your workforce members receive regular training related to the Health Insurance Portability and Accountability Act (HIPAA) Privacy and Security Rules and the HITECH Act?*</v>
      </c>
      <c r="D80" s="199" t="str">
        <f>IFERROR(VLOOKUP($B80,'Institution Evaluation'!$A$55:$F$345,3,0),IFERROR(VLOOKUP($B80,'Privacy Analyst Evaluation'!$A$46:$F$120,3,0),""))&amp;""</f>
        <v>N/A</v>
      </c>
      <c r="E80" s="199" t="str">
        <f>IFERROR(VLOOKUP($B80,'Institution Evaluation'!$A$55:$F$345,4,0),IFERROR(VLOOKUP($B80,'Privacy Analyst Evaluation'!$A$46:$F$120,4,0),""))&amp;""</f>
        <v>This question does not apply.</v>
      </c>
      <c r="F80" s="199" t="str">
        <f>IFERROR(VLOOKUP($B80,'Institution Evaluation'!$A$55:$F$345,6,0),IFERROR(VLOOKUP($B80,'Privacy Analyst Evaluation'!$A$46:$F$120,6,0),""))&amp;""</f>
        <v/>
      </c>
      <c r="G80" s="200"/>
      <c r="H80" s="199" t="str">
        <f>IFERROR(IF($H79+1&gt;'(backend scoring)'!$Q$335,"",$H79+1),"")</f>
        <v/>
      </c>
      <c r="I80" s="199" t="str">
        <f>_xlfn.XLOOKUP($H80,'(backend scoring)'!$S$2:$S$333,'(backend scoring)'!$A$2:$A$333,"")</f>
        <v/>
      </c>
      <c r="J80" s="199" t="str">
        <f>IFERROR(VLOOKUP($I80,'Institution Evaluation'!$A$55:$F$345,2,0),IFERROR(VLOOKUP($I80,'Privacy Analyst Evaluation'!$A$46:$F$120,2,0),""))</f>
        <v/>
      </c>
      <c r="K80" s="199" t="str">
        <f>IFERROR(VLOOKUP($I80,'Institution Evaluation'!$A$55:$F$345,3,0),IFERROR(VLOOKUP($I80,'Privacy Analyst Evaluation'!$A$46:$F$120,3,0),""))&amp;""</f>
        <v/>
      </c>
      <c r="L80" s="199" t="str">
        <f>IFERROR(VLOOKUP($I80,'Institution Evaluation'!$A$55:$F$345,4,0),IFERROR(VLOOKUP($I80,'Privacy Analyst Evaluation'!$A$46:$F$120,4,0),""))&amp;""</f>
        <v/>
      </c>
      <c r="M80" s="199" t="str">
        <f>IFERROR(VLOOKUP($I80,'Institution Evaluation'!$A$55:$F$345,6,0),IFERROR(VLOOKUP($I80,'Privacy Analyst Evaluation'!$A$46:$F$120,6,0),""))&amp;""</f>
        <v/>
      </c>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row>
    <row r="81" spans="1:338" ht="30" customHeight="1" x14ac:dyDescent="0.2">
      <c r="A81" s="199">
        <f>IFERROR(IF($A80+1&gt;'(backend scoring)'!$T$335,"",$A80+1),"")</f>
        <v>57</v>
      </c>
      <c r="B81" s="199" t="str">
        <f>_xlfn.XLOOKUP($A81,'(backend scoring)'!$V$2:$V$333,'(backend scoring)'!$A$2:$A$333,"")</f>
        <v>HIPA-02</v>
      </c>
      <c r="C81" s="199" t="str">
        <f>IFERROR(VLOOKUP($B81,'Institution Evaluation'!$A$55:$F$345,2,0),IFERROR(VLOOKUP($B81,'Privacy Analyst Evaluation'!$A$46:$F$120,2,0),""))&amp;""</f>
        <v>Have you identified areas of risk?*</v>
      </c>
      <c r="D81" s="199" t="str">
        <f>IFERROR(VLOOKUP($B81,'Institution Evaluation'!$A$55:$F$345,3,0),IFERROR(VLOOKUP($B81,'Privacy Analyst Evaluation'!$A$46:$F$120,3,0),""))&amp;""</f>
        <v>N/A</v>
      </c>
      <c r="E81" s="199" t="str">
        <f>IFERROR(VLOOKUP($B81,'Institution Evaluation'!$A$55:$F$345,4,0),IFERROR(VLOOKUP($B81,'Privacy Analyst Evaluation'!$A$46:$F$120,4,0),""))&amp;""</f>
        <v>This question does not apply.</v>
      </c>
      <c r="F81" s="199" t="str">
        <f>IFERROR(VLOOKUP($B81,'Institution Evaluation'!$A$55:$F$345,6,0),IFERROR(VLOOKUP($B81,'Privacy Analyst Evaluation'!$A$46:$F$120,6,0),""))&amp;""</f>
        <v/>
      </c>
      <c r="G81" s="200"/>
      <c r="H81" s="199" t="str">
        <f>IFERROR(IF($H80+1&gt;'(backend scoring)'!$Q$335,"",$H80+1),"")</f>
        <v/>
      </c>
      <c r="I81" s="199" t="str">
        <f>_xlfn.XLOOKUP($H81,'(backend scoring)'!$S$2:$S$333,'(backend scoring)'!$A$2:$A$333,"")</f>
        <v/>
      </c>
      <c r="J81" s="199" t="str">
        <f>IFERROR(VLOOKUP($I81,'Institution Evaluation'!$A$55:$F$345,2,0),IFERROR(VLOOKUP($I81,'Privacy Analyst Evaluation'!$A$46:$F$120,2,0),""))</f>
        <v/>
      </c>
      <c r="K81" s="199" t="str">
        <f>IFERROR(VLOOKUP($I81,'Institution Evaluation'!$A$55:$F$345,3,0),IFERROR(VLOOKUP($I81,'Privacy Analyst Evaluation'!$A$46:$F$120,3,0),""))&amp;""</f>
        <v/>
      </c>
      <c r="L81" s="199" t="str">
        <f>IFERROR(VLOOKUP($I81,'Institution Evaluation'!$A$55:$F$345,4,0),IFERROR(VLOOKUP($I81,'Privacy Analyst Evaluation'!$A$46:$F$120,4,0),""))&amp;""</f>
        <v/>
      </c>
      <c r="M81" s="199" t="str">
        <f>IFERROR(VLOOKUP($I81,'Institution Evaluation'!$A$55:$F$345,6,0),IFERROR(VLOOKUP($I81,'Privacy Analyst Evaluation'!$A$46:$F$120,6,0),""))&amp;""</f>
        <v/>
      </c>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row>
    <row r="82" spans="1:338" ht="30" customHeight="1" x14ac:dyDescent="0.2">
      <c r="A82" s="199">
        <f>IFERROR(IF($A81+1&gt;'(backend scoring)'!$T$335,"",$A81+1),"")</f>
        <v>58</v>
      </c>
      <c r="B82" s="199" t="str">
        <f>_xlfn.XLOOKUP($A82,'(backend scoring)'!$V$2:$V$333,'(backend scoring)'!$A$2:$A$333,"")</f>
        <v>HIPA-03</v>
      </c>
      <c r="C82" s="199" t="str">
        <f>IFERROR(VLOOKUP($B82,'Institution Evaluation'!$A$55:$F$345,2,0),IFERROR(VLOOKUP($B82,'Privacy Analyst Evaluation'!$A$46:$F$120,2,0),""))&amp;""</f>
        <v>Have the relevant policies/plans been tested?*</v>
      </c>
      <c r="D82" s="199" t="str">
        <f>IFERROR(VLOOKUP($B82,'Institution Evaluation'!$A$55:$F$345,3,0),IFERROR(VLOOKUP($B82,'Privacy Analyst Evaluation'!$A$46:$F$120,3,0),""))&amp;""</f>
        <v>N/A</v>
      </c>
      <c r="E82" s="199" t="str">
        <f>IFERROR(VLOOKUP($B82,'Institution Evaluation'!$A$55:$F$345,4,0),IFERROR(VLOOKUP($B82,'Privacy Analyst Evaluation'!$A$46:$F$120,4,0),""))&amp;""</f>
        <v>This question does not apply.</v>
      </c>
      <c r="F82" s="199" t="str">
        <f>IFERROR(VLOOKUP($B82,'Institution Evaluation'!$A$55:$F$345,6,0),IFERROR(VLOOKUP($B82,'Privacy Analyst Evaluation'!$A$46:$F$120,6,0),""))&amp;""</f>
        <v/>
      </c>
      <c r="G82" s="200"/>
      <c r="H82" s="199" t="str">
        <f>IFERROR(IF($H81+1&gt;'(backend scoring)'!$Q$335,"",$H81+1),"")</f>
        <v/>
      </c>
      <c r="I82" s="199" t="str">
        <f>_xlfn.XLOOKUP($H82,'(backend scoring)'!$S$2:$S$333,'(backend scoring)'!$A$2:$A$333,"")</f>
        <v/>
      </c>
      <c r="J82" s="199" t="str">
        <f>IFERROR(VLOOKUP($I82,'Institution Evaluation'!$A$55:$F$345,2,0),IFERROR(VLOOKUP($I82,'Privacy Analyst Evaluation'!$A$46:$F$120,2,0),""))</f>
        <v/>
      </c>
      <c r="K82" s="199" t="str">
        <f>IFERROR(VLOOKUP($I82,'Institution Evaluation'!$A$55:$F$345,3,0),IFERROR(VLOOKUP($I82,'Privacy Analyst Evaluation'!$A$46:$F$120,3,0),""))&amp;""</f>
        <v/>
      </c>
      <c r="L82" s="199" t="str">
        <f>IFERROR(VLOOKUP($I82,'Institution Evaluation'!$A$55:$F$345,4,0),IFERROR(VLOOKUP($I82,'Privacy Analyst Evaluation'!$A$46:$F$120,4,0),""))&amp;""</f>
        <v/>
      </c>
      <c r="M82" s="199" t="str">
        <f>IFERROR(VLOOKUP($I82,'Institution Evaluation'!$A$55:$F$345,6,0),IFERROR(VLOOKUP($I82,'Privacy Analyst Evaluation'!$A$46:$F$120,6,0),""))&amp;""</f>
        <v/>
      </c>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row>
    <row r="83" spans="1:338" ht="75" customHeight="1" x14ac:dyDescent="0.2">
      <c r="A83" s="199">
        <f>IFERROR(IF($A82+1&gt;'(backend scoring)'!$T$335,"",$A82+1),"")</f>
        <v>59</v>
      </c>
      <c r="B83" s="199" t="str">
        <f>_xlfn.XLOOKUP($A83,'(backend scoring)'!$V$2:$V$333,'(backend scoring)'!$A$2:$A$333,"")</f>
        <v>HIPA-04</v>
      </c>
      <c r="C83" s="199" t="str">
        <f>IFERROR(VLOOKUP($B83,'Institution Evaluation'!$A$55:$F$345,2,0),IFERROR(VLOOKUP($B83,'Privacy Analyst Evaluation'!$A$46:$F$120,2,0),""))&amp;""</f>
        <v>Have you entered into a Business Associate Agreements with all subcontractors who may have access to protected health information (PHI)?*</v>
      </c>
      <c r="D83" s="199" t="str">
        <f>IFERROR(VLOOKUP($B83,'Institution Evaluation'!$A$55:$F$345,3,0),IFERROR(VLOOKUP($B83,'Privacy Analyst Evaluation'!$A$46:$F$120,3,0),""))&amp;""</f>
        <v>N/A</v>
      </c>
      <c r="E83" s="199" t="str">
        <f>IFERROR(VLOOKUP($B83,'Institution Evaluation'!$A$55:$F$345,4,0),IFERROR(VLOOKUP($B83,'Privacy Analyst Evaluation'!$A$46:$F$120,4,0),""))&amp;""</f>
        <v>This question does not apply.</v>
      </c>
      <c r="F83" s="199" t="str">
        <f>IFERROR(VLOOKUP($B83,'Institution Evaluation'!$A$55:$F$345,6,0),IFERROR(VLOOKUP($B83,'Privacy Analyst Evaluation'!$A$46:$F$120,6,0),""))&amp;""</f>
        <v/>
      </c>
      <c r="G83" s="200"/>
      <c r="H83" s="199" t="str">
        <f>IFERROR(IF($H82+1&gt;'(backend scoring)'!$Q$335,"",$H82+1),"")</f>
        <v/>
      </c>
      <c r="I83" s="199" t="str">
        <f>_xlfn.XLOOKUP($H83,'(backend scoring)'!$S$2:$S$333,'(backend scoring)'!$A$2:$A$333,"")</f>
        <v/>
      </c>
      <c r="J83" s="199" t="str">
        <f>IFERROR(VLOOKUP($I83,'Institution Evaluation'!$A$55:$F$345,2,0),IFERROR(VLOOKUP($I83,'Privacy Analyst Evaluation'!$A$46:$F$120,2,0),""))</f>
        <v/>
      </c>
      <c r="K83" s="199" t="str">
        <f>IFERROR(VLOOKUP($I83,'Institution Evaluation'!$A$55:$F$345,3,0),IFERROR(VLOOKUP($I83,'Privacy Analyst Evaluation'!$A$46:$F$120,3,0),""))&amp;""</f>
        <v/>
      </c>
      <c r="L83" s="199" t="str">
        <f>IFERROR(VLOOKUP($I83,'Institution Evaluation'!$A$55:$F$345,4,0),IFERROR(VLOOKUP($I83,'Privacy Analyst Evaluation'!$A$46:$F$120,4,0),""))&amp;""</f>
        <v/>
      </c>
      <c r="M83" s="199" t="str">
        <f>IFERROR(VLOOKUP($I83,'Institution Evaluation'!$A$55:$F$345,6,0),IFERROR(VLOOKUP($I83,'Privacy Analyst Evaluation'!$A$46:$F$120,6,0),""))&amp;""</f>
        <v/>
      </c>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row>
    <row r="84" spans="1:338" ht="75" customHeight="1" x14ac:dyDescent="0.2">
      <c r="A84" s="199">
        <f>IFERROR(IF($A83+1&gt;'(backend scoring)'!$T$335,"",$A83+1),"")</f>
        <v>60</v>
      </c>
      <c r="B84" s="199" t="str">
        <f>_xlfn.XLOOKUP($A84,'(backend scoring)'!$V$2:$V$333,'(backend scoring)'!$A$2:$A$333,"")</f>
        <v>PCID-01</v>
      </c>
      <c r="C84" s="199" t="str">
        <f>IFERROR(VLOOKUP($B84,'Institution Evaluation'!$A$55:$F$345,2,0),IFERROR(VLOOKUP($B84,'Privacy Analyst Evaluation'!$A$46:$F$120,2,0),""))&amp;""</f>
        <v>Do you have a current, executed within the past year, Attestation of Compliance (AoC) or Report on Compliance (RoC)?*</v>
      </c>
      <c r="D84" s="199" t="str">
        <f>IFERROR(VLOOKUP($B84,'Institution Evaluation'!$A$55:$F$345,3,0),IFERROR(VLOOKUP($B84,'Privacy Analyst Evaluation'!$A$46:$F$120,3,0),""))&amp;""</f>
        <v>N/A</v>
      </c>
      <c r="E84" s="199" t="str">
        <f>IFERROR(VLOOKUP($B84,'Institution Evaluation'!$A$55:$F$345,4,0),IFERROR(VLOOKUP($B84,'Privacy Analyst Evaluation'!$A$46:$F$120,4,0),""))&amp;""</f>
        <v>This question does not apply.</v>
      </c>
      <c r="F84" s="199" t="str">
        <f>IFERROR(VLOOKUP($B84,'Institution Evaluation'!$A$55:$F$345,6,0),IFERROR(VLOOKUP($B84,'Privacy Analyst Evaluation'!$A$46:$F$120,6,0),""))&amp;""</f>
        <v/>
      </c>
      <c r="G84" s="200"/>
      <c r="H84" s="199" t="str">
        <f>IFERROR(IF($H83+1&gt;'(backend scoring)'!$Q$335,"",$H83+1),"")</f>
        <v/>
      </c>
      <c r="I84" s="199" t="str">
        <f>_xlfn.XLOOKUP($H84,'(backend scoring)'!$S$2:$S$333,'(backend scoring)'!$A$2:$A$333,"")</f>
        <v/>
      </c>
      <c r="J84" s="199" t="str">
        <f>IFERROR(VLOOKUP($I84,'Institution Evaluation'!$A$55:$F$345,2,0),IFERROR(VLOOKUP($I84,'Privacy Analyst Evaluation'!$A$46:$F$120,2,0),""))</f>
        <v/>
      </c>
      <c r="K84" s="199" t="str">
        <f>IFERROR(VLOOKUP($I84,'Institution Evaluation'!$A$55:$F$345,3,0),IFERROR(VLOOKUP($I84,'Privacy Analyst Evaluation'!$A$46:$F$120,3,0),""))&amp;""</f>
        <v/>
      </c>
      <c r="L84" s="199" t="str">
        <f>IFERROR(VLOOKUP($I84,'Institution Evaluation'!$A$55:$F$345,4,0),IFERROR(VLOOKUP($I84,'Privacy Analyst Evaluation'!$A$46:$F$120,4,0),""))&amp;""</f>
        <v/>
      </c>
      <c r="M84" s="199" t="str">
        <f>IFERROR(VLOOKUP($I84,'Institution Evaluation'!$A$55:$F$345,6,0),IFERROR(VLOOKUP($I84,'Privacy Analyst Evaluation'!$A$46:$F$120,6,0),""))&amp;""</f>
        <v/>
      </c>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row>
    <row r="85" spans="1:338" ht="60" customHeight="1" x14ac:dyDescent="0.2">
      <c r="A85" s="199">
        <f>IFERROR(IF($A84+1&gt;'(backend scoring)'!$T$335,"",$A84+1),"")</f>
        <v>61</v>
      </c>
      <c r="B85" s="199" t="str">
        <f>_xlfn.XLOOKUP($A85,'(backend scoring)'!$V$2:$V$333,'(backend scoring)'!$A$2:$A$333,"")</f>
        <v>PCID-02</v>
      </c>
      <c r="C85" s="199" t="str">
        <f>IFERROR(VLOOKUP($B85,'Institution Evaluation'!$A$55:$F$345,2,0),IFERROR(VLOOKUP($B85,'Privacy Analyst Evaluation'!$A$46:$F$120,2,0),""))&amp;""</f>
        <v>Is the application listed as an approved Payment Application Data Security Standard (PA-DSS) application?*</v>
      </c>
      <c r="D85" s="199" t="str">
        <f>IFERROR(VLOOKUP($B85,'Institution Evaluation'!$A$55:$F$345,3,0),IFERROR(VLOOKUP($B85,'Privacy Analyst Evaluation'!$A$46:$F$120,3,0),""))&amp;""</f>
        <v>N/A</v>
      </c>
      <c r="E85" s="199" t="str">
        <f>IFERROR(VLOOKUP($B85,'Institution Evaluation'!$A$55:$F$345,4,0),IFERROR(VLOOKUP($B85,'Privacy Analyst Evaluation'!$A$46:$F$120,4,0),""))&amp;""</f>
        <v>This question does not apply.</v>
      </c>
      <c r="F85" s="199" t="str">
        <f>IFERROR(VLOOKUP($B85,'Institution Evaluation'!$A$55:$F$345,6,0),IFERROR(VLOOKUP($B85,'Privacy Analyst Evaluation'!$A$46:$F$120,6,0),""))&amp;""</f>
        <v/>
      </c>
      <c r="G85" s="200"/>
      <c r="H85" s="199" t="str">
        <f>IFERROR(IF($H84+1&gt;'(backend scoring)'!$Q$335,"",$H84+1),"")</f>
        <v/>
      </c>
      <c r="I85" s="199" t="str">
        <f>_xlfn.XLOOKUP($H85,'(backend scoring)'!$S$2:$S$333,'(backend scoring)'!$A$2:$A$333,"")</f>
        <v/>
      </c>
      <c r="J85" s="199" t="str">
        <f>IFERROR(VLOOKUP($I85,'Institution Evaluation'!$A$55:$F$345,2,0),IFERROR(VLOOKUP($I85,'Privacy Analyst Evaluation'!$A$46:$F$120,2,0),""))</f>
        <v/>
      </c>
      <c r="K85" s="199" t="str">
        <f>IFERROR(VLOOKUP($I85,'Institution Evaluation'!$A$55:$F$345,3,0),IFERROR(VLOOKUP($I85,'Privacy Analyst Evaluation'!$A$46:$F$120,3,0),""))&amp;""</f>
        <v/>
      </c>
      <c r="L85" s="199" t="str">
        <f>IFERROR(VLOOKUP($I85,'Institution Evaluation'!$A$55:$F$345,4,0),IFERROR(VLOOKUP($I85,'Privacy Analyst Evaluation'!$A$46:$F$120,4,0),""))&amp;""</f>
        <v/>
      </c>
      <c r="M85" s="199" t="str">
        <f>IFERROR(VLOOKUP($I85,'Institution Evaluation'!$A$55:$F$345,6,0),IFERROR(VLOOKUP($I85,'Privacy Analyst Evaluation'!$A$46:$F$120,6,0),""))&amp;""</f>
        <v/>
      </c>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row>
    <row r="86" spans="1:338" ht="90" customHeight="1" x14ac:dyDescent="0.2">
      <c r="A86" s="199">
        <f>IFERROR(IF($A85+1&gt;'(backend scoring)'!$T$335,"",$A85+1),"")</f>
        <v>62</v>
      </c>
      <c r="B86" s="199" t="str">
        <f>_xlfn.XLOOKUP($A86,'(backend scoring)'!$V$2:$V$333,'(backend scoring)'!$A$2:$A$333,"")</f>
        <v>PCID-03</v>
      </c>
      <c r="C86" s="199" t="str">
        <f>IFERROR(VLOOKUP($B86,'Institution Evaluation'!$A$55:$F$345,2,0),IFERROR(VLOOKUP($B86,'Privacy Analyst Evaluation'!$A$46:$F$120,2,0),""))&amp;""</f>
        <v>Does the system or solutions use a third party to collect, store, process, or transmit cardholder (payment/credit/debt card) data?*</v>
      </c>
      <c r="D86" s="199" t="str">
        <f>IFERROR(VLOOKUP($B86,'Institution Evaluation'!$A$55:$F$345,3,0),IFERROR(VLOOKUP($B86,'Privacy Analyst Evaluation'!$A$46:$F$120,3,0),""))&amp;""</f>
        <v>N/A</v>
      </c>
      <c r="E86" s="199" t="str">
        <f>IFERROR(VLOOKUP($B86,'Institution Evaluation'!$A$55:$F$345,4,0),IFERROR(VLOOKUP($B86,'Privacy Analyst Evaluation'!$A$46:$F$120,4,0),""))&amp;""</f>
        <v>This question does not apply.</v>
      </c>
      <c r="F86" s="199" t="str">
        <f>IFERROR(VLOOKUP($B86,'Institution Evaluation'!$A$55:$F$345,6,0),IFERROR(VLOOKUP($B86,'Privacy Analyst Evaluation'!$A$46:$F$120,6,0),""))&amp;""</f>
        <v/>
      </c>
      <c r="G86" s="200"/>
      <c r="H86" s="199" t="str">
        <f>IFERROR(IF($H85+1&gt;'(backend scoring)'!$Q$335,"",$H85+1),"")</f>
        <v/>
      </c>
      <c r="I86" s="199" t="str">
        <f>_xlfn.XLOOKUP($H86,'(backend scoring)'!$S$2:$S$333,'(backend scoring)'!$A$2:$A$333,"")</f>
        <v/>
      </c>
      <c r="J86" s="199" t="str">
        <f>IFERROR(VLOOKUP($I86,'Institution Evaluation'!$A$55:$F$345,2,0),IFERROR(VLOOKUP($I86,'Privacy Analyst Evaluation'!$A$46:$F$120,2,0),""))</f>
        <v/>
      </c>
      <c r="K86" s="199" t="str">
        <f>IFERROR(VLOOKUP($I86,'Institution Evaluation'!$A$55:$F$345,3,0),IFERROR(VLOOKUP($I86,'Privacy Analyst Evaluation'!$A$46:$F$120,3,0),""))&amp;""</f>
        <v/>
      </c>
      <c r="L86" s="199" t="str">
        <f>IFERROR(VLOOKUP($I86,'Institution Evaluation'!$A$55:$F$345,4,0),IFERROR(VLOOKUP($I86,'Privacy Analyst Evaluation'!$A$46:$F$120,4,0),""))&amp;""</f>
        <v/>
      </c>
      <c r="M86" s="199" t="str">
        <f>IFERROR(VLOOKUP($I86,'Institution Evaluation'!$A$55:$F$345,6,0),IFERROR(VLOOKUP($I86,'Privacy Analyst Evaluation'!$A$46:$F$120,6,0),""))&amp;""</f>
        <v/>
      </c>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row>
    <row r="87" spans="1:338" ht="105" customHeight="1" x14ac:dyDescent="0.2">
      <c r="A87" s="199">
        <f>IFERROR(IF($A86+1&gt;'(backend scoring)'!$T$335,"",$A86+1),"")</f>
        <v>63</v>
      </c>
      <c r="B87" s="199" t="str">
        <f>_xlfn.XLOOKUP($A87,'(backend scoring)'!$V$2:$V$333,'(backend scoring)'!$A$2:$A$333,"")</f>
        <v>PCOM-01</v>
      </c>
      <c r="C87" s="199" t="str">
        <f>IFERROR(VLOOKUP($B87,'Institution Evaluation'!$A$55:$F$345,2,0),IFERROR(VLOOKUP($B87,'Privacy Analyst Evaluation'!$A$46:$F$120,2,0),""))&amp;""</f>
        <v>Have you had a personal data breach in the past three years that involved reporting to a governmental agency, notice to individuals (including voluntary notice), or notice to another organization or institution?*</v>
      </c>
      <c r="D87" s="199" t="str">
        <f>IFERROR(VLOOKUP($B87,'Institution Evaluation'!$A$55:$F$345,3,0),IFERROR(VLOOKUP($B87,'Privacy Analyst Evaluation'!$A$46:$F$120,3,0),""))&amp;""</f>
        <v>No</v>
      </c>
      <c r="E87" s="199" t="str">
        <f>IFERROR(VLOOKUP($B87,'Institution Evaluation'!$A$55:$F$345,4,0),IFERROR(VLOOKUP($B87,'Privacy Analyst Evaluation'!$A$46:$F$120,4,0),""))&amp;""</f>
        <v>Accredible has not had a personal data breach in the past three years that involved reporting to a governmental agency or notice to individuals.</v>
      </c>
      <c r="F87" s="199" t="str">
        <f>IFERROR(VLOOKUP($B87,'Institution Evaluation'!$A$55:$F$345,6,0),IFERROR(VLOOKUP($B87,'Privacy Analyst Evaluation'!$A$46:$F$120,6,0),""))&amp;""</f>
        <v/>
      </c>
      <c r="G87" s="200"/>
      <c r="H87" s="199" t="str">
        <f>IFERROR(IF($H86+1&gt;'(backend scoring)'!$Q$335,"",$H86+1),"")</f>
        <v/>
      </c>
      <c r="I87" s="199" t="str">
        <f>_xlfn.XLOOKUP($H87,'(backend scoring)'!$S$2:$S$333,'(backend scoring)'!$A$2:$A$333,"")</f>
        <v/>
      </c>
      <c r="J87" s="199" t="str">
        <f>IFERROR(VLOOKUP($I87,'Institution Evaluation'!$A$55:$F$345,2,0),IFERROR(VLOOKUP($I87,'Privacy Analyst Evaluation'!$A$46:$F$120,2,0),""))</f>
        <v/>
      </c>
      <c r="K87" s="199" t="str">
        <f>IFERROR(VLOOKUP($I87,'Institution Evaluation'!$A$55:$F$345,3,0),IFERROR(VLOOKUP($I87,'Privacy Analyst Evaluation'!$A$46:$F$120,3,0),""))&amp;""</f>
        <v/>
      </c>
      <c r="L87" s="199" t="str">
        <f>IFERROR(VLOOKUP($I87,'Institution Evaluation'!$A$55:$F$345,4,0),IFERROR(VLOOKUP($I87,'Privacy Analyst Evaluation'!$A$46:$F$120,4,0),""))&amp;""</f>
        <v/>
      </c>
      <c r="M87" s="199" t="str">
        <f>IFERROR(VLOOKUP($I87,'Institution Evaluation'!$A$55:$F$345,6,0),IFERROR(VLOOKUP($I87,'Privacy Analyst Evaluation'!$A$46:$F$120,6,0),""))&amp;""</f>
        <v/>
      </c>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row>
    <row r="88" spans="1:338" ht="75" customHeight="1" x14ac:dyDescent="0.2">
      <c r="A88" s="199">
        <f>IFERROR(IF($A87+1&gt;'(backend scoring)'!$T$335,"",$A87+1),"")</f>
        <v>64</v>
      </c>
      <c r="B88" s="199" t="str">
        <f>_xlfn.XLOOKUP($A88,'(backend scoring)'!$V$2:$V$333,'(backend scoring)'!$A$2:$A$333,"")</f>
        <v>PTHP-01</v>
      </c>
      <c r="C88" s="199" t="str">
        <f>IFERROR(VLOOKUP($B88,'Institution Evaluation'!$A$55:$F$345,2,0),IFERROR(VLOOKUP($B88,'Privacy Analyst Evaluation'!$A$46:$F$120,2,0),""))&amp;""</f>
        <v>Do you have contractual agreements with third parties that require them to maintain standards and to comply with all regulatory requirements?*</v>
      </c>
      <c r="D88" s="199" t="str">
        <f>IFERROR(VLOOKUP($B88,'Institution Evaluation'!$A$55:$F$345,3,0),IFERROR(VLOOKUP($B88,'Privacy Analyst Evaluation'!$A$46:$F$120,3,0),""))&amp;""</f>
        <v>Yes</v>
      </c>
      <c r="E88" s="199" t="str">
        <f>IFERROR(VLOOKUP($B88,'Institution Evaluation'!$A$55:$F$345,4,0),IFERROR(VLOOKUP($B88,'Privacy Analyst Evaluation'!$A$46:$F$120,4,0),""))&amp;""</f>
        <v>Accredible has contractual agreements with all third parties and sub-processors requiring them to maintain appropriate standards and comply with regulatory requirements. Sub-processors are prohibited from using or passing on customer data to other parties.</v>
      </c>
      <c r="F88" s="199" t="str">
        <f>IFERROR(VLOOKUP($B88,'Institution Evaluation'!$A$55:$F$345,6,0),IFERROR(VLOOKUP($B88,'Privacy Analyst Evaluation'!$A$46:$F$120,6,0),""))&amp;""</f>
        <v/>
      </c>
      <c r="G88" s="200"/>
      <c r="H88" s="199" t="str">
        <f>IFERROR(IF($H87+1&gt;'(backend scoring)'!$Q$335,"",$H87+1),"")</f>
        <v/>
      </c>
      <c r="I88" s="199" t="str">
        <f>_xlfn.XLOOKUP($H88,'(backend scoring)'!$S$2:$S$333,'(backend scoring)'!$A$2:$A$333,"")</f>
        <v/>
      </c>
      <c r="J88" s="199" t="str">
        <f>IFERROR(VLOOKUP($I88,'Institution Evaluation'!$A$55:$F$345,2,0),IFERROR(VLOOKUP($I88,'Privacy Analyst Evaluation'!$A$46:$F$120,2,0),""))</f>
        <v/>
      </c>
      <c r="K88" s="199" t="str">
        <f>IFERROR(VLOOKUP($I88,'Institution Evaluation'!$A$55:$F$345,3,0),IFERROR(VLOOKUP($I88,'Privacy Analyst Evaluation'!$A$46:$F$120,3,0),""))&amp;""</f>
        <v/>
      </c>
      <c r="L88" s="199" t="str">
        <f>IFERROR(VLOOKUP($I88,'Institution Evaluation'!$A$55:$F$345,4,0),IFERROR(VLOOKUP($I88,'Privacy Analyst Evaluation'!$A$46:$F$120,4,0),""))&amp;""</f>
        <v/>
      </c>
      <c r="M88" s="199" t="str">
        <f>IFERROR(VLOOKUP($I88,'Institution Evaluation'!$A$55:$F$345,6,0),IFERROR(VLOOKUP($I88,'Privacy Analyst Evaluation'!$A$46:$F$120,6,0),""))&amp;""</f>
        <v/>
      </c>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row>
    <row r="89" spans="1:338" ht="45" customHeight="1" x14ac:dyDescent="0.2">
      <c r="A89" s="199">
        <f>IFERROR(IF($A88+1&gt;'(backend scoring)'!$T$335,"",$A88+1),"")</f>
        <v>65</v>
      </c>
      <c r="B89" s="199" t="str">
        <f>_xlfn.XLOOKUP($A89,'(backend scoring)'!$V$2:$V$333,'(backend scoring)'!$A$2:$A$333,"")</f>
        <v>PDAT-01</v>
      </c>
      <c r="C89" s="199" t="str">
        <f>IFERROR(VLOOKUP($B89,'Institution Evaluation'!$A$55:$F$345,2,0),IFERROR(VLOOKUP($B89,'Privacy Analyst Evaluation'!$A$46:$F$120,2,0),""))&amp;""</f>
        <v>Do you collect, process, or store demographic information?*</v>
      </c>
      <c r="D89" s="199" t="str">
        <f>IFERROR(VLOOKUP($B89,'Institution Evaluation'!$A$55:$F$345,3,0),IFERROR(VLOOKUP($B89,'Privacy Analyst Evaluation'!$A$46:$F$120,3,0),""))&amp;""</f>
        <v>Yes</v>
      </c>
      <c r="E89" s="199" t="str">
        <f>IFERROR(VLOOKUP($B89,'Institution Evaluation'!$A$55:$F$345,4,0),IFERROR(VLOOKUP($B89,'Privacy Analyst Evaluation'!$A$46:$F$120,4,0),""))&amp;""</f>
        <v>Accredible collects and processes demographic information such as names and email addresses of credential recipients on behalf of issuing organizations.</v>
      </c>
      <c r="F89" s="199" t="str">
        <f>IFERROR(VLOOKUP($B89,'Institution Evaluation'!$A$55:$F$345,6,0),IFERROR(VLOOKUP($B89,'Privacy Analyst Evaluation'!$A$46:$F$120,6,0),""))&amp;""</f>
        <v/>
      </c>
      <c r="G89" s="200"/>
      <c r="H89" s="199" t="str">
        <f>IFERROR(IF($H88+1&gt;'(backend scoring)'!$Q$335,"",$H88+1),"")</f>
        <v/>
      </c>
      <c r="I89" s="199" t="str">
        <f>_xlfn.XLOOKUP($H89,'(backend scoring)'!$S$2:$S$333,'(backend scoring)'!$A$2:$A$333,"")</f>
        <v/>
      </c>
      <c r="J89" s="199" t="str">
        <f>IFERROR(VLOOKUP($I89,'Institution Evaluation'!$A$55:$F$345,2,0),IFERROR(VLOOKUP($I89,'Privacy Analyst Evaluation'!$A$46:$F$120,2,0),""))</f>
        <v/>
      </c>
      <c r="K89" s="199" t="str">
        <f>IFERROR(VLOOKUP($I89,'Institution Evaluation'!$A$55:$F$345,3,0),IFERROR(VLOOKUP($I89,'Privacy Analyst Evaluation'!$A$46:$F$120,3,0),""))&amp;""</f>
        <v/>
      </c>
      <c r="L89" s="199" t="str">
        <f>IFERROR(VLOOKUP($I89,'Institution Evaluation'!$A$55:$F$345,4,0),IFERROR(VLOOKUP($I89,'Privacy Analyst Evaluation'!$A$46:$F$120,4,0),""))&amp;""</f>
        <v/>
      </c>
      <c r="M89" s="199" t="str">
        <f>IFERROR(VLOOKUP($I89,'Institution Evaluation'!$A$55:$F$345,6,0),IFERROR(VLOOKUP($I89,'Privacy Analyst Evaluation'!$A$46:$F$120,6,0),""))&amp;""</f>
        <v/>
      </c>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row>
    <row r="90" spans="1:338" ht="75" customHeight="1" x14ac:dyDescent="0.2">
      <c r="A90" s="199">
        <f>IFERROR(IF($A89+1&gt;'(backend scoring)'!$T$335,"",$A89+1),"")</f>
        <v>66</v>
      </c>
      <c r="B90" s="199" t="str">
        <f>_xlfn.XLOOKUP($A90,'(backend scoring)'!$V$2:$V$333,'(backend scoring)'!$A$2:$A$333,"")</f>
        <v>PDAT-02</v>
      </c>
      <c r="C90" s="199" t="str">
        <f>IFERROR(VLOOKUP($B90,'Institution Evaluation'!$A$55:$F$345,2,0),IFERROR(VLOOKUP($B90,'Privacy Analyst Evaluation'!$A$46:$F$120,2,0),""))&amp;""</f>
        <v>Do you capture or create genetic, biometric, or behaviometric information (e.g., facial recognition or fingerprints)?*</v>
      </c>
      <c r="D90" s="199" t="str">
        <f>IFERROR(VLOOKUP($B90,'Institution Evaluation'!$A$55:$F$345,3,0),IFERROR(VLOOKUP($B90,'Privacy Analyst Evaluation'!$A$46:$F$120,3,0),""))&amp;""</f>
        <v>No</v>
      </c>
      <c r="E90" s="199" t="str">
        <f>IFERROR(VLOOKUP($B90,'Institution Evaluation'!$A$55:$F$345,4,0),IFERROR(VLOOKUP($B90,'Privacy Analyst Evaluation'!$A$46:$F$120,4,0),""))&amp;""</f>
        <v>Accredible does not capture or create genetic, biometric, or behaviometric information. No facial recognition or fingerprint data is collected.</v>
      </c>
      <c r="F90" s="199" t="str">
        <f>IFERROR(VLOOKUP($B90,'Institution Evaluation'!$A$55:$F$345,6,0),IFERROR(VLOOKUP($B90,'Privacy Analyst Evaluation'!$A$46:$F$120,6,0),""))&amp;""</f>
        <v/>
      </c>
      <c r="G90" s="200"/>
      <c r="H90" s="199" t="str">
        <f>IFERROR(IF($H89+1&gt;'(backend scoring)'!$Q$335,"",$H89+1),"")</f>
        <v/>
      </c>
      <c r="I90" s="199" t="str">
        <f>_xlfn.XLOOKUP($H90,'(backend scoring)'!$S$2:$S$333,'(backend scoring)'!$A$2:$A$333,"")</f>
        <v/>
      </c>
      <c r="J90" s="199" t="str">
        <f>IFERROR(VLOOKUP($I90,'Institution Evaluation'!$A$55:$F$345,2,0),IFERROR(VLOOKUP($I90,'Privacy Analyst Evaluation'!$A$46:$F$120,2,0),""))</f>
        <v/>
      </c>
      <c r="K90" s="199" t="str">
        <f>IFERROR(VLOOKUP($I90,'Institution Evaluation'!$A$55:$F$345,3,0),IFERROR(VLOOKUP($I90,'Privacy Analyst Evaluation'!$A$46:$F$120,3,0),""))&amp;""</f>
        <v/>
      </c>
      <c r="L90" s="199" t="str">
        <f>IFERROR(VLOOKUP($I90,'Institution Evaluation'!$A$55:$F$345,4,0),IFERROR(VLOOKUP($I90,'Privacy Analyst Evaluation'!$A$46:$F$120,4,0),""))&amp;""</f>
        <v/>
      </c>
      <c r="M90" s="199" t="str">
        <f>IFERROR(VLOOKUP($I90,'Institution Evaluation'!$A$55:$F$345,6,0),IFERROR(VLOOKUP($I90,'Privacy Analyst Evaluation'!$A$46:$F$120,6,0),""))&amp;""</f>
        <v/>
      </c>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row>
    <row r="91" spans="1:338" ht="75" customHeight="1" x14ac:dyDescent="0.2">
      <c r="A91" s="199">
        <f>IFERROR(IF($A90+1&gt;'(backend scoring)'!$T$335,"",$A90+1),"")</f>
        <v>67</v>
      </c>
      <c r="B91" s="199" t="str">
        <f>_xlfn.XLOOKUP($A91,'(backend scoring)'!$V$2:$V$333,'(backend scoring)'!$A$2:$A$333,"")</f>
        <v>PDAT-03</v>
      </c>
      <c r="C91" s="199" t="str">
        <f>IFERROR(VLOOKUP($B91,'Institution Evaluation'!$A$55:$F$345,2,0),IFERROR(VLOOKUP($B91,'Privacy Analyst Evaluation'!$A$46:$F$120,2,0),""))&amp;""</f>
        <v>Do you combine institutional data (including "de-identified," "anonymized," or otherwise masked data) with personal data from any other sources?*</v>
      </c>
      <c r="D91" s="199" t="str">
        <f>IFERROR(VLOOKUP($B91,'Institution Evaluation'!$A$55:$F$345,3,0),IFERROR(VLOOKUP($B91,'Privacy Analyst Evaluation'!$A$46:$F$120,3,0),""))&amp;""</f>
        <v>No</v>
      </c>
      <c r="E91" s="199" t="str">
        <f>IFERROR(VLOOKUP($B91,'Institution Evaluation'!$A$55:$F$345,4,0),IFERROR(VLOOKUP($B91,'Privacy Analyst Evaluation'!$A$46:$F$120,4,0),""))&amp;""</f>
        <v>Accredible does not combine institutional data with personal data from other sources for purposes unrelated to the services provided to the institution.</v>
      </c>
      <c r="F91" s="199" t="str">
        <f>IFERROR(VLOOKUP($B91,'Institution Evaluation'!$A$55:$F$345,6,0),IFERROR(VLOOKUP($B91,'Privacy Analyst Evaluation'!$A$46:$F$120,6,0),""))&amp;""</f>
        <v/>
      </c>
      <c r="G91" s="200"/>
      <c r="H91" s="199" t="str">
        <f>IFERROR(IF($H90+1&gt;'(backend scoring)'!$Q$335,"",$H90+1),"")</f>
        <v/>
      </c>
      <c r="I91" s="199" t="str">
        <f>_xlfn.XLOOKUP($H91,'(backend scoring)'!$S$2:$S$333,'(backend scoring)'!$A$2:$A$333,"")</f>
        <v/>
      </c>
      <c r="J91" s="199" t="str">
        <f>IFERROR(VLOOKUP($I91,'Institution Evaluation'!$A$55:$F$345,2,0),IFERROR(VLOOKUP($I91,'Privacy Analyst Evaluation'!$A$46:$F$120,2,0),""))</f>
        <v/>
      </c>
      <c r="K91" s="199" t="str">
        <f>IFERROR(VLOOKUP($I91,'Institution Evaluation'!$A$55:$F$345,3,0),IFERROR(VLOOKUP($I91,'Privacy Analyst Evaluation'!$A$46:$F$120,3,0),""))&amp;""</f>
        <v/>
      </c>
      <c r="L91" s="199" t="str">
        <f>IFERROR(VLOOKUP($I91,'Institution Evaluation'!$A$55:$F$345,4,0),IFERROR(VLOOKUP($I91,'Privacy Analyst Evaluation'!$A$46:$F$120,4,0),""))&amp;""</f>
        <v/>
      </c>
      <c r="M91" s="199" t="str">
        <f>IFERROR(VLOOKUP($I91,'Institution Evaluation'!$A$55:$F$345,6,0),IFERROR(VLOOKUP($I91,'Privacy Analyst Evaluation'!$A$46:$F$120,6,0),""))&amp;""</f>
        <v/>
      </c>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row>
    <row r="92" spans="1:338" ht="30" customHeight="1" x14ac:dyDescent="0.2">
      <c r="A92" s="199">
        <f>IFERROR(IF($A91+1&gt;'(backend scoring)'!$T$335,"",$A91+1),"")</f>
        <v>68</v>
      </c>
      <c r="B92" s="199" t="str">
        <f>_xlfn.XLOOKUP($A92,'(backend scoring)'!$V$2:$V$333,'(backend scoring)'!$A$2:$A$333,"")</f>
        <v>PRPO-06</v>
      </c>
      <c r="C92" s="199" t="str">
        <f>IFERROR(VLOOKUP($B92,'Institution Evaluation'!$A$55:$F$345,2,0),IFERROR(VLOOKUP($B92,'Privacy Analyst Evaluation'!$A$46:$F$120,2,0),""))&amp;""</f>
        <v>Do you have a privacy awareness/training program?*</v>
      </c>
      <c r="D92" s="199" t="str">
        <f>IFERROR(VLOOKUP($B92,'Institution Evaluation'!$A$55:$F$345,3,0),IFERROR(VLOOKUP($B92,'Privacy Analyst Evaluation'!$A$46:$F$120,3,0),""))&amp;""</f>
        <v>Yes</v>
      </c>
      <c r="E92" s="199" t="str">
        <f>IFERROR(VLOOKUP($B92,'Institution Evaluation'!$A$55:$F$345,4,0),IFERROR(VLOOKUP($B92,'Privacy Analyst Evaluation'!$A$46:$F$120,4,0),""))&amp;""</f>
        <v>Accredible has a privacy awareness and training program for all employees.</v>
      </c>
      <c r="F92" s="199" t="str">
        <f>IFERROR(VLOOKUP($B92,'Institution Evaluation'!$A$55:$F$345,6,0),IFERROR(VLOOKUP($B92,'Privacy Analyst Evaluation'!$A$46:$F$120,6,0),""))&amp;""</f>
        <v/>
      </c>
      <c r="G92" s="200"/>
      <c r="H92" s="199" t="str">
        <f>IFERROR(IF($H91+1&gt;'(backend scoring)'!$Q$335,"",$H91+1),"")</f>
        <v/>
      </c>
      <c r="I92" s="199" t="str">
        <f>_xlfn.XLOOKUP($H92,'(backend scoring)'!$S$2:$S$333,'(backend scoring)'!$A$2:$A$333,"")</f>
        <v/>
      </c>
      <c r="J92" s="199" t="str">
        <f>IFERROR(VLOOKUP($I92,'Institution Evaluation'!$A$55:$F$345,2,0),IFERROR(VLOOKUP($I92,'Privacy Analyst Evaluation'!$A$46:$F$120,2,0),""))</f>
        <v/>
      </c>
      <c r="K92" s="199" t="str">
        <f>IFERROR(VLOOKUP($I92,'Institution Evaluation'!$A$55:$F$345,3,0),IFERROR(VLOOKUP($I92,'Privacy Analyst Evaluation'!$A$46:$F$120,3,0),""))&amp;""</f>
        <v/>
      </c>
      <c r="L92" s="199" t="str">
        <f>IFERROR(VLOOKUP($I92,'Institution Evaluation'!$A$55:$F$345,4,0),IFERROR(VLOOKUP($I92,'Privacy Analyst Evaluation'!$A$46:$F$120,4,0),""))&amp;""</f>
        <v/>
      </c>
      <c r="M92" s="199" t="str">
        <f>IFERROR(VLOOKUP($I92,'Institution Evaluation'!$A$55:$F$345,6,0),IFERROR(VLOOKUP($I92,'Privacy Analyst Evaluation'!$A$46:$F$120,6,0),""))&amp;""</f>
        <v/>
      </c>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row>
    <row r="93" spans="1:338" ht="60" customHeight="1" x14ac:dyDescent="0.2">
      <c r="A93" s="199">
        <f>IFERROR(IF($A92+1&gt;'(backend scoring)'!$T$335,"",$A92+1),"")</f>
        <v>69</v>
      </c>
      <c r="B93" s="199" t="str">
        <f>_xlfn.XLOOKUP($A93,'(backend scoring)'!$V$2:$V$333,'(backend scoring)'!$A$2:$A$333,"")</f>
        <v>PRPO-12</v>
      </c>
      <c r="C93" s="199" t="str">
        <f>IFERROR(VLOOKUP($B93,'Institution Evaluation'!$A$55:$F$345,2,0),IFERROR(VLOOKUP($B93,'Privacy Analyst Evaluation'!$A$46:$F$120,2,0),""))&amp;""</f>
        <v>Do you share any institutional data with law enforcement without a valid warrant or subpoena?*</v>
      </c>
      <c r="D93" s="199" t="str">
        <f>IFERROR(VLOOKUP($B93,'Institution Evaluation'!$A$55:$F$345,3,0),IFERROR(VLOOKUP($B93,'Privacy Analyst Evaluation'!$A$46:$F$120,3,0),""))&amp;""</f>
        <v>No</v>
      </c>
      <c r="E93" s="199" t="str">
        <f>IFERROR(VLOOKUP($B93,'Institution Evaluation'!$A$55:$F$345,4,0),IFERROR(VLOOKUP($B93,'Privacy Analyst Evaluation'!$A$46:$F$120,4,0),""))&amp;""</f>
        <v>Accredible does not share institutional data with law enforcement without a valid warrant or subpoena.</v>
      </c>
      <c r="F93" s="199" t="str">
        <f>IFERROR(VLOOKUP($B93,'Institution Evaluation'!$A$55:$F$345,6,0),IFERROR(VLOOKUP($B93,'Privacy Analyst Evaluation'!$A$46:$F$120,6,0),""))&amp;""</f>
        <v/>
      </c>
      <c r="G93" s="200"/>
      <c r="H93" s="199" t="str">
        <f>IFERROR(IF($H92+1&gt;'(backend scoring)'!$Q$335,"",$H92+1),"")</f>
        <v/>
      </c>
      <c r="I93" s="199" t="str">
        <f>_xlfn.XLOOKUP($H93,'(backend scoring)'!$S$2:$S$333,'(backend scoring)'!$A$2:$A$333,"")</f>
        <v/>
      </c>
      <c r="J93" s="199" t="str">
        <f>IFERROR(VLOOKUP($I93,'Institution Evaluation'!$A$55:$F$345,2,0),IFERROR(VLOOKUP($I93,'Privacy Analyst Evaluation'!$A$46:$F$120,2,0),""))</f>
        <v/>
      </c>
      <c r="K93" s="199" t="str">
        <f>IFERROR(VLOOKUP($I93,'Institution Evaluation'!$A$55:$F$345,3,0),IFERROR(VLOOKUP($I93,'Privacy Analyst Evaluation'!$A$46:$F$120,3,0),""))&amp;""</f>
        <v/>
      </c>
      <c r="L93" s="199" t="str">
        <f>IFERROR(VLOOKUP($I93,'Institution Evaluation'!$A$55:$F$345,4,0),IFERROR(VLOOKUP($I93,'Privacy Analyst Evaluation'!$A$46:$F$120,4,0),""))&amp;""</f>
        <v/>
      </c>
      <c r="M93" s="199" t="str">
        <f>IFERROR(VLOOKUP($I93,'Institution Evaluation'!$A$55:$F$345,6,0),IFERROR(VLOOKUP($I93,'Privacy Analyst Evaluation'!$A$46:$F$120,6,0),""))&amp;""</f>
        <v/>
      </c>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row>
    <row r="94" spans="1:338" ht="30" customHeight="1" x14ac:dyDescent="0.2">
      <c r="A94" s="199">
        <f>IFERROR(IF($A93+1&gt;'(backend scoring)'!$T$335,"",$A93+1),"")</f>
        <v>70</v>
      </c>
      <c r="B94" s="199" t="str">
        <f>_xlfn.XLOOKUP($A94,'(backend scoring)'!$V$2:$V$333,'(backend scoring)'!$A$2:$A$333,"")</f>
        <v>DPAI-02</v>
      </c>
      <c r="C94" s="199" t="str">
        <f>IFERROR(VLOOKUP($B94,'Institution Evaluation'!$A$55:$F$345,2,0),IFERROR(VLOOKUP($B94,'Privacy Analyst Evaluation'!$A$46:$F$120,2,0),""))&amp;""</f>
        <v>Is any institutional data retained in AI processing?*</v>
      </c>
      <c r="D94" s="199" t="str">
        <f>IFERROR(VLOOKUP($B94,'Institution Evaluation'!$A$55:$F$345,3,0),IFERROR(VLOOKUP($B94,'Privacy Analyst Evaluation'!$A$46:$F$120,3,0),""))&amp;""</f>
        <v>No</v>
      </c>
      <c r="E94" s="199" t="str">
        <f>IFERROR(VLOOKUP($B94,'Institution Evaluation'!$A$55:$F$345,4,0),IFERROR(VLOOKUP($B94,'Privacy Analyst Evaluation'!$A$46:$F$120,4,0),""))&amp;""</f>
        <v>Under Accredible's enterprise agreement with OpenAI, data submitted via the API is not retained by OpenAI for AI model training or development. Institutional data is not retained in AI processing beyond the immediate API call.</v>
      </c>
      <c r="F94" s="199" t="str">
        <f>IFERROR(VLOOKUP($B94,'Institution Evaluation'!$A$55:$F$345,6,0),IFERROR(VLOOKUP($B94,'Privacy Analyst Evaluation'!$A$46:$F$120,6,0),""))&amp;""</f>
        <v/>
      </c>
      <c r="G94" s="200"/>
      <c r="H94" s="199" t="str">
        <f>IFERROR(IF($H93+1&gt;'(backend scoring)'!$Q$335,"",$H93+1),"")</f>
        <v/>
      </c>
      <c r="I94" s="199" t="str">
        <f>_xlfn.XLOOKUP($H94,'(backend scoring)'!$S$2:$S$333,'(backend scoring)'!$A$2:$A$333,"")</f>
        <v/>
      </c>
      <c r="J94" s="199" t="str">
        <f>IFERROR(VLOOKUP($I94,'Institution Evaluation'!$A$55:$F$345,2,0),IFERROR(VLOOKUP($I94,'Privacy Analyst Evaluation'!$A$46:$F$120,2,0),""))</f>
        <v/>
      </c>
      <c r="K94" s="199" t="str">
        <f>IFERROR(VLOOKUP($I94,'Institution Evaluation'!$A$55:$F$345,3,0),IFERROR(VLOOKUP($I94,'Privacy Analyst Evaluation'!$A$46:$F$120,3,0),""))&amp;""</f>
        <v/>
      </c>
      <c r="L94" s="199" t="str">
        <f>IFERROR(VLOOKUP($I94,'Institution Evaluation'!$A$55:$F$345,4,0),IFERROR(VLOOKUP($I94,'Privacy Analyst Evaluation'!$A$46:$F$120,4,0),""))&amp;""</f>
        <v/>
      </c>
      <c r="M94" s="199" t="str">
        <f>IFERROR(VLOOKUP($I94,'Institution Evaluation'!$A$55:$F$345,6,0),IFERROR(VLOOKUP($I94,'Privacy Analyst Evaluation'!$A$46:$F$120,6,0),""))&amp;""</f>
        <v/>
      </c>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row>
    <row r="95" spans="1:338" ht="75" customHeight="1" x14ac:dyDescent="0.2">
      <c r="A95" s="199">
        <f>IFERROR(IF($A94+1&gt;'(backend scoring)'!$T$335,"",$A94+1),"")</f>
        <v>71</v>
      </c>
      <c r="B95" s="199" t="str">
        <f>_xlfn.XLOOKUP($A95,'(backend scoring)'!$V$2:$V$333,'(backend scoring)'!$A$2:$A$333,"")</f>
        <v>DPAI-03</v>
      </c>
      <c r="C95" s="199" t="str">
        <f>IFERROR(VLOOKUP($B95,'Institution Evaluation'!$A$55:$F$345,2,0),IFERROR(VLOOKUP($B95,'Privacy Analyst Evaluation'!$A$46:$F$120,2,0),""))&amp;""</f>
        <v>Do you have agreements in place with third parties or subprocessors regarding the protection of customer data and use of AI?*</v>
      </c>
      <c r="D95" s="199" t="str">
        <f>IFERROR(VLOOKUP($B95,'Institution Evaluation'!$A$55:$F$345,3,0),IFERROR(VLOOKUP($B95,'Privacy Analyst Evaluation'!$A$46:$F$120,3,0),""))&amp;""</f>
        <v>Yes</v>
      </c>
      <c r="E95" s="199" t="str">
        <f>IFERROR(VLOOKUP($B95,'Institution Evaluation'!$A$55:$F$345,4,0),IFERROR(VLOOKUP($B95,'Privacy Analyst Evaluation'!$A$46:$F$120,4,0),""))&amp;""</f>
        <v>Accredible has a Data Processing Agreement with OpenAI as a sub-processor that includes provisions for the protection of customer data and restrictions on AI use of submitted data.</v>
      </c>
      <c r="F95" s="199" t="str">
        <f>IFERROR(VLOOKUP($B95,'Institution Evaluation'!$A$55:$F$345,6,0),IFERROR(VLOOKUP($B95,'Privacy Analyst Evaluation'!$A$46:$F$120,6,0),""))&amp;""</f>
        <v/>
      </c>
      <c r="G95" s="200"/>
      <c r="H95" s="199" t="str">
        <f>IFERROR(IF($H94+1&gt;'(backend scoring)'!$Q$335,"",$H94+1),"")</f>
        <v/>
      </c>
      <c r="I95" s="199" t="str">
        <f>_xlfn.XLOOKUP($H95,'(backend scoring)'!$S$2:$S$333,'(backend scoring)'!$A$2:$A$333,"")</f>
        <v/>
      </c>
      <c r="J95" s="199" t="str">
        <f>IFERROR(VLOOKUP($I95,'Institution Evaluation'!$A$55:$F$345,2,0),IFERROR(VLOOKUP($I95,'Privacy Analyst Evaluation'!$A$46:$F$120,2,0),""))</f>
        <v/>
      </c>
      <c r="K95" s="199" t="str">
        <f>IFERROR(VLOOKUP($I95,'Institution Evaluation'!$A$55:$F$345,3,0),IFERROR(VLOOKUP($I95,'Privacy Analyst Evaluation'!$A$46:$F$120,3,0),""))&amp;""</f>
        <v/>
      </c>
      <c r="L95" s="199" t="str">
        <f>IFERROR(VLOOKUP($I95,'Institution Evaluation'!$A$55:$F$345,4,0),IFERROR(VLOOKUP($I95,'Privacy Analyst Evaluation'!$A$46:$F$120,4,0),""))&amp;""</f>
        <v/>
      </c>
      <c r="M95" s="199" t="str">
        <f>IFERROR(VLOOKUP($I95,'Institution Evaluation'!$A$55:$F$345,6,0),IFERROR(VLOOKUP($I95,'Privacy Analyst Evaluation'!$A$46:$F$120,6,0),""))&amp;""</f>
        <v/>
      </c>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row>
    <row r="96" spans="1:338" ht="60" customHeight="1" x14ac:dyDescent="0.2">
      <c r="A96" s="199">
        <f>IFERROR(IF($A95+1&gt;'(backend scoring)'!$T$335,"",$A95+1),"")</f>
        <v>72</v>
      </c>
      <c r="B96" s="199" t="str">
        <f>_xlfn.XLOOKUP($A96,'(backend scoring)'!$V$2:$V$333,'(backend scoring)'!$A$2:$A$333,"")</f>
        <v>AIGN-01</v>
      </c>
      <c r="C96" s="199" t="str">
        <f>IFERROR(VLOOKUP($B96,'Institution Evaluation'!$A$55:$F$345,2,0),IFERROR(VLOOKUP($B96,'Privacy Analyst Evaluation'!$A$46:$F$120,2,0),""))&amp;""</f>
        <v>Does your solution have an AI risk model when developing or implementing your solution's AI model?*</v>
      </c>
      <c r="D96" s="199" t="str">
        <f>IFERROR(VLOOKUP($B96,'Institution Evaluation'!$A$55:$F$345,3,0),IFERROR(VLOOKUP($B96,'Privacy Analyst Evaluation'!$A$46:$F$120,3,0),""))&amp;""</f>
        <v>Yes</v>
      </c>
      <c r="E96" s="199" t="str">
        <f>IFERROR(VLOOKUP($B96,'Institution Evaluation'!$A$55:$F$345,4,0),IFERROR(VLOOKUP($B96,'Privacy Analyst Evaluation'!$A$46:$F$120,4,0),""))&amp;""</f>
        <v>Accredible maintains an AI risk model for developing and implementing its AI features, informed by responsible AI principles and OpenAI's enterprise usage policies.</v>
      </c>
      <c r="F96" s="199" t="str">
        <f>IFERROR(VLOOKUP($B96,'Institution Evaluation'!$A$55:$F$345,6,0),IFERROR(VLOOKUP($B96,'Privacy Analyst Evaluation'!$A$46:$F$120,6,0),""))&amp;""</f>
        <v/>
      </c>
      <c r="G96" s="200"/>
      <c r="H96" s="199" t="str">
        <f>IFERROR(IF($H95+1&gt;'(backend scoring)'!$Q$335,"",$H95+1),"")</f>
        <v/>
      </c>
      <c r="I96" s="199" t="str">
        <f>_xlfn.XLOOKUP($H96,'(backend scoring)'!$S$2:$S$333,'(backend scoring)'!$A$2:$A$333,"")</f>
        <v/>
      </c>
      <c r="J96" s="199" t="str">
        <f>IFERROR(VLOOKUP($I96,'Institution Evaluation'!$A$55:$F$345,2,0),IFERROR(VLOOKUP($I96,'Privacy Analyst Evaluation'!$A$46:$F$120,2,0),""))</f>
        <v/>
      </c>
      <c r="K96" s="199" t="str">
        <f>IFERROR(VLOOKUP($I96,'Institution Evaluation'!$A$55:$F$345,3,0),IFERROR(VLOOKUP($I96,'Privacy Analyst Evaluation'!$A$46:$F$120,3,0),""))&amp;""</f>
        <v/>
      </c>
      <c r="L96" s="199" t="str">
        <f>IFERROR(VLOOKUP($I96,'Institution Evaluation'!$A$55:$F$345,4,0),IFERROR(VLOOKUP($I96,'Privacy Analyst Evaluation'!$A$46:$F$120,4,0),""))&amp;""</f>
        <v/>
      </c>
      <c r="M96" s="199" t="str">
        <f>IFERROR(VLOOKUP($I96,'Institution Evaluation'!$A$55:$F$345,6,0),IFERROR(VLOOKUP($I96,'Privacy Analyst Evaluation'!$A$46:$F$120,6,0),""))&amp;""</f>
        <v/>
      </c>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row>
    <row r="97" spans="1:338" ht="45" customHeight="1" x14ac:dyDescent="0.2">
      <c r="A97" s="199">
        <f>IFERROR(IF($A96+1&gt;'(backend scoring)'!$T$335,"",$A96+1),"")</f>
        <v>73</v>
      </c>
      <c r="B97" s="199" t="str">
        <f>_xlfn.XLOOKUP($A97,'(backend scoring)'!$V$2:$V$333,'(backend scoring)'!$A$2:$A$333,"")</f>
        <v>AIGN-02</v>
      </c>
      <c r="C97" s="199" t="str">
        <f>IFERROR(VLOOKUP($B97,'Institution Evaluation'!$A$55:$F$345,2,0),IFERROR(VLOOKUP($B97,'Privacy Analyst Evaluation'!$A$46:$F$120,2,0),""))&amp;""</f>
        <v>Can your solution's AI features be disabled by tenant and/or user?*</v>
      </c>
      <c r="D97" s="199" t="str">
        <f>IFERROR(VLOOKUP($B97,'Institution Evaluation'!$A$55:$F$345,3,0),IFERROR(VLOOKUP($B97,'Privacy Analyst Evaluation'!$A$46:$F$120,3,0),""))&amp;""</f>
        <v>Yes</v>
      </c>
      <c r="E97" s="199" t="str">
        <f>IFERROR(VLOOKUP($B97,'Institution Evaluation'!$A$55:$F$345,4,0),IFERROR(VLOOKUP($B97,'Privacy Analyst Evaluation'!$A$46:$F$120,4,0),""))&amp;""</f>
        <v>Individual users can also choose not to use AI-suggested skill tags.</v>
      </c>
      <c r="F97" s="199" t="str">
        <f>IFERROR(VLOOKUP($B97,'Institution Evaluation'!$A$55:$F$345,6,0),IFERROR(VLOOKUP($B97,'Privacy Analyst Evaluation'!$A$46:$F$120,6,0),""))&amp;""</f>
        <v/>
      </c>
      <c r="G97" s="200"/>
      <c r="H97" s="199" t="str">
        <f>IFERROR(IF($H96+1&gt;'(backend scoring)'!$Q$335,"",$H96+1),"")</f>
        <v/>
      </c>
      <c r="I97" s="199" t="str">
        <f>_xlfn.XLOOKUP($H97,'(backend scoring)'!$S$2:$S$333,'(backend scoring)'!$A$2:$A$333,"")</f>
        <v/>
      </c>
      <c r="J97" s="199" t="str">
        <f>IFERROR(VLOOKUP($I97,'Institution Evaluation'!$A$55:$F$345,2,0),IFERROR(VLOOKUP($I97,'Privacy Analyst Evaluation'!$A$46:$F$120,2,0),""))</f>
        <v/>
      </c>
      <c r="K97" s="199" t="str">
        <f>IFERROR(VLOOKUP($I97,'Institution Evaluation'!$A$55:$F$345,3,0),IFERROR(VLOOKUP($I97,'Privacy Analyst Evaluation'!$A$46:$F$120,3,0),""))&amp;""</f>
        <v/>
      </c>
      <c r="L97" s="199" t="str">
        <f>IFERROR(VLOOKUP($I97,'Institution Evaluation'!$A$55:$F$345,4,0),IFERROR(VLOOKUP($I97,'Privacy Analyst Evaluation'!$A$46:$F$120,4,0),""))&amp;""</f>
        <v/>
      </c>
      <c r="M97" s="199" t="str">
        <f>IFERROR(VLOOKUP($I97,'Institution Evaluation'!$A$55:$F$345,6,0),IFERROR(VLOOKUP($I97,'Privacy Analyst Evaluation'!$A$46:$F$120,6,0),""))&amp;""</f>
        <v/>
      </c>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row>
    <row r="98" spans="1:338" ht="30" customHeight="1" x14ac:dyDescent="0.2">
      <c r="A98" s="199">
        <f>IFERROR(IF($A97+1&gt;'(backend scoring)'!$T$335,"",$A97+1),"")</f>
        <v>74</v>
      </c>
      <c r="B98" s="199" t="str">
        <f>_xlfn.XLOOKUP($A98,'(backend scoring)'!$V$2:$V$333,'(backend scoring)'!$A$2:$A$333,"")</f>
        <v>AIGN-03</v>
      </c>
      <c r="C98" s="199" t="str">
        <f>IFERROR(VLOOKUP($B98,'Institution Evaluation'!$A$55:$F$345,2,0),IFERROR(VLOOKUP($B98,'Privacy Analyst Evaluation'!$A$46:$F$120,2,0),""))&amp;""</f>
        <v>Have your staff completed responsible AI training?*</v>
      </c>
      <c r="D98" s="199" t="str">
        <f>IFERROR(VLOOKUP($B98,'Institution Evaluation'!$A$55:$F$345,3,0),IFERROR(VLOOKUP($B98,'Privacy Analyst Evaluation'!$A$46:$F$120,3,0),""))&amp;""</f>
        <v>Yes</v>
      </c>
      <c r="E98" s="199" t="str">
        <f>IFERROR(VLOOKUP($B98,'Institution Evaluation'!$A$55:$F$345,4,0),IFERROR(VLOOKUP($B98,'Privacy Analyst Evaluation'!$A$46:$F$120,4,0),""))&amp;""</f>
        <v>All Accredible staff complete responsible AI training as part of the annual security and compliance training program.</v>
      </c>
      <c r="F98" s="199" t="str">
        <f>IFERROR(VLOOKUP($B98,'Institution Evaluation'!$A$55:$F$345,6,0),IFERROR(VLOOKUP($B98,'Privacy Analyst Evaluation'!$A$46:$F$120,6,0),""))&amp;""</f>
        <v/>
      </c>
      <c r="G98" s="200"/>
      <c r="H98" s="199" t="str">
        <f>IFERROR(IF($H97+1&gt;'(backend scoring)'!$Q$335,"",$H97+1),"")</f>
        <v/>
      </c>
      <c r="I98" s="199" t="str">
        <f>_xlfn.XLOOKUP($H98,'(backend scoring)'!$S$2:$S$333,'(backend scoring)'!$A$2:$A$333,"")</f>
        <v/>
      </c>
      <c r="J98" s="199" t="str">
        <f>IFERROR(VLOOKUP($I98,'Institution Evaluation'!$A$55:$F$345,2,0),IFERROR(VLOOKUP($I98,'Privacy Analyst Evaluation'!$A$46:$F$120,2,0),""))</f>
        <v/>
      </c>
      <c r="K98" s="199" t="str">
        <f>IFERROR(VLOOKUP($I98,'Institution Evaluation'!$A$55:$F$345,3,0),IFERROR(VLOOKUP($I98,'Privacy Analyst Evaluation'!$A$46:$F$120,3,0),""))&amp;""</f>
        <v/>
      </c>
      <c r="L98" s="199" t="str">
        <f>IFERROR(VLOOKUP($I98,'Institution Evaluation'!$A$55:$F$345,4,0),IFERROR(VLOOKUP($I98,'Privacy Analyst Evaluation'!$A$46:$F$120,4,0),""))&amp;""</f>
        <v/>
      </c>
      <c r="M98" s="199" t="str">
        <f>IFERROR(VLOOKUP($I98,'Institution Evaluation'!$A$55:$F$345,6,0),IFERROR(VLOOKUP($I98,'Privacy Analyst Evaluation'!$A$46:$F$120,6,0),""))&amp;""</f>
        <v/>
      </c>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row>
    <row r="99" spans="1:338" ht="135" customHeight="1" x14ac:dyDescent="0.2">
      <c r="A99" s="199">
        <f>IFERROR(IF($A98+1&gt;'(backend scoring)'!$T$335,"",$A98+1),"")</f>
        <v>75</v>
      </c>
      <c r="B99" s="199" t="str">
        <f>_xlfn.XLOOKUP($A99,'(backend scoring)'!$V$2:$V$333,'(backend scoring)'!$A$2:$A$333,"")</f>
        <v>AIPL-01</v>
      </c>
      <c r="C99" s="199" t="str">
        <f>IFERROR(VLOOKUP($B99,'Institution Evaluation'!$A$55:$F$345,2,0),IFERROR(VLOOKUP($B99,'Privacy Analyst Evaluation'!$A$46:$F$120,2,0),""))&amp;""</f>
        <v>Are your AI developer's policies, processes, procedures, and practices across the organization related to the mapping, measuring, and managing of AI risks conspicuously posted, unambiguous, and implemented effectively?*</v>
      </c>
      <c r="D99" s="199" t="str">
        <f>IFERROR(VLOOKUP($B99,'Institution Evaluation'!$A$55:$F$345,3,0),IFERROR(VLOOKUP($B99,'Privacy Analyst Evaluation'!$A$46:$F$120,3,0),""))&amp;""</f>
        <v>Yes</v>
      </c>
      <c r="E99" s="199" t="str">
        <f>IFERROR(VLOOKUP($B99,'Institution Evaluation'!$A$55:$F$345,4,0),IFERROR(VLOOKUP($B99,'Privacy Analyst Evaluation'!$A$46:$F$120,4,0),""))&amp;""</f>
        <v>Accredible's AI-related policies, processes, and practices are documented and implemented. These are available to customers upon request.</v>
      </c>
      <c r="F99" s="199" t="str">
        <f>IFERROR(VLOOKUP($B99,'Institution Evaluation'!$A$55:$F$345,6,0),IFERROR(VLOOKUP($B99,'Privacy Analyst Evaluation'!$A$46:$F$120,6,0),""))&amp;""</f>
        <v/>
      </c>
      <c r="G99" s="200"/>
      <c r="H99" s="199" t="str">
        <f>IFERROR(IF($H98+1&gt;'(backend scoring)'!$Q$335,"",$H98+1),"")</f>
        <v/>
      </c>
      <c r="I99" s="199" t="str">
        <f>_xlfn.XLOOKUP($H99,'(backend scoring)'!$S$2:$S$333,'(backend scoring)'!$A$2:$A$333,"")</f>
        <v/>
      </c>
      <c r="J99" s="199" t="str">
        <f>IFERROR(VLOOKUP($I99,'Institution Evaluation'!$A$55:$F$345,2,0),IFERROR(VLOOKUP($I99,'Privacy Analyst Evaluation'!$A$46:$F$120,2,0),""))</f>
        <v/>
      </c>
      <c r="K99" s="199" t="str">
        <f>IFERROR(VLOOKUP($I99,'Institution Evaluation'!$A$55:$F$345,3,0),IFERROR(VLOOKUP($I99,'Privacy Analyst Evaluation'!$A$46:$F$120,3,0),""))&amp;""</f>
        <v/>
      </c>
      <c r="L99" s="199" t="str">
        <f>IFERROR(VLOOKUP($I99,'Institution Evaluation'!$A$55:$F$345,4,0),IFERROR(VLOOKUP($I99,'Privacy Analyst Evaluation'!$A$46:$F$120,4,0),""))&amp;""</f>
        <v/>
      </c>
      <c r="M99" s="199" t="str">
        <f>IFERROR(VLOOKUP($I99,'Institution Evaluation'!$A$55:$F$345,6,0),IFERROR(VLOOKUP($I99,'Privacy Analyst Evaluation'!$A$46:$F$120,6,0),""))&amp;""</f>
        <v/>
      </c>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row>
    <row r="100" spans="1:338" ht="30" customHeight="1" x14ac:dyDescent="0.2">
      <c r="A100" s="199">
        <f>IFERROR(IF($A99+1&gt;'(backend scoring)'!$T$335,"",$A99+1),"")</f>
        <v>76</v>
      </c>
      <c r="B100" s="199" t="str">
        <f>_xlfn.XLOOKUP($A100,'(backend scoring)'!$V$2:$V$333,'(backend scoring)'!$A$2:$A$333,"")</f>
        <v>AIPL-02</v>
      </c>
      <c r="C100" s="199" t="str">
        <f>IFERROR(VLOOKUP($B100,'Institution Evaluation'!$A$55:$F$345,2,0),IFERROR(VLOOKUP($B100,'Privacy Analyst Evaluation'!$A$46:$F$120,2,0),""))&amp;""</f>
        <v>Have you identified and measured AI risks?*</v>
      </c>
      <c r="D100" s="199" t="str">
        <f>IFERROR(VLOOKUP($B100,'Institution Evaluation'!$A$55:$F$345,3,0),IFERROR(VLOOKUP($B100,'Privacy Analyst Evaluation'!$A$46:$F$120,3,0),""))&amp;""</f>
        <v>Yes</v>
      </c>
      <c r="E100" s="199" t="str">
        <f>IFERROR(VLOOKUP($B100,'Institution Evaluation'!$A$55:$F$345,4,0),IFERROR(VLOOKUP($B100,'Privacy Analyst Evaluation'!$A$46:$F$120,4,0),""))&amp;""</f>
        <v>Accredible has identified and assessed AI risks associated with its use of OpenAI's API, including data handling, model behavior, and privacy considerations.</v>
      </c>
      <c r="F100" s="199" t="str">
        <f>IFERROR(VLOOKUP($B100,'Institution Evaluation'!$A$55:$F$345,6,0),IFERROR(VLOOKUP($B100,'Privacy Analyst Evaluation'!$A$46:$F$120,6,0),""))&amp;""</f>
        <v/>
      </c>
      <c r="G100" s="200"/>
      <c r="H100" s="199" t="str">
        <f>IFERROR(IF($H99+1&gt;'(backend scoring)'!$Q$335,"",$H99+1),"")</f>
        <v/>
      </c>
      <c r="I100" s="199" t="str">
        <f>_xlfn.XLOOKUP($H100,'(backend scoring)'!$S$2:$S$333,'(backend scoring)'!$A$2:$A$333,"")</f>
        <v/>
      </c>
      <c r="J100" s="199" t="str">
        <f>IFERROR(VLOOKUP($I100,'Institution Evaluation'!$A$55:$F$345,2,0),IFERROR(VLOOKUP($I100,'Privacy Analyst Evaluation'!$A$46:$F$120,2,0),""))</f>
        <v/>
      </c>
      <c r="K100" s="199" t="str">
        <f>IFERROR(VLOOKUP($I100,'Institution Evaluation'!$A$55:$F$345,3,0),IFERROR(VLOOKUP($I100,'Privacy Analyst Evaluation'!$A$46:$F$120,3,0),""))&amp;""</f>
        <v/>
      </c>
      <c r="L100" s="199" t="str">
        <f>IFERROR(VLOOKUP($I100,'Institution Evaluation'!$A$55:$F$345,4,0),IFERROR(VLOOKUP($I100,'Privacy Analyst Evaluation'!$A$46:$F$120,4,0),""))&amp;""</f>
        <v/>
      </c>
      <c r="M100" s="199" t="str">
        <f>IFERROR(VLOOKUP($I100,'Institution Evaluation'!$A$55:$F$345,6,0),IFERROR(VLOOKUP($I100,'Privacy Analyst Evaluation'!$A$46:$F$120,6,0),""))&amp;""</f>
        <v/>
      </c>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row>
    <row r="101" spans="1:338" ht="45" customHeight="1" x14ac:dyDescent="0.2">
      <c r="A101" s="199">
        <f>IFERROR(IF($A100+1&gt;'(backend scoring)'!$T$335,"",$A100+1),"")</f>
        <v>77</v>
      </c>
      <c r="B101" s="199" t="str">
        <f>_xlfn.XLOOKUP($A101,'(backend scoring)'!$V$2:$V$333,'(backend scoring)'!$A$2:$A$333,"")</f>
        <v>AIPL-03</v>
      </c>
      <c r="C101" s="199" t="str">
        <f>IFERROR(VLOOKUP($B101,'Institution Evaluation'!$A$55:$F$345,2,0),IFERROR(VLOOKUP($B101,'Privacy Analyst Evaluation'!$A$46:$F$120,2,0),""))&amp;""</f>
        <v>In the event of an incident, can your solution's AI features be disabled in a timely manner?*</v>
      </c>
      <c r="D101" s="199" t="str">
        <f>IFERROR(VLOOKUP($B101,'Institution Evaluation'!$A$55:$F$345,3,0),IFERROR(VLOOKUP($B101,'Privacy Analyst Evaluation'!$A$46:$F$120,3,0),""))&amp;""</f>
        <v>Yes</v>
      </c>
      <c r="E101" s="199" t="str">
        <f>IFERROR(VLOOKUP($B101,'Institution Evaluation'!$A$55:$F$345,4,0),IFERROR(VLOOKUP($B101,'Privacy Analyst Evaluation'!$A$46:$F$120,4,0),""))&amp;""</f>
        <v>In the event of an incident, Accredible can disable the Skills Extraction AI feature in a timely manner at the platform level.</v>
      </c>
      <c r="F101" s="199" t="str">
        <f>IFERROR(VLOOKUP($B101,'Institution Evaluation'!$A$55:$F$345,6,0),IFERROR(VLOOKUP($B101,'Privacy Analyst Evaluation'!$A$46:$F$120,6,0),""))&amp;""</f>
        <v/>
      </c>
      <c r="G101" s="200"/>
      <c r="H101" s="199" t="str">
        <f>IFERROR(IF($H100+1&gt;'(backend scoring)'!$Q$335,"",$H100+1),"")</f>
        <v/>
      </c>
      <c r="I101" s="199" t="str">
        <f>_xlfn.XLOOKUP($H101,'(backend scoring)'!$S$2:$S$333,'(backend scoring)'!$A$2:$A$333,"")</f>
        <v/>
      </c>
      <c r="J101" s="199" t="str">
        <f>IFERROR(VLOOKUP($I101,'Institution Evaluation'!$A$55:$F$345,2,0),IFERROR(VLOOKUP($I101,'Privacy Analyst Evaluation'!$A$46:$F$120,2,0),""))</f>
        <v/>
      </c>
      <c r="K101" s="199" t="str">
        <f>IFERROR(VLOOKUP($I101,'Institution Evaluation'!$A$55:$F$345,3,0),IFERROR(VLOOKUP($I101,'Privacy Analyst Evaluation'!$A$46:$F$120,3,0),""))&amp;""</f>
        <v/>
      </c>
      <c r="L101" s="199" t="str">
        <f>IFERROR(VLOOKUP($I101,'Institution Evaluation'!$A$55:$F$345,4,0),IFERROR(VLOOKUP($I101,'Privacy Analyst Evaluation'!$A$46:$F$120,4,0),""))&amp;""</f>
        <v/>
      </c>
      <c r="M101" s="199" t="str">
        <f>IFERROR(VLOOKUP($I101,'Institution Evaluation'!$A$55:$F$345,6,0),IFERROR(VLOOKUP($I101,'Privacy Analyst Evaluation'!$A$46:$F$120,6,0),""))&amp;""</f>
        <v/>
      </c>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row>
    <row r="102" spans="1:338" ht="60" customHeight="1" x14ac:dyDescent="0.2">
      <c r="A102" s="199">
        <f>IFERROR(IF($A101+1&gt;'(backend scoring)'!$T$335,"",$A101+1),"")</f>
        <v>78</v>
      </c>
      <c r="B102" s="199" t="str">
        <f>_xlfn.XLOOKUP($A102,'(backend scoring)'!$V$2:$V$333,'(backend scoring)'!$A$2:$A$333,"")</f>
        <v>AIPL-04</v>
      </c>
      <c r="C102" s="199" t="str">
        <f>IFERROR(VLOOKUP($B102,'Institution Evaluation'!$A$55:$F$345,2,0),IFERROR(VLOOKUP($B102,'Privacy Analyst Evaluation'!$A$46:$F$120,2,0),""))&amp;""</f>
        <v>If disabled because of an incident, can your solution's AI features be re-enabled in a timely manner?*</v>
      </c>
      <c r="D102" s="199" t="str">
        <f>IFERROR(VLOOKUP($B102,'Institution Evaluation'!$A$55:$F$345,3,0),IFERROR(VLOOKUP($B102,'Privacy Analyst Evaluation'!$A$46:$F$120,3,0),""))&amp;""</f>
        <v>Yes</v>
      </c>
      <c r="E102" s="199" t="str">
        <f>IFERROR(VLOOKUP($B102,'Institution Evaluation'!$A$55:$F$345,4,0),IFERROR(VLOOKUP($B102,'Privacy Analyst Evaluation'!$A$46:$F$120,4,0),""))&amp;""</f>
        <v>Once an incident is resolved, Accredible can re-enable AI features in a timely manner.</v>
      </c>
      <c r="F102" s="199" t="str">
        <f>IFERROR(VLOOKUP($B102,'Institution Evaluation'!$A$55:$F$345,6,0),IFERROR(VLOOKUP($B102,'Privacy Analyst Evaluation'!$A$46:$F$120,6,0),""))&amp;""</f>
        <v/>
      </c>
      <c r="G102" s="200"/>
      <c r="H102" s="199" t="str">
        <f>IFERROR(IF($H101+1&gt;'(backend scoring)'!$Q$335,"",$H101+1),"")</f>
        <v/>
      </c>
      <c r="I102" s="199" t="str">
        <f>_xlfn.XLOOKUP($H102,'(backend scoring)'!$S$2:$S$333,'(backend scoring)'!$A$2:$A$333,"")</f>
        <v/>
      </c>
      <c r="J102" s="199" t="str">
        <f>IFERROR(VLOOKUP($I102,'Institution Evaluation'!$A$55:$F$345,2,0),IFERROR(VLOOKUP($I102,'Privacy Analyst Evaluation'!$A$46:$F$120,2,0),""))</f>
        <v/>
      </c>
      <c r="K102" s="199" t="str">
        <f>IFERROR(VLOOKUP($I102,'Institution Evaluation'!$A$55:$F$345,3,0),IFERROR(VLOOKUP($I102,'Privacy Analyst Evaluation'!$A$46:$F$120,3,0),""))&amp;""</f>
        <v/>
      </c>
      <c r="L102" s="199" t="str">
        <f>IFERROR(VLOOKUP($I102,'Institution Evaluation'!$A$55:$F$345,4,0),IFERROR(VLOOKUP($I102,'Privacy Analyst Evaluation'!$A$46:$F$120,4,0),""))&amp;""</f>
        <v/>
      </c>
      <c r="M102" s="199" t="str">
        <f>IFERROR(VLOOKUP($I102,'Institution Evaluation'!$A$55:$F$345,6,0),IFERROR(VLOOKUP($I102,'Privacy Analyst Evaluation'!$A$46:$F$120,6,0),""))&amp;""</f>
        <v/>
      </c>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row>
    <row r="103" spans="1:338" ht="60" customHeight="1" x14ac:dyDescent="0.2">
      <c r="A103" s="199">
        <f>IFERROR(IF($A102+1&gt;'(backend scoring)'!$T$335,"",$A102+1),"")</f>
        <v>79</v>
      </c>
      <c r="B103" s="199" t="str">
        <f>_xlfn.XLOOKUP($A103,'(backend scoring)'!$V$2:$V$333,'(backend scoring)'!$A$2:$A$333,"")</f>
        <v>AISC-01</v>
      </c>
      <c r="C103" s="199" t="str">
        <f>IFERROR(VLOOKUP($B103,'Institution Evaluation'!$A$55:$F$345,2,0),IFERROR(VLOOKUP($B103,'Privacy Analyst Evaluation'!$A$46:$F$120,2,0),""))&amp;""</f>
        <v>If sensitive data is introduced to your solution's AI model, can the data be removed from the AI model by request?*</v>
      </c>
      <c r="D103" s="199" t="str">
        <f>IFERROR(VLOOKUP($B103,'Institution Evaluation'!$A$55:$F$345,3,0),IFERROR(VLOOKUP($B103,'Privacy Analyst Evaluation'!$A$46:$F$120,3,0),""))&amp;""</f>
        <v>Yes</v>
      </c>
      <c r="E103" s="199" t="str">
        <f>IFERROR(VLOOKUP($B103,'Institution Evaluation'!$A$55:$F$345,4,0),IFERROR(VLOOKUP($B103,'Privacy Analyst Evaluation'!$A$46:$F$120,4,0),""))&amp;""</f>
        <v>Under Accredible's enterprise agreement with OpenAI, data submitted via the API is not used to train OpenAI's models. If sensitive data is inadvertently introduced, it can be requested for removal.</v>
      </c>
      <c r="F103" s="199" t="str">
        <f>IFERROR(VLOOKUP($B103,'Institution Evaluation'!$A$55:$F$345,6,0),IFERROR(VLOOKUP($B103,'Privacy Analyst Evaluation'!$A$46:$F$120,6,0),""))&amp;""</f>
        <v/>
      </c>
      <c r="G103" s="200"/>
      <c r="H103" s="199" t="str">
        <f>IFERROR(IF($H102+1&gt;'(backend scoring)'!$Q$335,"",$H102+1),"")</f>
        <v/>
      </c>
      <c r="I103" s="199" t="str">
        <f>_xlfn.XLOOKUP($H103,'(backend scoring)'!$S$2:$S$333,'(backend scoring)'!$A$2:$A$333,"")</f>
        <v/>
      </c>
      <c r="J103" s="199" t="str">
        <f>IFERROR(VLOOKUP($I103,'Institution Evaluation'!$A$55:$F$345,2,0),IFERROR(VLOOKUP($I103,'Privacy Analyst Evaluation'!$A$46:$F$120,2,0),""))</f>
        <v/>
      </c>
      <c r="K103" s="199" t="str">
        <f>IFERROR(VLOOKUP($I103,'Institution Evaluation'!$A$55:$F$345,3,0),IFERROR(VLOOKUP($I103,'Privacy Analyst Evaluation'!$A$46:$F$120,3,0),""))&amp;""</f>
        <v/>
      </c>
      <c r="L103" s="199" t="str">
        <f>IFERROR(VLOOKUP($I103,'Institution Evaluation'!$A$55:$F$345,4,0),IFERROR(VLOOKUP($I103,'Privacy Analyst Evaluation'!$A$46:$F$120,4,0),""))&amp;""</f>
        <v/>
      </c>
      <c r="M103" s="199" t="str">
        <f>IFERROR(VLOOKUP($I103,'Institution Evaluation'!$A$55:$F$345,6,0),IFERROR(VLOOKUP($I103,'Privacy Analyst Evaluation'!$A$46:$F$120,6,0),""))&amp;""</f>
        <v/>
      </c>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row>
    <row r="104" spans="1:338" ht="45" customHeight="1" x14ac:dyDescent="0.2">
      <c r="A104" s="199">
        <f>IFERROR(IF($A103+1&gt;'(backend scoring)'!$T$335,"",$A103+1),"")</f>
        <v>80</v>
      </c>
      <c r="B104" s="199" t="str">
        <f>_xlfn.XLOOKUP($A104,'(backend scoring)'!$V$2:$V$333,'(backend scoring)'!$A$2:$A$333,"")</f>
        <v>AISC-02</v>
      </c>
      <c r="C104" s="199" t="str">
        <f>IFERROR(VLOOKUP($B104,'Institution Evaluation'!$A$55:$F$345,2,0),IFERROR(VLOOKUP($B104,'Privacy Analyst Evaluation'!$A$46:$F$120,2,0),""))&amp;""</f>
        <v>Is user input data used to influence your solution's AI model?*</v>
      </c>
      <c r="D104" s="199" t="str">
        <f>IFERROR(VLOOKUP($B104,'Institution Evaluation'!$A$55:$F$345,3,0),IFERROR(VLOOKUP($B104,'Privacy Analyst Evaluation'!$A$46:$F$120,3,0),""))&amp;""</f>
        <v>No</v>
      </c>
      <c r="E104" s="199" t="str">
        <f>IFERROR(VLOOKUP($B104,'Institution Evaluation'!$A$55:$F$345,4,0),IFERROR(VLOOKUP($B104,'Privacy Analyst Evaluation'!$A$46:$F$120,4,0),""))&amp;""</f>
        <v>User input data is not used to influence Accredible's AI model. Accredible uses OpenAI's enterprise API under terms that prohibit OpenAI from using submitted data for model training.</v>
      </c>
      <c r="F104" s="199" t="str">
        <f>IFERROR(VLOOKUP($B104,'Institution Evaluation'!$A$55:$F$345,6,0),IFERROR(VLOOKUP($B104,'Privacy Analyst Evaluation'!$A$46:$F$120,6,0),""))&amp;""</f>
        <v/>
      </c>
      <c r="G104" s="200"/>
      <c r="H104" s="199" t="str">
        <f>IFERROR(IF($H103+1&gt;'(backend scoring)'!$Q$335,"",$H103+1),"")</f>
        <v/>
      </c>
      <c r="I104" s="199" t="str">
        <f>_xlfn.XLOOKUP($H104,'(backend scoring)'!$S$2:$S$333,'(backend scoring)'!$A$2:$A$333,"")</f>
        <v/>
      </c>
      <c r="J104" s="199" t="str">
        <f>IFERROR(VLOOKUP($I104,'Institution Evaluation'!$A$55:$F$345,2,0),IFERROR(VLOOKUP($I104,'Privacy Analyst Evaluation'!$A$46:$F$120,2,0),""))</f>
        <v/>
      </c>
      <c r="K104" s="199" t="str">
        <f>IFERROR(VLOOKUP($I104,'Institution Evaluation'!$A$55:$F$345,3,0),IFERROR(VLOOKUP($I104,'Privacy Analyst Evaluation'!$A$46:$F$120,3,0),""))&amp;""</f>
        <v/>
      </c>
      <c r="L104" s="199" t="str">
        <f>IFERROR(VLOOKUP($I104,'Institution Evaluation'!$A$55:$F$345,4,0),IFERROR(VLOOKUP($I104,'Privacy Analyst Evaluation'!$A$46:$F$120,4,0),""))&amp;""</f>
        <v/>
      </c>
      <c r="M104" s="199" t="str">
        <f>IFERROR(VLOOKUP($I104,'Institution Evaluation'!$A$55:$F$345,6,0),IFERROR(VLOOKUP($I104,'Privacy Analyst Evaluation'!$A$46:$F$120,6,0),""))&amp;""</f>
        <v/>
      </c>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row>
    <row r="105" spans="1:338" ht="60" customHeight="1" x14ac:dyDescent="0.2">
      <c r="A105" s="199">
        <f>IFERROR(IF($A104+1&gt;'(backend scoring)'!$T$335,"",$A104+1),"")</f>
        <v>81</v>
      </c>
      <c r="B105" s="199" t="str">
        <f>_xlfn.XLOOKUP($A105,'(backend scoring)'!$V$2:$V$333,'(backend scoring)'!$A$2:$A$333,"")</f>
        <v>AISC-03</v>
      </c>
      <c r="C105" s="199" t="str">
        <f>IFERROR(VLOOKUP($B105,'Institution Evaluation'!$A$55:$F$345,2,0),IFERROR(VLOOKUP($B105,'Privacy Analyst Evaluation'!$A$46:$F$120,2,0),""))&amp;""</f>
        <v>Do you provide logging for your solution's AI feature(s) that includes user, date, and action taken?*</v>
      </c>
      <c r="D105" s="199" t="str">
        <f>IFERROR(VLOOKUP($B105,'Institution Evaluation'!$A$55:$F$345,3,0),IFERROR(VLOOKUP($B105,'Privacy Analyst Evaluation'!$A$46:$F$120,3,0),""))&amp;""</f>
        <v>Yes</v>
      </c>
      <c r="E105" s="199" t="str">
        <f>IFERROR(VLOOKUP($B105,'Institution Evaluation'!$A$55:$F$345,4,0),IFERROR(VLOOKUP($B105,'Privacy Analyst Evaluation'!$A$46:$F$120,4,0),""))&amp;""</f>
        <v>Accredible provides logging for its AI features including user, date, and action taken. Logs are retained for at least 30 days.</v>
      </c>
      <c r="F105" s="199" t="str">
        <f>IFERROR(VLOOKUP($B105,'Institution Evaluation'!$A$55:$F$345,6,0),IFERROR(VLOOKUP($B105,'Privacy Analyst Evaluation'!$A$46:$F$120,6,0),""))&amp;""</f>
        <v/>
      </c>
      <c r="G105" s="200"/>
      <c r="H105" s="199" t="str">
        <f>IFERROR(IF($H104+1&gt;'(backend scoring)'!$Q$335,"",$H104+1),"")</f>
        <v/>
      </c>
      <c r="I105" s="199" t="str">
        <f>_xlfn.XLOOKUP($H105,'(backend scoring)'!$S$2:$S$333,'(backend scoring)'!$A$2:$A$333,"")</f>
        <v/>
      </c>
      <c r="J105" s="199" t="str">
        <f>IFERROR(VLOOKUP($I105,'Institution Evaluation'!$A$55:$F$345,2,0),IFERROR(VLOOKUP($I105,'Privacy Analyst Evaluation'!$A$46:$F$120,2,0),""))</f>
        <v/>
      </c>
      <c r="K105" s="199" t="str">
        <f>IFERROR(VLOOKUP($I105,'Institution Evaluation'!$A$55:$F$345,3,0),IFERROR(VLOOKUP($I105,'Privacy Analyst Evaluation'!$A$46:$F$120,3,0),""))&amp;""</f>
        <v/>
      </c>
      <c r="L105" s="199" t="str">
        <f>IFERROR(VLOOKUP($I105,'Institution Evaluation'!$A$55:$F$345,4,0),IFERROR(VLOOKUP($I105,'Privacy Analyst Evaluation'!$A$46:$F$120,4,0),""))&amp;""</f>
        <v/>
      </c>
      <c r="M105" s="199" t="str">
        <f>IFERROR(VLOOKUP($I105,'Institution Evaluation'!$A$55:$F$345,6,0),IFERROR(VLOOKUP($I105,'Privacy Analyst Evaluation'!$A$46:$F$120,6,0),""))&amp;""</f>
        <v/>
      </c>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row>
    <row r="106" spans="1:338" ht="45" customHeight="1" x14ac:dyDescent="0.2">
      <c r="A106" s="199">
        <f>IFERROR(IF($A105+1&gt;'(backend scoring)'!$T$335,"",$A105+1),"")</f>
        <v>82</v>
      </c>
      <c r="B106" s="199" t="str">
        <f>_xlfn.XLOOKUP($A106,'(backend scoring)'!$V$2:$V$333,'(backend scoring)'!$A$2:$A$333,"")</f>
        <v>AIML-01</v>
      </c>
      <c r="C106" s="199" t="str">
        <f>IFERROR(VLOOKUP($B106,'Institution Evaluation'!$A$55:$F$345,2,0),IFERROR(VLOOKUP($B106,'Privacy Analyst Evaluation'!$A$46:$F$120,2,0),""))&amp;""</f>
        <v>Do you separate ML training data from your ML solution data?*</v>
      </c>
      <c r="D106" s="199" t="str">
        <f>IFERROR(VLOOKUP($B106,'Institution Evaluation'!$A$55:$F$345,3,0),IFERROR(VLOOKUP($B106,'Privacy Analyst Evaluation'!$A$46:$F$120,3,0),""))&amp;""</f>
        <v>N/A</v>
      </c>
      <c r="E106" s="199" t="str">
        <f>IFERROR(VLOOKUP($B106,'Institution Evaluation'!$A$55:$F$345,4,0),IFERROR(VLOOKUP($B106,'Privacy Analyst Evaluation'!$A$46:$F$120,4,0),""))&amp;""</f>
        <v>Accredible uses OpenAI's commercial enterprise API rather than training its own ML model. Responsibility for ML training data management sits with OpenAI under the enterprise agreement. This section does not apply to Accredible's AI implementation.</v>
      </c>
      <c r="F106" s="199" t="str">
        <f>IFERROR(VLOOKUP($B106,'Institution Evaluation'!$A$55:$F$345,6,0),IFERROR(VLOOKUP($B106,'Privacy Analyst Evaluation'!$A$46:$F$120,6,0),""))&amp;""</f>
        <v/>
      </c>
      <c r="G106" s="200"/>
      <c r="H106" s="199" t="str">
        <f>IFERROR(IF($H105+1&gt;'(backend scoring)'!$Q$335,"",$H105+1),"")</f>
        <v/>
      </c>
      <c r="I106" s="199" t="str">
        <f>_xlfn.XLOOKUP($H106,'(backend scoring)'!$S$2:$S$333,'(backend scoring)'!$A$2:$A$333,"")</f>
        <v/>
      </c>
      <c r="J106" s="199" t="str">
        <f>IFERROR(VLOOKUP($I106,'Institution Evaluation'!$A$55:$F$345,2,0),IFERROR(VLOOKUP($I106,'Privacy Analyst Evaluation'!$A$46:$F$120,2,0),""))</f>
        <v/>
      </c>
      <c r="K106" s="199" t="str">
        <f>IFERROR(VLOOKUP($I106,'Institution Evaluation'!$A$55:$F$345,3,0),IFERROR(VLOOKUP($I106,'Privacy Analyst Evaluation'!$A$46:$F$120,3,0),""))&amp;""</f>
        <v/>
      </c>
      <c r="L106" s="199" t="str">
        <f>IFERROR(VLOOKUP($I106,'Institution Evaluation'!$A$55:$F$345,4,0),IFERROR(VLOOKUP($I106,'Privacy Analyst Evaluation'!$A$46:$F$120,4,0),""))&amp;""</f>
        <v/>
      </c>
      <c r="M106" s="199" t="str">
        <f>IFERROR(VLOOKUP($I106,'Institution Evaluation'!$A$55:$F$345,6,0),IFERROR(VLOOKUP($I106,'Privacy Analyst Evaluation'!$A$46:$F$120,6,0),""))&amp;""</f>
        <v/>
      </c>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row>
    <row r="107" spans="1:338" ht="30" customHeight="1" x14ac:dyDescent="0.2">
      <c r="A107" s="199">
        <f>IFERROR(IF($A106+1&gt;'(backend scoring)'!$T$335,"",$A106+1),"")</f>
        <v>83</v>
      </c>
      <c r="B107" s="199" t="str">
        <f>_xlfn.XLOOKUP($A107,'(backend scoring)'!$V$2:$V$333,'(backend scoring)'!$A$2:$A$333,"")</f>
        <v>AIML-02</v>
      </c>
      <c r="C107" s="199" t="str">
        <f>IFERROR(VLOOKUP($B107,'Institution Evaluation'!$A$55:$F$345,2,0),IFERROR(VLOOKUP($B107,'Privacy Analyst Evaluation'!$A$46:$F$120,2,0),""))&amp;""</f>
        <v>Do you authenticate and verify your ML model's feedback?*</v>
      </c>
      <c r="D107" s="199" t="str">
        <f>IFERROR(VLOOKUP($B107,'Institution Evaluation'!$A$55:$F$345,3,0),IFERROR(VLOOKUP($B107,'Privacy Analyst Evaluation'!$A$46:$F$120,3,0),""))&amp;""</f>
        <v>N/A</v>
      </c>
      <c r="E107" s="199" t="str">
        <f>IFERROR(VLOOKUP($B107,'Institution Evaluation'!$A$55:$F$345,4,0),IFERROR(VLOOKUP($B107,'Privacy Analyst Evaluation'!$A$46:$F$120,4,0),""))&amp;""</f>
        <v>Accredible uses OpenAI's commercial enterprise API rather than training its own ML model. Responsibility for ML training data management sits with OpenAI under the enterprise agreement. This section does not apply to Accredible's AI implementation.</v>
      </c>
      <c r="F107" s="199" t="str">
        <f>IFERROR(VLOOKUP($B107,'Institution Evaluation'!$A$55:$F$345,6,0),IFERROR(VLOOKUP($B107,'Privacy Analyst Evaluation'!$A$46:$F$120,6,0),""))&amp;""</f>
        <v/>
      </c>
      <c r="G107" s="200"/>
      <c r="H107" s="199" t="str">
        <f>IFERROR(IF($H106+1&gt;'(backend scoring)'!$Q$335,"",$H106+1),"")</f>
        <v/>
      </c>
      <c r="I107" s="199" t="str">
        <f>_xlfn.XLOOKUP($H107,'(backend scoring)'!$S$2:$S$333,'(backend scoring)'!$A$2:$A$333,"")</f>
        <v/>
      </c>
      <c r="J107" s="199" t="str">
        <f>IFERROR(VLOOKUP($I107,'Institution Evaluation'!$A$55:$F$345,2,0),IFERROR(VLOOKUP($I107,'Privacy Analyst Evaluation'!$A$46:$F$120,2,0),""))</f>
        <v/>
      </c>
      <c r="K107" s="199" t="str">
        <f>IFERROR(VLOOKUP($I107,'Institution Evaluation'!$A$55:$F$345,3,0),IFERROR(VLOOKUP($I107,'Privacy Analyst Evaluation'!$A$46:$F$120,3,0),""))&amp;""</f>
        <v/>
      </c>
      <c r="L107" s="199" t="str">
        <f>IFERROR(VLOOKUP($I107,'Institution Evaluation'!$A$55:$F$345,4,0),IFERROR(VLOOKUP($I107,'Privacy Analyst Evaluation'!$A$46:$F$120,4,0),""))&amp;""</f>
        <v/>
      </c>
      <c r="M107" s="199" t="str">
        <f>IFERROR(VLOOKUP($I107,'Institution Evaluation'!$A$55:$F$345,6,0),IFERROR(VLOOKUP($I107,'Privacy Analyst Evaluation'!$A$46:$F$120,6,0),""))&amp;""</f>
        <v/>
      </c>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row>
    <row r="108" spans="1:338" ht="30" customHeight="1" x14ac:dyDescent="0.2">
      <c r="A108" s="199">
        <f>IFERROR(IF($A107+1&gt;'(backend scoring)'!$T$335,"",$A107+1),"")</f>
        <v>84</v>
      </c>
      <c r="B108" s="199" t="str">
        <f>_xlfn.XLOOKUP($A108,'(backend scoring)'!$V$2:$V$333,'(backend scoring)'!$A$2:$A$333,"")</f>
        <v>AILM-01</v>
      </c>
      <c r="C108" s="199" t="str">
        <f>IFERROR(VLOOKUP($B108,'Institution Evaluation'!$A$55:$F$345,2,0),IFERROR(VLOOKUP($B108,'Privacy Analyst Evaluation'!$A$46:$F$120,2,0),""))&amp;""</f>
        <v>Do you limit your solution's LLM privileges by default?*</v>
      </c>
      <c r="D108" s="199" t="str">
        <f>IFERROR(VLOOKUP($B108,'Institution Evaluation'!$A$55:$F$345,3,0),IFERROR(VLOOKUP($B108,'Privacy Analyst Evaluation'!$A$46:$F$120,3,0),""))&amp;""</f>
        <v>Yes</v>
      </c>
      <c r="E108" s="199" t="str">
        <f>IFERROR(VLOOKUP($B108,'Institution Evaluation'!$A$55:$F$345,4,0),IFERROR(VLOOKUP($B108,'Privacy Analyst Evaluation'!$A$46:$F$120,4,0),""))&amp;""</f>
        <v>Accredible limits LLM privileges by default. The OpenAI API is called only with the specific input required for skills extraction (course description text) and is not given access to broader system resources.</v>
      </c>
      <c r="F108" s="199" t="str">
        <f>IFERROR(VLOOKUP($B108,'Institution Evaluation'!$A$55:$F$345,6,0),IFERROR(VLOOKUP($B108,'Privacy Analyst Evaluation'!$A$46:$F$120,6,0),""))&amp;""</f>
        <v/>
      </c>
      <c r="G108" s="200"/>
      <c r="H108" s="199" t="str">
        <f>IFERROR(IF($H107+1&gt;'(backend scoring)'!$Q$335,"",$H107+1),"")</f>
        <v/>
      </c>
      <c r="I108" s="199" t="str">
        <f>_xlfn.XLOOKUP($H108,'(backend scoring)'!$S$2:$S$333,'(backend scoring)'!$A$2:$A$333,"")</f>
        <v/>
      </c>
      <c r="J108" s="199" t="str">
        <f>IFERROR(VLOOKUP($I108,'Institution Evaluation'!$A$55:$F$345,2,0),IFERROR(VLOOKUP($I108,'Privacy Analyst Evaluation'!$A$46:$F$120,2,0),""))</f>
        <v/>
      </c>
      <c r="K108" s="199" t="str">
        <f>IFERROR(VLOOKUP($I108,'Institution Evaluation'!$A$55:$F$345,3,0),IFERROR(VLOOKUP($I108,'Privacy Analyst Evaluation'!$A$46:$F$120,3,0),""))&amp;""</f>
        <v/>
      </c>
      <c r="L108" s="199" t="str">
        <f>IFERROR(VLOOKUP($I108,'Institution Evaluation'!$A$55:$F$345,4,0),IFERROR(VLOOKUP($I108,'Privacy Analyst Evaluation'!$A$46:$F$120,4,0),""))&amp;""</f>
        <v/>
      </c>
      <c r="M108" s="199" t="str">
        <f>IFERROR(VLOOKUP($I108,'Institution Evaluation'!$A$55:$F$345,6,0),IFERROR(VLOOKUP($I108,'Privacy Analyst Evaluation'!$A$46:$F$120,6,0),""))&amp;""</f>
        <v/>
      </c>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row>
    <row r="109" spans="1:338" ht="60" customHeight="1" x14ac:dyDescent="0.2">
      <c r="A109" s="199">
        <f>IFERROR(IF($A108+1&gt;'(backend scoring)'!$T$335,"",$A108+1),"")</f>
        <v>85</v>
      </c>
      <c r="B109" s="199" t="str">
        <f>_xlfn.XLOOKUP($A109,'(backend scoring)'!$V$2:$V$333,'(backend scoring)'!$A$2:$A$333,"")</f>
        <v>AILM-02</v>
      </c>
      <c r="C109" s="199" t="str">
        <f>IFERROR(VLOOKUP($B109,'Institution Evaluation'!$A$55:$F$345,2,0),IFERROR(VLOOKUP($B109,'Privacy Analyst Evaluation'!$A$46:$F$120,2,0),""))&amp;""</f>
        <v>Is your LLM training data vetted, validated, and verified before training the solution's AI model?*</v>
      </c>
      <c r="D109" s="199" t="str">
        <f>IFERROR(VLOOKUP($B109,'Institution Evaluation'!$A$55:$F$345,3,0),IFERROR(VLOOKUP($B109,'Privacy Analyst Evaluation'!$A$46:$F$120,3,0),""))&amp;""</f>
        <v>N/A</v>
      </c>
      <c r="E109" s="199" t="str">
        <f>IFERROR(VLOOKUP($B109,'Institution Evaluation'!$A$55:$F$345,4,0),IFERROR(VLOOKUP($B109,'Privacy Analyst Evaluation'!$A$46:$F$120,4,0),""))&amp;""</f>
        <v>LLM training data is managed by OpenAI under the enterprise agreement. Accredible does not control or have visibility into OpenAI's LLM training data. Accredible's enterprise agreement prohibits use of submitted data for training.</v>
      </c>
      <c r="F109" s="199" t="str">
        <f>IFERROR(VLOOKUP($B109,'Institution Evaluation'!$A$55:$F$345,6,0),IFERROR(VLOOKUP($B109,'Privacy Analyst Evaluation'!$A$46:$F$120,6,0),""))&amp;""</f>
        <v/>
      </c>
      <c r="G109" s="200"/>
      <c r="H109" s="199" t="str">
        <f>IFERROR(IF($H108+1&gt;'(backend scoring)'!$Q$335,"",$H108+1),"")</f>
        <v/>
      </c>
      <c r="I109" s="199" t="str">
        <f>_xlfn.XLOOKUP($H109,'(backend scoring)'!$S$2:$S$333,'(backend scoring)'!$A$2:$A$333,"")</f>
        <v/>
      </c>
      <c r="J109" s="199" t="str">
        <f>IFERROR(VLOOKUP($I109,'Institution Evaluation'!$A$55:$F$345,2,0),IFERROR(VLOOKUP($I109,'Privacy Analyst Evaluation'!$A$46:$F$120,2,0),""))</f>
        <v/>
      </c>
      <c r="K109" s="199" t="str">
        <f>IFERROR(VLOOKUP($I109,'Institution Evaluation'!$A$55:$F$345,3,0),IFERROR(VLOOKUP($I109,'Privacy Analyst Evaluation'!$A$46:$F$120,3,0),""))&amp;""</f>
        <v/>
      </c>
      <c r="L109" s="199" t="str">
        <f>IFERROR(VLOOKUP($I109,'Institution Evaluation'!$A$55:$F$345,4,0),IFERROR(VLOOKUP($I109,'Privacy Analyst Evaluation'!$A$46:$F$120,4,0),""))&amp;""</f>
        <v/>
      </c>
      <c r="M109" s="199" t="str">
        <f>IFERROR(VLOOKUP($I109,'Institution Evaluation'!$A$55:$F$345,6,0),IFERROR(VLOOKUP($I109,'Privacy Analyst Evaluation'!$A$46:$F$120,6,0),""))&amp;""</f>
        <v/>
      </c>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row>
    <row r="110" spans="1:338" ht="60" customHeight="1" x14ac:dyDescent="0.2">
      <c r="A110" s="199">
        <f>IFERROR(IF($A109+1&gt;'(backend scoring)'!$T$335,"",$A109+1),"")</f>
        <v>86</v>
      </c>
      <c r="B110" s="199" t="str">
        <f>_xlfn.XLOOKUP($A110,'(backend scoring)'!$V$2:$V$333,'(backend scoring)'!$A$2:$A$333,"")</f>
        <v>AILM-03</v>
      </c>
      <c r="C110" s="199" t="str">
        <f>IFERROR(VLOOKUP($B110,'Institution Evaluation'!$A$55:$F$345,2,0),IFERROR(VLOOKUP($B110,'Privacy Analyst Evaluation'!$A$46:$F$120,2,0),""))&amp;""</f>
        <v>Do any actions taken by your solution's LLM features or plugins require human intervention?*</v>
      </c>
      <c r="D110" s="199" t="str">
        <f>IFERROR(VLOOKUP($B110,'Institution Evaluation'!$A$55:$F$345,3,0),IFERROR(VLOOKUP($B110,'Privacy Analyst Evaluation'!$A$46:$F$120,3,0),""))&amp;""</f>
        <v>Yes</v>
      </c>
      <c r="E110" s="199" t="str">
        <f>IFERROR(VLOOKUP($B110,'Institution Evaluation'!$A$55:$F$345,4,0),IFERROR(VLOOKUP($B110,'Privacy Analyst Evaluation'!$A$46:$F$120,4,0),""))&amp;""</f>
        <v>AI-generated skill tag suggestions are processed through Accredible's CritiqueEvaluatorService before being presented to users. Users must review and confirm suggestions rather than having them applied automatically, providing human oversight.</v>
      </c>
      <c r="F110" s="199" t="str">
        <f>IFERROR(VLOOKUP($B110,'Institution Evaluation'!$A$55:$F$345,6,0),IFERROR(VLOOKUP($B110,'Privacy Analyst Evaluation'!$A$46:$F$120,6,0),""))&amp;""</f>
        <v/>
      </c>
      <c r="G110" s="200"/>
      <c r="H110" s="199" t="str">
        <f>IFERROR(IF($H109+1&gt;'(backend scoring)'!$Q$335,"",$H109+1),"")</f>
        <v/>
      </c>
      <c r="I110" s="199" t="str">
        <f>_xlfn.XLOOKUP($H110,'(backend scoring)'!$S$2:$S$333,'(backend scoring)'!$A$2:$A$333,"")</f>
        <v/>
      </c>
      <c r="J110" s="199" t="str">
        <f>IFERROR(VLOOKUP($I110,'Institution Evaluation'!$A$55:$F$345,2,0),IFERROR(VLOOKUP($I110,'Privacy Analyst Evaluation'!$A$46:$F$120,2,0),""))</f>
        <v/>
      </c>
      <c r="K110" s="199" t="str">
        <f>IFERROR(VLOOKUP($I110,'Institution Evaluation'!$A$55:$F$345,3,0),IFERROR(VLOOKUP($I110,'Privacy Analyst Evaluation'!$A$46:$F$120,3,0),""))&amp;""</f>
        <v/>
      </c>
      <c r="L110" s="199" t="str">
        <f>IFERROR(VLOOKUP($I110,'Institution Evaluation'!$A$55:$F$345,4,0),IFERROR(VLOOKUP($I110,'Privacy Analyst Evaluation'!$A$46:$F$120,4,0),""))&amp;""</f>
        <v/>
      </c>
      <c r="M110" s="199" t="str">
        <f>IFERROR(VLOOKUP($I110,'Institution Evaluation'!$A$55:$F$345,6,0),IFERROR(VLOOKUP($I110,'Privacy Analyst Evaluation'!$A$46:$F$120,6,0),""))&amp;""</f>
        <v/>
      </c>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row>
    <row r="111" spans="1:338" ht="45" customHeight="1" x14ac:dyDescent="0.2">
      <c r="A111" s="199">
        <f>IFERROR(IF($A110+1&gt;'(backend scoring)'!$T$335,"",$A110+1),"")</f>
        <v>87</v>
      </c>
      <c r="B111" s="199" t="str">
        <f>_xlfn.XLOOKUP($A111,'(backend scoring)'!$V$2:$V$333,'(backend scoring)'!$A$2:$A$333,"")</f>
        <v>AILM-04</v>
      </c>
      <c r="C111" s="199" t="str">
        <f>IFERROR(VLOOKUP($B111,'Institution Evaluation'!$A$55:$F$345,2,0),IFERROR(VLOOKUP($B111,'Privacy Analyst Evaluation'!$A$46:$F$120,2,0),""))&amp;""</f>
        <v>Do you limit multiple LLM model plugins being called as part of a single input?*</v>
      </c>
      <c r="D111" s="199" t="str">
        <f>IFERROR(VLOOKUP($B111,'Institution Evaluation'!$A$55:$F$345,3,0),IFERROR(VLOOKUP($B111,'Privacy Analyst Evaluation'!$A$46:$F$120,3,0),""))&amp;""</f>
        <v>Yes</v>
      </c>
      <c r="E111" s="199" t="str">
        <f>IFERROR(VLOOKUP($B111,'Institution Evaluation'!$A$55:$F$345,4,0),IFERROR(VLOOKUP($B111,'Privacy Analyst Evaluation'!$A$46:$F$120,4,0),""))&amp;""</f>
        <v>Accredible limits API calls to a single OpenAI interaction per skills extraction request, preventing multiple chained LLM operations.</v>
      </c>
      <c r="F111" s="199" t="str">
        <f>IFERROR(VLOOKUP($B111,'Institution Evaluation'!$A$55:$F$345,6,0),IFERROR(VLOOKUP($B111,'Privacy Analyst Evaluation'!$A$46:$F$120,6,0),""))&amp;""</f>
        <v/>
      </c>
      <c r="G111" s="200"/>
      <c r="H111" s="199" t="str">
        <f>IFERROR(IF($H110+1&gt;'(backend scoring)'!$Q$335,"",$H110+1),"")</f>
        <v/>
      </c>
      <c r="I111" s="199" t="str">
        <f>_xlfn.XLOOKUP($H111,'(backend scoring)'!$S$2:$S$333,'(backend scoring)'!$A$2:$A$333,"")</f>
        <v/>
      </c>
      <c r="J111" s="199" t="str">
        <f>IFERROR(VLOOKUP($I111,'Institution Evaluation'!$A$55:$F$345,2,0),IFERROR(VLOOKUP($I111,'Privacy Analyst Evaluation'!$A$46:$F$120,2,0),""))</f>
        <v/>
      </c>
      <c r="K111" s="199" t="str">
        <f>IFERROR(VLOOKUP($I111,'Institution Evaluation'!$A$55:$F$345,3,0),IFERROR(VLOOKUP($I111,'Privacy Analyst Evaluation'!$A$46:$F$120,3,0),""))&amp;""</f>
        <v/>
      </c>
      <c r="L111" s="199" t="str">
        <f>IFERROR(VLOOKUP($I111,'Institution Evaluation'!$A$55:$F$345,4,0),IFERROR(VLOOKUP($I111,'Privacy Analyst Evaluation'!$A$46:$F$120,4,0),""))&amp;""</f>
        <v/>
      </c>
      <c r="M111" s="199" t="str">
        <f>IFERROR(VLOOKUP($I111,'Institution Evaluation'!$A$55:$F$345,6,0),IFERROR(VLOOKUP($I111,'Privacy Analyst Evaluation'!$A$46:$F$120,6,0),""))&amp;""</f>
        <v/>
      </c>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row>
    <row r="112" spans="1:338" ht="17" x14ac:dyDescent="0.2">
      <c r="A112" s="199" t="str">
        <f>IFERROR(IF($A111+1&gt;'(backend scoring)'!$T$335,"",$A111+1),"")</f>
        <v/>
      </c>
      <c r="B112" s="199" t="str">
        <f>_xlfn.XLOOKUP($A112,'(backend scoring)'!$V$2:$V$333,'(backend scoring)'!$A$2:$A$333,"")</f>
        <v/>
      </c>
      <c r="C112" s="199" t="str">
        <f>IFERROR(VLOOKUP($B112,'Institution Evaluation'!$A$55:$F$345,2,0),IFERROR(VLOOKUP($B112,'Privacy Analyst Evaluation'!$A$46:$F$120,2,0),""))&amp;""</f>
        <v/>
      </c>
      <c r="D112" s="199" t="str">
        <f>IFERROR(VLOOKUP($B112,'Institution Evaluation'!$A$55:$F$345,3,0),IFERROR(VLOOKUP($B112,'Privacy Analyst Evaluation'!$A$46:$F$120,3,0),""))&amp;""</f>
        <v/>
      </c>
      <c r="E112" s="199" t="str">
        <f>IFERROR(VLOOKUP($B112,'Institution Evaluation'!$A$55:$F$345,4,0),IFERROR(VLOOKUP($B112,'Privacy Analyst Evaluation'!$A$46:$F$120,4,0),""))&amp;""</f>
        <v/>
      </c>
      <c r="F112" s="199" t="str">
        <f>IFERROR(VLOOKUP($B112,'Institution Evaluation'!$A$55:$F$345,6,0),IFERROR(VLOOKUP($B112,'Privacy Analyst Evaluation'!$A$46:$F$120,6,0),""))&amp;""</f>
        <v/>
      </c>
      <c r="G112" s="200"/>
      <c r="H112" s="199" t="str">
        <f>IFERROR(IF($H111+1&gt;'(backend scoring)'!$Q$335,"",$H111+1),"")</f>
        <v/>
      </c>
      <c r="I112" s="199" t="str">
        <f>_xlfn.XLOOKUP($H112,'(backend scoring)'!$S$2:$S$333,'(backend scoring)'!$A$2:$A$333,"")</f>
        <v/>
      </c>
      <c r="J112" s="199" t="str">
        <f>IFERROR(VLOOKUP($I112,'Institution Evaluation'!$A$55:$F$345,2,0),IFERROR(VLOOKUP($I112,'Privacy Analyst Evaluation'!$A$46:$F$120,2,0),""))</f>
        <v/>
      </c>
      <c r="K112" s="199" t="str">
        <f>IFERROR(VLOOKUP($I112,'Institution Evaluation'!$A$55:$F$345,3,0),IFERROR(VLOOKUP($I112,'Privacy Analyst Evaluation'!$A$46:$F$120,3,0),""))&amp;""</f>
        <v/>
      </c>
      <c r="L112" s="199" t="str">
        <f>IFERROR(VLOOKUP($I112,'Institution Evaluation'!$A$55:$F$345,4,0),IFERROR(VLOOKUP($I112,'Privacy Analyst Evaluation'!$A$46:$F$120,4,0),""))&amp;""</f>
        <v/>
      </c>
      <c r="M112" s="199" t="str">
        <f>IFERROR(VLOOKUP($I112,'Institution Evaluation'!$A$55:$F$345,6,0),IFERROR(VLOOKUP($I112,'Privacy Analyst Evaluation'!$A$46:$F$120,6,0),""))&amp;""</f>
        <v/>
      </c>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row>
    <row r="113" spans="1:338" ht="17" x14ac:dyDescent="0.2">
      <c r="A113" s="199" t="str">
        <f>IFERROR(IF($A112+1&gt;'(backend scoring)'!$T$335,"",$A112+1),"")</f>
        <v/>
      </c>
      <c r="B113" s="199" t="str">
        <f>_xlfn.XLOOKUP($A113,'(backend scoring)'!$V$2:$V$333,'(backend scoring)'!$A$2:$A$333,"")</f>
        <v/>
      </c>
      <c r="C113" s="199" t="str">
        <f>IFERROR(VLOOKUP($B113,'Institution Evaluation'!$A$55:$F$345,2,0),IFERROR(VLOOKUP($B113,'Privacy Analyst Evaluation'!$A$46:$F$120,2,0),""))&amp;""</f>
        <v/>
      </c>
      <c r="D113" s="199" t="str">
        <f>IFERROR(VLOOKUP($B113,'Institution Evaluation'!$A$55:$F$345,3,0),IFERROR(VLOOKUP($B113,'Privacy Analyst Evaluation'!$A$46:$F$120,3,0),""))&amp;""</f>
        <v/>
      </c>
      <c r="E113" s="199" t="str">
        <f>IFERROR(VLOOKUP($B113,'Institution Evaluation'!$A$55:$F$345,4,0),IFERROR(VLOOKUP($B113,'Privacy Analyst Evaluation'!$A$46:$F$120,4,0),""))&amp;""</f>
        <v/>
      </c>
      <c r="F113" s="199" t="str">
        <f>IFERROR(VLOOKUP($B113,'Institution Evaluation'!$A$55:$F$345,6,0),IFERROR(VLOOKUP($B113,'Privacy Analyst Evaluation'!$A$46:$F$120,6,0),""))&amp;""</f>
        <v/>
      </c>
      <c r="G113" s="200"/>
      <c r="H113" s="199" t="str">
        <f>IFERROR(IF($H112+1&gt;'(backend scoring)'!$Q$335,"",$H112+1),"")</f>
        <v/>
      </c>
      <c r="I113" s="199" t="str">
        <f>_xlfn.XLOOKUP($H113,'(backend scoring)'!$S$2:$S$333,'(backend scoring)'!$A$2:$A$333,"")</f>
        <v/>
      </c>
      <c r="J113" s="199" t="str">
        <f>IFERROR(VLOOKUP($I113,'Institution Evaluation'!$A$55:$F$345,2,0),IFERROR(VLOOKUP($I113,'Privacy Analyst Evaluation'!$A$46:$F$120,2,0),""))</f>
        <v/>
      </c>
      <c r="K113" s="199" t="str">
        <f>IFERROR(VLOOKUP($I113,'Institution Evaluation'!$A$55:$F$345,3,0),IFERROR(VLOOKUP($I113,'Privacy Analyst Evaluation'!$A$46:$F$120,3,0),""))&amp;""</f>
        <v/>
      </c>
      <c r="L113" s="199" t="str">
        <f>IFERROR(VLOOKUP($I113,'Institution Evaluation'!$A$55:$F$345,4,0),IFERROR(VLOOKUP($I113,'Privacy Analyst Evaluation'!$A$46:$F$120,4,0),""))&amp;""</f>
        <v/>
      </c>
      <c r="M113" s="199" t="str">
        <f>IFERROR(VLOOKUP($I113,'Institution Evaluation'!$A$55:$F$345,6,0),IFERROR(VLOOKUP($I113,'Privacy Analyst Evaluation'!$A$46:$F$120,6,0),""))&amp;""</f>
        <v/>
      </c>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row>
    <row r="114" spans="1:338" ht="17" x14ac:dyDescent="0.2">
      <c r="A114" s="199" t="str">
        <f>IFERROR(IF($A113+1&gt;'(backend scoring)'!$T$335,"",$A113+1),"")</f>
        <v/>
      </c>
      <c r="B114" s="199" t="str">
        <f>_xlfn.XLOOKUP($A114,'(backend scoring)'!$V$2:$V$333,'(backend scoring)'!$A$2:$A$333,"")</f>
        <v/>
      </c>
      <c r="C114" s="199" t="str">
        <f>IFERROR(VLOOKUP($B114,'Institution Evaluation'!$A$55:$F$345,2,0),IFERROR(VLOOKUP($B114,'Privacy Analyst Evaluation'!$A$46:$F$120,2,0),""))&amp;""</f>
        <v/>
      </c>
      <c r="D114" s="199" t="str">
        <f>IFERROR(VLOOKUP($B114,'Institution Evaluation'!$A$55:$F$345,3,0),IFERROR(VLOOKUP($B114,'Privacy Analyst Evaluation'!$A$46:$F$120,3,0),""))&amp;""</f>
        <v/>
      </c>
      <c r="E114" s="199" t="str">
        <f>IFERROR(VLOOKUP($B114,'Institution Evaluation'!$A$55:$F$345,4,0),IFERROR(VLOOKUP($B114,'Privacy Analyst Evaluation'!$A$46:$F$120,4,0),""))&amp;""</f>
        <v/>
      </c>
      <c r="F114" s="199" t="str">
        <f>IFERROR(VLOOKUP($B114,'Institution Evaluation'!$A$55:$F$345,6,0),IFERROR(VLOOKUP($B114,'Privacy Analyst Evaluation'!$A$46:$F$120,6,0),""))&amp;""</f>
        <v/>
      </c>
      <c r="G114" s="200"/>
      <c r="H114" s="199" t="str">
        <f>IFERROR(IF($H113+1&gt;'(backend scoring)'!$Q$335,"",$H113+1),"")</f>
        <v/>
      </c>
      <c r="I114" s="199" t="str">
        <f>_xlfn.XLOOKUP($H114,'(backend scoring)'!$S$2:$S$333,'(backend scoring)'!$A$2:$A$333,"")</f>
        <v/>
      </c>
      <c r="J114" s="199" t="str">
        <f>IFERROR(VLOOKUP($I114,'Institution Evaluation'!$A$55:$F$345,2,0),IFERROR(VLOOKUP($I114,'Privacy Analyst Evaluation'!$A$46:$F$120,2,0),""))</f>
        <v/>
      </c>
      <c r="K114" s="199" t="str">
        <f>IFERROR(VLOOKUP($I114,'Institution Evaluation'!$A$55:$F$345,3,0),IFERROR(VLOOKUP($I114,'Privacy Analyst Evaluation'!$A$46:$F$120,3,0),""))&amp;""</f>
        <v/>
      </c>
      <c r="L114" s="199" t="str">
        <f>IFERROR(VLOOKUP($I114,'Institution Evaluation'!$A$55:$F$345,4,0),IFERROR(VLOOKUP($I114,'Privacy Analyst Evaluation'!$A$46:$F$120,4,0),""))&amp;""</f>
        <v/>
      </c>
      <c r="M114" s="199" t="str">
        <f>IFERROR(VLOOKUP($I114,'Institution Evaluation'!$A$55:$F$345,6,0),IFERROR(VLOOKUP($I114,'Privacy Analyst Evaluation'!$A$46:$F$120,6,0),""))&amp;""</f>
        <v/>
      </c>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row>
    <row r="115" spans="1:338" ht="17" x14ac:dyDescent="0.2">
      <c r="A115" s="199" t="str">
        <f>IFERROR(IF($A114+1&gt;'(backend scoring)'!$T$335,"",$A114+1),"")</f>
        <v/>
      </c>
      <c r="B115" s="199" t="str">
        <f>_xlfn.XLOOKUP($A115,'(backend scoring)'!$V$2:$V$333,'(backend scoring)'!$A$2:$A$333,"")</f>
        <v/>
      </c>
      <c r="C115" s="199" t="str">
        <f>IFERROR(VLOOKUP($B115,'Institution Evaluation'!$A$55:$F$345,2,0),IFERROR(VLOOKUP($B115,'Privacy Analyst Evaluation'!$A$46:$F$120,2,0),""))&amp;""</f>
        <v/>
      </c>
      <c r="D115" s="199" t="str">
        <f>IFERROR(VLOOKUP($B115,'Institution Evaluation'!$A$55:$F$345,3,0),IFERROR(VLOOKUP($B115,'Privacy Analyst Evaluation'!$A$46:$F$120,3,0),""))&amp;""</f>
        <v/>
      </c>
      <c r="E115" s="199" t="str">
        <f>IFERROR(VLOOKUP($B115,'Institution Evaluation'!$A$55:$F$345,4,0),IFERROR(VLOOKUP($B115,'Privacy Analyst Evaluation'!$A$46:$F$120,4,0),""))&amp;""</f>
        <v/>
      </c>
      <c r="F115" s="199" t="str">
        <f>IFERROR(VLOOKUP($B115,'Institution Evaluation'!$A$55:$F$345,6,0),IFERROR(VLOOKUP($B115,'Privacy Analyst Evaluation'!$A$46:$F$120,6,0),""))&amp;""</f>
        <v/>
      </c>
      <c r="G115" s="200"/>
      <c r="H115" s="199" t="str">
        <f>IFERROR(IF($H114+1&gt;'(backend scoring)'!$Q$335,"",$H114+1),"")</f>
        <v/>
      </c>
      <c r="I115" s="199" t="str">
        <f>_xlfn.XLOOKUP($H115,'(backend scoring)'!$S$2:$S$333,'(backend scoring)'!$A$2:$A$333,"")</f>
        <v/>
      </c>
      <c r="J115" s="199" t="str">
        <f>IFERROR(VLOOKUP($I115,'Institution Evaluation'!$A$55:$F$345,2,0),IFERROR(VLOOKUP($I115,'Privacy Analyst Evaluation'!$A$46:$F$120,2,0),""))</f>
        <v/>
      </c>
      <c r="K115" s="199" t="str">
        <f>IFERROR(VLOOKUP($I115,'Institution Evaluation'!$A$55:$F$345,3,0),IFERROR(VLOOKUP($I115,'Privacy Analyst Evaluation'!$A$46:$F$120,3,0),""))&amp;""</f>
        <v/>
      </c>
      <c r="L115" s="199" t="str">
        <f>IFERROR(VLOOKUP($I115,'Institution Evaluation'!$A$55:$F$345,4,0),IFERROR(VLOOKUP($I115,'Privacy Analyst Evaluation'!$A$46:$F$120,4,0),""))&amp;""</f>
        <v/>
      </c>
      <c r="M115" s="199" t="str">
        <f>IFERROR(VLOOKUP($I115,'Institution Evaluation'!$A$55:$F$345,6,0),IFERROR(VLOOKUP($I115,'Privacy Analyst Evaluation'!$A$46:$F$120,6,0),""))&amp;""</f>
        <v/>
      </c>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row>
    <row r="116" spans="1:338" ht="17" x14ac:dyDescent="0.2">
      <c r="A116" s="199" t="str">
        <f>IFERROR(IF($A115+1&gt;'(backend scoring)'!$T$335,"",$A115+1),"")</f>
        <v/>
      </c>
      <c r="B116" s="199" t="str">
        <f>_xlfn.XLOOKUP($A116,'(backend scoring)'!$V$2:$V$333,'(backend scoring)'!$A$2:$A$333,"")</f>
        <v/>
      </c>
      <c r="C116" s="199" t="str">
        <f>IFERROR(VLOOKUP($B116,'Institution Evaluation'!$A$55:$F$345,2,0),IFERROR(VLOOKUP($B116,'Privacy Analyst Evaluation'!$A$46:$F$120,2,0),""))&amp;""</f>
        <v/>
      </c>
      <c r="D116" s="199" t="str">
        <f>IFERROR(VLOOKUP($B116,'Institution Evaluation'!$A$55:$F$345,3,0),IFERROR(VLOOKUP($B116,'Privacy Analyst Evaluation'!$A$46:$F$120,3,0),""))&amp;""</f>
        <v/>
      </c>
      <c r="E116" s="199" t="str">
        <f>IFERROR(VLOOKUP($B116,'Institution Evaluation'!$A$55:$F$345,4,0),IFERROR(VLOOKUP($B116,'Privacy Analyst Evaluation'!$A$46:$F$120,4,0),""))&amp;""</f>
        <v/>
      </c>
      <c r="F116" s="199" t="str">
        <f>IFERROR(VLOOKUP($B116,'Institution Evaluation'!$A$55:$F$345,6,0),IFERROR(VLOOKUP($B116,'Privacy Analyst Evaluation'!$A$46:$F$120,6,0),""))&amp;""</f>
        <v/>
      </c>
      <c r="G116" s="200"/>
      <c r="H116" s="199" t="str">
        <f>IFERROR(IF($H115+1&gt;'(backend scoring)'!$Q$335,"",$H115+1),"")</f>
        <v/>
      </c>
      <c r="I116" s="199" t="str">
        <f>_xlfn.XLOOKUP($H116,'(backend scoring)'!$S$2:$S$333,'(backend scoring)'!$A$2:$A$333,"")</f>
        <v/>
      </c>
      <c r="J116" s="199" t="str">
        <f>IFERROR(VLOOKUP($I116,'Institution Evaluation'!$A$55:$F$345,2,0),IFERROR(VLOOKUP($I116,'Privacy Analyst Evaluation'!$A$46:$F$120,2,0),""))</f>
        <v/>
      </c>
      <c r="K116" s="199" t="str">
        <f>IFERROR(VLOOKUP($I116,'Institution Evaluation'!$A$55:$F$345,3,0),IFERROR(VLOOKUP($I116,'Privacy Analyst Evaluation'!$A$46:$F$120,3,0),""))&amp;""</f>
        <v/>
      </c>
      <c r="L116" s="199" t="str">
        <f>IFERROR(VLOOKUP($I116,'Institution Evaluation'!$A$55:$F$345,4,0),IFERROR(VLOOKUP($I116,'Privacy Analyst Evaluation'!$A$46:$F$120,4,0),""))&amp;""</f>
        <v/>
      </c>
      <c r="M116" s="199" t="str">
        <f>IFERROR(VLOOKUP($I116,'Institution Evaluation'!$A$55:$F$345,6,0),IFERROR(VLOOKUP($I116,'Privacy Analyst Evaluation'!$A$46:$F$120,6,0),""))&amp;""</f>
        <v/>
      </c>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row>
    <row r="117" spans="1:338" ht="17" x14ac:dyDescent="0.2">
      <c r="A117" s="199" t="str">
        <f>IFERROR(IF($A116+1&gt;'(backend scoring)'!$T$335,"",$A116+1),"")</f>
        <v/>
      </c>
      <c r="B117" s="199" t="str">
        <f>_xlfn.XLOOKUP($A117,'(backend scoring)'!$V$2:$V$333,'(backend scoring)'!$A$2:$A$333,"")</f>
        <v/>
      </c>
      <c r="C117" s="199" t="str">
        <f>IFERROR(VLOOKUP($B117,'Institution Evaluation'!$A$55:$F$345,2,0),IFERROR(VLOOKUP($B117,'Privacy Analyst Evaluation'!$A$46:$F$120,2,0),""))&amp;""</f>
        <v/>
      </c>
      <c r="D117" s="199" t="str">
        <f>IFERROR(VLOOKUP($B117,'Institution Evaluation'!$A$55:$F$345,3,0),IFERROR(VLOOKUP($B117,'Privacy Analyst Evaluation'!$A$46:$F$120,3,0),""))&amp;""</f>
        <v/>
      </c>
      <c r="E117" s="199" t="str">
        <f>IFERROR(VLOOKUP($B117,'Institution Evaluation'!$A$55:$F$345,4,0),IFERROR(VLOOKUP($B117,'Privacy Analyst Evaluation'!$A$46:$F$120,4,0),""))&amp;""</f>
        <v/>
      </c>
      <c r="F117" s="199" t="str">
        <f>IFERROR(VLOOKUP($B117,'Institution Evaluation'!$A$55:$F$345,6,0),IFERROR(VLOOKUP($B117,'Privacy Analyst Evaluation'!$A$46:$F$120,6,0),""))&amp;""</f>
        <v/>
      </c>
      <c r="G117" s="200"/>
      <c r="H117" s="199" t="str">
        <f>IFERROR(IF($H116+1&gt;'(backend scoring)'!$Q$335,"",$H116+1),"")</f>
        <v/>
      </c>
      <c r="I117" s="199" t="str">
        <f>_xlfn.XLOOKUP($H117,'(backend scoring)'!$S$2:$S$333,'(backend scoring)'!$A$2:$A$333,"")</f>
        <v/>
      </c>
      <c r="J117" s="199" t="str">
        <f>IFERROR(VLOOKUP($I117,'Institution Evaluation'!$A$55:$F$345,2,0),IFERROR(VLOOKUP($I117,'Privacy Analyst Evaluation'!$A$46:$F$120,2,0),""))</f>
        <v/>
      </c>
      <c r="K117" s="199" t="str">
        <f>IFERROR(VLOOKUP($I117,'Institution Evaluation'!$A$55:$F$345,3,0),IFERROR(VLOOKUP($I117,'Privacy Analyst Evaluation'!$A$46:$F$120,3,0),""))&amp;""</f>
        <v/>
      </c>
      <c r="L117" s="199" t="str">
        <f>IFERROR(VLOOKUP($I117,'Institution Evaluation'!$A$55:$F$345,4,0),IFERROR(VLOOKUP($I117,'Privacy Analyst Evaluation'!$A$46:$F$120,4,0),""))&amp;""</f>
        <v/>
      </c>
      <c r="M117" s="199" t="str">
        <f>IFERROR(VLOOKUP($I117,'Institution Evaluation'!$A$55:$F$345,6,0),IFERROR(VLOOKUP($I117,'Privacy Analyst Evaluation'!$A$46:$F$120,6,0),""))&amp;""</f>
        <v/>
      </c>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row>
    <row r="118" spans="1:338" ht="17" x14ac:dyDescent="0.2">
      <c r="A118" s="199" t="str">
        <f>IFERROR(IF($A117+1&gt;'(backend scoring)'!$T$335,"",$A117+1),"")</f>
        <v/>
      </c>
      <c r="B118" s="199" t="str">
        <f>_xlfn.XLOOKUP($A118,'(backend scoring)'!$V$2:$V$333,'(backend scoring)'!$A$2:$A$333,"")</f>
        <v/>
      </c>
      <c r="C118" s="199" t="str">
        <f>IFERROR(VLOOKUP($B118,'Institution Evaluation'!$A$55:$F$345,2,0),IFERROR(VLOOKUP($B118,'Privacy Analyst Evaluation'!$A$46:$F$120,2,0),""))&amp;""</f>
        <v/>
      </c>
      <c r="D118" s="199" t="str">
        <f>IFERROR(VLOOKUP($B118,'Institution Evaluation'!$A$55:$F$345,3,0),IFERROR(VLOOKUP($B118,'Privacy Analyst Evaluation'!$A$46:$F$120,3,0),""))&amp;""</f>
        <v/>
      </c>
      <c r="E118" s="199" t="str">
        <f>IFERROR(VLOOKUP($B118,'Institution Evaluation'!$A$55:$F$345,4,0),IFERROR(VLOOKUP($B118,'Privacy Analyst Evaluation'!$A$46:$F$120,4,0),""))&amp;""</f>
        <v/>
      </c>
      <c r="F118" s="199" t="str">
        <f>IFERROR(VLOOKUP($B118,'Institution Evaluation'!$A$55:$F$345,6,0),IFERROR(VLOOKUP($B118,'Privacy Analyst Evaluation'!$A$46:$F$120,6,0),""))&amp;""</f>
        <v/>
      </c>
      <c r="G118" s="200"/>
      <c r="H118" s="199" t="str">
        <f>IFERROR(IF($H117+1&gt;'(backend scoring)'!$Q$335,"",$H117+1),"")</f>
        <v/>
      </c>
      <c r="I118" s="199" t="str">
        <f>_xlfn.XLOOKUP($H118,'(backend scoring)'!$S$2:$S$333,'(backend scoring)'!$A$2:$A$333,"")</f>
        <v/>
      </c>
      <c r="J118" s="199" t="str">
        <f>IFERROR(VLOOKUP($I118,'Institution Evaluation'!$A$55:$F$345,2,0),IFERROR(VLOOKUP($I118,'Privacy Analyst Evaluation'!$A$46:$F$120,2,0),""))</f>
        <v/>
      </c>
      <c r="K118" s="199" t="str">
        <f>IFERROR(VLOOKUP($I118,'Institution Evaluation'!$A$55:$F$345,3,0),IFERROR(VLOOKUP($I118,'Privacy Analyst Evaluation'!$A$46:$F$120,3,0),""))&amp;""</f>
        <v/>
      </c>
      <c r="L118" s="199" t="str">
        <f>IFERROR(VLOOKUP($I118,'Institution Evaluation'!$A$55:$F$345,4,0),IFERROR(VLOOKUP($I118,'Privacy Analyst Evaluation'!$A$46:$F$120,4,0),""))&amp;""</f>
        <v/>
      </c>
      <c r="M118" s="199" t="str">
        <f>IFERROR(VLOOKUP($I118,'Institution Evaluation'!$A$55:$F$345,6,0),IFERROR(VLOOKUP($I118,'Privacy Analyst Evaluation'!$A$46:$F$120,6,0),""))&amp;""</f>
        <v/>
      </c>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row>
    <row r="119" spans="1:338" ht="17" x14ac:dyDescent="0.2">
      <c r="A119" s="199" t="str">
        <f>IFERROR(IF($A118+1&gt;'(backend scoring)'!$T$335,"",$A118+1),"")</f>
        <v/>
      </c>
      <c r="B119" s="199" t="str">
        <f>_xlfn.XLOOKUP($A119,'(backend scoring)'!$V$2:$V$333,'(backend scoring)'!$A$2:$A$333,"")</f>
        <v/>
      </c>
      <c r="C119" s="199" t="str">
        <f>IFERROR(VLOOKUP($B119,'Institution Evaluation'!$A$55:$F$345,2,0),IFERROR(VLOOKUP($B119,'Privacy Analyst Evaluation'!$A$46:$F$120,2,0),""))&amp;""</f>
        <v/>
      </c>
      <c r="D119" s="199" t="str">
        <f>IFERROR(VLOOKUP($B119,'Institution Evaluation'!$A$55:$F$345,3,0),IFERROR(VLOOKUP($B119,'Privacy Analyst Evaluation'!$A$46:$F$120,3,0),""))&amp;""</f>
        <v/>
      </c>
      <c r="E119" s="199" t="str">
        <f>IFERROR(VLOOKUP($B119,'Institution Evaluation'!$A$55:$F$345,4,0),IFERROR(VLOOKUP($B119,'Privacy Analyst Evaluation'!$A$46:$F$120,4,0),""))&amp;""</f>
        <v/>
      </c>
      <c r="F119" s="199" t="str">
        <f>IFERROR(VLOOKUP($B119,'Institution Evaluation'!$A$55:$F$345,6,0),IFERROR(VLOOKUP($B119,'Privacy Analyst Evaluation'!$A$46:$F$120,6,0),""))&amp;""</f>
        <v/>
      </c>
      <c r="G119" s="200"/>
      <c r="H119" s="199" t="str">
        <f>IFERROR(IF($H118+1&gt;'(backend scoring)'!$Q$335,"",$H118+1),"")</f>
        <v/>
      </c>
      <c r="I119" s="199" t="str">
        <f>_xlfn.XLOOKUP($H119,'(backend scoring)'!$S$2:$S$333,'(backend scoring)'!$A$2:$A$333,"")</f>
        <v/>
      </c>
      <c r="J119" s="199" t="str">
        <f>IFERROR(VLOOKUP($I119,'Institution Evaluation'!$A$55:$F$345,2,0),IFERROR(VLOOKUP($I119,'Privacy Analyst Evaluation'!$A$46:$F$120,2,0),""))</f>
        <v/>
      </c>
      <c r="K119" s="199" t="str">
        <f>IFERROR(VLOOKUP($I119,'Institution Evaluation'!$A$55:$F$345,3,0),IFERROR(VLOOKUP($I119,'Privacy Analyst Evaluation'!$A$46:$F$120,3,0),""))&amp;""</f>
        <v/>
      </c>
      <c r="L119" s="199" t="str">
        <f>IFERROR(VLOOKUP($I119,'Institution Evaluation'!$A$55:$F$345,4,0),IFERROR(VLOOKUP($I119,'Privacy Analyst Evaluation'!$A$46:$F$120,4,0),""))&amp;""</f>
        <v/>
      </c>
      <c r="M119" s="199" t="str">
        <f>IFERROR(VLOOKUP($I119,'Institution Evaluation'!$A$55:$F$345,6,0),IFERROR(VLOOKUP($I119,'Privacy Analyst Evaluation'!$A$46:$F$120,6,0),""))&amp;""</f>
        <v/>
      </c>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row>
    <row r="120" spans="1:338" ht="17" x14ac:dyDescent="0.2">
      <c r="A120" s="199" t="str">
        <f>IFERROR(IF($A119+1&gt;'(backend scoring)'!$T$335,"",$A119+1),"")</f>
        <v/>
      </c>
      <c r="B120" s="199" t="str">
        <f>_xlfn.XLOOKUP($A120,'(backend scoring)'!$V$2:$V$333,'(backend scoring)'!$A$2:$A$333,"")</f>
        <v/>
      </c>
      <c r="C120" s="199" t="str">
        <f>IFERROR(VLOOKUP($B120,'Institution Evaluation'!$A$55:$F$345,2,0),IFERROR(VLOOKUP($B120,'Privacy Analyst Evaluation'!$A$46:$F$120,2,0),""))&amp;""</f>
        <v/>
      </c>
      <c r="D120" s="199" t="str">
        <f>IFERROR(VLOOKUP($B120,'Institution Evaluation'!$A$55:$F$345,3,0),IFERROR(VLOOKUP($B120,'Privacy Analyst Evaluation'!$A$46:$F$120,3,0),""))&amp;""</f>
        <v/>
      </c>
      <c r="E120" s="199" t="str">
        <f>IFERROR(VLOOKUP($B120,'Institution Evaluation'!$A$55:$F$345,4,0),IFERROR(VLOOKUP($B120,'Privacy Analyst Evaluation'!$A$46:$F$120,4,0),""))&amp;""</f>
        <v/>
      </c>
      <c r="F120" s="199" t="str">
        <f>IFERROR(VLOOKUP($B120,'Institution Evaluation'!$A$55:$F$345,6,0),IFERROR(VLOOKUP($B120,'Privacy Analyst Evaluation'!$A$46:$F$120,6,0),""))&amp;""</f>
        <v/>
      </c>
      <c r="G120" s="200"/>
      <c r="H120" s="199" t="str">
        <f>IFERROR(IF($H119+1&gt;'(backend scoring)'!$Q$335,"",$H119+1),"")</f>
        <v/>
      </c>
      <c r="I120" s="199" t="str">
        <f>_xlfn.XLOOKUP($H120,'(backend scoring)'!$S$2:$S$333,'(backend scoring)'!$A$2:$A$333,"")</f>
        <v/>
      </c>
      <c r="J120" s="199" t="str">
        <f>IFERROR(VLOOKUP($I120,'Institution Evaluation'!$A$55:$F$345,2,0),IFERROR(VLOOKUP($I120,'Privacy Analyst Evaluation'!$A$46:$F$120,2,0),""))</f>
        <v/>
      </c>
      <c r="K120" s="199" t="str">
        <f>IFERROR(VLOOKUP($I120,'Institution Evaluation'!$A$55:$F$345,3,0),IFERROR(VLOOKUP($I120,'Privacy Analyst Evaluation'!$A$46:$F$120,3,0),""))&amp;""</f>
        <v/>
      </c>
      <c r="L120" s="199" t="str">
        <f>IFERROR(VLOOKUP($I120,'Institution Evaluation'!$A$55:$F$345,4,0),IFERROR(VLOOKUP($I120,'Privacy Analyst Evaluation'!$A$46:$F$120,4,0),""))&amp;""</f>
        <v/>
      </c>
      <c r="M120" s="199" t="str">
        <f>IFERROR(VLOOKUP($I120,'Institution Evaluation'!$A$55:$F$345,6,0),IFERROR(VLOOKUP($I120,'Privacy Analyst Evaluation'!$A$46:$F$120,6,0),""))&amp;""</f>
        <v/>
      </c>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row>
    <row r="121" spans="1:338" ht="17" x14ac:dyDescent="0.2">
      <c r="A121" s="199" t="str">
        <f>IFERROR(IF($A120+1&gt;'(backend scoring)'!$T$335,"",$A120+1),"")</f>
        <v/>
      </c>
      <c r="B121" s="199" t="str">
        <f>_xlfn.XLOOKUP($A121,'(backend scoring)'!$V$2:$V$333,'(backend scoring)'!$A$2:$A$333,"")</f>
        <v/>
      </c>
      <c r="C121" s="199" t="str">
        <f>IFERROR(VLOOKUP($B121,'Institution Evaluation'!$A$55:$F$345,2,0),IFERROR(VLOOKUP($B121,'Privacy Analyst Evaluation'!$A$46:$F$120,2,0),""))&amp;""</f>
        <v/>
      </c>
      <c r="D121" s="199" t="str">
        <f>IFERROR(VLOOKUP($B121,'Institution Evaluation'!$A$55:$F$345,3,0),IFERROR(VLOOKUP($B121,'Privacy Analyst Evaluation'!$A$46:$F$120,3,0),""))&amp;""</f>
        <v/>
      </c>
      <c r="E121" s="199" t="str">
        <f>IFERROR(VLOOKUP($B121,'Institution Evaluation'!$A$55:$F$345,4,0),IFERROR(VLOOKUP($B121,'Privacy Analyst Evaluation'!$A$46:$F$120,4,0),""))&amp;""</f>
        <v/>
      </c>
      <c r="F121" s="199" t="str">
        <f>IFERROR(VLOOKUP($B121,'Institution Evaluation'!$A$55:$F$345,6,0),IFERROR(VLOOKUP($B121,'Privacy Analyst Evaluation'!$A$46:$F$120,6,0),""))&amp;""</f>
        <v/>
      </c>
      <c r="G121" s="200"/>
      <c r="H121" s="199" t="str">
        <f>IFERROR(IF($H120+1&gt;'(backend scoring)'!$Q$335,"",$H120+1),"")</f>
        <v/>
      </c>
      <c r="I121" s="199" t="str">
        <f>_xlfn.XLOOKUP($H121,'(backend scoring)'!$S$2:$S$333,'(backend scoring)'!$A$2:$A$333,"")</f>
        <v/>
      </c>
      <c r="J121" s="199" t="str">
        <f>IFERROR(VLOOKUP($I121,'Institution Evaluation'!$A$55:$F$345,2,0),IFERROR(VLOOKUP($I121,'Privacy Analyst Evaluation'!$A$46:$F$120,2,0),""))</f>
        <v/>
      </c>
      <c r="K121" s="199" t="str">
        <f>IFERROR(VLOOKUP($I121,'Institution Evaluation'!$A$55:$F$345,3,0),IFERROR(VLOOKUP($I121,'Privacy Analyst Evaluation'!$A$46:$F$120,3,0),""))&amp;""</f>
        <v/>
      </c>
      <c r="L121" s="199" t="str">
        <f>IFERROR(VLOOKUP($I121,'Institution Evaluation'!$A$55:$F$345,4,0),IFERROR(VLOOKUP($I121,'Privacy Analyst Evaluation'!$A$46:$F$120,4,0),""))&amp;""</f>
        <v/>
      </c>
      <c r="M121" s="199" t="str">
        <f>IFERROR(VLOOKUP($I121,'Institution Evaluation'!$A$55:$F$345,6,0),IFERROR(VLOOKUP($I121,'Privacy Analyst Evaluation'!$A$46:$F$120,6,0),""))&amp;""</f>
        <v/>
      </c>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row>
    <row r="122" spans="1:338" ht="17" x14ac:dyDescent="0.2">
      <c r="A122" s="199" t="str">
        <f>IFERROR(IF($A121+1&gt;'(backend scoring)'!$T$335,"",$A121+1),"")</f>
        <v/>
      </c>
      <c r="B122" s="199" t="str">
        <f>_xlfn.XLOOKUP($A122,'(backend scoring)'!$V$2:$V$333,'(backend scoring)'!$A$2:$A$333,"")</f>
        <v/>
      </c>
      <c r="C122" s="199" t="str">
        <f>IFERROR(VLOOKUP($B122,'Institution Evaluation'!$A$55:$F$345,2,0),IFERROR(VLOOKUP($B122,'Privacy Analyst Evaluation'!$A$46:$F$120,2,0),""))&amp;""</f>
        <v/>
      </c>
      <c r="D122" s="199" t="str">
        <f>IFERROR(VLOOKUP($B122,'Institution Evaluation'!$A$55:$F$345,3,0),IFERROR(VLOOKUP($B122,'Privacy Analyst Evaluation'!$A$46:$F$120,3,0),""))&amp;""</f>
        <v/>
      </c>
      <c r="E122" s="199" t="str">
        <f>IFERROR(VLOOKUP($B122,'Institution Evaluation'!$A$55:$F$345,4,0),IFERROR(VLOOKUP($B122,'Privacy Analyst Evaluation'!$A$46:$F$120,4,0),""))&amp;""</f>
        <v/>
      </c>
      <c r="F122" s="199" t="str">
        <f>IFERROR(VLOOKUP($B122,'Institution Evaluation'!$A$55:$F$345,6,0),IFERROR(VLOOKUP($B122,'Privacy Analyst Evaluation'!$A$46:$F$120,6,0),""))&amp;""</f>
        <v/>
      </c>
      <c r="G122" s="200"/>
      <c r="H122" s="199" t="str">
        <f>IFERROR(IF($H121+1&gt;'(backend scoring)'!$Q$335,"",$H121+1),"")</f>
        <v/>
      </c>
      <c r="I122" s="199" t="str">
        <f>_xlfn.XLOOKUP($H122,'(backend scoring)'!$S$2:$S$333,'(backend scoring)'!$A$2:$A$333,"")</f>
        <v/>
      </c>
      <c r="J122" s="199" t="str">
        <f>IFERROR(VLOOKUP($I122,'Institution Evaluation'!$A$55:$F$345,2,0),IFERROR(VLOOKUP($I122,'Privacy Analyst Evaluation'!$A$46:$F$120,2,0),""))</f>
        <v/>
      </c>
      <c r="K122" s="199" t="str">
        <f>IFERROR(VLOOKUP($I122,'Institution Evaluation'!$A$55:$F$345,3,0),IFERROR(VLOOKUP($I122,'Privacy Analyst Evaluation'!$A$46:$F$120,3,0),""))&amp;""</f>
        <v/>
      </c>
      <c r="L122" s="199" t="str">
        <f>IFERROR(VLOOKUP($I122,'Institution Evaluation'!$A$55:$F$345,4,0),IFERROR(VLOOKUP($I122,'Privacy Analyst Evaluation'!$A$46:$F$120,4,0),""))&amp;""</f>
        <v/>
      </c>
      <c r="M122" s="199" t="str">
        <f>IFERROR(VLOOKUP($I122,'Institution Evaluation'!$A$55:$F$345,6,0),IFERROR(VLOOKUP($I122,'Privacy Analyst Evaluation'!$A$46:$F$120,6,0),""))&amp;""</f>
        <v/>
      </c>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row>
    <row r="123" spans="1:338" ht="17" x14ac:dyDescent="0.2">
      <c r="A123" s="199" t="str">
        <f>IFERROR(IF($A122+1&gt;'(backend scoring)'!$T$335,"",$A122+1),"")</f>
        <v/>
      </c>
      <c r="B123" s="199" t="str">
        <f>_xlfn.XLOOKUP($A123,'(backend scoring)'!$V$2:$V$333,'(backend scoring)'!$A$2:$A$333,"")</f>
        <v/>
      </c>
      <c r="C123" s="199" t="str">
        <f>IFERROR(VLOOKUP($B123,'Institution Evaluation'!$A$55:$F$345,2,0),IFERROR(VLOOKUP($B123,'Privacy Analyst Evaluation'!$A$46:$F$120,2,0),""))&amp;""</f>
        <v/>
      </c>
      <c r="D123" s="199" t="str">
        <f>IFERROR(VLOOKUP($B123,'Institution Evaluation'!$A$55:$F$345,3,0),IFERROR(VLOOKUP($B123,'Privacy Analyst Evaluation'!$A$46:$F$120,3,0),""))&amp;""</f>
        <v/>
      </c>
      <c r="E123" s="199" t="str">
        <f>IFERROR(VLOOKUP($B123,'Institution Evaluation'!$A$55:$F$345,4,0),IFERROR(VLOOKUP($B123,'Privacy Analyst Evaluation'!$A$46:$F$120,4,0),""))&amp;""</f>
        <v/>
      </c>
      <c r="F123" s="199" t="str">
        <f>IFERROR(VLOOKUP($B123,'Institution Evaluation'!$A$55:$F$345,6,0),IFERROR(VLOOKUP($B123,'Privacy Analyst Evaluation'!$A$46:$F$120,6,0),""))&amp;""</f>
        <v/>
      </c>
      <c r="G123" s="200"/>
      <c r="H123" s="199" t="str">
        <f>IFERROR(IF($H122+1&gt;'(backend scoring)'!$Q$335,"",$H122+1),"")</f>
        <v/>
      </c>
      <c r="I123" s="199" t="str">
        <f>_xlfn.XLOOKUP($H123,'(backend scoring)'!$S$2:$S$333,'(backend scoring)'!$A$2:$A$333,"")</f>
        <v/>
      </c>
      <c r="J123" s="199" t="str">
        <f>IFERROR(VLOOKUP($I123,'Institution Evaluation'!$A$55:$F$345,2,0),IFERROR(VLOOKUP($I123,'Privacy Analyst Evaluation'!$A$46:$F$120,2,0),""))</f>
        <v/>
      </c>
      <c r="K123" s="199" t="str">
        <f>IFERROR(VLOOKUP($I123,'Institution Evaluation'!$A$55:$F$345,3,0),IFERROR(VLOOKUP($I123,'Privacy Analyst Evaluation'!$A$46:$F$120,3,0),""))&amp;""</f>
        <v/>
      </c>
      <c r="L123" s="199" t="str">
        <f>IFERROR(VLOOKUP($I123,'Institution Evaluation'!$A$55:$F$345,4,0),IFERROR(VLOOKUP($I123,'Privacy Analyst Evaluation'!$A$46:$F$120,4,0),""))&amp;""</f>
        <v/>
      </c>
      <c r="M123" s="199" t="str">
        <f>IFERROR(VLOOKUP($I123,'Institution Evaluation'!$A$55:$F$345,6,0),IFERROR(VLOOKUP($I123,'Privacy Analyst Evaluation'!$A$46:$F$120,6,0),""))&amp;""</f>
        <v/>
      </c>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row>
    <row r="124" spans="1:338" ht="17" x14ac:dyDescent="0.2">
      <c r="A124" s="199" t="str">
        <f>IFERROR(IF($A123+1&gt;'(backend scoring)'!$T$335,"",$A123+1),"")</f>
        <v/>
      </c>
      <c r="B124" s="199" t="str">
        <f>_xlfn.XLOOKUP($A124,'(backend scoring)'!$V$2:$V$333,'(backend scoring)'!$A$2:$A$333,"")</f>
        <v/>
      </c>
      <c r="C124" s="199" t="str">
        <f>IFERROR(VLOOKUP($B124,'Institution Evaluation'!$A$55:$F$345,2,0),IFERROR(VLOOKUP($B124,'Privacy Analyst Evaluation'!$A$46:$F$120,2,0),""))&amp;""</f>
        <v/>
      </c>
      <c r="D124" s="199" t="str">
        <f>IFERROR(VLOOKUP($B124,'Institution Evaluation'!$A$55:$F$345,3,0),IFERROR(VLOOKUP($B124,'Privacy Analyst Evaluation'!$A$46:$F$120,3,0),""))&amp;""</f>
        <v/>
      </c>
      <c r="E124" s="199" t="str">
        <f>IFERROR(VLOOKUP($B124,'Institution Evaluation'!$A$55:$F$345,4,0),IFERROR(VLOOKUP($B124,'Privacy Analyst Evaluation'!$A$46:$F$120,4,0),""))&amp;""</f>
        <v/>
      </c>
      <c r="F124" s="199" t="str">
        <f>IFERROR(VLOOKUP($B124,'Institution Evaluation'!$A$55:$F$345,6,0),IFERROR(VLOOKUP($B124,'Privacy Analyst Evaluation'!$A$46:$F$120,6,0),""))&amp;""</f>
        <v/>
      </c>
      <c r="G124" s="200"/>
      <c r="H124" s="199" t="str">
        <f>IFERROR(IF($H123+1&gt;'(backend scoring)'!$Q$335,"",$H123+1),"")</f>
        <v/>
      </c>
      <c r="I124" s="199" t="str">
        <f>_xlfn.XLOOKUP($H124,'(backend scoring)'!$S$2:$S$333,'(backend scoring)'!$A$2:$A$333,"")</f>
        <v/>
      </c>
      <c r="J124" s="199" t="str">
        <f>IFERROR(VLOOKUP($I124,'Institution Evaluation'!$A$55:$F$345,2,0),IFERROR(VLOOKUP($I124,'Privacy Analyst Evaluation'!$A$46:$F$120,2,0),""))</f>
        <v/>
      </c>
      <c r="K124" s="199" t="str">
        <f>IFERROR(VLOOKUP($I124,'Institution Evaluation'!$A$55:$F$345,3,0),IFERROR(VLOOKUP($I124,'Privacy Analyst Evaluation'!$A$46:$F$120,3,0),""))&amp;""</f>
        <v/>
      </c>
      <c r="L124" s="199" t="str">
        <f>IFERROR(VLOOKUP($I124,'Institution Evaluation'!$A$55:$F$345,4,0),IFERROR(VLOOKUP($I124,'Privacy Analyst Evaluation'!$A$46:$F$120,4,0),""))&amp;""</f>
        <v/>
      </c>
      <c r="M124" s="199" t="str">
        <f>IFERROR(VLOOKUP($I124,'Institution Evaluation'!$A$55:$F$345,6,0),IFERROR(VLOOKUP($I124,'Privacy Analyst Evaluation'!$A$46:$F$120,6,0),""))&amp;""</f>
        <v/>
      </c>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row>
    <row r="125" spans="1:338" ht="17" x14ac:dyDescent="0.2">
      <c r="A125" s="199" t="str">
        <f>IFERROR(IF($A124+1&gt;'(backend scoring)'!$T$335,"",$A124+1),"")</f>
        <v/>
      </c>
      <c r="B125" s="199" t="str">
        <f>_xlfn.XLOOKUP($A125,'(backend scoring)'!$V$2:$V$333,'(backend scoring)'!$A$2:$A$333,"")</f>
        <v/>
      </c>
      <c r="C125" s="199" t="str">
        <f>IFERROR(VLOOKUP($B125,'Institution Evaluation'!$A$55:$F$345,2,0),IFERROR(VLOOKUP($B125,'Privacy Analyst Evaluation'!$A$46:$F$120,2,0),""))&amp;""</f>
        <v/>
      </c>
      <c r="D125" s="199" t="str">
        <f>IFERROR(VLOOKUP($B125,'Institution Evaluation'!$A$55:$F$345,3,0),IFERROR(VLOOKUP($B125,'Privacy Analyst Evaluation'!$A$46:$F$120,3,0),""))&amp;""</f>
        <v/>
      </c>
      <c r="E125" s="199" t="str">
        <f>IFERROR(VLOOKUP($B125,'Institution Evaluation'!$A$55:$F$345,4,0),IFERROR(VLOOKUP($B125,'Privacy Analyst Evaluation'!$A$46:$F$120,4,0),""))&amp;""</f>
        <v/>
      </c>
      <c r="F125" s="199" t="str">
        <f>IFERROR(VLOOKUP($B125,'Institution Evaluation'!$A$55:$F$345,6,0),IFERROR(VLOOKUP($B125,'Privacy Analyst Evaluation'!$A$46:$F$120,6,0),""))&amp;""</f>
        <v/>
      </c>
      <c r="G125" s="200"/>
      <c r="H125" s="199" t="str">
        <f>IFERROR(IF($H124+1&gt;'(backend scoring)'!$Q$335,"",$H124+1),"")</f>
        <v/>
      </c>
      <c r="I125" s="199" t="str">
        <f>_xlfn.XLOOKUP($H125,'(backend scoring)'!$S$2:$S$333,'(backend scoring)'!$A$2:$A$333,"")</f>
        <v/>
      </c>
      <c r="J125" s="199" t="str">
        <f>IFERROR(VLOOKUP($I125,'Institution Evaluation'!$A$55:$F$345,2,0),IFERROR(VLOOKUP($I125,'Privacy Analyst Evaluation'!$A$46:$F$120,2,0),""))</f>
        <v/>
      </c>
      <c r="K125" s="199" t="str">
        <f>IFERROR(VLOOKUP($I125,'Institution Evaluation'!$A$55:$F$345,3,0),IFERROR(VLOOKUP($I125,'Privacy Analyst Evaluation'!$A$46:$F$120,3,0),""))&amp;""</f>
        <v/>
      </c>
      <c r="L125" s="199" t="str">
        <f>IFERROR(VLOOKUP($I125,'Institution Evaluation'!$A$55:$F$345,4,0),IFERROR(VLOOKUP($I125,'Privacy Analyst Evaluation'!$A$46:$F$120,4,0),""))&amp;""</f>
        <v/>
      </c>
      <c r="M125" s="199" t="str">
        <f>IFERROR(VLOOKUP($I125,'Institution Evaluation'!$A$55:$F$345,6,0),IFERROR(VLOOKUP($I125,'Privacy Analyst Evaluation'!$A$46:$F$120,6,0),""))&amp;""</f>
        <v/>
      </c>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row>
    <row r="126" spans="1:338" ht="17" x14ac:dyDescent="0.2">
      <c r="A126" s="199" t="str">
        <f>IFERROR(IF($A125+1&gt;'(backend scoring)'!$T$335,"",$A125+1),"")</f>
        <v/>
      </c>
      <c r="B126" s="199" t="str">
        <f>_xlfn.XLOOKUP($A126,'(backend scoring)'!$V$2:$V$333,'(backend scoring)'!$A$2:$A$333,"")</f>
        <v/>
      </c>
      <c r="C126" s="199" t="str">
        <f>IFERROR(VLOOKUP($B126,'Institution Evaluation'!$A$55:$F$345,2,0),IFERROR(VLOOKUP($B126,'Privacy Analyst Evaluation'!$A$46:$F$120,2,0),""))&amp;""</f>
        <v/>
      </c>
      <c r="D126" s="199" t="str">
        <f>IFERROR(VLOOKUP($B126,'Institution Evaluation'!$A$55:$F$345,3,0),IFERROR(VLOOKUP($B126,'Privacy Analyst Evaluation'!$A$46:$F$120,3,0),""))&amp;""</f>
        <v/>
      </c>
      <c r="E126" s="199" t="str">
        <f>IFERROR(VLOOKUP($B126,'Institution Evaluation'!$A$55:$F$345,4,0),IFERROR(VLOOKUP($B126,'Privacy Analyst Evaluation'!$A$46:$F$120,4,0),""))&amp;""</f>
        <v/>
      </c>
      <c r="F126" s="199" t="str">
        <f>IFERROR(VLOOKUP($B126,'Institution Evaluation'!$A$55:$F$345,6,0),IFERROR(VLOOKUP($B126,'Privacy Analyst Evaluation'!$A$46:$F$120,6,0),""))&amp;""</f>
        <v/>
      </c>
      <c r="G126" s="200"/>
      <c r="H126" s="199" t="str">
        <f>IFERROR(IF($H125+1&gt;'(backend scoring)'!$Q$335,"",$H125+1),"")</f>
        <v/>
      </c>
      <c r="I126" s="199" t="str">
        <f>_xlfn.XLOOKUP($H126,'(backend scoring)'!$S$2:$S$333,'(backend scoring)'!$A$2:$A$333,"")</f>
        <v/>
      </c>
      <c r="J126" s="199" t="str">
        <f>IFERROR(VLOOKUP($I126,'Institution Evaluation'!$A$55:$F$345,2,0),IFERROR(VLOOKUP($I126,'Privacy Analyst Evaluation'!$A$46:$F$120,2,0),""))</f>
        <v/>
      </c>
      <c r="K126" s="199" t="str">
        <f>IFERROR(VLOOKUP($I126,'Institution Evaluation'!$A$55:$F$345,3,0),IFERROR(VLOOKUP($I126,'Privacy Analyst Evaluation'!$A$46:$F$120,3,0),""))&amp;""</f>
        <v/>
      </c>
      <c r="L126" s="199" t="str">
        <f>IFERROR(VLOOKUP($I126,'Institution Evaluation'!$A$55:$F$345,4,0),IFERROR(VLOOKUP($I126,'Privacy Analyst Evaluation'!$A$46:$F$120,4,0),""))&amp;""</f>
        <v/>
      </c>
      <c r="M126" s="199" t="str">
        <f>IFERROR(VLOOKUP($I126,'Institution Evaluation'!$A$55:$F$345,6,0),IFERROR(VLOOKUP($I126,'Privacy Analyst Evaluation'!$A$46:$F$120,6,0),""))&amp;""</f>
        <v/>
      </c>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row>
    <row r="127" spans="1:338" ht="17" x14ac:dyDescent="0.2">
      <c r="A127" s="199" t="str">
        <f>IFERROR(IF($A126+1&gt;'(backend scoring)'!$T$335,"",$A126+1),"")</f>
        <v/>
      </c>
      <c r="B127" s="199" t="str">
        <f>_xlfn.XLOOKUP($A127,'(backend scoring)'!$V$2:$V$333,'(backend scoring)'!$A$2:$A$333,"")</f>
        <v/>
      </c>
      <c r="C127" s="199" t="str">
        <f>IFERROR(VLOOKUP($B127,'Institution Evaluation'!$A$55:$F$345,2,0),IFERROR(VLOOKUP($B127,'Privacy Analyst Evaluation'!$A$46:$F$120,2,0),""))&amp;""</f>
        <v/>
      </c>
      <c r="D127" s="199" t="str">
        <f>IFERROR(VLOOKUP($B127,'Institution Evaluation'!$A$55:$F$345,3,0),IFERROR(VLOOKUP($B127,'Privacy Analyst Evaluation'!$A$46:$F$120,3,0),""))&amp;""</f>
        <v/>
      </c>
      <c r="E127" s="199" t="str">
        <f>IFERROR(VLOOKUP($B127,'Institution Evaluation'!$A$55:$F$345,4,0),IFERROR(VLOOKUP($B127,'Privacy Analyst Evaluation'!$A$46:$F$120,4,0),""))&amp;""</f>
        <v/>
      </c>
      <c r="F127" s="199" t="str">
        <f>IFERROR(VLOOKUP($B127,'Institution Evaluation'!$A$55:$F$345,6,0),IFERROR(VLOOKUP($B127,'Privacy Analyst Evaluation'!$A$46:$F$120,6,0),""))&amp;""</f>
        <v/>
      </c>
      <c r="G127" s="200"/>
      <c r="H127" s="199" t="str">
        <f>IFERROR(IF($H126+1&gt;'(backend scoring)'!$Q$335,"",$H126+1),"")</f>
        <v/>
      </c>
      <c r="I127" s="199" t="str">
        <f>_xlfn.XLOOKUP($H127,'(backend scoring)'!$S$2:$S$333,'(backend scoring)'!$A$2:$A$333,"")</f>
        <v/>
      </c>
      <c r="J127" s="199" t="str">
        <f>IFERROR(VLOOKUP($I127,'Institution Evaluation'!$A$55:$F$345,2,0),IFERROR(VLOOKUP($I127,'Privacy Analyst Evaluation'!$A$46:$F$120,2,0),""))</f>
        <v/>
      </c>
      <c r="K127" s="199" t="str">
        <f>IFERROR(VLOOKUP($I127,'Institution Evaluation'!$A$55:$F$345,3,0),IFERROR(VLOOKUP($I127,'Privacy Analyst Evaluation'!$A$46:$F$120,3,0),""))&amp;""</f>
        <v/>
      </c>
      <c r="L127" s="199" t="str">
        <f>IFERROR(VLOOKUP($I127,'Institution Evaluation'!$A$55:$F$345,4,0),IFERROR(VLOOKUP($I127,'Privacy Analyst Evaluation'!$A$46:$F$120,4,0),""))&amp;""</f>
        <v/>
      </c>
      <c r="M127" s="199" t="str">
        <f>IFERROR(VLOOKUP($I127,'Institution Evaluation'!$A$55:$F$345,6,0),IFERROR(VLOOKUP($I127,'Privacy Analyst Evaluation'!$A$46:$F$120,6,0),""))&amp;""</f>
        <v/>
      </c>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row>
    <row r="128" spans="1:338" ht="17" x14ac:dyDescent="0.2">
      <c r="A128" s="199" t="str">
        <f>IFERROR(IF($A127+1&gt;'(backend scoring)'!$T$335,"",$A127+1),"")</f>
        <v/>
      </c>
      <c r="B128" s="199" t="str">
        <f>_xlfn.XLOOKUP($A128,'(backend scoring)'!$V$2:$V$333,'(backend scoring)'!$A$2:$A$333,"")</f>
        <v/>
      </c>
      <c r="C128" s="199" t="str">
        <f>IFERROR(VLOOKUP($B128,'Institution Evaluation'!$A$55:$F$345,2,0),IFERROR(VLOOKUP($B128,'Privacy Analyst Evaluation'!$A$46:$F$120,2,0),""))&amp;""</f>
        <v/>
      </c>
      <c r="D128" s="199" t="str">
        <f>IFERROR(VLOOKUP($B128,'Institution Evaluation'!$A$55:$F$345,3,0),IFERROR(VLOOKUP($B128,'Privacy Analyst Evaluation'!$A$46:$F$120,3,0),""))&amp;""</f>
        <v/>
      </c>
      <c r="E128" s="199" t="str">
        <f>IFERROR(VLOOKUP($B128,'Institution Evaluation'!$A$55:$F$345,4,0),IFERROR(VLOOKUP($B128,'Privacy Analyst Evaluation'!$A$46:$F$120,4,0),""))&amp;""</f>
        <v/>
      </c>
      <c r="F128" s="199" t="str">
        <f>IFERROR(VLOOKUP($B128,'Institution Evaluation'!$A$55:$F$345,6,0),IFERROR(VLOOKUP($B128,'Privacy Analyst Evaluation'!$A$46:$F$120,6,0),""))&amp;""</f>
        <v/>
      </c>
      <c r="G128" s="200"/>
      <c r="H128" s="199" t="str">
        <f>IFERROR(IF($H127+1&gt;'(backend scoring)'!$Q$335,"",$H127+1),"")</f>
        <v/>
      </c>
      <c r="I128" s="199" t="str">
        <f>_xlfn.XLOOKUP($H128,'(backend scoring)'!$S$2:$S$333,'(backend scoring)'!$A$2:$A$333,"")</f>
        <v/>
      </c>
      <c r="J128" s="199" t="str">
        <f>IFERROR(VLOOKUP($I128,'Institution Evaluation'!$A$55:$F$345,2,0),IFERROR(VLOOKUP($I128,'Privacy Analyst Evaluation'!$A$46:$F$120,2,0),""))</f>
        <v/>
      </c>
      <c r="K128" s="199" t="str">
        <f>IFERROR(VLOOKUP($I128,'Institution Evaluation'!$A$55:$F$345,3,0),IFERROR(VLOOKUP($I128,'Privacy Analyst Evaluation'!$A$46:$F$120,3,0),""))&amp;""</f>
        <v/>
      </c>
      <c r="L128" s="199" t="str">
        <f>IFERROR(VLOOKUP($I128,'Institution Evaluation'!$A$55:$F$345,4,0),IFERROR(VLOOKUP($I128,'Privacy Analyst Evaluation'!$A$46:$F$120,4,0),""))&amp;""</f>
        <v/>
      </c>
      <c r="M128" s="199" t="str">
        <f>IFERROR(VLOOKUP($I128,'Institution Evaluation'!$A$55:$F$345,6,0),IFERROR(VLOOKUP($I128,'Privacy Analyst Evaluation'!$A$46:$F$120,6,0),""))&amp;""</f>
        <v/>
      </c>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row>
    <row r="129" spans="1:338" ht="17" x14ac:dyDescent="0.2">
      <c r="A129" s="199" t="str">
        <f>IFERROR(IF($A128+1&gt;'(backend scoring)'!$T$335,"",$A128+1),"")</f>
        <v/>
      </c>
      <c r="B129" s="199" t="str">
        <f>_xlfn.XLOOKUP($A129,'(backend scoring)'!$V$2:$V$333,'(backend scoring)'!$A$2:$A$333,"")</f>
        <v/>
      </c>
      <c r="C129" s="199" t="str">
        <f>IFERROR(VLOOKUP($B129,'Institution Evaluation'!$A$55:$F$345,2,0),IFERROR(VLOOKUP($B129,'Privacy Analyst Evaluation'!$A$46:$F$120,2,0),""))&amp;""</f>
        <v/>
      </c>
      <c r="D129" s="199" t="str">
        <f>IFERROR(VLOOKUP($B129,'Institution Evaluation'!$A$55:$F$345,3,0),IFERROR(VLOOKUP($B129,'Privacy Analyst Evaluation'!$A$46:$F$120,3,0),""))&amp;""</f>
        <v/>
      </c>
      <c r="E129" s="199" t="str">
        <f>IFERROR(VLOOKUP($B129,'Institution Evaluation'!$A$55:$F$345,4,0),IFERROR(VLOOKUP($B129,'Privacy Analyst Evaluation'!$A$46:$F$120,4,0),""))&amp;""</f>
        <v/>
      </c>
      <c r="F129" s="199" t="str">
        <f>IFERROR(VLOOKUP($B129,'Institution Evaluation'!$A$55:$F$345,6,0),IFERROR(VLOOKUP($B129,'Privacy Analyst Evaluation'!$A$46:$F$120,6,0),""))&amp;""</f>
        <v/>
      </c>
      <c r="G129" s="200"/>
      <c r="H129" s="199" t="str">
        <f>IFERROR(IF($H128+1&gt;'(backend scoring)'!$Q$335,"",$H128+1),"")</f>
        <v/>
      </c>
      <c r="I129" s="199" t="str">
        <f>_xlfn.XLOOKUP($H129,'(backend scoring)'!$S$2:$S$333,'(backend scoring)'!$A$2:$A$333,"")</f>
        <v/>
      </c>
      <c r="J129" s="199" t="str">
        <f>IFERROR(VLOOKUP($I129,'Institution Evaluation'!$A$55:$F$345,2,0),IFERROR(VLOOKUP($I129,'Privacy Analyst Evaluation'!$A$46:$F$120,2,0),""))</f>
        <v/>
      </c>
      <c r="K129" s="199" t="str">
        <f>IFERROR(VLOOKUP($I129,'Institution Evaluation'!$A$55:$F$345,3,0),IFERROR(VLOOKUP($I129,'Privacy Analyst Evaluation'!$A$46:$F$120,3,0),""))&amp;""</f>
        <v/>
      </c>
      <c r="L129" s="199" t="str">
        <f>IFERROR(VLOOKUP($I129,'Institution Evaluation'!$A$55:$F$345,4,0),IFERROR(VLOOKUP($I129,'Privacy Analyst Evaluation'!$A$46:$F$120,4,0),""))&amp;""</f>
        <v/>
      </c>
      <c r="M129" s="199" t="str">
        <f>IFERROR(VLOOKUP($I129,'Institution Evaluation'!$A$55:$F$345,6,0),IFERROR(VLOOKUP($I129,'Privacy Analyst Evaluation'!$A$46:$F$120,6,0),""))&amp;""</f>
        <v/>
      </c>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row>
    <row r="130" spans="1:338" ht="17" x14ac:dyDescent="0.2">
      <c r="A130" s="199" t="str">
        <f>IFERROR(IF($A129+1&gt;'(backend scoring)'!$T$335,"",$A129+1),"")</f>
        <v/>
      </c>
      <c r="B130" s="199" t="str">
        <f>_xlfn.XLOOKUP($A130,'(backend scoring)'!$V$2:$V$333,'(backend scoring)'!$A$2:$A$333,"")</f>
        <v/>
      </c>
      <c r="C130" s="199" t="str">
        <f>IFERROR(VLOOKUP($B130,'Institution Evaluation'!$A$55:$F$345,2,0),IFERROR(VLOOKUP($B130,'Privacy Analyst Evaluation'!$A$46:$F$120,2,0),""))&amp;""</f>
        <v/>
      </c>
      <c r="D130" s="199" t="str">
        <f>IFERROR(VLOOKUP($B130,'Institution Evaluation'!$A$55:$F$345,3,0),IFERROR(VLOOKUP($B130,'Privacy Analyst Evaluation'!$A$46:$F$120,3,0),""))&amp;""</f>
        <v/>
      </c>
      <c r="E130" s="199" t="str">
        <f>IFERROR(VLOOKUP($B130,'Institution Evaluation'!$A$55:$F$345,4,0),IFERROR(VLOOKUP($B130,'Privacy Analyst Evaluation'!$A$46:$F$120,4,0),""))&amp;""</f>
        <v/>
      </c>
      <c r="F130" s="199" t="str">
        <f>IFERROR(VLOOKUP($B130,'Institution Evaluation'!$A$55:$F$345,6,0),IFERROR(VLOOKUP($B130,'Privacy Analyst Evaluation'!$A$46:$F$120,6,0),""))&amp;""</f>
        <v/>
      </c>
      <c r="G130" s="200"/>
      <c r="H130" s="199" t="str">
        <f>IFERROR(IF($H129+1&gt;'(backend scoring)'!$Q$335,"",$H129+1),"")</f>
        <v/>
      </c>
      <c r="I130" s="199" t="str">
        <f>_xlfn.XLOOKUP($H130,'(backend scoring)'!$S$2:$S$333,'(backend scoring)'!$A$2:$A$333,"")</f>
        <v/>
      </c>
      <c r="J130" s="199" t="str">
        <f>IFERROR(VLOOKUP($I130,'Institution Evaluation'!$A$55:$F$345,2,0),IFERROR(VLOOKUP($I130,'Privacy Analyst Evaluation'!$A$46:$F$120,2,0),""))</f>
        <v/>
      </c>
      <c r="K130" s="199" t="str">
        <f>IFERROR(VLOOKUP($I130,'Institution Evaluation'!$A$55:$F$345,3,0),IFERROR(VLOOKUP($I130,'Privacy Analyst Evaluation'!$A$46:$F$120,3,0),""))&amp;""</f>
        <v/>
      </c>
      <c r="L130" s="199" t="str">
        <f>IFERROR(VLOOKUP($I130,'Institution Evaluation'!$A$55:$F$345,4,0),IFERROR(VLOOKUP($I130,'Privacy Analyst Evaluation'!$A$46:$F$120,4,0),""))&amp;""</f>
        <v/>
      </c>
      <c r="M130" s="199" t="str">
        <f>IFERROR(VLOOKUP($I130,'Institution Evaluation'!$A$55:$F$345,6,0),IFERROR(VLOOKUP($I130,'Privacy Analyst Evaluation'!$A$46:$F$120,6,0),""))&amp;""</f>
        <v/>
      </c>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row>
    <row r="131" spans="1:338" ht="17" x14ac:dyDescent="0.2">
      <c r="A131" s="199" t="str">
        <f>IFERROR(IF($A130+1&gt;'(backend scoring)'!$T$335,"",$A130+1),"")</f>
        <v/>
      </c>
      <c r="B131" s="199" t="str">
        <f>_xlfn.XLOOKUP($A131,'(backend scoring)'!$V$2:$V$333,'(backend scoring)'!$A$2:$A$333,"")</f>
        <v/>
      </c>
      <c r="C131" s="199" t="str">
        <f>IFERROR(VLOOKUP($B131,'Institution Evaluation'!$A$55:$F$345,2,0),IFERROR(VLOOKUP($B131,'Privacy Analyst Evaluation'!$A$46:$F$120,2,0),""))&amp;""</f>
        <v/>
      </c>
      <c r="D131" s="199" t="str">
        <f>IFERROR(VLOOKUP($B131,'Institution Evaluation'!$A$55:$F$345,3,0),IFERROR(VLOOKUP($B131,'Privacy Analyst Evaluation'!$A$46:$F$120,3,0),""))&amp;""</f>
        <v/>
      </c>
      <c r="E131" s="199" t="str">
        <f>IFERROR(VLOOKUP($B131,'Institution Evaluation'!$A$55:$F$345,4,0),IFERROR(VLOOKUP($B131,'Privacy Analyst Evaluation'!$A$46:$F$120,4,0),""))&amp;""</f>
        <v/>
      </c>
      <c r="F131" s="199" t="str">
        <f>IFERROR(VLOOKUP($B131,'Institution Evaluation'!$A$55:$F$345,6,0),IFERROR(VLOOKUP($B131,'Privacy Analyst Evaluation'!$A$46:$F$120,6,0),""))&amp;""</f>
        <v/>
      </c>
      <c r="G131" s="200"/>
      <c r="H131" s="199" t="str">
        <f>IFERROR(IF($H130+1&gt;'(backend scoring)'!$Q$335,"",$H130+1),"")</f>
        <v/>
      </c>
      <c r="I131" s="199" t="str">
        <f>_xlfn.XLOOKUP($H131,'(backend scoring)'!$S$2:$S$333,'(backend scoring)'!$A$2:$A$333,"")</f>
        <v/>
      </c>
      <c r="J131" s="199" t="str">
        <f>IFERROR(VLOOKUP($I131,'Institution Evaluation'!$A$55:$F$345,2,0),IFERROR(VLOOKUP($I131,'Privacy Analyst Evaluation'!$A$46:$F$120,2,0),""))</f>
        <v/>
      </c>
      <c r="K131" s="199" t="str">
        <f>IFERROR(VLOOKUP($I131,'Institution Evaluation'!$A$55:$F$345,3,0),IFERROR(VLOOKUP($I131,'Privacy Analyst Evaluation'!$A$46:$F$120,3,0),""))&amp;""</f>
        <v/>
      </c>
      <c r="L131" s="199" t="str">
        <f>IFERROR(VLOOKUP($I131,'Institution Evaluation'!$A$55:$F$345,4,0),IFERROR(VLOOKUP($I131,'Privacy Analyst Evaluation'!$A$46:$F$120,4,0),""))&amp;""</f>
        <v/>
      </c>
      <c r="M131" s="199" t="str">
        <f>IFERROR(VLOOKUP($I131,'Institution Evaluation'!$A$55:$F$345,6,0),IFERROR(VLOOKUP($I131,'Privacy Analyst Evaluation'!$A$46:$F$120,6,0),""))&amp;""</f>
        <v/>
      </c>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row>
    <row r="132" spans="1:338" ht="17" x14ac:dyDescent="0.2">
      <c r="A132" s="199" t="str">
        <f>IFERROR(IF($A131+1&gt;'(backend scoring)'!$T$335,"",$A131+1),"")</f>
        <v/>
      </c>
      <c r="B132" s="199" t="str">
        <f>_xlfn.XLOOKUP($A132,'(backend scoring)'!$V$2:$V$333,'(backend scoring)'!$A$2:$A$333,"")</f>
        <v/>
      </c>
      <c r="C132" s="199" t="str">
        <f>IFERROR(VLOOKUP($B132,'Institution Evaluation'!$A$55:$F$345,2,0),IFERROR(VLOOKUP($B132,'Privacy Analyst Evaluation'!$A$46:$F$120,2,0),""))&amp;""</f>
        <v/>
      </c>
      <c r="D132" s="199" t="str">
        <f>IFERROR(VLOOKUP($B132,'Institution Evaluation'!$A$55:$F$345,3,0),IFERROR(VLOOKUP($B132,'Privacy Analyst Evaluation'!$A$46:$F$120,3,0),""))&amp;""</f>
        <v/>
      </c>
      <c r="E132" s="199" t="str">
        <f>IFERROR(VLOOKUP($B132,'Institution Evaluation'!$A$55:$F$345,4,0),IFERROR(VLOOKUP($B132,'Privacy Analyst Evaluation'!$A$46:$F$120,4,0),""))&amp;""</f>
        <v/>
      </c>
      <c r="F132" s="199" t="str">
        <f>IFERROR(VLOOKUP($B132,'Institution Evaluation'!$A$55:$F$345,6,0),IFERROR(VLOOKUP($B132,'Privacy Analyst Evaluation'!$A$46:$F$120,6,0),""))&amp;""</f>
        <v/>
      </c>
      <c r="G132" s="200"/>
      <c r="H132" s="199" t="str">
        <f>IFERROR(IF($H131+1&gt;'(backend scoring)'!$Q$335,"",$H131+1),"")</f>
        <v/>
      </c>
      <c r="I132" s="199" t="str">
        <f>_xlfn.XLOOKUP($H132,'(backend scoring)'!$S$2:$S$333,'(backend scoring)'!$A$2:$A$333,"")</f>
        <v/>
      </c>
      <c r="J132" s="199" t="str">
        <f>IFERROR(VLOOKUP($I132,'Institution Evaluation'!$A$55:$F$345,2,0),IFERROR(VLOOKUP($I132,'Privacy Analyst Evaluation'!$A$46:$F$120,2,0),""))</f>
        <v/>
      </c>
      <c r="K132" s="199" t="str">
        <f>IFERROR(VLOOKUP($I132,'Institution Evaluation'!$A$55:$F$345,3,0),IFERROR(VLOOKUP($I132,'Privacy Analyst Evaluation'!$A$46:$F$120,3,0),""))&amp;""</f>
        <v/>
      </c>
      <c r="L132" s="199" t="str">
        <f>IFERROR(VLOOKUP($I132,'Institution Evaluation'!$A$55:$F$345,4,0),IFERROR(VLOOKUP($I132,'Privacy Analyst Evaluation'!$A$46:$F$120,4,0),""))&amp;""</f>
        <v/>
      </c>
      <c r="M132" s="199" t="str">
        <f>IFERROR(VLOOKUP($I132,'Institution Evaluation'!$A$55:$F$345,6,0),IFERROR(VLOOKUP($I132,'Privacy Analyst Evaluation'!$A$46:$F$120,6,0),""))&amp;""</f>
        <v/>
      </c>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row>
    <row r="133" spans="1:338" ht="17" x14ac:dyDescent="0.2">
      <c r="A133" s="199" t="str">
        <f>IFERROR(IF($A132+1&gt;'(backend scoring)'!$T$335,"",$A132+1),"")</f>
        <v/>
      </c>
      <c r="B133" s="199" t="str">
        <f>_xlfn.XLOOKUP($A133,'(backend scoring)'!$V$2:$V$333,'(backend scoring)'!$A$2:$A$333,"")</f>
        <v/>
      </c>
      <c r="C133" s="199" t="str">
        <f>IFERROR(VLOOKUP($B133,'Institution Evaluation'!$A$55:$F$345,2,0),IFERROR(VLOOKUP($B133,'Privacy Analyst Evaluation'!$A$46:$F$120,2,0),""))&amp;""</f>
        <v/>
      </c>
      <c r="D133" s="199" t="str">
        <f>IFERROR(VLOOKUP($B133,'Institution Evaluation'!$A$55:$F$345,3,0),IFERROR(VLOOKUP($B133,'Privacy Analyst Evaluation'!$A$46:$F$120,3,0),""))&amp;""</f>
        <v/>
      </c>
      <c r="E133" s="199" t="str">
        <f>IFERROR(VLOOKUP($B133,'Institution Evaluation'!$A$55:$F$345,4,0),IFERROR(VLOOKUP($B133,'Privacy Analyst Evaluation'!$A$46:$F$120,4,0),""))&amp;""</f>
        <v/>
      </c>
      <c r="F133" s="199" t="str">
        <f>IFERROR(VLOOKUP($B133,'Institution Evaluation'!$A$55:$F$345,6,0),IFERROR(VLOOKUP($B133,'Privacy Analyst Evaluation'!$A$46:$F$120,6,0),""))&amp;""</f>
        <v/>
      </c>
      <c r="G133" s="200"/>
      <c r="H133" s="199" t="str">
        <f>IFERROR(IF($H132+1&gt;'(backend scoring)'!$Q$335,"",$H132+1),"")</f>
        <v/>
      </c>
      <c r="I133" s="199" t="str">
        <f>_xlfn.XLOOKUP($H133,'(backend scoring)'!$S$2:$S$333,'(backend scoring)'!$A$2:$A$333,"")</f>
        <v/>
      </c>
      <c r="J133" s="199" t="str">
        <f>IFERROR(VLOOKUP($I133,'Institution Evaluation'!$A$55:$F$345,2,0),IFERROR(VLOOKUP($I133,'Privacy Analyst Evaluation'!$A$46:$F$120,2,0),""))</f>
        <v/>
      </c>
      <c r="K133" s="199" t="str">
        <f>IFERROR(VLOOKUP($I133,'Institution Evaluation'!$A$55:$F$345,3,0),IFERROR(VLOOKUP($I133,'Privacy Analyst Evaluation'!$A$46:$F$120,3,0),""))&amp;""</f>
        <v/>
      </c>
      <c r="L133" s="199" t="str">
        <f>IFERROR(VLOOKUP($I133,'Institution Evaluation'!$A$55:$F$345,4,0),IFERROR(VLOOKUP($I133,'Privacy Analyst Evaluation'!$A$46:$F$120,4,0),""))&amp;""</f>
        <v/>
      </c>
      <c r="M133" s="199" t="str">
        <f>IFERROR(VLOOKUP($I133,'Institution Evaluation'!$A$55:$F$345,6,0),IFERROR(VLOOKUP($I133,'Privacy Analyst Evaluation'!$A$46:$F$120,6,0),""))&amp;""</f>
        <v/>
      </c>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row>
    <row r="134" spans="1:338" ht="17" x14ac:dyDescent="0.2">
      <c r="A134" s="199" t="str">
        <f>IFERROR(IF($A133+1&gt;'(backend scoring)'!$T$335,"",$A133+1),"")</f>
        <v/>
      </c>
      <c r="B134" s="199" t="str">
        <f>_xlfn.XLOOKUP($A134,'(backend scoring)'!$V$2:$V$333,'(backend scoring)'!$A$2:$A$333,"")</f>
        <v/>
      </c>
      <c r="C134" s="199" t="str">
        <f>IFERROR(VLOOKUP($B134,'Institution Evaluation'!$A$55:$F$345,2,0),IFERROR(VLOOKUP($B134,'Privacy Analyst Evaluation'!$A$46:$F$120,2,0),""))&amp;""</f>
        <v/>
      </c>
      <c r="D134" s="199" t="str">
        <f>IFERROR(VLOOKUP($B134,'Institution Evaluation'!$A$55:$F$345,3,0),IFERROR(VLOOKUP($B134,'Privacy Analyst Evaluation'!$A$46:$F$120,3,0),""))&amp;""</f>
        <v/>
      </c>
      <c r="E134" s="199" t="str">
        <f>IFERROR(VLOOKUP($B134,'Institution Evaluation'!$A$55:$F$345,4,0),IFERROR(VLOOKUP($B134,'Privacy Analyst Evaluation'!$A$46:$F$120,4,0),""))&amp;""</f>
        <v/>
      </c>
      <c r="F134" s="199" t="str">
        <f>IFERROR(VLOOKUP($B134,'Institution Evaluation'!$A$55:$F$345,6,0),IFERROR(VLOOKUP($B134,'Privacy Analyst Evaluation'!$A$46:$F$120,6,0),""))&amp;""</f>
        <v/>
      </c>
      <c r="G134" s="200"/>
      <c r="H134" s="199" t="str">
        <f>IFERROR(IF($H133+1&gt;'(backend scoring)'!$Q$335,"",$H133+1),"")</f>
        <v/>
      </c>
      <c r="I134" s="199" t="str">
        <f>_xlfn.XLOOKUP($H134,'(backend scoring)'!$S$2:$S$333,'(backend scoring)'!$A$2:$A$333,"")</f>
        <v/>
      </c>
      <c r="J134" s="199" t="str">
        <f>IFERROR(VLOOKUP($I134,'Institution Evaluation'!$A$55:$F$345,2,0),IFERROR(VLOOKUP($I134,'Privacy Analyst Evaluation'!$A$46:$F$120,2,0),""))</f>
        <v/>
      </c>
      <c r="K134" s="199" t="str">
        <f>IFERROR(VLOOKUP($I134,'Institution Evaluation'!$A$55:$F$345,3,0),IFERROR(VLOOKUP($I134,'Privacy Analyst Evaluation'!$A$46:$F$120,3,0),""))&amp;""</f>
        <v/>
      </c>
      <c r="L134" s="199" t="str">
        <f>IFERROR(VLOOKUP($I134,'Institution Evaluation'!$A$55:$F$345,4,0),IFERROR(VLOOKUP($I134,'Privacy Analyst Evaluation'!$A$46:$F$120,4,0),""))&amp;""</f>
        <v/>
      </c>
      <c r="M134" s="199" t="str">
        <f>IFERROR(VLOOKUP($I134,'Institution Evaluation'!$A$55:$F$345,6,0),IFERROR(VLOOKUP($I134,'Privacy Analyst Evaluation'!$A$46:$F$120,6,0),""))&amp;""</f>
        <v/>
      </c>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row>
    <row r="135" spans="1:338" ht="17" x14ac:dyDescent="0.2">
      <c r="A135" s="199" t="str">
        <f>IFERROR(IF($A134+1&gt;'(backend scoring)'!$T$335,"",$A134+1),"")</f>
        <v/>
      </c>
      <c r="B135" s="199" t="str">
        <f>_xlfn.XLOOKUP($A135,'(backend scoring)'!$V$2:$V$333,'(backend scoring)'!$A$2:$A$333,"")</f>
        <v/>
      </c>
      <c r="C135" s="199" t="str">
        <f>IFERROR(VLOOKUP($B135,'Institution Evaluation'!$A$55:$F$345,2,0),IFERROR(VLOOKUP($B135,'Privacy Analyst Evaluation'!$A$46:$F$120,2,0),""))&amp;""</f>
        <v/>
      </c>
      <c r="D135" s="199" t="str">
        <f>IFERROR(VLOOKUP($B135,'Institution Evaluation'!$A$55:$F$345,3,0),IFERROR(VLOOKUP($B135,'Privacy Analyst Evaluation'!$A$46:$F$120,3,0),""))&amp;""</f>
        <v/>
      </c>
      <c r="E135" s="199" t="str">
        <f>IFERROR(VLOOKUP($B135,'Institution Evaluation'!$A$55:$F$345,4,0),IFERROR(VLOOKUP($B135,'Privacy Analyst Evaluation'!$A$46:$F$120,4,0),""))&amp;""</f>
        <v/>
      </c>
      <c r="F135" s="199" t="str">
        <f>IFERROR(VLOOKUP($B135,'Institution Evaluation'!$A$55:$F$345,6,0),IFERROR(VLOOKUP($B135,'Privacy Analyst Evaluation'!$A$46:$F$120,6,0),""))&amp;""</f>
        <v/>
      </c>
      <c r="G135" s="200"/>
      <c r="H135" s="199" t="str">
        <f>IFERROR(IF($H134+1&gt;'(backend scoring)'!$Q$335,"",$H134+1),"")</f>
        <v/>
      </c>
      <c r="I135" s="199" t="str">
        <f>_xlfn.XLOOKUP($H135,'(backend scoring)'!$S$2:$S$333,'(backend scoring)'!$A$2:$A$333,"")</f>
        <v/>
      </c>
      <c r="J135" s="199" t="str">
        <f>IFERROR(VLOOKUP($I135,'Institution Evaluation'!$A$55:$F$345,2,0),IFERROR(VLOOKUP($I135,'Privacy Analyst Evaluation'!$A$46:$F$120,2,0),""))</f>
        <v/>
      </c>
      <c r="K135" s="199" t="str">
        <f>IFERROR(VLOOKUP($I135,'Institution Evaluation'!$A$55:$F$345,3,0),IFERROR(VLOOKUP($I135,'Privacy Analyst Evaluation'!$A$46:$F$120,3,0),""))&amp;""</f>
        <v/>
      </c>
      <c r="L135" s="199" t="str">
        <f>IFERROR(VLOOKUP($I135,'Institution Evaluation'!$A$55:$F$345,4,0),IFERROR(VLOOKUP($I135,'Privacy Analyst Evaluation'!$A$46:$F$120,4,0),""))&amp;""</f>
        <v/>
      </c>
      <c r="M135" s="199" t="str">
        <f>IFERROR(VLOOKUP($I135,'Institution Evaluation'!$A$55:$F$345,6,0),IFERROR(VLOOKUP($I135,'Privacy Analyst Evaluation'!$A$46:$F$120,6,0),""))&amp;""</f>
        <v/>
      </c>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row>
    <row r="136" spans="1:338" ht="17" x14ac:dyDescent="0.2">
      <c r="A136" s="199" t="str">
        <f>IFERROR(IF($A135+1&gt;'(backend scoring)'!$T$335,"",$A135+1),"")</f>
        <v/>
      </c>
      <c r="B136" s="199" t="str">
        <f>_xlfn.XLOOKUP($A136,'(backend scoring)'!$V$2:$V$333,'(backend scoring)'!$A$2:$A$333,"")</f>
        <v/>
      </c>
      <c r="C136" s="199" t="str">
        <f>IFERROR(VLOOKUP($B136,'Institution Evaluation'!$A$55:$F$345,2,0),IFERROR(VLOOKUP($B136,'Privacy Analyst Evaluation'!$A$46:$F$120,2,0),""))&amp;""</f>
        <v/>
      </c>
      <c r="D136" s="199" t="str">
        <f>IFERROR(VLOOKUP($B136,'Institution Evaluation'!$A$55:$F$345,3,0),IFERROR(VLOOKUP($B136,'Privacy Analyst Evaluation'!$A$46:$F$120,3,0),""))&amp;""</f>
        <v/>
      </c>
      <c r="E136" s="199" t="str">
        <f>IFERROR(VLOOKUP($B136,'Institution Evaluation'!$A$55:$F$345,4,0),IFERROR(VLOOKUP($B136,'Privacy Analyst Evaluation'!$A$46:$F$120,4,0),""))&amp;""</f>
        <v/>
      </c>
      <c r="F136" s="199" t="str">
        <f>IFERROR(VLOOKUP($B136,'Institution Evaluation'!$A$55:$F$345,6,0),IFERROR(VLOOKUP($B136,'Privacy Analyst Evaluation'!$A$46:$F$120,6,0),""))&amp;""</f>
        <v/>
      </c>
      <c r="G136" s="200"/>
      <c r="H136" s="199" t="str">
        <f>IFERROR(IF($H135+1&gt;'(backend scoring)'!$Q$335,"",$H135+1),"")</f>
        <v/>
      </c>
      <c r="I136" s="199" t="str">
        <f>_xlfn.XLOOKUP($H136,'(backend scoring)'!$S$2:$S$333,'(backend scoring)'!$A$2:$A$333,"")</f>
        <v/>
      </c>
      <c r="J136" s="199" t="str">
        <f>IFERROR(VLOOKUP($I136,'Institution Evaluation'!$A$55:$F$345,2,0),IFERROR(VLOOKUP($I136,'Privacy Analyst Evaluation'!$A$46:$F$120,2,0),""))</f>
        <v/>
      </c>
      <c r="K136" s="199" t="str">
        <f>IFERROR(VLOOKUP($I136,'Institution Evaluation'!$A$55:$F$345,3,0),IFERROR(VLOOKUP($I136,'Privacy Analyst Evaluation'!$A$46:$F$120,3,0),""))&amp;""</f>
        <v/>
      </c>
      <c r="L136" s="199" t="str">
        <f>IFERROR(VLOOKUP($I136,'Institution Evaluation'!$A$55:$F$345,4,0),IFERROR(VLOOKUP($I136,'Privacy Analyst Evaluation'!$A$46:$F$120,4,0),""))&amp;""</f>
        <v/>
      </c>
      <c r="M136" s="199" t="str">
        <f>IFERROR(VLOOKUP($I136,'Institution Evaluation'!$A$55:$F$345,6,0),IFERROR(VLOOKUP($I136,'Privacy Analyst Evaluation'!$A$46:$F$120,6,0),""))&amp;""</f>
        <v/>
      </c>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row>
    <row r="137" spans="1:338" ht="17" x14ac:dyDescent="0.2">
      <c r="A137" s="199" t="str">
        <f>IFERROR(IF($A136+1&gt;'(backend scoring)'!$T$335,"",$A136+1),"")</f>
        <v/>
      </c>
      <c r="B137" s="199" t="str">
        <f>_xlfn.XLOOKUP($A137,'(backend scoring)'!$V$2:$V$333,'(backend scoring)'!$A$2:$A$333,"")</f>
        <v/>
      </c>
      <c r="C137" s="199" t="str">
        <f>IFERROR(VLOOKUP($B137,'Institution Evaluation'!$A$55:$F$345,2,0),IFERROR(VLOOKUP($B137,'Privacy Analyst Evaluation'!$A$46:$F$120,2,0),""))&amp;""</f>
        <v/>
      </c>
      <c r="D137" s="199" t="str">
        <f>IFERROR(VLOOKUP($B137,'Institution Evaluation'!$A$55:$F$345,3,0),IFERROR(VLOOKUP($B137,'Privacy Analyst Evaluation'!$A$46:$F$120,3,0),""))&amp;""</f>
        <v/>
      </c>
      <c r="E137" s="199" t="str">
        <f>IFERROR(VLOOKUP($B137,'Institution Evaluation'!$A$55:$F$345,4,0),IFERROR(VLOOKUP($B137,'Privacy Analyst Evaluation'!$A$46:$F$120,4,0),""))&amp;""</f>
        <v/>
      </c>
      <c r="F137" s="199" t="str">
        <f>IFERROR(VLOOKUP($B137,'Institution Evaluation'!$A$55:$F$345,6,0),IFERROR(VLOOKUP($B137,'Privacy Analyst Evaluation'!$A$46:$F$120,6,0),""))&amp;""</f>
        <v/>
      </c>
      <c r="G137" s="200"/>
      <c r="H137" s="199" t="str">
        <f>IFERROR(IF($H136+1&gt;'(backend scoring)'!$Q$335,"",$H136+1),"")</f>
        <v/>
      </c>
      <c r="I137" s="199" t="str">
        <f>_xlfn.XLOOKUP($H137,'(backend scoring)'!$S$2:$S$333,'(backend scoring)'!$A$2:$A$333,"")</f>
        <v/>
      </c>
      <c r="J137" s="199" t="str">
        <f>IFERROR(VLOOKUP($I137,'Institution Evaluation'!$A$55:$F$345,2,0),IFERROR(VLOOKUP($I137,'Privacy Analyst Evaluation'!$A$46:$F$120,2,0),""))</f>
        <v/>
      </c>
      <c r="K137" s="199" t="str">
        <f>IFERROR(VLOOKUP($I137,'Institution Evaluation'!$A$55:$F$345,3,0),IFERROR(VLOOKUP($I137,'Privacy Analyst Evaluation'!$A$46:$F$120,3,0),""))&amp;""</f>
        <v/>
      </c>
      <c r="L137" s="199" t="str">
        <f>IFERROR(VLOOKUP($I137,'Institution Evaluation'!$A$55:$F$345,4,0),IFERROR(VLOOKUP($I137,'Privacy Analyst Evaluation'!$A$46:$F$120,4,0),""))&amp;""</f>
        <v/>
      </c>
      <c r="M137" s="199" t="str">
        <f>IFERROR(VLOOKUP($I137,'Institution Evaluation'!$A$55:$F$345,6,0),IFERROR(VLOOKUP($I137,'Privacy Analyst Evaluation'!$A$46:$F$120,6,0),""))&amp;""</f>
        <v/>
      </c>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row>
    <row r="138" spans="1:338" ht="17" x14ac:dyDescent="0.2">
      <c r="A138" s="199" t="str">
        <f>IFERROR(IF($A137+1&gt;'(backend scoring)'!$T$335,"",$A137+1),"")</f>
        <v/>
      </c>
      <c r="B138" s="199" t="str">
        <f>_xlfn.XLOOKUP($A138,'(backend scoring)'!$V$2:$V$333,'(backend scoring)'!$A$2:$A$333,"")</f>
        <v/>
      </c>
      <c r="C138" s="199" t="str">
        <f>IFERROR(VLOOKUP($B138,'Institution Evaluation'!$A$55:$F$345,2,0),IFERROR(VLOOKUP($B138,'Privacy Analyst Evaluation'!$A$46:$F$120,2,0),""))&amp;""</f>
        <v/>
      </c>
      <c r="D138" s="199" t="str">
        <f>IFERROR(VLOOKUP($B138,'Institution Evaluation'!$A$55:$F$345,3,0),IFERROR(VLOOKUP($B138,'Privacy Analyst Evaluation'!$A$46:$F$120,3,0),""))&amp;""</f>
        <v/>
      </c>
      <c r="E138" s="199" t="str">
        <f>IFERROR(VLOOKUP($B138,'Institution Evaluation'!$A$55:$F$345,4,0),IFERROR(VLOOKUP($B138,'Privacy Analyst Evaluation'!$A$46:$F$120,4,0),""))&amp;""</f>
        <v/>
      </c>
      <c r="F138" s="199" t="str">
        <f>IFERROR(VLOOKUP($B138,'Institution Evaluation'!$A$55:$F$345,6,0),IFERROR(VLOOKUP($B138,'Privacy Analyst Evaluation'!$A$46:$F$120,6,0),""))&amp;""</f>
        <v/>
      </c>
      <c r="G138" s="200"/>
      <c r="H138" s="199" t="str">
        <f>IFERROR(IF($H137+1&gt;'(backend scoring)'!$Q$335,"",$H137+1),"")</f>
        <v/>
      </c>
      <c r="I138" s="199" t="str">
        <f>_xlfn.XLOOKUP($H138,'(backend scoring)'!$S$2:$S$333,'(backend scoring)'!$A$2:$A$333,"")</f>
        <v/>
      </c>
      <c r="J138" s="199" t="str">
        <f>IFERROR(VLOOKUP($I138,'Institution Evaluation'!$A$55:$F$345,2,0),IFERROR(VLOOKUP($I138,'Privacy Analyst Evaluation'!$A$46:$F$120,2,0),""))</f>
        <v/>
      </c>
      <c r="K138" s="199" t="str">
        <f>IFERROR(VLOOKUP($I138,'Institution Evaluation'!$A$55:$F$345,3,0),IFERROR(VLOOKUP($I138,'Privacy Analyst Evaluation'!$A$46:$F$120,3,0),""))&amp;""</f>
        <v/>
      </c>
      <c r="L138" s="199" t="str">
        <f>IFERROR(VLOOKUP($I138,'Institution Evaluation'!$A$55:$F$345,4,0),IFERROR(VLOOKUP($I138,'Privacy Analyst Evaluation'!$A$46:$F$120,4,0),""))&amp;""</f>
        <v/>
      </c>
      <c r="M138" s="199" t="str">
        <f>IFERROR(VLOOKUP($I138,'Institution Evaluation'!$A$55:$F$345,6,0),IFERROR(VLOOKUP($I138,'Privacy Analyst Evaluation'!$A$46:$F$120,6,0),""))&amp;""</f>
        <v/>
      </c>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row>
    <row r="139" spans="1:338" ht="17" x14ac:dyDescent="0.2">
      <c r="A139" s="199" t="str">
        <f>IFERROR(IF($A138+1&gt;'(backend scoring)'!$T$335,"",$A138+1),"")</f>
        <v/>
      </c>
      <c r="B139" s="199" t="str">
        <f>_xlfn.XLOOKUP($A139,'(backend scoring)'!$V$2:$V$333,'(backend scoring)'!$A$2:$A$333,"")</f>
        <v/>
      </c>
      <c r="C139" s="199" t="str">
        <f>IFERROR(VLOOKUP($B139,'Institution Evaluation'!$A$55:$F$345,2,0),IFERROR(VLOOKUP($B139,'Privacy Analyst Evaluation'!$A$46:$F$120,2,0),""))&amp;""</f>
        <v/>
      </c>
      <c r="D139" s="199" t="str">
        <f>IFERROR(VLOOKUP($B139,'Institution Evaluation'!$A$55:$F$345,3,0),IFERROR(VLOOKUP($B139,'Privacy Analyst Evaluation'!$A$46:$F$120,3,0),""))&amp;""</f>
        <v/>
      </c>
      <c r="E139" s="199" t="str">
        <f>IFERROR(VLOOKUP($B139,'Institution Evaluation'!$A$55:$F$345,4,0),IFERROR(VLOOKUP($B139,'Privacy Analyst Evaluation'!$A$46:$F$120,4,0),""))&amp;""</f>
        <v/>
      </c>
      <c r="F139" s="199" t="str">
        <f>IFERROR(VLOOKUP($B139,'Institution Evaluation'!$A$55:$F$345,6,0),IFERROR(VLOOKUP($B139,'Privacy Analyst Evaluation'!$A$46:$F$120,6,0),""))&amp;""</f>
        <v/>
      </c>
      <c r="G139" s="200"/>
      <c r="H139" s="199" t="str">
        <f>IFERROR(IF($H138+1&gt;'(backend scoring)'!$Q$335,"",$H138+1),"")</f>
        <v/>
      </c>
      <c r="I139" s="199" t="str">
        <f>_xlfn.XLOOKUP($H139,'(backend scoring)'!$S$2:$S$333,'(backend scoring)'!$A$2:$A$333,"")</f>
        <v/>
      </c>
      <c r="J139" s="199" t="str">
        <f>IFERROR(VLOOKUP($I139,'Institution Evaluation'!$A$55:$F$345,2,0),IFERROR(VLOOKUP($I139,'Privacy Analyst Evaluation'!$A$46:$F$120,2,0),""))</f>
        <v/>
      </c>
      <c r="K139" s="199" t="str">
        <f>IFERROR(VLOOKUP($I139,'Institution Evaluation'!$A$55:$F$345,3,0),IFERROR(VLOOKUP($I139,'Privacy Analyst Evaluation'!$A$46:$F$120,3,0),""))&amp;""</f>
        <v/>
      </c>
      <c r="L139" s="199" t="str">
        <f>IFERROR(VLOOKUP($I139,'Institution Evaluation'!$A$55:$F$345,4,0),IFERROR(VLOOKUP($I139,'Privacy Analyst Evaluation'!$A$46:$F$120,4,0),""))&amp;""</f>
        <v/>
      </c>
      <c r="M139" s="199" t="str">
        <f>IFERROR(VLOOKUP($I139,'Institution Evaluation'!$A$55:$F$345,6,0),IFERROR(VLOOKUP($I139,'Privacy Analyst Evaluation'!$A$46:$F$120,6,0),""))&amp;""</f>
        <v/>
      </c>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row>
    <row r="140" spans="1:338" ht="17" x14ac:dyDescent="0.2">
      <c r="A140" s="199" t="str">
        <f>IFERROR(IF($A139+1&gt;'(backend scoring)'!$T$335,"",$A139+1),"")</f>
        <v/>
      </c>
      <c r="B140" s="199" t="str">
        <f>_xlfn.XLOOKUP($A140,'(backend scoring)'!$V$2:$V$333,'(backend scoring)'!$A$2:$A$333,"")</f>
        <v/>
      </c>
      <c r="C140" s="199" t="str">
        <f>IFERROR(VLOOKUP($B140,'Institution Evaluation'!$A$55:$F$345,2,0),IFERROR(VLOOKUP($B140,'Privacy Analyst Evaluation'!$A$46:$F$120,2,0),""))&amp;""</f>
        <v/>
      </c>
      <c r="D140" s="199" t="str">
        <f>IFERROR(VLOOKUP($B140,'Institution Evaluation'!$A$55:$F$345,3,0),IFERROR(VLOOKUP($B140,'Privacy Analyst Evaluation'!$A$46:$F$120,3,0),""))&amp;""</f>
        <v/>
      </c>
      <c r="E140" s="199" t="str">
        <f>IFERROR(VLOOKUP($B140,'Institution Evaluation'!$A$55:$F$345,4,0),IFERROR(VLOOKUP($B140,'Privacy Analyst Evaluation'!$A$46:$F$120,4,0),""))&amp;""</f>
        <v/>
      </c>
      <c r="F140" s="199" t="str">
        <f>IFERROR(VLOOKUP($B140,'Institution Evaluation'!$A$55:$F$345,6,0),IFERROR(VLOOKUP($B140,'Privacy Analyst Evaluation'!$A$46:$F$120,6,0),""))&amp;""</f>
        <v/>
      </c>
      <c r="G140" s="200"/>
      <c r="H140" s="199" t="str">
        <f>IFERROR(IF($H139+1&gt;'(backend scoring)'!$Q$335,"",$H139+1),"")</f>
        <v/>
      </c>
      <c r="I140" s="199" t="str">
        <f>_xlfn.XLOOKUP($H140,'(backend scoring)'!$S$2:$S$333,'(backend scoring)'!$A$2:$A$333,"")</f>
        <v/>
      </c>
      <c r="J140" s="199" t="str">
        <f>IFERROR(VLOOKUP($I140,'Institution Evaluation'!$A$55:$F$345,2,0),IFERROR(VLOOKUP($I140,'Privacy Analyst Evaluation'!$A$46:$F$120,2,0),""))</f>
        <v/>
      </c>
      <c r="K140" s="199" t="str">
        <f>IFERROR(VLOOKUP($I140,'Institution Evaluation'!$A$55:$F$345,3,0),IFERROR(VLOOKUP($I140,'Privacy Analyst Evaluation'!$A$46:$F$120,3,0),""))&amp;""</f>
        <v/>
      </c>
      <c r="L140" s="199" t="str">
        <f>IFERROR(VLOOKUP($I140,'Institution Evaluation'!$A$55:$F$345,4,0),IFERROR(VLOOKUP($I140,'Privacy Analyst Evaluation'!$A$46:$F$120,4,0),""))&amp;""</f>
        <v/>
      </c>
      <c r="M140" s="199" t="str">
        <f>IFERROR(VLOOKUP($I140,'Institution Evaluation'!$A$55:$F$345,6,0),IFERROR(VLOOKUP($I140,'Privacy Analyst Evaluation'!$A$46:$F$120,6,0),""))&amp;""</f>
        <v/>
      </c>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row>
    <row r="141" spans="1:338" ht="17" x14ac:dyDescent="0.2">
      <c r="A141" s="199" t="str">
        <f>IFERROR(IF($A140+1&gt;'(backend scoring)'!$T$335,"",$A140+1),"")</f>
        <v/>
      </c>
      <c r="B141" s="199" t="str">
        <f>_xlfn.XLOOKUP($A141,'(backend scoring)'!$V$2:$V$333,'(backend scoring)'!$A$2:$A$333,"")</f>
        <v/>
      </c>
      <c r="C141" s="199" t="str">
        <f>IFERROR(VLOOKUP($B141,'Institution Evaluation'!$A$55:$F$345,2,0),IFERROR(VLOOKUP($B141,'Privacy Analyst Evaluation'!$A$46:$F$120,2,0),""))&amp;""</f>
        <v/>
      </c>
      <c r="D141" s="199" t="str">
        <f>IFERROR(VLOOKUP($B141,'Institution Evaluation'!$A$55:$F$345,3,0),IFERROR(VLOOKUP($B141,'Privacy Analyst Evaluation'!$A$46:$F$120,3,0),""))&amp;""</f>
        <v/>
      </c>
      <c r="E141" s="199" t="str">
        <f>IFERROR(VLOOKUP($B141,'Institution Evaluation'!$A$55:$F$345,4,0),IFERROR(VLOOKUP($B141,'Privacy Analyst Evaluation'!$A$46:$F$120,4,0),""))&amp;""</f>
        <v/>
      </c>
      <c r="F141" s="199" t="str">
        <f>IFERROR(VLOOKUP($B141,'Institution Evaluation'!$A$55:$F$345,6,0),IFERROR(VLOOKUP($B141,'Privacy Analyst Evaluation'!$A$46:$F$120,6,0),""))&amp;""</f>
        <v/>
      </c>
      <c r="G141" s="200"/>
      <c r="H141" s="199" t="str">
        <f>IFERROR(IF($H140+1&gt;'(backend scoring)'!$Q$335,"",$H140+1),"")</f>
        <v/>
      </c>
      <c r="I141" s="199" t="str">
        <f>_xlfn.XLOOKUP($H141,'(backend scoring)'!$S$2:$S$333,'(backend scoring)'!$A$2:$A$333,"")</f>
        <v/>
      </c>
      <c r="J141" s="199" t="str">
        <f>IFERROR(VLOOKUP($I141,'Institution Evaluation'!$A$55:$F$345,2,0),IFERROR(VLOOKUP($I141,'Privacy Analyst Evaluation'!$A$46:$F$120,2,0),""))</f>
        <v/>
      </c>
      <c r="K141" s="199" t="str">
        <f>IFERROR(VLOOKUP($I141,'Institution Evaluation'!$A$55:$F$345,3,0),IFERROR(VLOOKUP($I141,'Privacy Analyst Evaluation'!$A$46:$F$120,3,0),""))&amp;""</f>
        <v/>
      </c>
      <c r="L141" s="199" t="str">
        <f>IFERROR(VLOOKUP($I141,'Institution Evaluation'!$A$55:$F$345,4,0),IFERROR(VLOOKUP($I141,'Privacy Analyst Evaluation'!$A$46:$F$120,4,0),""))&amp;""</f>
        <v/>
      </c>
      <c r="M141" s="199" t="str">
        <f>IFERROR(VLOOKUP($I141,'Institution Evaluation'!$A$55:$F$345,6,0),IFERROR(VLOOKUP($I141,'Privacy Analyst Evaluation'!$A$46:$F$120,6,0),""))&amp;""</f>
        <v/>
      </c>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row>
    <row r="142" spans="1:338" ht="17" x14ac:dyDescent="0.2">
      <c r="A142" s="199" t="str">
        <f>IFERROR(IF($A141+1&gt;'(backend scoring)'!$T$335,"",$A141+1),"")</f>
        <v/>
      </c>
      <c r="B142" s="199" t="str">
        <f>_xlfn.XLOOKUP($A142,'(backend scoring)'!$V$2:$V$333,'(backend scoring)'!$A$2:$A$333,"")</f>
        <v/>
      </c>
      <c r="C142" s="199" t="str">
        <f>IFERROR(VLOOKUP($B142,'Institution Evaluation'!$A$55:$F$345,2,0),IFERROR(VLOOKUP($B142,'Privacy Analyst Evaluation'!$A$46:$F$120,2,0),""))&amp;""</f>
        <v/>
      </c>
      <c r="D142" s="199" t="str">
        <f>IFERROR(VLOOKUP($B142,'Institution Evaluation'!$A$55:$F$345,3,0),IFERROR(VLOOKUP($B142,'Privacy Analyst Evaluation'!$A$46:$F$120,3,0),""))&amp;""</f>
        <v/>
      </c>
      <c r="E142" s="199" t="str">
        <f>IFERROR(VLOOKUP($B142,'Institution Evaluation'!$A$55:$F$345,4,0),IFERROR(VLOOKUP($B142,'Privacy Analyst Evaluation'!$A$46:$F$120,4,0),""))&amp;""</f>
        <v/>
      </c>
      <c r="F142" s="199" t="str">
        <f>IFERROR(VLOOKUP($B142,'Institution Evaluation'!$A$55:$F$345,6,0),IFERROR(VLOOKUP($B142,'Privacy Analyst Evaluation'!$A$46:$F$120,6,0),""))&amp;""</f>
        <v/>
      </c>
      <c r="G142" s="200"/>
      <c r="H142" s="199" t="str">
        <f>IFERROR(IF($H141+1&gt;'(backend scoring)'!$Q$335,"",$H141+1),"")</f>
        <v/>
      </c>
      <c r="I142" s="199" t="str">
        <f>_xlfn.XLOOKUP($H142,'(backend scoring)'!$S$2:$S$333,'(backend scoring)'!$A$2:$A$333,"")</f>
        <v/>
      </c>
      <c r="J142" s="199" t="str">
        <f>IFERROR(VLOOKUP($I142,'Institution Evaluation'!$A$55:$F$345,2,0),IFERROR(VLOOKUP($I142,'Privacy Analyst Evaluation'!$A$46:$F$120,2,0),""))</f>
        <v/>
      </c>
      <c r="K142" s="199" t="str">
        <f>IFERROR(VLOOKUP($I142,'Institution Evaluation'!$A$55:$F$345,3,0),IFERROR(VLOOKUP($I142,'Privacy Analyst Evaluation'!$A$46:$F$120,3,0),""))&amp;""</f>
        <v/>
      </c>
      <c r="L142" s="199" t="str">
        <f>IFERROR(VLOOKUP($I142,'Institution Evaluation'!$A$55:$F$345,4,0),IFERROR(VLOOKUP($I142,'Privacy Analyst Evaluation'!$A$46:$F$120,4,0),""))&amp;""</f>
        <v/>
      </c>
      <c r="M142" s="199" t="str">
        <f>IFERROR(VLOOKUP($I142,'Institution Evaluation'!$A$55:$F$345,6,0),IFERROR(VLOOKUP($I142,'Privacy Analyst Evaluation'!$A$46:$F$120,6,0),""))&amp;""</f>
        <v/>
      </c>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row>
    <row r="143" spans="1:338" ht="17" x14ac:dyDescent="0.2">
      <c r="A143" s="199" t="str">
        <f>IFERROR(IF($A142+1&gt;'(backend scoring)'!$T$335,"",$A142+1),"")</f>
        <v/>
      </c>
      <c r="B143" s="199" t="str">
        <f>_xlfn.XLOOKUP($A143,'(backend scoring)'!$V$2:$V$333,'(backend scoring)'!$A$2:$A$333,"")</f>
        <v/>
      </c>
      <c r="C143" s="199" t="str">
        <f>IFERROR(VLOOKUP($B143,'Institution Evaluation'!$A$55:$F$345,2,0),IFERROR(VLOOKUP($B143,'Privacy Analyst Evaluation'!$A$46:$F$120,2,0),""))&amp;""</f>
        <v/>
      </c>
      <c r="D143" s="199" t="str">
        <f>IFERROR(VLOOKUP($B143,'Institution Evaluation'!$A$55:$F$345,3,0),IFERROR(VLOOKUP($B143,'Privacy Analyst Evaluation'!$A$46:$F$120,3,0),""))&amp;""</f>
        <v/>
      </c>
      <c r="E143" s="199" t="str">
        <f>IFERROR(VLOOKUP($B143,'Institution Evaluation'!$A$55:$F$345,4,0),IFERROR(VLOOKUP($B143,'Privacy Analyst Evaluation'!$A$46:$F$120,4,0),""))&amp;""</f>
        <v/>
      </c>
      <c r="F143" s="199" t="str">
        <f>IFERROR(VLOOKUP($B143,'Institution Evaluation'!$A$55:$F$345,6,0),IFERROR(VLOOKUP($B143,'Privacy Analyst Evaluation'!$A$46:$F$120,6,0),""))&amp;""</f>
        <v/>
      </c>
      <c r="G143" s="200"/>
      <c r="H143" s="199" t="str">
        <f>IFERROR(IF($H142+1&gt;'(backend scoring)'!$Q$335,"",$H142+1),"")</f>
        <v/>
      </c>
      <c r="I143" s="199" t="str">
        <f>_xlfn.XLOOKUP($H143,'(backend scoring)'!$S$2:$S$333,'(backend scoring)'!$A$2:$A$333,"")</f>
        <v/>
      </c>
      <c r="J143" s="199" t="str">
        <f>IFERROR(VLOOKUP($I143,'Institution Evaluation'!$A$55:$F$345,2,0),IFERROR(VLOOKUP($I143,'Privacy Analyst Evaluation'!$A$46:$F$120,2,0),""))</f>
        <v/>
      </c>
      <c r="K143" s="199" t="str">
        <f>IFERROR(VLOOKUP($I143,'Institution Evaluation'!$A$55:$F$345,3,0),IFERROR(VLOOKUP($I143,'Privacy Analyst Evaluation'!$A$46:$F$120,3,0),""))&amp;""</f>
        <v/>
      </c>
      <c r="L143" s="199" t="str">
        <f>IFERROR(VLOOKUP($I143,'Institution Evaluation'!$A$55:$F$345,4,0),IFERROR(VLOOKUP($I143,'Privacy Analyst Evaluation'!$A$46:$F$120,4,0),""))&amp;""</f>
        <v/>
      </c>
      <c r="M143" s="199" t="str">
        <f>IFERROR(VLOOKUP($I143,'Institution Evaluation'!$A$55:$F$345,6,0),IFERROR(VLOOKUP($I143,'Privacy Analyst Evaluation'!$A$46:$F$120,6,0),""))&amp;""</f>
        <v/>
      </c>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row>
    <row r="144" spans="1:338" ht="17" x14ac:dyDescent="0.2">
      <c r="A144" s="199" t="str">
        <f>IFERROR(IF($A143+1&gt;'(backend scoring)'!$T$335,"",$A143+1),"")</f>
        <v/>
      </c>
      <c r="B144" s="199" t="str">
        <f>_xlfn.XLOOKUP($A144,'(backend scoring)'!$V$2:$V$333,'(backend scoring)'!$A$2:$A$333,"")</f>
        <v/>
      </c>
      <c r="C144" s="199" t="str">
        <f>IFERROR(VLOOKUP($B144,'Institution Evaluation'!$A$55:$F$345,2,0),IFERROR(VLOOKUP($B144,'Privacy Analyst Evaluation'!$A$46:$F$120,2,0),""))&amp;""</f>
        <v/>
      </c>
      <c r="D144" s="199" t="str">
        <f>IFERROR(VLOOKUP($B144,'Institution Evaluation'!$A$55:$F$345,3,0),IFERROR(VLOOKUP($B144,'Privacy Analyst Evaluation'!$A$46:$F$120,3,0),""))&amp;""</f>
        <v/>
      </c>
      <c r="E144" s="199" t="str">
        <f>IFERROR(VLOOKUP($B144,'Institution Evaluation'!$A$55:$F$345,4,0),IFERROR(VLOOKUP($B144,'Privacy Analyst Evaluation'!$A$46:$F$120,4,0),""))&amp;""</f>
        <v/>
      </c>
      <c r="F144" s="199" t="str">
        <f>IFERROR(VLOOKUP($B144,'Institution Evaluation'!$A$55:$F$345,6,0),IFERROR(VLOOKUP($B144,'Privacy Analyst Evaluation'!$A$46:$F$120,6,0),""))&amp;""</f>
        <v/>
      </c>
      <c r="G144" s="200"/>
      <c r="H144" s="199" t="str">
        <f>IFERROR(IF($H143+1&gt;'(backend scoring)'!$Q$335,"",$H143+1),"")</f>
        <v/>
      </c>
      <c r="I144" s="199" t="str">
        <f>_xlfn.XLOOKUP($H144,'(backend scoring)'!$S$2:$S$333,'(backend scoring)'!$A$2:$A$333,"")</f>
        <v/>
      </c>
      <c r="J144" s="199" t="str">
        <f>IFERROR(VLOOKUP($I144,'Institution Evaluation'!$A$55:$F$345,2,0),IFERROR(VLOOKUP($I144,'Privacy Analyst Evaluation'!$A$46:$F$120,2,0),""))</f>
        <v/>
      </c>
      <c r="K144" s="199" t="str">
        <f>IFERROR(VLOOKUP($I144,'Institution Evaluation'!$A$55:$F$345,3,0),IFERROR(VLOOKUP($I144,'Privacy Analyst Evaluation'!$A$46:$F$120,3,0),""))&amp;""</f>
        <v/>
      </c>
      <c r="L144" s="199" t="str">
        <f>IFERROR(VLOOKUP($I144,'Institution Evaluation'!$A$55:$F$345,4,0),IFERROR(VLOOKUP($I144,'Privacy Analyst Evaluation'!$A$46:$F$120,4,0),""))&amp;""</f>
        <v/>
      </c>
      <c r="M144" s="199" t="str">
        <f>IFERROR(VLOOKUP($I144,'Institution Evaluation'!$A$55:$F$345,6,0),IFERROR(VLOOKUP($I144,'Privacy Analyst Evaluation'!$A$46:$F$120,6,0),""))&amp;""</f>
        <v/>
      </c>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row>
    <row r="145" spans="1:338" ht="17" x14ac:dyDescent="0.2">
      <c r="A145" s="199" t="str">
        <f>IFERROR(IF($A144+1&gt;'(backend scoring)'!$T$335,"",$A144+1),"")</f>
        <v/>
      </c>
      <c r="B145" s="199" t="str">
        <f>_xlfn.XLOOKUP($A145,'(backend scoring)'!$V$2:$V$333,'(backend scoring)'!$A$2:$A$333,"")</f>
        <v/>
      </c>
      <c r="C145" s="199" t="str">
        <f>IFERROR(VLOOKUP($B145,'Institution Evaluation'!$A$55:$F$345,2,0),IFERROR(VLOOKUP($B145,'Privacy Analyst Evaluation'!$A$46:$F$120,2,0),""))&amp;""</f>
        <v/>
      </c>
      <c r="D145" s="199" t="str">
        <f>IFERROR(VLOOKUP($B145,'Institution Evaluation'!$A$55:$F$345,3,0),IFERROR(VLOOKUP($B145,'Privacy Analyst Evaluation'!$A$46:$F$120,3,0),""))&amp;""</f>
        <v/>
      </c>
      <c r="E145" s="199" t="str">
        <f>IFERROR(VLOOKUP($B145,'Institution Evaluation'!$A$55:$F$345,4,0),IFERROR(VLOOKUP($B145,'Privacy Analyst Evaluation'!$A$46:$F$120,4,0),""))&amp;""</f>
        <v/>
      </c>
      <c r="F145" s="199" t="str">
        <f>IFERROR(VLOOKUP($B145,'Institution Evaluation'!$A$55:$F$345,6,0),IFERROR(VLOOKUP($B145,'Privacy Analyst Evaluation'!$A$46:$F$120,6,0),""))&amp;""</f>
        <v/>
      </c>
      <c r="G145" s="200"/>
      <c r="H145" s="199" t="str">
        <f>IFERROR(IF($H144+1&gt;'(backend scoring)'!$Q$335,"",$H144+1),"")</f>
        <v/>
      </c>
      <c r="I145" s="199" t="str">
        <f>_xlfn.XLOOKUP($H145,'(backend scoring)'!$S$2:$S$333,'(backend scoring)'!$A$2:$A$333,"")</f>
        <v/>
      </c>
      <c r="J145" s="199" t="str">
        <f>IFERROR(VLOOKUP($I145,'Institution Evaluation'!$A$55:$F$345,2,0),IFERROR(VLOOKUP($I145,'Privacy Analyst Evaluation'!$A$46:$F$120,2,0),""))</f>
        <v/>
      </c>
      <c r="K145" s="199" t="str">
        <f>IFERROR(VLOOKUP($I145,'Institution Evaluation'!$A$55:$F$345,3,0),IFERROR(VLOOKUP($I145,'Privacy Analyst Evaluation'!$A$46:$F$120,3,0),""))&amp;""</f>
        <v/>
      </c>
      <c r="L145" s="199" t="str">
        <f>IFERROR(VLOOKUP($I145,'Institution Evaluation'!$A$55:$F$345,4,0),IFERROR(VLOOKUP($I145,'Privacy Analyst Evaluation'!$A$46:$F$120,4,0),""))&amp;""</f>
        <v/>
      </c>
      <c r="M145" s="199" t="str">
        <f>IFERROR(VLOOKUP($I145,'Institution Evaluation'!$A$55:$F$345,6,0),IFERROR(VLOOKUP($I145,'Privacy Analyst Evaluation'!$A$46:$F$120,6,0),""))&amp;""</f>
        <v/>
      </c>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row>
    <row r="146" spans="1:338" ht="17" x14ac:dyDescent="0.2">
      <c r="A146" s="199" t="str">
        <f>IFERROR(IF($A145+1&gt;'(backend scoring)'!$T$335,"",$A145+1),"")</f>
        <v/>
      </c>
      <c r="B146" s="199" t="str">
        <f>_xlfn.XLOOKUP($A146,'(backend scoring)'!$V$2:$V$333,'(backend scoring)'!$A$2:$A$333,"")</f>
        <v/>
      </c>
      <c r="C146" s="199" t="str">
        <f>IFERROR(VLOOKUP($B146,'Institution Evaluation'!$A$55:$F$345,2,0),IFERROR(VLOOKUP($B146,'Privacy Analyst Evaluation'!$A$46:$F$120,2,0),""))&amp;""</f>
        <v/>
      </c>
      <c r="D146" s="199" t="str">
        <f>IFERROR(VLOOKUP($B146,'Institution Evaluation'!$A$55:$F$345,3,0),IFERROR(VLOOKUP($B146,'Privacy Analyst Evaluation'!$A$46:$F$120,3,0),""))&amp;""</f>
        <v/>
      </c>
      <c r="E146" s="199" t="str">
        <f>IFERROR(VLOOKUP($B146,'Institution Evaluation'!$A$55:$F$345,4,0),IFERROR(VLOOKUP($B146,'Privacy Analyst Evaluation'!$A$46:$F$120,4,0),""))&amp;""</f>
        <v/>
      </c>
      <c r="F146" s="199" t="str">
        <f>IFERROR(VLOOKUP($B146,'Institution Evaluation'!$A$55:$F$345,6,0),IFERROR(VLOOKUP($B146,'Privacy Analyst Evaluation'!$A$46:$F$120,6,0),""))&amp;""</f>
        <v/>
      </c>
      <c r="G146" s="200"/>
      <c r="H146" s="199" t="str">
        <f>IFERROR(IF($H145+1&gt;'(backend scoring)'!$Q$335,"",$H145+1),"")</f>
        <v/>
      </c>
      <c r="I146" s="199" t="str">
        <f>_xlfn.XLOOKUP($H146,'(backend scoring)'!$S$2:$S$333,'(backend scoring)'!$A$2:$A$333,"")</f>
        <v/>
      </c>
      <c r="J146" s="199" t="str">
        <f>IFERROR(VLOOKUP($I146,'Institution Evaluation'!$A$55:$F$345,2,0),IFERROR(VLOOKUP($I146,'Privacy Analyst Evaluation'!$A$46:$F$120,2,0),""))</f>
        <v/>
      </c>
      <c r="K146" s="199" t="str">
        <f>IFERROR(VLOOKUP($I146,'Institution Evaluation'!$A$55:$F$345,3,0),IFERROR(VLOOKUP($I146,'Privacy Analyst Evaluation'!$A$46:$F$120,3,0),""))&amp;""</f>
        <v/>
      </c>
      <c r="L146" s="199" t="str">
        <f>IFERROR(VLOOKUP($I146,'Institution Evaluation'!$A$55:$F$345,4,0),IFERROR(VLOOKUP($I146,'Privacy Analyst Evaluation'!$A$46:$F$120,4,0),""))&amp;""</f>
        <v/>
      </c>
      <c r="M146" s="199" t="str">
        <f>IFERROR(VLOOKUP($I146,'Institution Evaluation'!$A$55:$F$345,6,0),IFERROR(VLOOKUP($I146,'Privacy Analyst Evaluation'!$A$46:$F$120,6,0),""))&amp;""</f>
        <v/>
      </c>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row>
    <row r="147" spans="1:338" ht="17" x14ac:dyDescent="0.2">
      <c r="A147" s="199" t="str">
        <f>IFERROR(IF($A146+1&gt;'(backend scoring)'!$T$335,"",$A146+1),"")</f>
        <v/>
      </c>
      <c r="B147" s="199" t="str">
        <f>_xlfn.XLOOKUP($A147,'(backend scoring)'!$V$2:$V$333,'(backend scoring)'!$A$2:$A$333,"")</f>
        <v/>
      </c>
      <c r="C147" s="199" t="str">
        <f>IFERROR(VLOOKUP($B147,'Institution Evaluation'!$A$55:$F$345,2,0),IFERROR(VLOOKUP($B147,'Privacy Analyst Evaluation'!$A$46:$F$120,2,0),""))&amp;""</f>
        <v/>
      </c>
      <c r="D147" s="199" t="str">
        <f>IFERROR(VLOOKUP($B147,'Institution Evaluation'!$A$55:$F$345,3,0),IFERROR(VLOOKUP($B147,'Privacy Analyst Evaluation'!$A$46:$F$120,3,0),""))&amp;""</f>
        <v/>
      </c>
      <c r="E147" s="199" t="str">
        <f>IFERROR(VLOOKUP($B147,'Institution Evaluation'!$A$55:$F$345,4,0),IFERROR(VLOOKUP($B147,'Privacy Analyst Evaluation'!$A$46:$F$120,4,0),""))&amp;""</f>
        <v/>
      </c>
      <c r="F147" s="199" t="str">
        <f>IFERROR(VLOOKUP($B147,'Institution Evaluation'!$A$55:$F$345,6,0),IFERROR(VLOOKUP($B147,'Privacy Analyst Evaluation'!$A$46:$F$120,6,0),""))&amp;""</f>
        <v/>
      </c>
      <c r="G147" s="200"/>
      <c r="H147" s="199" t="str">
        <f>IFERROR(IF($H146+1&gt;'(backend scoring)'!$Q$335,"",$H146+1),"")</f>
        <v/>
      </c>
      <c r="I147" s="199" t="str">
        <f>_xlfn.XLOOKUP($H147,'(backend scoring)'!$S$2:$S$333,'(backend scoring)'!$A$2:$A$333,"")</f>
        <v/>
      </c>
      <c r="J147" s="199" t="str">
        <f>IFERROR(VLOOKUP($I147,'Institution Evaluation'!$A$55:$F$345,2,0),IFERROR(VLOOKUP($I147,'Privacy Analyst Evaluation'!$A$46:$F$120,2,0),""))</f>
        <v/>
      </c>
      <c r="K147" s="199" t="str">
        <f>IFERROR(VLOOKUP($I147,'Institution Evaluation'!$A$55:$F$345,3,0),IFERROR(VLOOKUP($I147,'Privacy Analyst Evaluation'!$A$46:$F$120,3,0),""))&amp;""</f>
        <v/>
      </c>
      <c r="L147" s="199" t="str">
        <f>IFERROR(VLOOKUP($I147,'Institution Evaluation'!$A$55:$F$345,4,0),IFERROR(VLOOKUP($I147,'Privacy Analyst Evaluation'!$A$46:$F$120,4,0),""))&amp;""</f>
        <v/>
      </c>
      <c r="M147" s="199" t="str">
        <f>IFERROR(VLOOKUP($I147,'Institution Evaluation'!$A$55:$F$345,6,0),IFERROR(VLOOKUP($I147,'Privacy Analyst Evaluation'!$A$46:$F$120,6,0),""))&amp;""</f>
        <v/>
      </c>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row>
    <row r="148" spans="1:338" ht="17" x14ac:dyDescent="0.2">
      <c r="A148" s="199" t="str">
        <f>IFERROR(IF($A147+1&gt;'(backend scoring)'!$T$335,"",$A147+1),"")</f>
        <v/>
      </c>
      <c r="B148" s="199" t="str">
        <f>_xlfn.XLOOKUP($A148,'(backend scoring)'!$V$2:$V$333,'(backend scoring)'!$A$2:$A$333,"")</f>
        <v/>
      </c>
      <c r="C148" s="199" t="str">
        <f>IFERROR(VLOOKUP($B148,'Institution Evaluation'!$A$55:$F$345,2,0),IFERROR(VLOOKUP($B148,'Privacy Analyst Evaluation'!$A$46:$F$120,2,0),""))&amp;""</f>
        <v/>
      </c>
      <c r="D148" s="199" t="str">
        <f>IFERROR(VLOOKUP($B148,'Institution Evaluation'!$A$55:$F$345,3,0),IFERROR(VLOOKUP($B148,'Privacy Analyst Evaluation'!$A$46:$F$120,3,0),""))&amp;""</f>
        <v/>
      </c>
      <c r="E148" s="199" t="str">
        <f>IFERROR(VLOOKUP($B148,'Institution Evaluation'!$A$55:$F$345,4,0),IFERROR(VLOOKUP($B148,'Privacy Analyst Evaluation'!$A$46:$F$120,4,0),""))&amp;""</f>
        <v/>
      </c>
      <c r="F148" s="199" t="str">
        <f>IFERROR(VLOOKUP($B148,'Institution Evaluation'!$A$55:$F$345,6,0),IFERROR(VLOOKUP($B148,'Privacy Analyst Evaluation'!$A$46:$F$120,6,0),""))&amp;""</f>
        <v/>
      </c>
      <c r="G148" s="200"/>
      <c r="H148" s="199" t="str">
        <f>IFERROR(IF($H147+1&gt;'(backend scoring)'!$Q$335,"",$H147+1),"")</f>
        <v/>
      </c>
      <c r="I148" s="199" t="str">
        <f>_xlfn.XLOOKUP($H148,'(backend scoring)'!$S$2:$S$333,'(backend scoring)'!$A$2:$A$333,"")</f>
        <v/>
      </c>
      <c r="J148" s="199" t="str">
        <f>IFERROR(VLOOKUP($I148,'Institution Evaluation'!$A$55:$F$345,2,0),IFERROR(VLOOKUP($I148,'Privacy Analyst Evaluation'!$A$46:$F$120,2,0),""))</f>
        <v/>
      </c>
      <c r="K148" s="199" t="str">
        <f>IFERROR(VLOOKUP($I148,'Institution Evaluation'!$A$55:$F$345,3,0),IFERROR(VLOOKUP($I148,'Privacy Analyst Evaluation'!$A$46:$F$120,3,0),""))&amp;""</f>
        <v/>
      </c>
      <c r="L148" s="199" t="str">
        <f>IFERROR(VLOOKUP($I148,'Institution Evaluation'!$A$55:$F$345,4,0),IFERROR(VLOOKUP($I148,'Privacy Analyst Evaluation'!$A$46:$F$120,4,0),""))&amp;""</f>
        <v/>
      </c>
      <c r="M148" s="199" t="str">
        <f>IFERROR(VLOOKUP($I148,'Institution Evaluation'!$A$55:$F$345,6,0),IFERROR(VLOOKUP($I148,'Privacy Analyst Evaluation'!$A$46:$F$120,6,0),""))&amp;""</f>
        <v/>
      </c>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row>
    <row r="149" spans="1:338" ht="17" x14ac:dyDescent="0.2">
      <c r="A149" s="199" t="str">
        <f>IFERROR(IF($A148+1&gt;'(backend scoring)'!$T$335,"",$A148+1),"")</f>
        <v/>
      </c>
      <c r="B149" s="199" t="str">
        <f>_xlfn.XLOOKUP($A149,'(backend scoring)'!$V$2:$V$333,'(backend scoring)'!$A$2:$A$333,"")</f>
        <v/>
      </c>
      <c r="C149" s="199" t="str">
        <f>IFERROR(VLOOKUP($B149,'Institution Evaluation'!$A$55:$F$345,2,0),IFERROR(VLOOKUP($B149,'Privacy Analyst Evaluation'!$A$46:$F$120,2,0),""))&amp;""</f>
        <v/>
      </c>
      <c r="D149" s="199" t="str">
        <f>IFERROR(VLOOKUP($B149,'Institution Evaluation'!$A$55:$F$345,3,0),IFERROR(VLOOKUP($B149,'Privacy Analyst Evaluation'!$A$46:$F$120,3,0),""))&amp;""</f>
        <v/>
      </c>
      <c r="E149" s="199" t="str">
        <f>IFERROR(VLOOKUP($B149,'Institution Evaluation'!$A$55:$F$345,4,0),IFERROR(VLOOKUP($B149,'Privacy Analyst Evaluation'!$A$46:$F$120,4,0),""))&amp;""</f>
        <v/>
      </c>
      <c r="F149" s="199" t="str">
        <f>IFERROR(VLOOKUP($B149,'Institution Evaluation'!$A$55:$F$345,6,0),IFERROR(VLOOKUP($B149,'Privacy Analyst Evaluation'!$A$46:$F$120,6,0),""))&amp;""</f>
        <v/>
      </c>
      <c r="G149" s="200"/>
      <c r="H149" s="199" t="str">
        <f>IFERROR(IF($H148+1&gt;'(backend scoring)'!$Q$335,"",$H148+1),"")</f>
        <v/>
      </c>
      <c r="I149" s="199" t="str">
        <f>_xlfn.XLOOKUP($H149,'(backend scoring)'!$S$2:$S$333,'(backend scoring)'!$A$2:$A$333,"")</f>
        <v/>
      </c>
      <c r="J149" s="199" t="str">
        <f>IFERROR(VLOOKUP($I149,'Institution Evaluation'!$A$55:$F$345,2,0),IFERROR(VLOOKUP($I149,'Privacy Analyst Evaluation'!$A$46:$F$120,2,0),""))</f>
        <v/>
      </c>
      <c r="K149" s="199" t="str">
        <f>IFERROR(VLOOKUP($I149,'Institution Evaluation'!$A$55:$F$345,3,0),IFERROR(VLOOKUP($I149,'Privacy Analyst Evaluation'!$A$46:$F$120,3,0),""))&amp;""</f>
        <v/>
      </c>
      <c r="L149" s="199" t="str">
        <f>IFERROR(VLOOKUP($I149,'Institution Evaluation'!$A$55:$F$345,4,0),IFERROR(VLOOKUP($I149,'Privacy Analyst Evaluation'!$A$46:$F$120,4,0),""))&amp;""</f>
        <v/>
      </c>
      <c r="M149" s="199" t="str">
        <f>IFERROR(VLOOKUP($I149,'Institution Evaluation'!$A$55:$F$345,6,0),IFERROR(VLOOKUP($I149,'Privacy Analyst Evaluation'!$A$46:$F$120,6,0),""))&amp;""</f>
        <v/>
      </c>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row>
    <row r="150" spans="1:338" ht="17" x14ac:dyDescent="0.2">
      <c r="A150" s="199" t="str">
        <f>IFERROR(IF($A149+1&gt;'(backend scoring)'!$T$335,"",$A149+1),"")</f>
        <v/>
      </c>
      <c r="B150" s="199" t="str">
        <f>_xlfn.XLOOKUP($A150,'(backend scoring)'!$V$2:$V$333,'(backend scoring)'!$A$2:$A$333,"")</f>
        <v/>
      </c>
      <c r="C150" s="199" t="str">
        <f>IFERROR(VLOOKUP($B150,'Institution Evaluation'!$A$55:$F$345,2,0),IFERROR(VLOOKUP($B150,'Privacy Analyst Evaluation'!$A$46:$F$120,2,0),""))&amp;""</f>
        <v/>
      </c>
      <c r="D150" s="199" t="str">
        <f>IFERROR(VLOOKUP($B150,'Institution Evaluation'!$A$55:$F$345,3,0),IFERROR(VLOOKUP($B150,'Privacy Analyst Evaluation'!$A$46:$F$120,3,0),""))&amp;""</f>
        <v/>
      </c>
      <c r="E150" s="199" t="str">
        <f>IFERROR(VLOOKUP($B150,'Institution Evaluation'!$A$55:$F$345,4,0),IFERROR(VLOOKUP($B150,'Privacy Analyst Evaluation'!$A$46:$F$120,4,0),""))&amp;""</f>
        <v/>
      </c>
      <c r="F150" s="199" t="str">
        <f>IFERROR(VLOOKUP($B150,'Institution Evaluation'!$A$55:$F$345,6,0),IFERROR(VLOOKUP($B150,'Privacy Analyst Evaluation'!$A$46:$F$120,6,0),""))&amp;""</f>
        <v/>
      </c>
      <c r="G150" s="200"/>
      <c r="H150" s="199" t="str">
        <f>IFERROR(IF($H149+1&gt;'(backend scoring)'!$Q$335,"",$H149+1),"")</f>
        <v/>
      </c>
      <c r="I150" s="199" t="str">
        <f>_xlfn.XLOOKUP($H150,'(backend scoring)'!$S$2:$S$333,'(backend scoring)'!$A$2:$A$333,"")</f>
        <v/>
      </c>
      <c r="J150" s="199" t="str">
        <f>IFERROR(VLOOKUP($I150,'Institution Evaluation'!$A$55:$F$345,2,0),IFERROR(VLOOKUP($I150,'Privacy Analyst Evaluation'!$A$46:$F$120,2,0),""))</f>
        <v/>
      </c>
      <c r="K150" s="199" t="str">
        <f>IFERROR(VLOOKUP($I150,'Institution Evaluation'!$A$55:$F$345,3,0),IFERROR(VLOOKUP($I150,'Privacy Analyst Evaluation'!$A$46:$F$120,3,0),""))&amp;""</f>
        <v/>
      </c>
      <c r="L150" s="199" t="str">
        <f>IFERROR(VLOOKUP($I150,'Institution Evaluation'!$A$55:$F$345,4,0),IFERROR(VLOOKUP($I150,'Privacy Analyst Evaluation'!$A$46:$F$120,4,0),""))&amp;""</f>
        <v/>
      </c>
      <c r="M150" s="199" t="str">
        <f>IFERROR(VLOOKUP($I150,'Institution Evaluation'!$A$55:$F$345,6,0),IFERROR(VLOOKUP($I150,'Privacy Analyst Evaluation'!$A$46:$F$120,6,0),""))&amp;""</f>
        <v/>
      </c>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row>
    <row r="151" spans="1:338" ht="17" x14ac:dyDescent="0.2">
      <c r="A151" s="199" t="str">
        <f>IFERROR(IF($A150+1&gt;'(backend scoring)'!$T$335,"",$A150+1),"")</f>
        <v/>
      </c>
      <c r="B151" s="199" t="str">
        <f>_xlfn.XLOOKUP($A151,'(backend scoring)'!$V$2:$V$333,'(backend scoring)'!$A$2:$A$333,"")</f>
        <v/>
      </c>
      <c r="C151" s="199" t="str">
        <f>IFERROR(VLOOKUP($B151,'Institution Evaluation'!$A$55:$F$345,2,0),IFERROR(VLOOKUP($B151,'Privacy Analyst Evaluation'!$A$46:$F$120,2,0),""))&amp;""</f>
        <v/>
      </c>
      <c r="D151" s="199" t="str">
        <f>IFERROR(VLOOKUP($B151,'Institution Evaluation'!$A$55:$F$345,3,0),IFERROR(VLOOKUP($B151,'Privacy Analyst Evaluation'!$A$46:$F$120,3,0),""))&amp;""</f>
        <v/>
      </c>
      <c r="E151" s="199" t="str">
        <f>IFERROR(VLOOKUP($B151,'Institution Evaluation'!$A$55:$F$345,4,0),IFERROR(VLOOKUP($B151,'Privacy Analyst Evaluation'!$A$46:$F$120,4,0),""))&amp;""</f>
        <v/>
      </c>
      <c r="F151" s="199" t="str">
        <f>IFERROR(VLOOKUP($B151,'Institution Evaluation'!$A$55:$F$345,6,0),IFERROR(VLOOKUP($B151,'Privacy Analyst Evaluation'!$A$46:$F$120,6,0),""))&amp;""</f>
        <v/>
      </c>
      <c r="G151" s="200"/>
      <c r="H151" s="199" t="str">
        <f>IFERROR(IF($H150+1&gt;'(backend scoring)'!$Q$335,"",$H150+1),"")</f>
        <v/>
      </c>
      <c r="I151" s="199" t="str">
        <f>_xlfn.XLOOKUP($H151,'(backend scoring)'!$S$2:$S$333,'(backend scoring)'!$A$2:$A$333,"")</f>
        <v/>
      </c>
      <c r="J151" s="199" t="str">
        <f>IFERROR(VLOOKUP($I151,'Institution Evaluation'!$A$55:$F$345,2,0),IFERROR(VLOOKUP($I151,'Privacy Analyst Evaluation'!$A$46:$F$120,2,0),""))</f>
        <v/>
      </c>
      <c r="K151" s="199" t="str">
        <f>IFERROR(VLOOKUP($I151,'Institution Evaluation'!$A$55:$F$345,3,0),IFERROR(VLOOKUP($I151,'Privacy Analyst Evaluation'!$A$46:$F$120,3,0),""))&amp;""</f>
        <v/>
      </c>
      <c r="L151" s="199" t="str">
        <f>IFERROR(VLOOKUP($I151,'Institution Evaluation'!$A$55:$F$345,4,0),IFERROR(VLOOKUP($I151,'Privacy Analyst Evaluation'!$A$46:$F$120,4,0),""))&amp;""</f>
        <v/>
      </c>
      <c r="M151" s="199" t="str">
        <f>IFERROR(VLOOKUP($I151,'Institution Evaluation'!$A$55:$F$345,6,0),IFERROR(VLOOKUP($I151,'Privacy Analyst Evaluation'!$A$46:$F$120,6,0),""))&amp;""</f>
        <v/>
      </c>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row>
    <row r="152" spans="1:338" ht="17" x14ac:dyDescent="0.2">
      <c r="A152" s="199" t="str">
        <f>IFERROR(IF($A151+1&gt;'(backend scoring)'!$T$335,"",$A151+1),"")</f>
        <v/>
      </c>
      <c r="B152" s="199" t="str">
        <f>_xlfn.XLOOKUP($A152,'(backend scoring)'!$V$2:$V$333,'(backend scoring)'!$A$2:$A$333,"")</f>
        <v/>
      </c>
      <c r="C152" s="199" t="str">
        <f>IFERROR(VLOOKUP($B152,'Institution Evaluation'!$A$55:$F$345,2,0),IFERROR(VLOOKUP($B152,'Privacy Analyst Evaluation'!$A$46:$F$120,2,0),""))&amp;""</f>
        <v/>
      </c>
      <c r="D152" s="199" t="str">
        <f>IFERROR(VLOOKUP($B152,'Institution Evaluation'!$A$55:$F$345,3,0),IFERROR(VLOOKUP($B152,'Privacy Analyst Evaluation'!$A$46:$F$120,3,0),""))&amp;""</f>
        <v/>
      </c>
      <c r="E152" s="199" t="str">
        <f>IFERROR(VLOOKUP($B152,'Institution Evaluation'!$A$55:$F$345,4,0),IFERROR(VLOOKUP($B152,'Privacy Analyst Evaluation'!$A$46:$F$120,4,0),""))&amp;""</f>
        <v/>
      </c>
      <c r="F152" s="199" t="str">
        <f>IFERROR(VLOOKUP($B152,'Institution Evaluation'!$A$55:$F$345,6,0),IFERROR(VLOOKUP($B152,'Privacy Analyst Evaluation'!$A$46:$F$120,6,0),""))&amp;""</f>
        <v/>
      </c>
      <c r="G152" s="200"/>
      <c r="H152" s="199" t="str">
        <f>IFERROR(IF($H151+1&gt;'(backend scoring)'!$Q$335,"",$H151+1),"")</f>
        <v/>
      </c>
      <c r="I152" s="199" t="str">
        <f>_xlfn.XLOOKUP($H152,'(backend scoring)'!$S$2:$S$333,'(backend scoring)'!$A$2:$A$333,"")</f>
        <v/>
      </c>
      <c r="J152" s="199" t="str">
        <f>IFERROR(VLOOKUP($I152,'Institution Evaluation'!$A$55:$F$345,2,0),IFERROR(VLOOKUP($I152,'Privacy Analyst Evaluation'!$A$46:$F$120,2,0),""))</f>
        <v/>
      </c>
      <c r="K152" s="199" t="str">
        <f>IFERROR(VLOOKUP($I152,'Institution Evaluation'!$A$55:$F$345,3,0),IFERROR(VLOOKUP($I152,'Privacy Analyst Evaluation'!$A$46:$F$120,3,0),""))&amp;""</f>
        <v/>
      </c>
      <c r="L152" s="199" t="str">
        <f>IFERROR(VLOOKUP($I152,'Institution Evaluation'!$A$55:$F$345,4,0),IFERROR(VLOOKUP($I152,'Privacy Analyst Evaluation'!$A$46:$F$120,4,0),""))&amp;""</f>
        <v/>
      </c>
      <c r="M152" s="199" t="str">
        <f>IFERROR(VLOOKUP($I152,'Institution Evaluation'!$A$55:$F$345,6,0),IFERROR(VLOOKUP($I152,'Privacy Analyst Evaluation'!$A$46:$F$120,6,0),""))&amp;""</f>
        <v/>
      </c>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row>
    <row r="153" spans="1:338" ht="17" x14ac:dyDescent="0.2">
      <c r="A153" s="199" t="str">
        <f>IFERROR(IF($A152+1&gt;'(backend scoring)'!$T$335,"",$A152+1),"")</f>
        <v/>
      </c>
      <c r="B153" s="199" t="str">
        <f>_xlfn.XLOOKUP($A153,'(backend scoring)'!$V$2:$V$333,'(backend scoring)'!$A$2:$A$333,"")</f>
        <v/>
      </c>
      <c r="C153" s="199" t="str">
        <f>IFERROR(VLOOKUP($B153,'Institution Evaluation'!$A$55:$F$345,2,0),IFERROR(VLOOKUP($B153,'Privacy Analyst Evaluation'!$A$46:$F$120,2,0),""))&amp;""</f>
        <v/>
      </c>
      <c r="D153" s="199" t="str">
        <f>IFERROR(VLOOKUP($B153,'Institution Evaluation'!$A$55:$F$345,3,0),IFERROR(VLOOKUP($B153,'Privacy Analyst Evaluation'!$A$46:$F$120,3,0),""))&amp;""</f>
        <v/>
      </c>
      <c r="E153" s="199" t="str">
        <f>IFERROR(VLOOKUP($B153,'Institution Evaluation'!$A$55:$F$345,4,0),IFERROR(VLOOKUP($B153,'Privacy Analyst Evaluation'!$A$46:$F$120,4,0),""))&amp;""</f>
        <v/>
      </c>
      <c r="F153" s="199" t="str">
        <f>IFERROR(VLOOKUP($B153,'Institution Evaluation'!$A$55:$F$345,6,0),IFERROR(VLOOKUP($B153,'Privacy Analyst Evaluation'!$A$46:$F$120,6,0),""))&amp;""</f>
        <v/>
      </c>
      <c r="G153" s="200"/>
      <c r="H153" s="199" t="str">
        <f>IFERROR(IF($H152+1&gt;'(backend scoring)'!$Q$335,"",$H152+1),"")</f>
        <v/>
      </c>
      <c r="I153" s="199" t="str">
        <f>_xlfn.XLOOKUP($H153,'(backend scoring)'!$S$2:$S$333,'(backend scoring)'!$A$2:$A$333,"")</f>
        <v/>
      </c>
      <c r="J153" s="199" t="str">
        <f>IFERROR(VLOOKUP($I153,'Institution Evaluation'!$A$55:$F$345,2,0),IFERROR(VLOOKUP($I153,'Privacy Analyst Evaluation'!$A$46:$F$120,2,0),""))</f>
        <v/>
      </c>
      <c r="K153" s="199" t="str">
        <f>IFERROR(VLOOKUP($I153,'Institution Evaluation'!$A$55:$F$345,3,0),IFERROR(VLOOKUP($I153,'Privacy Analyst Evaluation'!$A$46:$F$120,3,0),""))&amp;""</f>
        <v/>
      </c>
      <c r="L153" s="199" t="str">
        <f>IFERROR(VLOOKUP($I153,'Institution Evaluation'!$A$55:$F$345,4,0),IFERROR(VLOOKUP($I153,'Privacy Analyst Evaluation'!$A$46:$F$120,4,0),""))&amp;""</f>
        <v/>
      </c>
      <c r="M153" s="199" t="str">
        <f>IFERROR(VLOOKUP($I153,'Institution Evaluation'!$A$55:$F$345,6,0),IFERROR(VLOOKUP($I153,'Privacy Analyst Evaluation'!$A$46:$F$120,6,0),""))&amp;""</f>
        <v/>
      </c>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row>
    <row r="154" spans="1:338" ht="17" x14ac:dyDescent="0.2">
      <c r="A154" s="199" t="str">
        <f>IFERROR(IF($A153+1&gt;'(backend scoring)'!$T$335,"",$A153+1),"")</f>
        <v/>
      </c>
      <c r="B154" s="199" t="str">
        <f>_xlfn.XLOOKUP($A154,'(backend scoring)'!$V$2:$V$333,'(backend scoring)'!$A$2:$A$333,"")</f>
        <v/>
      </c>
      <c r="C154" s="199" t="str">
        <f>IFERROR(VLOOKUP($B154,'Institution Evaluation'!$A$55:$F$345,2,0),IFERROR(VLOOKUP($B154,'Privacy Analyst Evaluation'!$A$46:$F$120,2,0),""))&amp;""</f>
        <v/>
      </c>
      <c r="D154" s="199" t="str">
        <f>IFERROR(VLOOKUP($B154,'Institution Evaluation'!$A$55:$F$345,3,0),IFERROR(VLOOKUP($B154,'Privacy Analyst Evaluation'!$A$46:$F$120,3,0),""))&amp;""</f>
        <v/>
      </c>
      <c r="E154" s="199" t="str">
        <f>IFERROR(VLOOKUP($B154,'Institution Evaluation'!$A$55:$F$345,4,0),IFERROR(VLOOKUP($B154,'Privacy Analyst Evaluation'!$A$46:$F$120,4,0),""))&amp;""</f>
        <v/>
      </c>
      <c r="F154" s="199" t="str">
        <f>IFERROR(VLOOKUP($B154,'Institution Evaluation'!$A$55:$F$345,6,0),IFERROR(VLOOKUP($B154,'Privacy Analyst Evaluation'!$A$46:$F$120,6,0),""))&amp;""</f>
        <v/>
      </c>
      <c r="G154" s="200"/>
      <c r="H154" s="199" t="str">
        <f>IFERROR(IF($H153+1&gt;'(backend scoring)'!$Q$335,"",$H153+1),"")</f>
        <v/>
      </c>
      <c r="I154" s="199" t="str">
        <f>_xlfn.XLOOKUP($H154,'(backend scoring)'!$S$2:$S$333,'(backend scoring)'!$A$2:$A$333,"")</f>
        <v/>
      </c>
      <c r="J154" s="199" t="str">
        <f>IFERROR(VLOOKUP($I154,'Institution Evaluation'!$A$55:$F$345,2,0),IFERROR(VLOOKUP($I154,'Privacy Analyst Evaluation'!$A$46:$F$120,2,0),""))</f>
        <v/>
      </c>
      <c r="K154" s="199" t="str">
        <f>IFERROR(VLOOKUP($I154,'Institution Evaluation'!$A$55:$F$345,3,0),IFERROR(VLOOKUP($I154,'Privacy Analyst Evaluation'!$A$46:$F$120,3,0),""))&amp;""</f>
        <v/>
      </c>
      <c r="L154" s="199" t="str">
        <f>IFERROR(VLOOKUP($I154,'Institution Evaluation'!$A$55:$F$345,4,0),IFERROR(VLOOKUP($I154,'Privacy Analyst Evaluation'!$A$46:$F$120,4,0),""))&amp;""</f>
        <v/>
      </c>
      <c r="M154" s="199" t="str">
        <f>IFERROR(VLOOKUP($I154,'Institution Evaluation'!$A$55:$F$345,6,0),IFERROR(VLOOKUP($I154,'Privacy Analyst Evaluation'!$A$46:$F$120,6,0),""))&amp;""</f>
        <v/>
      </c>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row>
    <row r="155" spans="1:338" ht="17" x14ac:dyDescent="0.2">
      <c r="A155" s="199" t="str">
        <f>IFERROR(IF($A154+1&gt;'(backend scoring)'!$T$335,"",$A154+1),"")</f>
        <v/>
      </c>
      <c r="B155" s="199" t="str">
        <f>_xlfn.XLOOKUP($A155,'(backend scoring)'!$V$2:$V$333,'(backend scoring)'!$A$2:$A$333,"")</f>
        <v/>
      </c>
      <c r="C155" s="199" t="str">
        <f>IFERROR(VLOOKUP($B155,'Institution Evaluation'!$A$55:$F$345,2,0),IFERROR(VLOOKUP($B155,'Privacy Analyst Evaluation'!$A$46:$F$120,2,0),""))&amp;""</f>
        <v/>
      </c>
      <c r="D155" s="199" t="str">
        <f>IFERROR(VLOOKUP($B155,'Institution Evaluation'!$A$55:$F$345,3,0),IFERROR(VLOOKUP($B155,'Privacy Analyst Evaluation'!$A$46:$F$120,3,0),""))&amp;""</f>
        <v/>
      </c>
      <c r="E155" s="199" t="str">
        <f>IFERROR(VLOOKUP($B155,'Institution Evaluation'!$A$55:$F$345,4,0),IFERROR(VLOOKUP($B155,'Privacy Analyst Evaluation'!$A$46:$F$120,4,0),""))&amp;""</f>
        <v/>
      </c>
      <c r="F155" s="199" t="str">
        <f>IFERROR(VLOOKUP($B155,'Institution Evaluation'!$A$55:$F$345,6,0),IFERROR(VLOOKUP($B155,'Privacy Analyst Evaluation'!$A$46:$F$120,6,0),""))&amp;""</f>
        <v/>
      </c>
      <c r="G155" s="200"/>
      <c r="H155" s="199" t="str">
        <f>IFERROR(IF($H154+1&gt;'(backend scoring)'!$Q$335,"",$H154+1),"")</f>
        <v/>
      </c>
      <c r="I155" s="199" t="str">
        <f>_xlfn.XLOOKUP($H155,'(backend scoring)'!$S$2:$S$333,'(backend scoring)'!$A$2:$A$333,"")</f>
        <v/>
      </c>
      <c r="J155" s="199" t="str">
        <f>IFERROR(VLOOKUP($I155,'Institution Evaluation'!$A$55:$F$345,2,0),IFERROR(VLOOKUP($I155,'Privacy Analyst Evaluation'!$A$46:$F$120,2,0),""))</f>
        <v/>
      </c>
      <c r="K155" s="199" t="str">
        <f>IFERROR(VLOOKUP($I155,'Institution Evaluation'!$A$55:$F$345,3,0),IFERROR(VLOOKUP($I155,'Privacy Analyst Evaluation'!$A$46:$F$120,3,0),""))&amp;""</f>
        <v/>
      </c>
      <c r="L155" s="199" t="str">
        <f>IFERROR(VLOOKUP($I155,'Institution Evaluation'!$A$55:$F$345,4,0),IFERROR(VLOOKUP($I155,'Privacy Analyst Evaluation'!$A$46:$F$120,4,0),""))&amp;""</f>
        <v/>
      </c>
      <c r="M155" s="199" t="str">
        <f>IFERROR(VLOOKUP($I155,'Institution Evaluation'!$A$55:$F$345,6,0),IFERROR(VLOOKUP($I155,'Privacy Analyst Evaluation'!$A$46:$F$120,6,0),""))&amp;""</f>
        <v/>
      </c>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row>
    <row r="156" spans="1:338" ht="17" x14ac:dyDescent="0.2">
      <c r="A156" s="199" t="str">
        <f>IFERROR(IF($A155+1&gt;'(backend scoring)'!$T$335,"",$A155+1),"")</f>
        <v/>
      </c>
      <c r="B156" s="199" t="str">
        <f>_xlfn.XLOOKUP($A156,'(backend scoring)'!$V$2:$V$333,'(backend scoring)'!$A$2:$A$333,"")</f>
        <v/>
      </c>
      <c r="C156" s="199" t="str">
        <f>IFERROR(VLOOKUP($B156,'Institution Evaluation'!$A$55:$F$345,2,0),IFERROR(VLOOKUP($B156,'Privacy Analyst Evaluation'!$A$46:$F$120,2,0),""))&amp;""</f>
        <v/>
      </c>
      <c r="D156" s="199" t="str">
        <f>IFERROR(VLOOKUP($B156,'Institution Evaluation'!$A$55:$F$345,3,0),IFERROR(VLOOKUP($B156,'Privacy Analyst Evaluation'!$A$46:$F$120,3,0),""))&amp;""</f>
        <v/>
      </c>
      <c r="E156" s="199" t="str">
        <f>IFERROR(VLOOKUP($B156,'Institution Evaluation'!$A$55:$F$345,4,0),IFERROR(VLOOKUP($B156,'Privacy Analyst Evaluation'!$A$46:$F$120,4,0),""))&amp;""</f>
        <v/>
      </c>
      <c r="F156" s="199" t="str">
        <f>IFERROR(VLOOKUP($B156,'Institution Evaluation'!$A$55:$F$345,6,0),IFERROR(VLOOKUP($B156,'Privacy Analyst Evaluation'!$A$46:$F$120,6,0),""))&amp;""</f>
        <v/>
      </c>
      <c r="G156" s="200"/>
      <c r="H156" s="199" t="str">
        <f>IFERROR(IF($H155+1&gt;'(backend scoring)'!$Q$335,"",$H155+1),"")</f>
        <v/>
      </c>
      <c r="I156" s="199" t="str">
        <f>_xlfn.XLOOKUP($H156,'(backend scoring)'!$S$2:$S$333,'(backend scoring)'!$A$2:$A$333,"")</f>
        <v/>
      </c>
      <c r="J156" s="199" t="str">
        <f>IFERROR(VLOOKUP($I156,'Institution Evaluation'!$A$55:$F$345,2,0),IFERROR(VLOOKUP($I156,'Privacy Analyst Evaluation'!$A$46:$F$120,2,0),""))</f>
        <v/>
      </c>
      <c r="K156" s="199" t="str">
        <f>IFERROR(VLOOKUP($I156,'Institution Evaluation'!$A$55:$F$345,3,0),IFERROR(VLOOKUP($I156,'Privacy Analyst Evaluation'!$A$46:$F$120,3,0),""))&amp;""</f>
        <v/>
      </c>
      <c r="L156" s="199" t="str">
        <f>IFERROR(VLOOKUP($I156,'Institution Evaluation'!$A$55:$F$345,4,0),IFERROR(VLOOKUP($I156,'Privacy Analyst Evaluation'!$A$46:$F$120,4,0),""))&amp;""</f>
        <v/>
      </c>
      <c r="M156" s="199" t="str">
        <f>IFERROR(VLOOKUP($I156,'Institution Evaluation'!$A$55:$F$345,6,0),IFERROR(VLOOKUP($I156,'Privacy Analyst Evaluation'!$A$46:$F$120,6,0),""))&amp;""</f>
        <v/>
      </c>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row>
    <row r="157" spans="1:338" ht="17" x14ac:dyDescent="0.2">
      <c r="A157" s="199" t="str">
        <f>IFERROR(IF($A156+1&gt;'(backend scoring)'!$T$335,"",$A156+1),"")</f>
        <v/>
      </c>
      <c r="B157" s="199" t="str">
        <f>_xlfn.XLOOKUP($A157,'(backend scoring)'!$V$2:$V$333,'(backend scoring)'!$A$2:$A$333,"")</f>
        <v/>
      </c>
      <c r="C157" s="199" t="str">
        <f>IFERROR(VLOOKUP($B157,'Institution Evaluation'!$A$55:$F$345,2,0),IFERROR(VLOOKUP($B157,'Privacy Analyst Evaluation'!$A$46:$F$120,2,0),""))&amp;""</f>
        <v/>
      </c>
      <c r="D157" s="199" t="str">
        <f>IFERROR(VLOOKUP($B157,'Institution Evaluation'!$A$55:$F$345,3,0),IFERROR(VLOOKUP($B157,'Privacy Analyst Evaluation'!$A$46:$F$120,3,0),""))&amp;""</f>
        <v/>
      </c>
      <c r="E157" s="199" t="str">
        <f>IFERROR(VLOOKUP($B157,'Institution Evaluation'!$A$55:$F$345,4,0),IFERROR(VLOOKUP($B157,'Privacy Analyst Evaluation'!$A$46:$F$120,4,0),""))&amp;""</f>
        <v/>
      </c>
      <c r="F157" s="199" t="str">
        <f>IFERROR(VLOOKUP($B157,'Institution Evaluation'!$A$55:$F$345,6,0),IFERROR(VLOOKUP($B157,'Privacy Analyst Evaluation'!$A$46:$F$120,6,0),""))&amp;""</f>
        <v/>
      </c>
      <c r="G157" s="200"/>
      <c r="H157" s="199" t="str">
        <f>IFERROR(IF($H156+1&gt;'(backend scoring)'!$Q$335,"",$H156+1),"")</f>
        <v/>
      </c>
      <c r="I157" s="199" t="str">
        <f>_xlfn.XLOOKUP($H157,'(backend scoring)'!$S$2:$S$333,'(backend scoring)'!$A$2:$A$333,"")</f>
        <v/>
      </c>
      <c r="J157" s="199" t="str">
        <f>IFERROR(VLOOKUP($I157,'Institution Evaluation'!$A$55:$F$345,2,0),IFERROR(VLOOKUP($I157,'Privacy Analyst Evaluation'!$A$46:$F$120,2,0),""))</f>
        <v/>
      </c>
      <c r="K157" s="199" t="str">
        <f>IFERROR(VLOOKUP($I157,'Institution Evaluation'!$A$55:$F$345,3,0),IFERROR(VLOOKUP($I157,'Privacy Analyst Evaluation'!$A$46:$F$120,3,0),""))&amp;""</f>
        <v/>
      </c>
      <c r="L157" s="199" t="str">
        <f>IFERROR(VLOOKUP($I157,'Institution Evaluation'!$A$55:$F$345,4,0),IFERROR(VLOOKUP($I157,'Privacy Analyst Evaluation'!$A$46:$F$120,4,0),""))&amp;""</f>
        <v/>
      </c>
      <c r="M157" s="199" t="str">
        <f>IFERROR(VLOOKUP($I157,'Institution Evaluation'!$A$55:$F$345,6,0),IFERROR(VLOOKUP($I157,'Privacy Analyst Evaluation'!$A$46:$F$120,6,0),""))&amp;""</f>
        <v/>
      </c>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row>
    <row r="158" spans="1:338" ht="17" x14ac:dyDescent="0.2">
      <c r="A158" s="199" t="str">
        <f>IFERROR(IF($A157+1&gt;'(backend scoring)'!$T$335,"",$A157+1),"")</f>
        <v/>
      </c>
      <c r="B158" s="199" t="str">
        <f>_xlfn.XLOOKUP($A158,'(backend scoring)'!$V$2:$V$333,'(backend scoring)'!$A$2:$A$333,"")</f>
        <v/>
      </c>
      <c r="C158" s="199" t="str">
        <f>IFERROR(VLOOKUP($B158,'Institution Evaluation'!$A$55:$F$345,2,0),IFERROR(VLOOKUP($B158,'Privacy Analyst Evaluation'!$A$46:$F$120,2,0),""))&amp;""</f>
        <v/>
      </c>
      <c r="D158" s="199" t="str">
        <f>IFERROR(VLOOKUP($B158,'Institution Evaluation'!$A$55:$F$345,3,0),IFERROR(VLOOKUP($B158,'Privacy Analyst Evaluation'!$A$46:$F$120,3,0),""))&amp;""</f>
        <v/>
      </c>
      <c r="E158" s="199" t="str">
        <f>IFERROR(VLOOKUP($B158,'Institution Evaluation'!$A$55:$F$345,4,0),IFERROR(VLOOKUP($B158,'Privacy Analyst Evaluation'!$A$46:$F$120,4,0),""))&amp;""</f>
        <v/>
      </c>
      <c r="F158" s="199" t="str">
        <f>IFERROR(VLOOKUP($B158,'Institution Evaluation'!$A$55:$F$345,6,0),IFERROR(VLOOKUP($B158,'Privacy Analyst Evaluation'!$A$46:$F$120,6,0),""))&amp;""</f>
        <v/>
      </c>
      <c r="G158" s="200"/>
      <c r="H158" s="199" t="str">
        <f>IFERROR(IF($H157+1&gt;'(backend scoring)'!$Q$335,"",$H157+1),"")</f>
        <v/>
      </c>
      <c r="I158" s="199" t="str">
        <f>_xlfn.XLOOKUP($H158,'(backend scoring)'!$S$2:$S$333,'(backend scoring)'!$A$2:$A$333,"")</f>
        <v/>
      </c>
      <c r="J158" s="199" t="str">
        <f>IFERROR(VLOOKUP($I158,'Institution Evaluation'!$A$55:$F$345,2,0),IFERROR(VLOOKUP($I158,'Privacy Analyst Evaluation'!$A$46:$F$120,2,0),""))</f>
        <v/>
      </c>
      <c r="K158" s="199" t="str">
        <f>IFERROR(VLOOKUP($I158,'Institution Evaluation'!$A$55:$F$345,3,0),IFERROR(VLOOKUP($I158,'Privacy Analyst Evaluation'!$A$46:$F$120,3,0),""))&amp;""</f>
        <v/>
      </c>
      <c r="L158" s="199" t="str">
        <f>IFERROR(VLOOKUP($I158,'Institution Evaluation'!$A$55:$F$345,4,0),IFERROR(VLOOKUP($I158,'Privacy Analyst Evaluation'!$A$46:$F$120,4,0),""))&amp;""</f>
        <v/>
      </c>
      <c r="M158" s="199" t="str">
        <f>IFERROR(VLOOKUP($I158,'Institution Evaluation'!$A$55:$F$345,6,0),IFERROR(VLOOKUP($I158,'Privacy Analyst Evaluation'!$A$46:$F$120,6,0),""))&amp;""</f>
        <v/>
      </c>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row>
    <row r="159" spans="1:338" ht="17" x14ac:dyDescent="0.2">
      <c r="A159" s="199" t="str">
        <f>IFERROR(IF($A158+1&gt;'(backend scoring)'!$T$335,"",$A158+1),"")</f>
        <v/>
      </c>
      <c r="B159" s="199" t="str">
        <f>_xlfn.XLOOKUP($A159,'(backend scoring)'!$V$2:$V$333,'(backend scoring)'!$A$2:$A$333,"")</f>
        <v/>
      </c>
      <c r="C159" s="199" t="str">
        <f>IFERROR(VLOOKUP($B159,'Institution Evaluation'!$A$55:$F$345,2,0),IFERROR(VLOOKUP($B159,'Privacy Analyst Evaluation'!$A$46:$F$120,2,0),""))&amp;""</f>
        <v/>
      </c>
      <c r="D159" s="199" t="str">
        <f>IFERROR(VLOOKUP($B159,'Institution Evaluation'!$A$55:$F$345,3,0),IFERROR(VLOOKUP($B159,'Privacy Analyst Evaluation'!$A$46:$F$120,3,0),""))&amp;""</f>
        <v/>
      </c>
      <c r="E159" s="199" t="str">
        <f>IFERROR(VLOOKUP($B159,'Institution Evaluation'!$A$55:$F$345,4,0),IFERROR(VLOOKUP($B159,'Privacy Analyst Evaluation'!$A$46:$F$120,4,0),""))&amp;""</f>
        <v/>
      </c>
      <c r="F159" s="199" t="str">
        <f>IFERROR(VLOOKUP($B159,'Institution Evaluation'!$A$55:$F$345,6,0),IFERROR(VLOOKUP($B159,'Privacy Analyst Evaluation'!$A$46:$F$120,6,0),""))&amp;""</f>
        <v/>
      </c>
      <c r="G159" s="200"/>
      <c r="H159" s="199" t="str">
        <f>IFERROR(IF($H158+1&gt;'(backend scoring)'!$Q$335,"",$H158+1),"")</f>
        <v/>
      </c>
      <c r="I159" s="199" t="str">
        <f>_xlfn.XLOOKUP($H159,'(backend scoring)'!$S$2:$S$333,'(backend scoring)'!$A$2:$A$333,"")</f>
        <v/>
      </c>
      <c r="J159" s="199" t="str">
        <f>IFERROR(VLOOKUP($I159,'Institution Evaluation'!$A$55:$F$345,2,0),IFERROR(VLOOKUP($I159,'Privacy Analyst Evaluation'!$A$46:$F$120,2,0),""))</f>
        <v/>
      </c>
      <c r="K159" s="199" t="str">
        <f>IFERROR(VLOOKUP($I159,'Institution Evaluation'!$A$55:$F$345,3,0),IFERROR(VLOOKUP($I159,'Privacy Analyst Evaluation'!$A$46:$F$120,3,0),""))&amp;""</f>
        <v/>
      </c>
      <c r="L159" s="199" t="str">
        <f>IFERROR(VLOOKUP($I159,'Institution Evaluation'!$A$55:$F$345,4,0),IFERROR(VLOOKUP($I159,'Privacy Analyst Evaluation'!$A$46:$F$120,4,0),""))&amp;""</f>
        <v/>
      </c>
      <c r="M159" s="199" t="str">
        <f>IFERROR(VLOOKUP($I159,'Institution Evaluation'!$A$55:$F$345,6,0),IFERROR(VLOOKUP($I159,'Privacy Analyst Evaluation'!$A$46:$F$120,6,0),""))&amp;""</f>
        <v/>
      </c>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row>
    <row r="160" spans="1:338" ht="17" x14ac:dyDescent="0.2">
      <c r="A160" s="199" t="str">
        <f>IFERROR(IF($A159+1&gt;'(backend scoring)'!$T$335,"",$A159+1),"")</f>
        <v/>
      </c>
      <c r="B160" s="199" t="str">
        <f>_xlfn.XLOOKUP($A160,'(backend scoring)'!$V$2:$V$333,'(backend scoring)'!$A$2:$A$333,"")</f>
        <v/>
      </c>
      <c r="C160" s="199" t="str">
        <f>IFERROR(VLOOKUP($B160,'Institution Evaluation'!$A$55:$F$345,2,0),IFERROR(VLOOKUP($B160,'Privacy Analyst Evaluation'!$A$46:$F$120,2,0),""))&amp;""</f>
        <v/>
      </c>
      <c r="D160" s="199" t="str">
        <f>IFERROR(VLOOKUP($B160,'Institution Evaluation'!$A$55:$F$345,3,0),IFERROR(VLOOKUP($B160,'Privacy Analyst Evaluation'!$A$46:$F$120,3,0),""))&amp;""</f>
        <v/>
      </c>
      <c r="E160" s="199" t="str">
        <f>IFERROR(VLOOKUP($B160,'Institution Evaluation'!$A$55:$F$345,4,0),IFERROR(VLOOKUP($B160,'Privacy Analyst Evaluation'!$A$46:$F$120,4,0),""))&amp;""</f>
        <v/>
      </c>
      <c r="F160" s="199" t="str">
        <f>IFERROR(VLOOKUP($B160,'Institution Evaluation'!$A$55:$F$345,6,0),IFERROR(VLOOKUP($B160,'Privacy Analyst Evaluation'!$A$46:$F$120,6,0),""))&amp;""</f>
        <v/>
      </c>
      <c r="G160" s="200"/>
      <c r="H160" s="199" t="str">
        <f>IFERROR(IF($H159+1&gt;'(backend scoring)'!$Q$335,"",$H159+1),"")</f>
        <v/>
      </c>
      <c r="I160" s="199" t="str">
        <f>_xlfn.XLOOKUP($H160,'(backend scoring)'!$S$2:$S$333,'(backend scoring)'!$A$2:$A$333,"")</f>
        <v/>
      </c>
      <c r="J160" s="199" t="str">
        <f>IFERROR(VLOOKUP($I160,'Institution Evaluation'!$A$55:$F$345,2,0),IFERROR(VLOOKUP($I160,'Privacy Analyst Evaluation'!$A$46:$F$120,2,0),""))</f>
        <v/>
      </c>
      <c r="K160" s="199" t="str">
        <f>IFERROR(VLOOKUP($I160,'Institution Evaluation'!$A$55:$F$345,3,0),IFERROR(VLOOKUP($I160,'Privacy Analyst Evaluation'!$A$46:$F$120,3,0),""))&amp;""</f>
        <v/>
      </c>
      <c r="L160" s="199" t="str">
        <f>IFERROR(VLOOKUP($I160,'Institution Evaluation'!$A$55:$F$345,4,0),IFERROR(VLOOKUP($I160,'Privacy Analyst Evaluation'!$A$46:$F$120,4,0),""))&amp;""</f>
        <v/>
      </c>
      <c r="M160" s="199" t="str">
        <f>IFERROR(VLOOKUP($I160,'Institution Evaluation'!$A$55:$F$345,6,0),IFERROR(VLOOKUP($I160,'Privacy Analyst Evaluation'!$A$46:$F$120,6,0),""))&amp;""</f>
        <v/>
      </c>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row>
    <row r="161" spans="1:338" ht="17" x14ac:dyDescent="0.2">
      <c r="A161" s="199" t="str">
        <f>IFERROR(IF($A160+1&gt;'(backend scoring)'!$T$335,"",$A160+1),"")</f>
        <v/>
      </c>
      <c r="B161" s="199" t="str">
        <f>_xlfn.XLOOKUP($A161,'(backend scoring)'!$V$2:$V$333,'(backend scoring)'!$A$2:$A$333,"")</f>
        <v/>
      </c>
      <c r="C161" s="199" t="str">
        <f>IFERROR(VLOOKUP($B161,'Institution Evaluation'!$A$55:$F$345,2,0),IFERROR(VLOOKUP($B161,'Privacy Analyst Evaluation'!$A$46:$F$120,2,0),""))&amp;""</f>
        <v/>
      </c>
      <c r="D161" s="199" t="str">
        <f>IFERROR(VLOOKUP($B161,'Institution Evaluation'!$A$55:$F$345,3,0),IFERROR(VLOOKUP($B161,'Privacy Analyst Evaluation'!$A$46:$F$120,3,0),""))&amp;""</f>
        <v/>
      </c>
      <c r="E161" s="199" t="str">
        <f>IFERROR(VLOOKUP($B161,'Institution Evaluation'!$A$55:$F$345,4,0),IFERROR(VLOOKUP($B161,'Privacy Analyst Evaluation'!$A$46:$F$120,4,0),""))&amp;""</f>
        <v/>
      </c>
      <c r="F161" s="199" t="str">
        <f>IFERROR(VLOOKUP($B161,'Institution Evaluation'!$A$55:$F$345,6,0),IFERROR(VLOOKUP($B161,'Privacy Analyst Evaluation'!$A$46:$F$120,6,0),""))&amp;""</f>
        <v/>
      </c>
      <c r="G161" s="200"/>
      <c r="H161" s="199" t="str">
        <f>IFERROR(IF($H160+1&gt;'(backend scoring)'!$Q$335,"",$H160+1),"")</f>
        <v/>
      </c>
      <c r="I161" s="199" t="str">
        <f>_xlfn.XLOOKUP($H161,'(backend scoring)'!$S$2:$S$333,'(backend scoring)'!$A$2:$A$333,"")</f>
        <v/>
      </c>
      <c r="J161" s="199" t="str">
        <f>IFERROR(VLOOKUP($I161,'Institution Evaluation'!$A$55:$F$345,2,0),IFERROR(VLOOKUP($I161,'Privacy Analyst Evaluation'!$A$46:$F$120,2,0),""))</f>
        <v/>
      </c>
      <c r="K161" s="199" t="str">
        <f>IFERROR(VLOOKUP($I161,'Institution Evaluation'!$A$55:$F$345,3,0),IFERROR(VLOOKUP($I161,'Privacy Analyst Evaluation'!$A$46:$F$120,3,0),""))&amp;""</f>
        <v/>
      </c>
      <c r="L161" s="199" t="str">
        <f>IFERROR(VLOOKUP($I161,'Institution Evaluation'!$A$55:$F$345,4,0),IFERROR(VLOOKUP($I161,'Privacy Analyst Evaluation'!$A$46:$F$120,4,0),""))&amp;""</f>
        <v/>
      </c>
      <c r="M161" s="199" t="str">
        <f>IFERROR(VLOOKUP($I161,'Institution Evaluation'!$A$55:$F$345,6,0),IFERROR(VLOOKUP($I161,'Privacy Analyst Evaluation'!$A$46:$F$120,6,0),""))&amp;""</f>
        <v/>
      </c>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row>
    <row r="162" spans="1:338" ht="17" x14ac:dyDescent="0.2">
      <c r="A162" s="199" t="str">
        <f>IFERROR(IF($A161+1&gt;'(backend scoring)'!$T$335,"",$A161+1),"")</f>
        <v/>
      </c>
      <c r="B162" s="199" t="str">
        <f>_xlfn.XLOOKUP($A162,'(backend scoring)'!$V$2:$V$333,'(backend scoring)'!$A$2:$A$333,"")</f>
        <v/>
      </c>
      <c r="C162" s="199" t="str">
        <f>IFERROR(VLOOKUP($B162,'Institution Evaluation'!$A$55:$F$345,2,0),IFERROR(VLOOKUP($B162,'Privacy Analyst Evaluation'!$A$46:$F$120,2,0),""))&amp;""</f>
        <v/>
      </c>
      <c r="D162" s="199" t="str">
        <f>IFERROR(VLOOKUP($B162,'Institution Evaluation'!$A$55:$F$345,3,0),IFERROR(VLOOKUP($B162,'Privacy Analyst Evaluation'!$A$46:$F$120,3,0),""))&amp;""</f>
        <v/>
      </c>
      <c r="E162" s="199" t="str">
        <f>IFERROR(VLOOKUP($B162,'Institution Evaluation'!$A$55:$F$345,4,0),IFERROR(VLOOKUP($B162,'Privacy Analyst Evaluation'!$A$46:$F$120,4,0),""))&amp;""</f>
        <v/>
      </c>
      <c r="F162" s="199" t="str">
        <f>IFERROR(VLOOKUP($B162,'Institution Evaluation'!$A$55:$F$345,6,0),IFERROR(VLOOKUP($B162,'Privacy Analyst Evaluation'!$A$46:$F$120,6,0),""))&amp;""</f>
        <v/>
      </c>
      <c r="G162" s="200"/>
      <c r="H162" s="199" t="str">
        <f>IFERROR(IF($H161+1&gt;'(backend scoring)'!$Q$335,"",$H161+1),"")</f>
        <v/>
      </c>
      <c r="I162" s="199" t="str">
        <f>_xlfn.XLOOKUP($H162,'(backend scoring)'!$S$2:$S$333,'(backend scoring)'!$A$2:$A$333,"")</f>
        <v/>
      </c>
      <c r="J162" s="199" t="str">
        <f>IFERROR(VLOOKUP($I162,'Institution Evaluation'!$A$55:$F$345,2,0),IFERROR(VLOOKUP($I162,'Privacy Analyst Evaluation'!$A$46:$F$120,2,0),""))</f>
        <v/>
      </c>
      <c r="K162" s="199" t="str">
        <f>IFERROR(VLOOKUP($I162,'Institution Evaluation'!$A$55:$F$345,3,0),IFERROR(VLOOKUP($I162,'Privacy Analyst Evaluation'!$A$46:$F$120,3,0),""))&amp;""</f>
        <v/>
      </c>
      <c r="L162" s="199" t="str">
        <f>IFERROR(VLOOKUP($I162,'Institution Evaluation'!$A$55:$F$345,4,0),IFERROR(VLOOKUP($I162,'Privacy Analyst Evaluation'!$A$46:$F$120,4,0),""))&amp;""</f>
        <v/>
      </c>
      <c r="M162" s="199" t="str">
        <f>IFERROR(VLOOKUP($I162,'Institution Evaluation'!$A$55:$F$345,6,0),IFERROR(VLOOKUP($I162,'Privacy Analyst Evaluation'!$A$46:$F$120,6,0),""))&amp;""</f>
        <v/>
      </c>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row>
    <row r="163" spans="1:338" ht="17" x14ac:dyDescent="0.2">
      <c r="A163" s="199" t="str">
        <f>IFERROR(IF($A162+1&gt;'(backend scoring)'!$T$335,"",$A162+1),"")</f>
        <v/>
      </c>
      <c r="B163" s="199" t="str">
        <f>_xlfn.XLOOKUP($A163,'(backend scoring)'!$V$2:$V$333,'(backend scoring)'!$A$2:$A$333,"")</f>
        <v/>
      </c>
      <c r="C163" s="199" t="str">
        <f>IFERROR(VLOOKUP($B163,'Institution Evaluation'!$A$55:$F$345,2,0),IFERROR(VLOOKUP($B163,'Privacy Analyst Evaluation'!$A$46:$F$120,2,0),""))&amp;""</f>
        <v/>
      </c>
      <c r="D163" s="199" t="str">
        <f>IFERROR(VLOOKUP($B163,'Institution Evaluation'!$A$55:$F$345,3,0),IFERROR(VLOOKUP($B163,'Privacy Analyst Evaluation'!$A$46:$F$120,3,0),""))&amp;""</f>
        <v/>
      </c>
      <c r="E163" s="199" t="str">
        <f>IFERROR(VLOOKUP($B163,'Institution Evaluation'!$A$55:$F$345,4,0),IFERROR(VLOOKUP($B163,'Privacy Analyst Evaluation'!$A$46:$F$120,4,0),""))&amp;""</f>
        <v/>
      </c>
      <c r="F163" s="199" t="str">
        <f>IFERROR(VLOOKUP($B163,'Institution Evaluation'!$A$55:$F$345,6,0),IFERROR(VLOOKUP($B163,'Privacy Analyst Evaluation'!$A$46:$F$120,6,0),""))&amp;""</f>
        <v/>
      </c>
      <c r="G163" s="200"/>
      <c r="H163" s="199" t="str">
        <f>IFERROR(IF($H162+1&gt;'(backend scoring)'!$Q$335,"",$H162+1),"")</f>
        <v/>
      </c>
      <c r="I163" s="199" t="str">
        <f>_xlfn.XLOOKUP($H163,'(backend scoring)'!$S$2:$S$333,'(backend scoring)'!$A$2:$A$333,"")</f>
        <v/>
      </c>
      <c r="J163" s="199" t="str">
        <f>IFERROR(VLOOKUP($I163,'Institution Evaluation'!$A$55:$F$345,2,0),IFERROR(VLOOKUP($I163,'Privacy Analyst Evaluation'!$A$46:$F$120,2,0),""))</f>
        <v/>
      </c>
      <c r="K163" s="199" t="str">
        <f>IFERROR(VLOOKUP($I163,'Institution Evaluation'!$A$55:$F$345,3,0),IFERROR(VLOOKUP($I163,'Privacy Analyst Evaluation'!$A$46:$F$120,3,0),""))&amp;""</f>
        <v/>
      </c>
      <c r="L163" s="199" t="str">
        <f>IFERROR(VLOOKUP($I163,'Institution Evaluation'!$A$55:$F$345,4,0),IFERROR(VLOOKUP($I163,'Privacy Analyst Evaluation'!$A$46:$F$120,4,0),""))&amp;""</f>
        <v/>
      </c>
      <c r="M163" s="199" t="str">
        <f>IFERROR(VLOOKUP($I163,'Institution Evaluation'!$A$55:$F$345,6,0),IFERROR(VLOOKUP($I163,'Privacy Analyst Evaluation'!$A$46:$F$120,6,0),""))&amp;""</f>
        <v/>
      </c>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row>
    <row r="164" spans="1:338" ht="17" x14ac:dyDescent="0.2">
      <c r="A164" s="199" t="str">
        <f>IFERROR(IF($A163+1&gt;'(backend scoring)'!$T$335,"",$A163+1),"")</f>
        <v/>
      </c>
      <c r="B164" s="199" t="str">
        <f>_xlfn.XLOOKUP($A164,'(backend scoring)'!$V$2:$V$333,'(backend scoring)'!$A$2:$A$333,"")</f>
        <v/>
      </c>
      <c r="C164" s="199" t="str">
        <f>IFERROR(VLOOKUP($B164,'Institution Evaluation'!$A$55:$F$345,2,0),IFERROR(VLOOKUP($B164,'Privacy Analyst Evaluation'!$A$46:$F$120,2,0),""))&amp;""</f>
        <v/>
      </c>
      <c r="D164" s="199" t="str">
        <f>IFERROR(VLOOKUP($B164,'Institution Evaluation'!$A$55:$F$345,3,0),IFERROR(VLOOKUP($B164,'Privacy Analyst Evaluation'!$A$46:$F$120,3,0),""))&amp;""</f>
        <v/>
      </c>
      <c r="E164" s="199" t="str">
        <f>IFERROR(VLOOKUP($B164,'Institution Evaluation'!$A$55:$F$345,4,0),IFERROR(VLOOKUP($B164,'Privacy Analyst Evaluation'!$A$46:$F$120,4,0),""))&amp;""</f>
        <v/>
      </c>
      <c r="F164" s="199" t="str">
        <f>IFERROR(VLOOKUP($B164,'Institution Evaluation'!$A$55:$F$345,6,0),IFERROR(VLOOKUP($B164,'Privacy Analyst Evaluation'!$A$46:$F$120,6,0),""))&amp;""</f>
        <v/>
      </c>
      <c r="G164" s="200"/>
      <c r="H164" s="199" t="str">
        <f>IFERROR(IF($H163+1&gt;'(backend scoring)'!$Q$335,"",$H163+1),"")</f>
        <v/>
      </c>
      <c r="I164" s="199" t="str">
        <f>_xlfn.XLOOKUP($H164,'(backend scoring)'!$S$2:$S$333,'(backend scoring)'!$A$2:$A$333,"")</f>
        <v/>
      </c>
      <c r="J164" s="199" t="str">
        <f>IFERROR(VLOOKUP($I164,'Institution Evaluation'!$A$55:$F$345,2,0),IFERROR(VLOOKUP($I164,'Privacy Analyst Evaluation'!$A$46:$F$120,2,0),""))</f>
        <v/>
      </c>
      <c r="K164" s="199" t="str">
        <f>IFERROR(VLOOKUP($I164,'Institution Evaluation'!$A$55:$F$345,3,0),IFERROR(VLOOKUP($I164,'Privacy Analyst Evaluation'!$A$46:$F$120,3,0),""))&amp;""</f>
        <v/>
      </c>
      <c r="L164" s="199" t="str">
        <f>IFERROR(VLOOKUP($I164,'Institution Evaluation'!$A$55:$F$345,4,0),IFERROR(VLOOKUP($I164,'Privacy Analyst Evaluation'!$A$46:$F$120,4,0),""))&amp;""</f>
        <v/>
      </c>
      <c r="M164" s="199" t="str">
        <f>IFERROR(VLOOKUP($I164,'Institution Evaluation'!$A$55:$F$345,6,0),IFERROR(VLOOKUP($I164,'Privacy Analyst Evaluation'!$A$46:$F$120,6,0),""))&amp;""</f>
        <v/>
      </c>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row>
    <row r="165" spans="1:338" ht="17" x14ac:dyDescent="0.2">
      <c r="A165" s="199" t="str">
        <f>IFERROR(IF($A164+1&gt;'(backend scoring)'!$T$335,"",$A164+1),"")</f>
        <v/>
      </c>
      <c r="B165" s="199" t="str">
        <f>_xlfn.XLOOKUP($A165,'(backend scoring)'!$V$2:$V$333,'(backend scoring)'!$A$2:$A$333,"")</f>
        <v/>
      </c>
      <c r="C165" s="199" t="str">
        <f>IFERROR(VLOOKUP($B165,'Institution Evaluation'!$A$55:$F$345,2,0),IFERROR(VLOOKUP($B165,'Privacy Analyst Evaluation'!$A$46:$F$120,2,0),""))&amp;""</f>
        <v/>
      </c>
      <c r="D165" s="199" t="str">
        <f>IFERROR(VLOOKUP($B165,'Institution Evaluation'!$A$55:$F$345,3,0),IFERROR(VLOOKUP($B165,'Privacy Analyst Evaluation'!$A$46:$F$120,3,0),""))&amp;""</f>
        <v/>
      </c>
      <c r="E165" s="199" t="str">
        <f>IFERROR(VLOOKUP($B165,'Institution Evaluation'!$A$55:$F$345,4,0),IFERROR(VLOOKUP($B165,'Privacy Analyst Evaluation'!$A$46:$F$120,4,0),""))&amp;""</f>
        <v/>
      </c>
      <c r="F165" s="199" t="str">
        <f>IFERROR(VLOOKUP($B165,'Institution Evaluation'!$A$55:$F$345,6,0),IFERROR(VLOOKUP($B165,'Privacy Analyst Evaluation'!$A$46:$F$120,6,0),""))&amp;""</f>
        <v/>
      </c>
      <c r="G165" s="200"/>
      <c r="H165" s="199" t="str">
        <f>IFERROR(IF($H164+1&gt;'(backend scoring)'!$Q$335,"",$H164+1),"")</f>
        <v/>
      </c>
      <c r="I165" s="199" t="str">
        <f>_xlfn.XLOOKUP($H165,'(backend scoring)'!$S$2:$S$333,'(backend scoring)'!$A$2:$A$333,"")</f>
        <v/>
      </c>
      <c r="J165" s="199" t="str">
        <f>IFERROR(VLOOKUP($I165,'Institution Evaluation'!$A$55:$F$345,2,0),IFERROR(VLOOKUP($I165,'Privacy Analyst Evaluation'!$A$46:$F$120,2,0),""))</f>
        <v/>
      </c>
      <c r="K165" s="199" t="str">
        <f>IFERROR(VLOOKUP($I165,'Institution Evaluation'!$A$55:$F$345,3,0),IFERROR(VLOOKUP($I165,'Privacy Analyst Evaluation'!$A$46:$F$120,3,0),""))&amp;""</f>
        <v/>
      </c>
      <c r="L165" s="199" t="str">
        <f>IFERROR(VLOOKUP($I165,'Institution Evaluation'!$A$55:$F$345,4,0),IFERROR(VLOOKUP($I165,'Privacy Analyst Evaluation'!$A$46:$F$120,4,0),""))&amp;""</f>
        <v/>
      </c>
      <c r="M165" s="199" t="str">
        <f>IFERROR(VLOOKUP($I165,'Institution Evaluation'!$A$55:$F$345,6,0),IFERROR(VLOOKUP($I165,'Privacy Analyst Evaluation'!$A$46:$F$120,6,0),""))&amp;""</f>
        <v/>
      </c>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row>
    <row r="166" spans="1:338" ht="17" x14ac:dyDescent="0.2">
      <c r="A166" s="199" t="str">
        <f>IFERROR(IF($A165+1&gt;'(backend scoring)'!$T$335,"",$A165+1),"")</f>
        <v/>
      </c>
      <c r="B166" s="199" t="str">
        <f>_xlfn.XLOOKUP($A166,'(backend scoring)'!$V$2:$V$333,'(backend scoring)'!$A$2:$A$333,"")</f>
        <v/>
      </c>
      <c r="C166" s="199" t="str">
        <f>IFERROR(VLOOKUP($B166,'Institution Evaluation'!$A$55:$F$345,2,0),IFERROR(VLOOKUP($B166,'Privacy Analyst Evaluation'!$A$46:$F$120,2,0),""))&amp;""</f>
        <v/>
      </c>
      <c r="D166" s="199" t="str">
        <f>IFERROR(VLOOKUP($B166,'Institution Evaluation'!$A$55:$F$345,3,0),IFERROR(VLOOKUP($B166,'Privacy Analyst Evaluation'!$A$46:$F$120,3,0),""))&amp;""</f>
        <v/>
      </c>
      <c r="E166" s="199" t="str">
        <f>IFERROR(VLOOKUP($B166,'Institution Evaluation'!$A$55:$F$345,4,0),IFERROR(VLOOKUP($B166,'Privacy Analyst Evaluation'!$A$46:$F$120,4,0),""))&amp;""</f>
        <v/>
      </c>
      <c r="F166" s="199" t="str">
        <f>IFERROR(VLOOKUP($B166,'Institution Evaluation'!$A$55:$F$345,6,0),IFERROR(VLOOKUP($B166,'Privacy Analyst Evaluation'!$A$46:$F$120,6,0),""))&amp;""</f>
        <v/>
      </c>
      <c r="G166" s="200"/>
      <c r="H166" s="199" t="str">
        <f>IFERROR(IF($H165+1&gt;'(backend scoring)'!$Q$335,"",$H165+1),"")</f>
        <v/>
      </c>
      <c r="I166" s="199" t="str">
        <f>_xlfn.XLOOKUP($H166,'(backend scoring)'!$S$2:$S$333,'(backend scoring)'!$A$2:$A$333,"")</f>
        <v/>
      </c>
      <c r="J166" s="199" t="str">
        <f>IFERROR(VLOOKUP($I166,'Institution Evaluation'!$A$55:$F$345,2,0),IFERROR(VLOOKUP($I166,'Privacy Analyst Evaluation'!$A$46:$F$120,2,0),""))</f>
        <v/>
      </c>
      <c r="K166" s="199" t="str">
        <f>IFERROR(VLOOKUP($I166,'Institution Evaluation'!$A$55:$F$345,3,0),IFERROR(VLOOKUP($I166,'Privacy Analyst Evaluation'!$A$46:$F$120,3,0),""))&amp;""</f>
        <v/>
      </c>
      <c r="L166" s="199" t="str">
        <f>IFERROR(VLOOKUP($I166,'Institution Evaluation'!$A$55:$F$345,4,0),IFERROR(VLOOKUP($I166,'Privacy Analyst Evaluation'!$A$46:$F$120,4,0),""))&amp;""</f>
        <v/>
      </c>
      <c r="M166" s="199" t="str">
        <f>IFERROR(VLOOKUP($I166,'Institution Evaluation'!$A$55:$F$345,6,0),IFERROR(VLOOKUP($I166,'Privacy Analyst Evaluation'!$A$46:$F$120,6,0),""))&amp;""</f>
        <v/>
      </c>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row>
    <row r="167" spans="1:338" ht="17" x14ac:dyDescent="0.2">
      <c r="A167" s="199" t="str">
        <f>IFERROR(IF($A166+1&gt;'(backend scoring)'!$T$335,"",$A166+1),"")</f>
        <v/>
      </c>
      <c r="B167" s="199" t="str">
        <f>_xlfn.XLOOKUP($A167,'(backend scoring)'!$V$2:$V$333,'(backend scoring)'!$A$2:$A$333,"")</f>
        <v/>
      </c>
      <c r="C167" s="199" t="str">
        <f>IFERROR(VLOOKUP($B167,'Institution Evaluation'!$A$55:$F$345,2,0),IFERROR(VLOOKUP($B167,'Privacy Analyst Evaluation'!$A$46:$F$120,2,0),""))&amp;""</f>
        <v/>
      </c>
      <c r="D167" s="199" t="str">
        <f>IFERROR(VLOOKUP($B167,'Institution Evaluation'!$A$55:$F$345,3,0),IFERROR(VLOOKUP($B167,'Privacy Analyst Evaluation'!$A$46:$F$120,3,0),""))&amp;""</f>
        <v/>
      </c>
      <c r="E167" s="199" t="str">
        <f>IFERROR(VLOOKUP($B167,'Institution Evaluation'!$A$55:$F$345,4,0),IFERROR(VLOOKUP($B167,'Privacy Analyst Evaluation'!$A$46:$F$120,4,0),""))&amp;""</f>
        <v/>
      </c>
      <c r="F167" s="199" t="str">
        <f>IFERROR(VLOOKUP($B167,'Institution Evaluation'!$A$55:$F$345,6,0),IFERROR(VLOOKUP($B167,'Privacy Analyst Evaluation'!$A$46:$F$120,6,0),""))&amp;""</f>
        <v/>
      </c>
      <c r="G167" s="200"/>
      <c r="H167" s="199" t="str">
        <f>IFERROR(IF($H166+1&gt;'(backend scoring)'!$Q$335,"",$H166+1),"")</f>
        <v/>
      </c>
      <c r="I167" s="199" t="str">
        <f>_xlfn.XLOOKUP($H167,'(backend scoring)'!$S$2:$S$333,'(backend scoring)'!$A$2:$A$333,"")</f>
        <v/>
      </c>
      <c r="J167" s="199" t="str">
        <f>IFERROR(VLOOKUP($I167,'Institution Evaluation'!$A$55:$F$345,2,0),IFERROR(VLOOKUP($I167,'Privacy Analyst Evaluation'!$A$46:$F$120,2,0),""))</f>
        <v/>
      </c>
      <c r="K167" s="199" t="str">
        <f>IFERROR(VLOOKUP($I167,'Institution Evaluation'!$A$55:$F$345,3,0),IFERROR(VLOOKUP($I167,'Privacy Analyst Evaluation'!$A$46:$F$120,3,0),""))&amp;""</f>
        <v/>
      </c>
      <c r="L167" s="199" t="str">
        <f>IFERROR(VLOOKUP($I167,'Institution Evaluation'!$A$55:$F$345,4,0),IFERROR(VLOOKUP($I167,'Privacy Analyst Evaluation'!$A$46:$F$120,4,0),""))&amp;""</f>
        <v/>
      </c>
      <c r="M167" s="199" t="str">
        <f>IFERROR(VLOOKUP($I167,'Institution Evaluation'!$A$55:$F$345,6,0),IFERROR(VLOOKUP($I167,'Privacy Analyst Evaluation'!$A$46:$F$120,6,0),""))&amp;""</f>
        <v/>
      </c>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row>
    <row r="168" spans="1:338" ht="17" x14ac:dyDescent="0.2">
      <c r="A168" s="199" t="str">
        <f>IFERROR(IF($A167+1&gt;'(backend scoring)'!$T$335,"",$A167+1),"")</f>
        <v/>
      </c>
      <c r="B168" s="199" t="str">
        <f>_xlfn.XLOOKUP($A168,'(backend scoring)'!$V$2:$V$333,'(backend scoring)'!$A$2:$A$333,"")</f>
        <v/>
      </c>
      <c r="C168" s="199" t="str">
        <f>IFERROR(VLOOKUP($B168,'Institution Evaluation'!$A$55:$F$345,2,0),IFERROR(VLOOKUP($B168,'Privacy Analyst Evaluation'!$A$46:$F$120,2,0),""))&amp;""</f>
        <v/>
      </c>
      <c r="D168" s="199" t="str">
        <f>IFERROR(VLOOKUP($B168,'Institution Evaluation'!$A$55:$F$345,3,0),IFERROR(VLOOKUP($B168,'Privacy Analyst Evaluation'!$A$46:$F$120,3,0),""))&amp;""</f>
        <v/>
      </c>
      <c r="E168" s="199" t="str">
        <f>IFERROR(VLOOKUP($B168,'Institution Evaluation'!$A$55:$F$345,4,0),IFERROR(VLOOKUP($B168,'Privacy Analyst Evaluation'!$A$46:$F$120,4,0),""))&amp;""</f>
        <v/>
      </c>
      <c r="F168" s="199" t="str">
        <f>IFERROR(VLOOKUP($B168,'Institution Evaluation'!$A$55:$F$345,6,0),IFERROR(VLOOKUP($B168,'Privacy Analyst Evaluation'!$A$46:$F$120,6,0),""))&amp;""</f>
        <v/>
      </c>
      <c r="G168" s="200"/>
      <c r="H168" s="199" t="str">
        <f>IFERROR(IF($H167+1&gt;'(backend scoring)'!$Q$335,"",$H167+1),"")</f>
        <v/>
      </c>
      <c r="I168" s="199" t="str">
        <f>_xlfn.XLOOKUP($H168,'(backend scoring)'!$S$2:$S$333,'(backend scoring)'!$A$2:$A$333,"")</f>
        <v/>
      </c>
      <c r="J168" s="199" t="str">
        <f>IFERROR(VLOOKUP($I168,'Institution Evaluation'!$A$55:$F$345,2,0),IFERROR(VLOOKUP($I168,'Privacy Analyst Evaluation'!$A$46:$F$120,2,0),""))</f>
        <v/>
      </c>
      <c r="K168" s="199" t="str">
        <f>IFERROR(VLOOKUP($I168,'Institution Evaluation'!$A$55:$F$345,3,0),IFERROR(VLOOKUP($I168,'Privacy Analyst Evaluation'!$A$46:$F$120,3,0),""))&amp;""</f>
        <v/>
      </c>
      <c r="L168" s="199" t="str">
        <f>IFERROR(VLOOKUP($I168,'Institution Evaluation'!$A$55:$F$345,4,0),IFERROR(VLOOKUP($I168,'Privacy Analyst Evaluation'!$A$46:$F$120,4,0),""))&amp;""</f>
        <v/>
      </c>
      <c r="M168" s="199" t="str">
        <f>IFERROR(VLOOKUP($I168,'Institution Evaluation'!$A$55:$F$345,6,0),IFERROR(VLOOKUP($I168,'Privacy Analyst Evaluation'!$A$46:$F$120,6,0),""))&amp;""</f>
        <v/>
      </c>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row>
    <row r="169" spans="1:338" ht="17" x14ac:dyDescent="0.2">
      <c r="A169" s="199" t="str">
        <f>IFERROR(IF($A168+1&gt;'(backend scoring)'!$T$335,"",$A168+1),"")</f>
        <v/>
      </c>
      <c r="B169" s="199" t="str">
        <f>_xlfn.XLOOKUP($A169,'(backend scoring)'!$V$2:$V$333,'(backend scoring)'!$A$2:$A$333,"")</f>
        <v/>
      </c>
      <c r="C169" s="199" t="str">
        <f>IFERROR(VLOOKUP($B169,'Institution Evaluation'!$A$55:$F$345,2,0),IFERROR(VLOOKUP($B169,'Privacy Analyst Evaluation'!$A$46:$F$120,2,0),""))&amp;""</f>
        <v/>
      </c>
      <c r="D169" s="199" t="str">
        <f>IFERROR(VLOOKUP($B169,'Institution Evaluation'!$A$55:$F$345,3,0),IFERROR(VLOOKUP($B169,'Privacy Analyst Evaluation'!$A$46:$F$120,3,0),""))&amp;""</f>
        <v/>
      </c>
      <c r="E169" s="199" t="str">
        <f>IFERROR(VLOOKUP($B169,'Institution Evaluation'!$A$55:$F$345,4,0),IFERROR(VLOOKUP($B169,'Privacy Analyst Evaluation'!$A$46:$F$120,4,0),""))&amp;""</f>
        <v/>
      </c>
      <c r="F169" s="199" t="str">
        <f>IFERROR(VLOOKUP($B169,'Institution Evaluation'!$A$55:$F$345,6,0),IFERROR(VLOOKUP($B169,'Privacy Analyst Evaluation'!$A$46:$F$120,6,0),""))&amp;""</f>
        <v/>
      </c>
      <c r="G169" s="200"/>
      <c r="H169" s="199" t="str">
        <f>IFERROR(IF($H168+1&gt;'(backend scoring)'!$Q$335,"",$H168+1),"")</f>
        <v/>
      </c>
      <c r="I169" s="199" t="str">
        <f>_xlfn.XLOOKUP($H169,'(backend scoring)'!$S$2:$S$333,'(backend scoring)'!$A$2:$A$333,"")</f>
        <v/>
      </c>
      <c r="J169" s="199" t="str">
        <f>IFERROR(VLOOKUP($I169,'Institution Evaluation'!$A$55:$F$345,2,0),IFERROR(VLOOKUP($I169,'Privacy Analyst Evaluation'!$A$46:$F$120,2,0),""))</f>
        <v/>
      </c>
      <c r="K169" s="199" t="str">
        <f>IFERROR(VLOOKUP($I169,'Institution Evaluation'!$A$55:$F$345,3,0),IFERROR(VLOOKUP($I169,'Privacy Analyst Evaluation'!$A$46:$F$120,3,0),""))&amp;""</f>
        <v/>
      </c>
      <c r="L169" s="199" t="str">
        <f>IFERROR(VLOOKUP($I169,'Institution Evaluation'!$A$55:$F$345,4,0),IFERROR(VLOOKUP($I169,'Privacy Analyst Evaluation'!$A$46:$F$120,4,0),""))&amp;""</f>
        <v/>
      </c>
      <c r="M169" s="199" t="str">
        <f>IFERROR(VLOOKUP($I169,'Institution Evaluation'!$A$55:$F$345,6,0),IFERROR(VLOOKUP($I169,'Privacy Analyst Evaluation'!$A$46:$F$120,6,0),""))&amp;""</f>
        <v/>
      </c>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row>
    <row r="170" spans="1:338" ht="17" x14ac:dyDescent="0.2">
      <c r="A170" s="199" t="str">
        <f>IFERROR(IF($A169+1&gt;'(backend scoring)'!$T$335,"",$A169+1),"")</f>
        <v/>
      </c>
      <c r="B170" s="199" t="str">
        <f>_xlfn.XLOOKUP($A170,'(backend scoring)'!$V$2:$V$333,'(backend scoring)'!$A$2:$A$333,"")</f>
        <v/>
      </c>
      <c r="C170" s="199" t="str">
        <f>IFERROR(VLOOKUP($B170,'Institution Evaluation'!$A$55:$F$345,2,0),IFERROR(VLOOKUP($B170,'Privacy Analyst Evaluation'!$A$46:$F$120,2,0),""))&amp;""</f>
        <v/>
      </c>
      <c r="D170" s="199" t="str">
        <f>IFERROR(VLOOKUP($B170,'Institution Evaluation'!$A$55:$F$345,3,0),IFERROR(VLOOKUP($B170,'Privacy Analyst Evaluation'!$A$46:$F$120,3,0),""))&amp;""</f>
        <v/>
      </c>
      <c r="E170" s="199" t="str">
        <f>IFERROR(VLOOKUP($B170,'Institution Evaluation'!$A$55:$F$345,4,0),IFERROR(VLOOKUP($B170,'Privacy Analyst Evaluation'!$A$46:$F$120,4,0),""))&amp;""</f>
        <v/>
      </c>
      <c r="F170" s="199" t="str">
        <f>IFERROR(VLOOKUP($B170,'Institution Evaluation'!$A$55:$F$345,6,0),IFERROR(VLOOKUP($B170,'Privacy Analyst Evaluation'!$A$46:$F$120,6,0),""))&amp;""</f>
        <v/>
      </c>
      <c r="G170" s="200"/>
      <c r="H170" s="199" t="str">
        <f>IFERROR(IF($H169+1&gt;'(backend scoring)'!$Q$335,"",$H169+1),"")</f>
        <v/>
      </c>
      <c r="I170" s="199" t="str">
        <f>_xlfn.XLOOKUP($H170,'(backend scoring)'!$S$2:$S$333,'(backend scoring)'!$A$2:$A$333,"")</f>
        <v/>
      </c>
      <c r="J170" s="199" t="str">
        <f>IFERROR(VLOOKUP($I170,'Institution Evaluation'!$A$55:$F$345,2,0),IFERROR(VLOOKUP($I170,'Privacy Analyst Evaluation'!$A$46:$F$120,2,0),""))</f>
        <v/>
      </c>
      <c r="K170" s="199" t="str">
        <f>IFERROR(VLOOKUP($I170,'Institution Evaluation'!$A$55:$F$345,3,0),IFERROR(VLOOKUP($I170,'Privacy Analyst Evaluation'!$A$46:$F$120,3,0),""))&amp;""</f>
        <v/>
      </c>
      <c r="L170" s="199" t="str">
        <f>IFERROR(VLOOKUP($I170,'Institution Evaluation'!$A$55:$F$345,4,0),IFERROR(VLOOKUP($I170,'Privacy Analyst Evaluation'!$A$46:$F$120,4,0),""))&amp;""</f>
        <v/>
      </c>
      <c r="M170" s="199" t="str">
        <f>IFERROR(VLOOKUP($I170,'Institution Evaluation'!$A$55:$F$345,6,0),IFERROR(VLOOKUP($I170,'Privacy Analyst Evaluation'!$A$46:$F$120,6,0),""))&amp;""</f>
        <v/>
      </c>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row>
    <row r="171" spans="1:338" ht="17" x14ac:dyDescent="0.2">
      <c r="A171" s="199" t="str">
        <f>IFERROR(IF($A170+1&gt;'(backend scoring)'!$T$335,"",$A170+1),"")</f>
        <v/>
      </c>
      <c r="B171" s="199" t="str">
        <f>_xlfn.XLOOKUP($A171,'(backend scoring)'!$V$2:$V$333,'(backend scoring)'!$A$2:$A$333,"")</f>
        <v/>
      </c>
      <c r="C171" s="199" t="str">
        <f>IFERROR(VLOOKUP($B171,'Institution Evaluation'!$A$55:$F$345,2,0),IFERROR(VLOOKUP($B171,'Privacy Analyst Evaluation'!$A$46:$F$120,2,0),""))&amp;""</f>
        <v/>
      </c>
      <c r="D171" s="199" t="str">
        <f>IFERROR(VLOOKUP($B171,'Institution Evaluation'!$A$55:$F$345,3,0),IFERROR(VLOOKUP($B171,'Privacy Analyst Evaluation'!$A$46:$F$120,3,0),""))&amp;""</f>
        <v/>
      </c>
      <c r="E171" s="199" t="str">
        <f>IFERROR(VLOOKUP($B171,'Institution Evaluation'!$A$55:$F$345,4,0),IFERROR(VLOOKUP($B171,'Privacy Analyst Evaluation'!$A$46:$F$120,4,0),""))&amp;""</f>
        <v/>
      </c>
      <c r="F171" s="199" t="str">
        <f>IFERROR(VLOOKUP($B171,'Institution Evaluation'!$A$55:$F$345,6,0),IFERROR(VLOOKUP($B171,'Privacy Analyst Evaluation'!$A$46:$F$120,6,0),""))&amp;""</f>
        <v/>
      </c>
      <c r="G171" s="200"/>
      <c r="H171" s="199" t="str">
        <f>IFERROR(IF($H170+1&gt;'(backend scoring)'!$Q$335,"",$H170+1),"")</f>
        <v/>
      </c>
      <c r="I171" s="199" t="str">
        <f>_xlfn.XLOOKUP($H171,'(backend scoring)'!$S$2:$S$333,'(backend scoring)'!$A$2:$A$333,"")</f>
        <v/>
      </c>
      <c r="J171" s="199" t="str">
        <f>IFERROR(VLOOKUP($I171,'Institution Evaluation'!$A$55:$F$345,2,0),IFERROR(VLOOKUP($I171,'Privacy Analyst Evaluation'!$A$46:$F$120,2,0),""))</f>
        <v/>
      </c>
      <c r="K171" s="199" t="str">
        <f>IFERROR(VLOOKUP($I171,'Institution Evaluation'!$A$55:$F$345,3,0),IFERROR(VLOOKUP($I171,'Privacy Analyst Evaluation'!$A$46:$F$120,3,0),""))&amp;""</f>
        <v/>
      </c>
      <c r="L171" s="199" t="str">
        <f>IFERROR(VLOOKUP($I171,'Institution Evaluation'!$A$55:$F$345,4,0),IFERROR(VLOOKUP($I171,'Privacy Analyst Evaluation'!$A$46:$F$120,4,0),""))&amp;""</f>
        <v/>
      </c>
      <c r="M171" s="199" t="str">
        <f>IFERROR(VLOOKUP($I171,'Institution Evaluation'!$A$55:$F$345,6,0),IFERROR(VLOOKUP($I171,'Privacy Analyst Evaluation'!$A$46:$F$120,6,0),""))&amp;""</f>
        <v/>
      </c>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row>
    <row r="172" spans="1:338" ht="17" x14ac:dyDescent="0.2">
      <c r="A172" s="199" t="str">
        <f>IFERROR(IF($A171+1&gt;'(backend scoring)'!$T$335,"",$A171+1),"")</f>
        <v/>
      </c>
      <c r="B172" s="199" t="str">
        <f>_xlfn.XLOOKUP($A172,'(backend scoring)'!$V$2:$V$333,'(backend scoring)'!$A$2:$A$333,"")</f>
        <v/>
      </c>
      <c r="C172" s="199" t="str">
        <f>IFERROR(VLOOKUP($B172,'Institution Evaluation'!$A$55:$F$345,2,0),IFERROR(VLOOKUP($B172,'Privacy Analyst Evaluation'!$A$46:$F$120,2,0),""))&amp;""</f>
        <v/>
      </c>
      <c r="D172" s="199" t="str">
        <f>IFERROR(VLOOKUP($B172,'Institution Evaluation'!$A$55:$F$345,3,0),IFERROR(VLOOKUP($B172,'Privacy Analyst Evaluation'!$A$46:$F$120,3,0),""))&amp;""</f>
        <v/>
      </c>
      <c r="E172" s="199" t="str">
        <f>IFERROR(VLOOKUP($B172,'Institution Evaluation'!$A$55:$F$345,4,0),IFERROR(VLOOKUP($B172,'Privacy Analyst Evaluation'!$A$46:$F$120,4,0),""))&amp;""</f>
        <v/>
      </c>
      <c r="F172" s="199" t="str">
        <f>IFERROR(VLOOKUP($B172,'Institution Evaluation'!$A$55:$F$345,6,0),IFERROR(VLOOKUP($B172,'Privacy Analyst Evaluation'!$A$46:$F$120,6,0),""))&amp;""</f>
        <v/>
      </c>
      <c r="G172" s="200"/>
      <c r="H172" s="199" t="str">
        <f>IFERROR(IF($H171+1&gt;'(backend scoring)'!$Q$335,"",$H171+1),"")</f>
        <v/>
      </c>
      <c r="I172" s="199" t="str">
        <f>_xlfn.XLOOKUP($H172,'(backend scoring)'!$S$2:$S$333,'(backend scoring)'!$A$2:$A$333,"")</f>
        <v/>
      </c>
      <c r="J172" s="199" t="str">
        <f>IFERROR(VLOOKUP($I172,'Institution Evaluation'!$A$55:$F$345,2,0),IFERROR(VLOOKUP($I172,'Privacy Analyst Evaluation'!$A$46:$F$120,2,0),""))</f>
        <v/>
      </c>
      <c r="K172" s="199" t="str">
        <f>IFERROR(VLOOKUP($I172,'Institution Evaluation'!$A$55:$F$345,3,0),IFERROR(VLOOKUP($I172,'Privacy Analyst Evaluation'!$A$46:$F$120,3,0),""))&amp;""</f>
        <v/>
      </c>
      <c r="L172" s="199" t="str">
        <f>IFERROR(VLOOKUP($I172,'Institution Evaluation'!$A$55:$F$345,4,0),IFERROR(VLOOKUP($I172,'Privacy Analyst Evaluation'!$A$46:$F$120,4,0),""))&amp;""</f>
        <v/>
      </c>
      <c r="M172" s="199" t="str">
        <f>IFERROR(VLOOKUP($I172,'Institution Evaluation'!$A$55:$F$345,6,0),IFERROR(VLOOKUP($I172,'Privacy Analyst Evaluation'!$A$46:$F$120,6,0),""))&amp;""</f>
        <v/>
      </c>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row>
    <row r="173" spans="1:338" ht="17" x14ac:dyDescent="0.2">
      <c r="A173" s="199" t="str">
        <f>IFERROR(IF($A172+1&gt;'(backend scoring)'!$T$335,"",$A172+1),"")</f>
        <v/>
      </c>
      <c r="B173" s="199" t="str">
        <f>_xlfn.XLOOKUP($A173,'(backend scoring)'!$V$2:$V$333,'(backend scoring)'!$A$2:$A$333,"")</f>
        <v/>
      </c>
      <c r="C173" s="199" t="str">
        <f>IFERROR(VLOOKUP($B173,'Institution Evaluation'!$A$55:$F$345,2,0),IFERROR(VLOOKUP($B173,'Privacy Analyst Evaluation'!$A$46:$F$120,2,0),""))&amp;""</f>
        <v/>
      </c>
      <c r="D173" s="199" t="str">
        <f>IFERROR(VLOOKUP($B173,'Institution Evaluation'!$A$55:$F$345,3,0),IFERROR(VLOOKUP($B173,'Privacy Analyst Evaluation'!$A$46:$F$120,3,0),""))&amp;""</f>
        <v/>
      </c>
      <c r="E173" s="199" t="str">
        <f>IFERROR(VLOOKUP($B173,'Institution Evaluation'!$A$55:$F$345,4,0),IFERROR(VLOOKUP($B173,'Privacy Analyst Evaluation'!$A$46:$F$120,4,0),""))&amp;""</f>
        <v/>
      </c>
      <c r="F173" s="199" t="str">
        <f>IFERROR(VLOOKUP($B173,'Institution Evaluation'!$A$55:$F$345,6,0),IFERROR(VLOOKUP($B173,'Privacy Analyst Evaluation'!$A$46:$F$120,6,0),""))&amp;""</f>
        <v/>
      </c>
      <c r="G173" s="200"/>
      <c r="H173" s="199" t="str">
        <f>IFERROR(IF($H172+1&gt;'(backend scoring)'!$Q$335,"",$H172+1),"")</f>
        <v/>
      </c>
      <c r="I173" s="199" t="str">
        <f>_xlfn.XLOOKUP($H173,'(backend scoring)'!$S$2:$S$333,'(backend scoring)'!$A$2:$A$333,"")</f>
        <v/>
      </c>
      <c r="J173" s="199" t="str">
        <f>IFERROR(VLOOKUP($I173,'Institution Evaluation'!$A$55:$F$345,2,0),IFERROR(VLOOKUP($I173,'Privacy Analyst Evaluation'!$A$46:$F$120,2,0),""))</f>
        <v/>
      </c>
      <c r="K173" s="199" t="str">
        <f>IFERROR(VLOOKUP($I173,'Institution Evaluation'!$A$55:$F$345,3,0),IFERROR(VLOOKUP($I173,'Privacy Analyst Evaluation'!$A$46:$F$120,3,0),""))&amp;""</f>
        <v/>
      </c>
      <c r="L173" s="199" t="str">
        <f>IFERROR(VLOOKUP($I173,'Institution Evaluation'!$A$55:$F$345,4,0),IFERROR(VLOOKUP($I173,'Privacy Analyst Evaluation'!$A$46:$F$120,4,0),""))&amp;""</f>
        <v/>
      </c>
      <c r="M173" s="199" t="str">
        <f>IFERROR(VLOOKUP($I173,'Institution Evaluation'!$A$55:$F$345,6,0),IFERROR(VLOOKUP($I173,'Privacy Analyst Evaluation'!$A$46:$F$120,6,0),""))&amp;""</f>
        <v/>
      </c>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row>
    <row r="174" spans="1:338" ht="17" x14ac:dyDescent="0.2">
      <c r="A174" s="199" t="str">
        <f>IFERROR(IF($A173+1&gt;'(backend scoring)'!$T$335,"",$A173+1),"")</f>
        <v/>
      </c>
      <c r="B174" s="199" t="str">
        <f>_xlfn.XLOOKUP($A174,'(backend scoring)'!$V$2:$V$333,'(backend scoring)'!$A$2:$A$333,"")</f>
        <v/>
      </c>
      <c r="C174" s="199" t="str">
        <f>IFERROR(VLOOKUP($B174,'Institution Evaluation'!$A$55:$F$345,2,0),IFERROR(VLOOKUP($B174,'Privacy Analyst Evaluation'!$A$46:$F$120,2,0),""))&amp;""</f>
        <v/>
      </c>
      <c r="D174" s="199" t="str">
        <f>IFERROR(VLOOKUP($B174,'Institution Evaluation'!$A$55:$F$345,3,0),IFERROR(VLOOKUP($B174,'Privacy Analyst Evaluation'!$A$46:$F$120,3,0),""))&amp;""</f>
        <v/>
      </c>
      <c r="E174" s="199" t="str">
        <f>IFERROR(VLOOKUP($B174,'Institution Evaluation'!$A$55:$F$345,4,0),IFERROR(VLOOKUP($B174,'Privacy Analyst Evaluation'!$A$46:$F$120,4,0),""))&amp;""</f>
        <v/>
      </c>
      <c r="F174" s="199" t="str">
        <f>IFERROR(VLOOKUP($B174,'Institution Evaluation'!$A$55:$F$345,6,0),IFERROR(VLOOKUP($B174,'Privacy Analyst Evaluation'!$A$46:$F$120,6,0),""))&amp;""</f>
        <v/>
      </c>
      <c r="G174" s="200"/>
      <c r="H174" s="199" t="str">
        <f>IFERROR(IF($H173+1&gt;'(backend scoring)'!$Q$335,"",$H173+1),"")</f>
        <v/>
      </c>
      <c r="I174" s="199" t="str">
        <f>_xlfn.XLOOKUP($H174,'(backend scoring)'!$S$2:$S$333,'(backend scoring)'!$A$2:$A$333,"")</f>
        <v/>
      </c>
      <c r="J174" s="199" t="str">
        <f>IFERROR(VLOOKUP($I174,'Institution Evaluation'!$A$55:$F$345,2,0),IFERROR(VLOOKUP($I174,'Privacy Analyst Evaluation'!$A$46:$F$120,2,0),""))</f>
        <v/>
      </c>
      <c r="K174" s="199" t="str">
        <f>IFERROR(VLOOKUP($I174,'Institution Evaluation'!$A$55:$F$345,3,0),IFERROR(VLOOKUP($I174,'Privacy Analyst Evaluation'!$A$46:$F$120,3,0),""))&amp;""</f>
        <v/>
      </c>
      <c r="L174" s="199" t="str">
        <f>IFERROR(VLOOKUP($I174,'Institution Evaluation'!$A$55:$F$345,4,0),IFERROR(VLOOKUP($I174,'Privacy Analyst Evaluation'!$A$46:$F$120,4,0),""))&amp;""</f>
        <v/>
      </c>
      <c r="M174" s="199" t="str">
        <f>IFERROR(VLOOKUP($I174,'Institution Evaluation'!$A$55:$F$345,6,0),IFERROR(VLOOKUP($I174,'Privacy Analyst Evaluation'!$A$46:$F$120,6,0),""))&amp;""</f>
        <v/>
      </c>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row>
    <row r="175" spans="1:338" ht="17" x14ac:dyDescent="0.2">
      <c r="A175" s="199" t="str">
        <f>IFERROR(IF($A174+1&gt;'(backend scoring)'!$T$335,"",$A174+1),"")</f>
        <v/>
      </c>
      <c r="B175" s="199" t="str">
        <f>_xlfn.XLOOKUP($A175,'(backend scoring)'!$V$2:$V$333,'(backend scoring)'!$A$2:$A$333,"")</f>
        <v/>
      </c>
      <c r="C175" s="199" t="str">
        <f>IFERROR(VLOOKUP($B175,'Institution Evaluation'!$A$55:$F$345,2,0),IFERROR(VLOOKUP($B175,'Privacy Analyst Evaluation'!$A$46:$F$120,2,0),""))&amp;""</f>
        <v/>
      </c>
      <c r="D175" s="199" t="str">
        <f>IFERROR(VLOOKUP($B175,'Institution Evaluation'!$A$55:$F$345,3,0),IFERROR(VLOOKUP($B175,'Privacy Analyst Evaluation'!$A$46:$F$120,3,0),""))&amp;""</f>
        <v/>
      </c>
      <c r="E175" s="199" t="str">
        <f>IFERROR(VLOOKUP($B175,'Institution Evaluation'!$A$55:$F$345,4,0),IFERROR(VLOOKUP($B175,'Privacy Analyst Evaluation'!$A$46:$F$120,4,0),""))&amp;""</f>
        <v/>
      </c>
      <c r="F175" s="199" t="str">
        <f>IFERROR(VLOOKUP($B175,'Institution Evaluation'!$A$55:$F$345,6,0),IFERROR(VLOOKUP($B175,'Privacy Analyst Evaluation'!$A$46:$F$120,6,0),""))&amp;""</f>
        <v/>
      </c>
      <c r="G175" s="200"/>
      <c r="H175" s="199" t="str">
        <f>IFERROR(IF($H174+1&gt;'(backend scoring)'!$Q$335,"",$H174+1),"")</f>
        <v/>
      </c>
      <c r="I175" s="199" t="str">
        <f>_xlfn.XLOOKUP($H175,'(backend scoring)'!$S$2:$S$333,'(backend scoring)'!$A$2:$A$333,"")</f>
        <v/>
      </c>
      <c r="J175" s="199" t="str">
        <f>IFERROR(VLOOKUP($I175,'Institution Evaluation'!$A$55:$F$345,2,0),IFERROR(VLOOKUP($I175,'Privacy Analyst Evaluation'!$A$46:$F$120,2,0),""))</f>
        <v/>
      </c>
      <c r="K175" s="199" t="str">
        <f>IFERROR(VLOOKUP($I175,'Institution Evaluation'!$A$55:$F$345,3,0),IFERROR(VLOOKUP($I175,'Privacy Analyst Evaluation'!$A$46:$F$120,3,0),""))&amp;""</f>
        <v/>
      </c>
      <c r="L175" s="199" t="str">
        <f>IFERROR(VLOOKUP($I175,'Institution Evaluation'!$A$55:$F$345,4,0),IFERROR(VLOOKUP($I175,'Privacy Analyst Evaluation'!$A$46:$F$120,4,0),""))&amp;""</f>
        <v/>
      </c>
      <c r="M175" s="199" t="str">
        <f>IFERROR(VLOOKUP($I175,'Institution Evaluation'!$A$55:$F$345,6,0),IFERROR(VLOOKUP($I175,'Privacy Analyst Evaluation'!$A$46:$F$120,6,0),""))&amp;""</f>
        <v/>
      </c>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row>
    <row r="176" spans="1:338" ht="17" x14ac:dyDescent="0.2">
      <c r="A176" s="199" t="str">
        <f>IFERROR(IF($A175+1&gt;'(backend scoring)'!$T$335,"",$A175+1),"")</f>
        <v/>
      </c>
      <c r="B176" s="199" t="str">
        <f>_xlfn.XLOOKUP($A176,'(backend scoring)'!$V$2:$V$333,'(backend scoring)'!$A$2:$A$333,"")</f>
        <v/>
      </c>
      <c r="C176" s="199" t="str">
        <f>IFERROR(VLOOKUP($B176,'Institution Evaluation'!$A$55:$F$345,2,0),IFERROR(VLOOKUP($B176,'Privacy Analyst Evaluation'!$A$46:$F$120,2,0),""))&amp;""</f>
        <v/>
      </c>
      <c r="D176" s="199" t="str">
        <f>IFERROR(VLOOKUP($B176,'Institution Evaluation'!$A$55:$F$345,3,0),IFERROR(VLOOKUP($B176,'Privacy Analyst Evaluation'!$A$46:$F$120,3,0),""))&amp;""</f>
        <v/>
      </c>
      <c r="E176" s="199" t="str">
        <f>IFERROR(VLOOKUP($B176,'Institution Evaluation'!$A$55:$F$345,4,0),IFERROR(VLOOKUP($B176,'Privacy Analyst Evaluation'!$A$46:$F$120,4,0),""))&amp;""</f>
        <v/>
      </c>
      <c r="F176" s="199" t="str">
        <f>IFERROR(VLOOKUP($B176,'Institution Evaluation'!$A$55:$F$345,6,0),IFERROR(VLOOKUP($B176,'Privacy Analyst Evaluation'!$A$46:$F$120,6,0),""))&amp;""</f>
        <v/>
      </c>
      <c r="G176" s="200"/>
      <c r="H176" s="199" t="str">
        <f>IFERROR(IF($H175+1&gt;'(backend scoring)'!$Q$335,"",$H175+1),"")</f>
        <v/>
      </c>
      <c r="I176" s="199" t="str">
        <f>_xlfn.XLOOKUP($H176,'(backend scoring)'!$S$2:$S$333,'(backend scoring)'!$A$2:$A$333,"")</f>
        <v/>
      </c>
      <c r="J176" s="199" t="str">
        <f>IFERROR(VLOOKUP($I176,'Institution Evaluation'!$A$55:$F$345,2,0),IFERROR(VLOOKUP($I176,'Privacy Analyst Evaluation'!$A$46:$F$120,2,0),""))</f>
        <v/>
      </c>
      <c r="K176" s="199" t="str">
        <f>IFERROR(VLOOKUP($I176,'Institution Evaluation'!$A$55:$F$345,3,0),IFERROR(VLOOKUP($I176,'Privacy Analyst Evaluation'!$A$46:$F$120,3,0),""))&amp;""</f>
        <v/>
      </c>
      <c r="L176" s="199" t="str">
        <f>IFERROR(VLOOKUP($I176,'Institution Evaluation'!$A$55:$F$345,4,0),IFERROR(VLOOKUP($I176,'Privacy Analyst Evaluation'!$A$46:$F$120,4,0),""))&amp;""</f>
        <v/>
      </c>
      <c r="M176" s="199" t="str">
        <f>IFERROR(VLOOKUP($I176,'Institution Evaluation'!$A$55:$F$345,6,0),IFERROR(VLOOKUP($I176,'Privacy Analyst Evaluation'!$A$46:$F$120,6,0),""))&amp;""</f>
        <v/>
      </c>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row>
    <row r="177" spans="1:338" ht="17" x14ac:dyDescent="0.2">
      <c r="A177" s="199" t="str">
        <f>IFERROR(IF($A176+1&gt;'(backend scoring)'!$T$335,"",$A176+1),"")</f>
        <v/>
      </c>
      <c r="B177" s="199" t="str">
        <f>_xlfn.XLOOKUP($A177,'(backend scoring)'!$V$2:$V$333,'(backend scoring)'!$A$2:$A$333,"")</f>
        <v/>
      </c>
      <c r="C177" s="199" t="str">
        <f>IFERROR(VLOOKUP($B177,'Institution Evaluation'!$A$55:$F$345,2,0),IFERROR(VLOOKUP($B177,'Privacy Analyst Evaluation'!$A$46:$F$120,2,0),""))&amp;""</f>
        <v/>
      </c>
      <c r="D177" s="199" t="str">
        <f>IFERROR(VLOOKUP($B177,'Institution Evaluation'!$A$55:$F$345,3,0),IFERROR(VLOOKUP($B177,'Privacy Analyst Evaluation'!$A$46:$F$120,3,0),""))&amp;""</f>
        <v/>
      </c>
      <c r="E177" s="199" t="str">
        <f>IFERROR(VLOOKUP($B177,'Institution Evaluation'!$A$55:$F$345,4,0),IFERROR(VLOOKUP($B177,'Privacy Analyst Evaluation'!$A$46:$F$120,4,0),""))&amp;""</f>
        <v/>
      </c>
      <c r="F177" s="199" t="str">
        <f>IFERROR(VLOOKUP($B177,'Institution Evaluation'!$A$55:$F$345,6,0),IFERROR(VLOOKUP($B177,'Privacy Analyst Evaluation'!$A$46:$F$120,6,0),""))&amp;""</f>
        <v/>
      </c>
      <c r="G177" s="200"/>
      <c r="H177" s="199" t="str">
        <f>IFERROR(IF($H176+1&gt;'(backend scoring)'!$Q$335,"",$H176+1),"")</f>
        <v/>
      </c>
      <c r="I177" s="199" t="str">
        <f>_xlfn.XLOOKUP($H177,'(backend scoring)'!$S$2:$S$333,'(backend scoring)'!$A$2:$A$333,"")</f>
        <v/>
      </c>
      <c r="J177" s="199" t="str">
        <f>IFERROR(VLOOKUP($I177,'Institution Evaluation'!$A$55:$F$345,2,0),IFERROR(VLOOKUP($I177,'Privacy Analyst Evaluation'!$A$46:$F$120,2,0),""))</f>
        <v/>
      </c>
      <c r="K177" s="199" t="str">
        <f>IFERROR(VLOOKUP($I177,'Institution Evaluation'!$A$55:$F$345,3,0),IFERROR(VLOOKUP($I177,'Privacy Analyst Evaluation'!$A$46:$F$120,3,0),""))&amp;""</f>
        <v/>
      </c>
      <c r="L177" s="199" t="str">
        <f>IFERROR(VLOOKUP($I177,'Institution Evaluation'!$A$55:$F$345,4,0),IFERROR(VLOOKUP($I177,'Privacy Analyst Evaluation'!$A$46:$F$120,4,0),""))&amp;""</f>
        <v/>
      </c>
      <c r="M177" s="199" t="str">
        <f>IFERROR(VLOOKUP($I177,'Institution Evaluation'!$A$55:$F$345,6,0),IFERROR(VLOOKUP($I177,'Privacy Analyst Evaluation'!$A$46:$F$120,6,0),""))&amp;""</f>
        <v/>
      </c>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row>
    <row r="178" spans="1:338" ht="17" x14ac:dyDescent="0.2">
      <c r="A178" s="199" t="str">
        <f>IFERROR(IF($A177+1&gt;'(backend scoring)'!$T$335,"",$A177+1),"")</f>
        <v/>
      </c>
      <c r="B178" s="199" t="str">
        <f>_xlfn.XLOOKUP($A178,'(backend scoring)'!$V$2:$V$333,'(backend scoring)'!$A$2:$A$333,"")</f>
        <v/>
      </c>
      <c r="C178" s="199" t="str">
        <f>IFERROR(VLOOKUP($B178,'Institution Evaluation'!$A$55:$F$345,2,0),IFERROR(VLOOKUP($B178,'Privacy Analyst Evaluation'!$A$46:$F$120,2,0),""))&amp;""</f>
        <v/>
      </c>
      <c r="D178" s="199" t="str">
        <f>IFERROR(VLOOKUP($B178,'Institution Evaluation'!$A$55:$F$345,3,0),IFERROR(VLOOKUP($B178,'Privacy Analyst Evaluation'!$A$46:$F$120,3,0),""))&amp;""</f>
        <v/>
      </c>
      <c r="E178" s="199" t="str">
        <f>IFERROR(VLOOKUP($B178,'Institution Evaluation'!$A$55:$F$345,4,0),IFERROR(VLOOKUP($B178,'Privacy Analyst Evaluation'!$A$46:$F$120,4,0),""))&amp;""</f>
        <v/>
      </c>
      <c r="F178" s="199" t="str">
        <f>IFERROR(VLOOKUP($B178,'Institution Evaluation'!$A$55:$F$345,6,0),IFERROR(VLOOKUP($B178,'Privacy Analyst Evaluation'!$A$46:$F$120,6,0),""))&amp;""</f>
        <v/>
      </c>
      <c r="G178" s="200"/>
      <c r="H178" s="199" t="str">
        <f>IFERROR(IF($H177+1&gt;'(backend scoring)'!$Q$335,"",$H177+1),"")</f>
        <v/>
      </c>
      <c r="I178" s="199" t="str">
        <f>_xlfn.XLOOKUP($H178,'(backend scoring)'!$S$2:$S$333,'(backend scoring)'!$A$2:$A$333,"")</f>
        <v/>
      </c>
      <c r="J178" s="199" t="str">
        <f>IFERROR(VLOOKUP($I178,'Institution Evaluation'!$A$55:$F$345,2,0),IFERROR(VLOOKUP($I178,'Privacy Analyst Evaluation'!$A$46:$F$120,2,0),""))</f>
        <v/>
      </c>
      <c r="K178" s="199" t="str">
        <f>IFERROR(VLOOKUP($I178,'Institution Evaluation'!$A$55:$F$345,3,0),IFERROR(VLOOKUP($I178,'Privacy Analyst Evaluation'!$A$46:$F$120,3,0),""))&amp;""</f>
        <v/>
      </c>
      <c r="L178" s="199" t="str">
        <f>IFERROR(VLOOKUP($I178,'Institution Evaluation'!$A$55:$F$345,4,0),IFERROR(VLOOKUP($I178,'Privacy Analyst Evaluation'!$A$46:$F$120,4,0),""))&amp;""</f>
        <v/>
      </c>
      <c r="M178" s="199" t="str">
        <f>IFERROR(VLOOKUP($I178,'Institution Evaluation'!$A$55:$F$345,6,0),IFERROR(VLOOKUP($I178,'Privacy Analyst Evaluation'!$A$46:$F$120,6,0),""))&amp;""</f>
        <v/>
      </c>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row>
    <row r="179" spans="1:338" ht="17" x14ac:dyDescent="0.2">
      <c r="A179" s="199" t="str">
        <f>IFERROR(IF($A178+1&gt;'(backend scoring)'!$T$335,"",$A178+1),"")</f>
        <v/>
      </c>
      <c r="B179" s="199" t="str">
        <f>_xlfn.XLOOKUP($A179,'(backend scoring)'!$V$2:$V$333,'(backend scoring)'!$A$2:$A$333,"")</f>
        <v/>
      </c>
      <c r="C179" s="199" t="str">
        <f>IFERROR(VLOOKUP($B179,'Institution Evaluation'!$A$55:$F$345,2,0),IFERROR(VLOOKUP($B179,'Privacy Analyst Evaluation'!$A$46:$F$120,2,0),""))&amp;""</f>
        <v/>
      </c>
      <c r="D179" s="199" t="str">
        <f>IFERROR(VLOOKUP($B179,'Institution Evaluation'!$A$55:$F$345,3,0),IFERROR(VLOOKUP($B179,'Privacy Analyst Evaluation'!$A$46:$F$120,3,0),""))&amp;""</f>
        <v/>
      </c>
      <c r="E179" s="199" t="str">
        <f>IFERROR(VLOOKUP($B179,'Institution Evaluation'!$A$55:$F$345,4,0),IFERROR(VLOOKUP($B179,'Privacy Analyst Evaluation'!$A$46:$F$120,4,0),""))&amp;""</f>
        <v/>
      </c>
      <c r="F179" s="199" t="str">
        <f>IFERROR(VLOOKUP($B179,'Institution Evaluation'!$A$55:$F$345,6,0),IFERROR(VLOOKUP($B179,'Privacy Analyst Evaluation'!$A$46:$F$120,6,0),""))&amp;""</f>
        <v/>
      </c>
      <c r="G179" s="200"/>
      <c r="H179" s="199" t="str">
        <f>IFERROR(IF($H178+1&gt;'(backend scoring)'!$Q$335,"",$H178+1),"")</f>
        <v/>
      </c>
      <c r="I179" s="199" t="str">
        <f>_xlfn.XLOOKUP($H179,'(backend scoring)'!$S$2:$S$333,'(backend scoring)'!$A$2:$A$333,"")</f>
        <v/>
      </c>
      <c r="J179" s="199" t="str">
        <f>IFERROR(VLOOKUP($I179,'Institution Evaluation'!$A$55:$F$345,2,0),IFERROR(VLOOKUP($I179,'Privacy Analyst Evaluation'!$A$46:$F$120,2,0),""))</f>
        <v/>
      </c>
      <c r="K179" s="199" t="str">
        <f>IFERROR(VLOOKUP($I179,'Institution Evaluation'!$A$55:$F$345,3,0),IFERROR(VLOOKUP($I179,'Privacy Analyst Evaluation'!$A$46:$F$120,3,0),""))&amp;""</f>
        <v/>
      </c>
      <c r="L179" s="199" t="str">
        <f>IFERROR(VLOOKUP($I179,'Institution Evaluation'!$A$55:$F$345,4,0),IFERROR(VLOOKUP($I179,'Privacy Analyst Evaluation'!$A$46:$F$120,4,0),""))&amp;""</f>
        <v/>
      </c>
      <c r="M179" s="199" t="str">
        <f>IFERROR(VLOOKUP($I179,'Institution Evaluation'!$A$55:$F$345,6,0),IFERROR(VLOOKUP($I179,'Privacy Analyst Evaluation'!$A$46:$F$120,6,0),""))&amp;""</f>
        <v/>
      </c>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row>
    <row r="180" spans="1:338" ht="17" x14ac:dyDescent="0.2">
      <c r="A180" s="199" t="str">
        <f>IFERROR(IF($A179+1&gt;'(backend scoring)'!$T$335,"",$A179+1),"")</f>
        <v/>
      </c>
      <c r="B180" s="199" t="str">
        <f>_xlfn.XLOOKUP($A180,'(backend scoring)'!$V$2:$V$333,'(backend scoring)'!$A$2:$A$333,"")</f>
        <v/>
      </c>
      <c r="C180" s="199" t="str">
        <f>IFERROR(VLOOKUP($B180,'Institution Evaluation'!$A$55:$F$345,2,0),IFERROR(VLOOKUP($B180,'Privacy Analyst Evaluation'!$A$46:$F$120,2,0),""))&amp;""</f>
        <v/>
      </c>
      <c r="D180" s="199" t="str">
        <f>IFERROR(VLOOKUP($B180,'Institution Evaluation'!$A$55:$F$345,3,0),IFERROR(VLOOKUP($B180,'Privacy Analyst Evaluation'!$A$46:$F$120,3,0),""))&amp;""</f>
        <v/>
      </c>
      <c r="E180" s="199" t="str">
        <f>IFERROR(VLOOKUP($B180,'Institution Evaluation'!$A$55:$F$345,4,0),IFERROR(VLOOKUP($B180,'Privacy Analyst Evaluation'!$A$46:$F$120,4,0),""))&amp;""</f>
        <v/>
      </c>
      <c r="F180" s="199" t="str">
        <f>IFERROR(VLOOKUP($B180,'Institution Evaluation'!$A$55:$F$345,6,0),IFERROR(VLOOKUP($B180,'Privacy Analyst Evaluation'!$A$46:$F$120,6,0),""))&amp;""</f>
        <v/>
      </c>
      <c r="G180" s="200"/>
      <c r="H180" s="199" t="str">
        <f>IFERROR(IF($H179+1&gt;'(backend scoring)'!$Q$335,"",$H179+1),"")</f>
        <v/>
      </c>
      <c r="I180" s="199" t="str">
        <f>_xlfn.XLOOKUP($H180,'(backend scoring)'!$S$2:$S$333,'(backend scoring)'!$A$2:$A$333,"")</f>
        <v/>
      </c>
      <c r="J180" s="199" t="str">
        <f>IFERROR(VLOOKUP($I180,'Institution Evaluation'!$A$55:$F$345,2,0),IFERROR(VLOOKUP($I180,'Privacy Analyst Evaluation'!$A$46:$F$120,2,0),""))</f>
        <v/>
      </c>
      <c r="K180" s="199" t="str">
        <f>IFERROR(VLOOKUP($I180,'Institution Evaluation'!$A$55:$F$345,3,0),IFERROR(VLOOKUP($I180,'Privacy Analyst Evaluation'!$A$46:$F$120,3,0),""))&amp;""</f>
        <v/>
      </c>
      <c r="L180" s="199" t="str">
        <f>IFERROR(VLOOKUP($I180,'Institution Evaluation'!$A$55:$F$345,4,0),IFERROR(VLOOKUP($I180,'Privacy Analyst Evaluation'!$A$46:$F$120,4,0),""))&amp;""</f>
        <v/>
      </c>
      <c r="M180" s="199" t="str">
        <f>IFERROR(VLOOKUP($I180,'Institution Evaluation'!$A$55:$F$345,6,0),IFERROR(VLOOKUP($I180,'Privacy Analyst Evaluation'!$A$46:$F$120,6,0),""))&amp;""</f>
        <v/>
      </c>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row>
    <row r="181" spans="1:338" ht="17" x14ac:dyDescent="0.2">
      <c r="A181" s="199" t="str">
        <f>IFERROR(IF($A180+1&gt;'(backend scoring)'!$T$335,"",$A180+1),"")</f>
        <v/>
      </c>
      <c r="B181" s="199" t="str">
        <f>_xlfn.XLOOKUP($A181,'(backend scoring)'!$V$2:$V$333,'(backend scoring)'!$A$2:$A$333,"")</f>
        <v/>
      </c>
      <c r="C181" s="199" t="str">
        <f>IFERROR(VLOOKUP($B181,'Institution Evaluation'!$A$55:$F$345,2,0),IFERROR(VLOOKUP($B181,'Privacy Analyst Evaluation'!$A$46:$F$120,2,0),""))&amp;""</f>
        <v/>
      </c>
      <c r="D181" s="199" t="str">
        <f>IFERROR(VLOOKUP($B181,'Institution Evaluation'!$A$55:$F$345,3,0),IFERROR(VLOOKUP($B181,'Privacy Analyst Evaluation'!$A$46:$F$120,3,0),""))&amp;""</f>
        <v/>
      </c>
      <c r="E181" s="199" t="str">
        <f>IFERROR(VLOOKUP($B181,'Institution Evaluation'!$A$55:$F$345,4,0),IFERROR(VLOOKUP($B181,'Privacy Analyst Evaluation'!$A$46:$F$120,4,0),""))&amp;""</f>
        <v/>
      </c>
      <c r="F181" s="199" t="str">
        <f>IFERROR(VLOOKUP($B181,'Institution Evaluation'!$A$55:$F$345,6,0),IFERROR(VLOOKUP($B181,'Privacy Analyst Evaluation'!$A$46:$F$120,6,0),""))&amp;""</f>
        <v/>
      </c>
      <c r="G181" s="200"/>
      <c r="H181" s="199" t="str">
        <f>IFERROR(IF($H180+1&gt;'(backend scoring)'!$Q$335,"",$H180+1),"")</f>
        <v/>
      </c>
      <c r="I181" s="199" t="str">
        <f>_xlfn.XLOOKUP($H181,'(backend scoring)'!$S$2:$S$333,'(backend scoring)'!$A$2:$A$333,"")</f>
        <v/>
      </c>
      <c r="J181" s="199" t="str">
        <f>IFERROR(VLOOKUP($I181,'Institution Evaluation'!$A$55:$F$345,2,0),IFERROR(VLOOKUP($I181,'Privacy Analyst Evaluation'!$A$46:$F$120,2,0),""))</f>
        <v/>
      </c>
      <c r="K181" s="199" t="str">
        <f>IFERROR(VLOOKUP($I181,'Institution Evaluation'!$A$55:$F$345,3,0),IFERROR(VLOOKUP($I181,'Privacy Analyst Evaluation'!$A$46:$F$120,3,0),""))&amp;""</f>
        <v/>
      </c>
      <c r="L181" s="199" t="str">
        <f>IFERROR(VLOOKUP($I181,'Institution Evaluation'!$A$55:$F$345,4,0),IFERROR(VLOOKUP($I181,'Privacy Analyst Evaluation'!$A$46:$F$120,4,0),""))&amp;""</f>
        <v/>
      </c>
      <c r="M181" s="199" t="str">
        <f>IFERROR(VLOOKUP($I181,'Institution Evaluation'!$A$55:$F$345,6,0),IFERROR(VLOOKUP($I181,'Privacy Analyst Evaluation'!$A$46:$F$120,6,0),""))&amp;""</f>
        <v/>
      </c>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row>
    <row r="182" spans="1:338" ht="17" x14ac:dyDescent="0.2">
      <c r="A182" s="199" t="str">
        <f>IFERROR(IF($A181+1&gt;'(backend scoring)'!$T$335,"",$A181+1),"")</f>
        <v/>
      </c>
      <c r="B182" s="199" t="str">
        <f>_xlfn.XLOOKUP($A182,'(backend scoring)'!$V$2:$V$333,'(backend scoring)'!$A$2:$A$333,"")</f>
        <v/>
      </c>
      <c r="C182" s="199" t="str">
        <f>IFERROR(VLOOKUP($B182,'Institution Evaluation'!$A$55:$F$345,2,0),IFERROR(VLOOKUP($B182,'Privacy Analyst Evaluation'!$A$46:$F$120,2,0),""))&amp;""</f>
        <v/>
      </c>
      <c r="D182" s="199" t="str">
        <f>IFERROR(VLOOKUP($B182,'Institution Evaluation'!$A$55:$F$345,3,0),IFERROR(VLOOKUP($B182,'Privacy Analyst Evaluation'!$A$46:$F$120,3,0),""))&amp;""</f>
        <v/>
      </c>
      <c r="E182" s="199" t="str">
        <f>IFERROR(VLOOKUP($B182,'Institution Evaluation'!$A$55:$F$345,4,0),IFERROR(VLOOKUP($B182,'Privacy Analyst Evaluation'!$A$46:$F$120,4,0),""))&amp;""</f>
        <v/>
      </c>
      <c r="F182" s="199" t="str">
        <f>IFERROR(VLOOKUP($B182,'Institution Evaluation'!$A$55:$F$345,6,0),IFERROR(VLOOKUP($B182,'Privacy Analyst Evaluation'!$A$46:$F$120,6,0),""))&amp;""</f>
        <v/>
      </c>
      <c r="G182" s="200"/>
      <c r="H182" s="199" t="str">
        <f>IFERROR(IF($H181+1&gt;'(backend scoring)'!$Q$335,"",$H181+1),"")</f>
        <v/>
      </c>
      <c r="I182" s="199" t="str">
        <f>_xlfn.XLOOKUP($H182,'(backend scoring)'!$S$2:$S$333,'(backend scoring)'!$A$2:$A$333,"")</f>
        <v/>
      </c>
      <c r="J182" s="199" t="str">
        <f>IFERROR(VLOOKUP($I182,'Institution Evaluation'!$A$55:$F$345,2,0),IFERROR(VLOOKUP($I182,'Privacy Analyst Evaluation'!$A$46:$F$120,2,0),""))</f>
        <v/>
      </c>
      <c r="K182" s="199" t="str">
        <f>IFERROR(VLOOKUP($I182,'Institution Evaluation'!$A$55:$F$345,3,0),IFERROR(VLOOKUP($I182,'Privacy Analyst Evaluation'!$A$46:$F$120,3,0),""))&amp;""</f>
        <v/>
      </c>
      <c r="L182" s="199" t="str">
        <f>IFERROR(VLOOKUP($I182,'Institution Evaluation'!$A$55:$F$345,4,0),IFERROR(VLOOKUP($I182,'Privacy Analyst Evaluation'!$A$46:$F$120,4,0),""))&amp;""</f>
        <v/>
      </c>
      <c r="M182" s="199" t="str">
        <f>IFERROR(VLOOKUP($I182,'Institution Evaluation'!$A$55:$F$345,6,0),IFERROR(VLOOKUP($I182,'Privacy Analyst Evaluation'!$A$46:$F$120,6,0),""))&amp;""</f>
        <v/>
      </c>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row>
    <row r="183" spans="1:338" ht="17" x14ac:dyDescent="0.2">
      <c r="A183" s="199" t="str">
        <f>IFERROR(IF($A182+1&gt;'(backend scoring)'!$T$335,"",$A182+1),"")</f>
        <v/>
      </c>
      <c r="B183" s="199" t="str">
        <f>_xlfn.XLOOKUP($A183,'(backend scoring)'!$V$2:$V$333,'(backend scoring)'!$A$2:$A$333,"")</f>
        <v/>
      </c>
      <c r="C183" s="199" t="str">
        <f>IFERROR(VLOOKUP($B183,'Institution Evaluation'!$A$55:$F$345,2,0),IFERROR(VLOOKUP($B183,'Privacy Analyst Evaluation'!$A$46:$F$120,2,0),""))&amp;""</f>
        <v/>
      </c>
      <c r="D183" s="199" t="str">
        <f>IFERROR(VLOOKUP($B183,'Institution Evaluation'!$A$55:$F$345,3,0),IFERROR(VLOOKUP($B183,'Privacy Analyst Evaluation'!$A$46:$F$120,3,0),""))&amp;""</f>
        <v/>
      </c>
      <c r="E183" s="199" t="str">
        <f>IFERROR(VLOOKUP($B183,'Institution Evaluation'!$A$55:$F$345,4,0),IFERROR(VLOOKUP($B183,'Privacy Analyst Evaluation'!$A$46:$F$120,4,0),""))&amp;""</f>
        <v/>
      </c>
      <c r="F183" s="199" t="str">
        <f>IFERROR(VLOOKUP($B183,'Institution Evaluation'!$A$55:$F$345,6,0),IFERROR(VLOOKUP($B183,'Privacy Analyst Evaluation'!$A$46:$F$120,6,0),""))&amp;""</f>
        <v/>
      </c>
      <c r="G183" s="200"/>
      <c r="H183" s="199" t="str">
        <f>IFERROR(IF($H182+1&gt;'(backend scoring)'!$Q$335,"",$H182+1),"")</f>
        <v/>
      </c>
      <c r="I183" s="199" t="str">
        <f>_xlfn.XLOOKUP($H183,'(backend scoring)'!$S$2:$S$333,'(backend scoring)'!$A$2:$A$333,"")</f>
        <v/>
      </c>
      <c r="J183" s="199" t="str">
        <f>IFERROR(VLOOKUP($I183,'Institution Evaluation'!$A$55:$F$345,2,0),IFERROR(VLOOKUP($I183,'Privacy Analyst Evaluation'!$A$46:$F$120,2,0),""))</f>
        <v/>
      </c>
      <c r="K183" s="199" t="str">
        <f>IFERROR(VLOOKUP($I183,'Institution Evaluation'!$A$55:$F$345,3,0),IFERROR(VLOOKUP($I183,'Privacy Analyst Evaluation'!$A$46:$F$120,3,0),""))&amp;""</f>
        <v/>
      </c>
      <c r="L183" s="199" t="str">
        <f>IFERROR(VLOOKUP($I183,'Institution Evaluation'!$A$55:$F$345,4,0),IFERROR(VLOOKUP($I183,'Privacy Analyst Evaluation'!$A$46:$F$120,4,0),""))&amp;""</f>
        <v/>
      </c>
      <c r="M183" s="199" t="str">
        <f>IFERROR(VLOOKUP($I183,'Institution Evaluation'!$A$55:$F$345,6,0),IFERROR(VLOOKUP($I183,'Privacy Analyst Evaluation'!$A$46:$F$120,6,0),""))&amp;""</f>
        <v/>
      </c>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row>
    <row r="184" spans="1:338" ht="17" x14ac:dyDescent="0.2">
      <c r="A184" s="199" t="str">
        <f>IFERROR(IF($A183+1&gt;'(backend scoring)'!$T$335,"",$A183+1),"")</f>
        <v/>
      </c>
      <c r="B184" s="199" t="str">
        <f>_xlfn.XLOOKUP($A184,'(backend scoring)'!$V$2:$V$333,'(backend scoring)'!$A$2:$A$333,"")</f>
        <v/>
      </c>
      <c r="C184" s="199" t="str">
        <f>IFERROR(VLOOKUP($B184,'Institution Evaluation'!$A$55:$F$345,2,0),IFERROR(VLOOKUP($B184,'Privacy Analyst Evaluation'!$A$46:$F$120,2,0),""))&amp;""</f>
        <v/>
      </c>
      <c r="D184" s="199" t="str">
        <f>IFERROR(VLOOKUP($B184,'Institution Evaluation'!$A$55:$F$345,3,0),IFERROR(VLOOKUP($B184,'Privacy Analyst Evaluation'!$A$46:$F$120,3,0),""))&amp;""</f>
        <v/>
      </c>
      <c r="E184" s="199" t="str">
        <f>IFERROR(VLOOKUP($B184,'Institution Evaluation'!$A$55:$F$345,4,0),IFERROR(VLOOKUP($B184,'Privacy Analyst Evaluation'!$A$46:$F$120,4,0),""))&amp;""</f>
        <v/>
      </c>
      <c r="F184" s="199" t="str">
        <f>IFERROR(VLOOKUP($B184,'Institution Evaluation'!$A$55:$F$345,6,0),IFERROR(VLOOKUP($B184,'Privacy Analyst Evaluation'!$A$46:$F$120,6,0),""))&amp;""</f>
        <v/>
      </c>
      <c r="G184" s="200"/>
      <c r="H184" s="199" t="str">
        <f>IFERROR(IF($H183+1&gt;'(backend scoring)'!$Q$335,"",$H183+1),"")</f>
        <v/>
      </c>
      <c r="I184" s="199" t="str">
        <f>_xlfn.XLOOKUP($H184,'(backend scoring)'!$S$2:$S$333,'(backend scoring)'!$A$2:$A$333,"")</f>
        <v/>
      </c>
      <c r="J184" s="199" t="str">
        <f>IFERROR(VLOOKUP($I184,'Institution Evaluation'!$A$55:$F$345,2,0),IFERROR(VLOOKUP($I184,'Privacy Analyst Evaluation'!$A$46:$F$120,2,0),""))</f>
        <v/>
      </c>
      <c r="K184" s="199" t="str">
        <f>IFERROR(VLOOKUP($I184,'Institution Evaluation'!$A$55:$F$345,3,0),IFERROR(VLOOKUP($I184,'Privacy Analyst Evaluation'!$A$46:$F$120,3,0),""))&amp;""</f>
        <v/>
      </c>
      <c r="L184" s="199" t="str">
        <f>IFERROR(VLOOKUP($I184,'Institution Evaluation'!$A$55:$F$345,4,0),IFERROR(VLOOKUP($I184,'Privacy Analyst Evaluation'!$A$46:$F$120,4,0),""))&amp;""</f>
        <v/>
      </c>
      <c r="M184" s="199" t="str">
        <f>IFERROR(VLOOKUP($I184,'Institution Evaluation'!$A$55:$F$345,6,0),IFERROR(VLOOKUP($I184,'Privacy Analyst Evaluation'!$A$46:$F$120,6,0),""))&amp;""</f>
        <v/>
      </c>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row>
    <row r="185" spans="1:338" ht="17" x14ac:dyDescent="0.2">
      <c r="A185" s="199" t="str">
        <f>IFERROR(IF($A184+1&gt;'(backend scoring)'!$T$335,"",$A184+1),"")</f>
        <v/>
      </c>
      <c r="B185" s="199" t="str">
        <f>_xlfn.XLOOKUP($A185,'(backend scoring)'!$V$2:$V$333,'(backend scoring)'!$A$2:$A$333,"")</f>
        <v/>
      </c>
      <c r="C185" s="199" t="str">
        <f>IFERROR(VLOOKUP($B185,'Institution Evaluation'!$A$55:$F$345,2,0),IFERROR(VLOOKUP($B185,'Privacy Analyst Evaluation'!$A$46:$F$120,2,0),""))&amp;""</f>
        <v/>
      </c>
      <c r="D185" s="199" t="str">
        <f>IFERROR(VLOOKUP($B185,'Institution Evaluation'!$A$55:$F$345,3,0),IFERROR(VLOOKUP($B185,'Privacy Analyst Evaluation'!$A$46:$F$120,3,0),""))&amp;""</f>
        <v/>
      </c>
      <c r="E185" s="199" t="str">
        <f>IFERROR(VLOOKUP($B185,'Institution Evaluation'!$A$55:$F$345,4,0),IFERROR(VLOOKUP($B185,'Privacy Analyst Evaluation'!$A$46:$F$120,4,0),""))&amp;""</f>
        <v/>
      </c>
      <c r="F185" s="199" t="str">
        <f>IFERROR(VLOOKUP($B185,'Institution Evaluation'!$A$55:$F$345,6,0),IFERROR(VLOOKUP($B185,'Privacy Analyst Evaluation'!$A$46:$F$120,6,0),""))&amp;""</f>
        <v/>
      </c>
      <c r="G185" s="200"/>
      <c r="H185" s="199" t="str">
        <f>IFERROR(IF($H184+1&gt;'(backend scoring)'!$Q$335,"",$H184+1),"")</f>
        <v/>
      </c>
      <c r="I185" s="199" t="str">
        <f>_xlfn.XLOOKUP($H185,'(backend scoring)'!$S$2:$S$333,'(backend scoring)'!$A$2:$A$333,"")</f>
        <v/>
      </c>
      <c r="J185" s="199" t="str">
        <f>IFERROR(VLOOKUP($I185,'Institution Evaluation'!$A$55:$F$345,2,0),IFERROR(VLOOKUP($I185,'Privacy Analyst Evaluation'!$A$46:$F$120,2,0),""))</f>
        <v/>
      </c>
      <c r="K185" s="199" t="str">
        <f>IFERROR(VLOOKUP($I185,'Institution Evaluation'!$A$55:$F$345,3,0),IFERROR(VLOOKUP($I185,'Privacy Analyst Evaluation'!$A$46:$F$120,3,0),""))&amp;""</f>
        <v/>
      </c>
      <c r="L185" s="199" t="str">
        <f>IFERROR(VLOOKUP($I185,'Institution Evaluation'!$A$55:$F$345,4,0),IFERROR(VLOOKUP($I185,'Privacy Analyst Evaluation'!$A$46:$F$120,4,0),""))&amp;""</f>
        <v/>
      </c>
      <c r="M185" s="199" t="str">
        <f>IFERROR(VLOOKUP($I185,'Institution Evaluation'!$A$55:$F$345,6,0),IFERROR(VLOOKUP($I185,'Privacy Analyst Evaluation'!$A$46:$F$120,6,0),""))&amp;""</f>
        <v/>
      </c>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row>
    <row r="186" spans="1:338" ht="17" x14ac:dyDescent="0.2">
      <c r="A186" s="199" t="str">
        <f>IFERROR(IF($A185+1&gt;'(backend scoring)'!$T$335,"",$A185+1),"")</f>
        <v/>
      </c>
      <c r="B186" s="199" t="str">
        <f>_xlfn.XLOOKUP($A186,'(backend scoring)'!$V$2:$V$333,'(backend scoring)'!$A$2:$A$333,"")</f>
        <v/>
      </c>
      <c r="C186" s="199" t="str">
        <f>IFERROR(VLOOKUP($B186,'Institution Evaluation'!$A$55:$F$345,2,0),IFERROR(VLOOKUP($B186,'Privacy Analyst Evaluation'!$A$46:$F$120,2,0),""))&amp;""</f>
        <v/>
      </c>
      <c r="D186" s="199" t="str">
        <f>IFERROR(VLOOKUP($B186,'Institution Evaluation'!$A$55:$F$345,3,0),IFERROR(VLOOKUP($B186,'Privacy Analyst Evaluation'!$A$46:$F$120,3,0),""))&amp;""</f>
        <v/>
      </c>
      <c r="E186" s="199" t="str">
        <f>IFERROR(VLOOKUP($B186,'Institution Evaluation'!$A$55:$F$345,4,0),IFERROR(VLOOKUP($B186,'Privacy Analyst Evaluation'!$A$46:$F$120,4,0),""))&amp;""</f>
        <v/>
      </c>
      <c r="F186" s="199" t="str">
        <f>IFERROR(VLOOKUP($B186,'Institution Evaluation'!$A$55:$F$345,6,0),IFERROR(VLOOKUP($B186,'Privacy Analyst Evaluation'!$A$46:$F$120,6,0),""))&amp;""</f>
        <v/>
      </c>
      <c r="G186" s="200"/>
      <c r="H186" s="199" t="str">
        <f>IFERROR(IF($H185+1&gt;'(backend scoring)'!$Q$335,"",$H185+1),"")</f>
        <v/>
      </c>
      <c r="I186" s="199" t="str">
        <f>_xlfn.XLOOKUP($H186,'(backend scoring)'!$S$2:$S$333,'(backend scoring)'!$A$2:$A$333,"")</f>
        <v/>
      </c>
      <c r="J186" s="199" t="str">
        <f>IFERROR(VLOOKUP($I186,'Institution Evaluation'!$A$55:$F$345,2,0),IFERROR(VLOOKUP($I186,'Privacy Analyst Evaluation'!$A$46:$F$120,2,0),""))</f>
        <v/>
      </c>
      <c r="K186" s="199" t="str">
        <f>IFERROR(VLOOKUP($I186,'Institution Evaluation'!$A$55:$F$345,3,0),IFERROR(VLOOKUP($I186,'Privacy Analyst Evaluation'!$A$46:$F$120,3,0),""))&amp;""</f>
        <v/>
      </c>
      <c r="L186" s="199" t="str">
        <f>IFERROR(VLOOKUP($I186,'Institution Evaluation'!$A$55:$F$345,4,0),IFERROR(VLOOKUP($I186,'Privacy Analyst Evaluation'!$A$46:$F$120,4,0),""))&amp;""</f>
        <v/>
      </c>
      <c r="M186" s="199" t="str">
        <f>IFERROR(VLOOKUP($I186,'Institution Evaluation'!$A$55:$F$345,6,0),IFERROR(VLOOKUP($I186,'Privacy Analyst Evaluation'!$A$46:$F$120,6,0),""))&amp;""</f>
        <v/>
      </c>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row>
    <row r="187" spans="1:338" ht="17" x14ac:dyDescent="0.2">
      <c r="A187" s="199" t="str">
        <f>IFERROR(IF($A186+1&gt;'(backend scoring)'!$T$335,"",$A186+1),"")</f>
        <v/>
      </c>
      <c r="B187" s="199" t="str">
        <f>_xlfn.XLOOKUP($A187,'(backend scoring)'!$V$2:$V$333,'(backend scoring)'!$A$2:$A$333,"")</f>
        <v/>
      </c>
      <c r="C187" s="199" t="str">
        <f>IFERROR(VLOOKUP($B187,'Institution Evaluation'!$A$55:$F$345,2,0),IFERROR(VLOOKUP($B187,'Privacy Analyst Evaluation'!$A$46:$F$120,2,0),""))&amp;""</f>
        <v/>
      </c>
      <c r="D187" s="199" t="str">
        <f>IFERROR(VLOOKUP($B187,'Institution Evaluation'!$A$55:$F$345,3,0),IFERROR(VLOOKUP($B187,'Privacy Analyst Evaluation'!$A$46:$F$120,3,0),""))&amp;""</f>
        <v/>
      </c>
      <c r="E187" s="199" t="str">
        <f>IFERROR(VLOOKUP($B187,'Institution Evaluation'!$A$55:$F$345,4,0),IFERROR(VLOOKUP($B187,'Privacy Analyst Evaluation'!$A$46:$F$120,4,0),""))&amp;""</f>
        <v/>
      </c>
      <c r="F187" s="199" t="str">
        <f>IFERROR(VLOOKUP($B187,'Institution Evaluation'!$A$55:$F$345,6,0),IFERROR(VLOOKUP($B187,'Privacy Analyst Evaluation'!$A$46:$F$120,6,0),""))&amp;""</f>
        <v/>
      </c>
      <c r="G187" s="200"/>
      <c r="H187" s="199" t="str">
        <f>IFERROR(IF($H186+1&gt;'(backend scoring)'!$Q$335,"",$H186+1),"")</f>
        <v/>
      </c>
      <c r="I187" s="199" t="str">
        <f>_xlfn.XLOOKUP($H187,'(backend scoring)'!$S$2:$S$333,'(backend scoring)'!$A$2:$A$333,"")</f>
        <v/>
      </c>
      <c r="J187" s="199" t="str">
        <f>IFERROR(VLOOKUP($I187,'Institution Evaluation'!$A$55:$F$345,2,0),IFERROR(VLOOKUP($I187,'Privacy Analyst Evaluation'!$A$46:$F$120,2,0),""))</f>
        <v/>
      </c>
      <c r="K187" s="199" t="str">
        <f>IFERROR(VLOOKUP($I187,'Institution Evaluation'!$A$55:$F$345,3,0),IFERROR(VLOOKUP($I187,'Privacy Analyst Evaluation'!$A$46:$F$120,3,0),""))&amp;""</f>
        <v/>
      </c>
      <c r="L187" s="199" t="str">
        <f>IFERROR(VLOOKUP($I187,'Institution Evaluation'!$A$55:$F$345,4,0),IFERROR(VLOOKUP($I187,'Privacy Analyst Evaluation'!$A$46:$F$120,4,0),""))&amp;""</f>
        <v/>
      </c>
      <c r="M187" s="199" t="str">
        <f>IFERROR(VLOOKUP($I187,'Institution Evaluation'!$A$55:$F$345,6,0),IFERROR(VLOOKUP($I187,'Privacy Analyst Evaluation'!$A$46:$F$120,6,0),""))&amp;""</f>
        <v/>
      </c>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row>
    <row r="188" spans="1:338" ht="17" x14ac:dyDescent="0.2">
      <c r="A188" s="199" t="str">
        <f>IFERROR(IF($A187+1&gt;'(backend scoring)'!$T$335,"",$A187+1),"")</f>
        <v/>
      </c>
      <c r="B188" s="199" t="str">
        <f>_xlfn.XLOOKUP($A188,'(backend scoring)'!$V$2:$V$333,'(backend scoring)'!$A$2:$A$333,"")</f>
        <v/>
      </c>
      <c r="C188" s="199" t="str">
        <f>IFERROR(VLOOKUP($B188,'Institution Evaluation'!$A$55:$F$345,2,0),IFERROR(VLOOKUP($B188,'Privacy Analyst Evaluation'!$A$46:$F$120,2,0),""))&amp;""</f>
        <v/>
      </c>
      <c r="D188" s="199" t="str">
        <f>IFERROR(VLOOKUP($B188,'Institution Evaluation'!$A$55:$F$345,3,0),IFERROR(VLOOKUP($B188,'Privacy Analyst Evaluation'!$A$46:$F$120,3,0),""))&amp;""</f>
        <v/>
      </c>
      <c r="E188" s="199" t="str">
        <f>IFERROR(VLOOKUP($B188,'Institution Evaluation'!$A$55:$F$345,4,0),IFERROR(VLOOKUP($B188,'Privacy Analyst Evaluation'!$A$46:$F$120,4,0),""))&amp;""</f>
        <v/>
      </c>
      <c r="F188" s="199" t="str">
        <f>IFERROR(VLOOKUP($B188,'Institution Evaluation'!$A$55:$F$345,6,0),IFERROR(VLOOKUP($B188,'Privacy Analyst Evaluation'!$A$46:$F$120,6,0),""))&amp;""</f>
        <v/>
      </c>
      <c r="G188" s="200"/>
      <c r="H188" s="199" t="str">
        <f>IFERROR(IF($H187+1&gt;'(backend scoring)'!$Q$335,"",$H187+1),"")</f>
        <v/>
      </c>
      <c r="I188" s="199" t="str">
        <f>_xlfn.XLOOKUP($H188,'(backend scoring)'!$S$2:$S$333,'(backend scoring)'!$A$2:$A$333,"")</f>
        <v/>
      </c>
      <c r="J188" s="199" t="str">
        <f>IFERROR(VLOOKUP($I188,'Institution Evaluation'!$A$55:$F$345,2,0),IFERROR(VLOOKUP($I188,'Privacy Analyst Evaluation'!$A$46:$F$120,2,0),""))</f>
        <v/>
      </c>
      <c r="K188" s="199" t="str">
        <f>IFERROR(VLOOKUP($I188,'Institution Evaluation'!$A$55:$F$345,3,0),IFERROR(VLOOKUP($I188,'Privacy Analyst Evaluation'!$A$46:$F$120,3,0),""))&amp;""</f>
        <v/>
      </c>
      <c r="L188" s="199" t="str">
        <f>IFERROR(VLOOKUP($I188,'Institution Evaluation'!$A$55:$F$345,4,0),IFERROR(VLOOKUP($I188,'Privacy Analyst Evaluation'!$A$46:$F$120,4,0),""))&amp;""</f>
        <v/>
      </c>
      <c r="M188" s="199" t="str">
        <f>IFERROR(VLOOKUP($I188,'Institution Evaluation'!$A$55:$F$345,6,0),IFERROR(VLOOKUP($I188,'Privacy Analyst Evaluation'!$A$46:$F$120,6,0),""))&amp;""</f>
        <v/>
      </c>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row>
    <row r="189" spans="1:338" ht="17" x14ac:dyDescent="0.2">
      <c r="A189" s="199" t="str">
        <f>IFERROR(IF($A188+1&gt;'(backend scoring)'!$T$335,"",$A188+1),"")</f>
        <v/>
      </c>
      <c r="B189" s="199" t="str">
        <f>_xlfn.XLOOKUP($A189,'(backend scoring)'!$V$2:$V$333,'(backend scoring)'!$A$2:$A$333,"")</f>
        <v/>
      </c>
      <c r="C189" s="199" t="str">
        <f>IFERROR(VLOOKUP($B189,'Institution Evaluation'!$A$55:$F$345,2,0),IFERROR(VLOOKUP($B189,'Privacy Analyst Evaluation'!$A$46:$F$120,2,0),""))&amp;""</f>
        <v/>
      </c>
      <c r="D189" s="199" t="str">
        <f>IFERROR(VLOOKUP($B189,'Institution Evaluation'!$A$55:$F$345,3,0),IFERROR(VLOOKUP($B189,'Privacy Analyst Evaluation'!$A$46:$F$120,3,0),""))&amp;""</f>
        <v/>
      </c>
      <c r="E189" s="199" t="str">
        <f>IFERROR(VLOOKUP($B189,'Institution Evaluation'!$A$55:$F$345,4,0),IFERROR(VLOOKUP($B189,'Privacy Analyst Evaluation'!$A$46:$F$120,4,0),""))&amp;""</f>
        <v/>
      </c>
      <c r="F189" s="199" t="str">
        <f>IFERROR(VLOOKUP($B189,'Institution Evaluation'!$A$55:$F$345,6,0),IFERROR(VLOOKUP($B189,'Privacy Analyst Evaluation'!$A$46:$F$120,6,0),""))&amp;""</f>
        <v/>
      </c>
      <c r="G189" s="200"/>
      <c r="H189" s="199" t="str">
        <f>IFERROR(IF($H188+1&gt;'(backend scoring)'!$Q$335,"",$H188+1),"")</f>
        <v/>
      </c>
      <c r="I189" s="199" t="str">
        <f>_xlfn.XLOOKUP($H189,'(backend scoring)'!$S$2:$S$333,'(backend scoring)'!$A$2:$A$333,"")</f>
        <v/>
      </c>
      <c r="J189" s="199" t="str">
        <f>IFERROR(VLOOKUP($I189,'Institution Evaluation'!$A$55:$F$345,2,0),IFERROR(VLOOKUP($I189,'Privacy Analyst Evaluation'!$A$46:$F$120,2,0),""))</f>
        <v/>
      </c>
      <c r="K189" s="199" t="str">
        <f>IFERROR(VLOOKUP($I189,'Institution Evaluation'!$A$55:$F$345,3,0),IFERROR(VLOOKUP($I189,'Privacy Analyst Evaluation'!$A$46:$F$120,3,0),""))&amp;""</f>
        <v/>
      </c>
      <c r="L189" s="199" t="str">
        <f>IFERROR(VLOOKUP($I189,'Institution Evaluation'!$A$55:$F$345,4,0),IFERROR(VLOOKUP($I189,'Privacy Analyst Evaluation'!$A$46:$F$120,4,0),""))&amp;""</f>
        <v/>
      </c>
      <c r="M189" s="199" t="str">
        <f>IFERROR(VLOOKUP($I189,'Institution Evaluation'!$A$55:$F$345,6,0),IFERROR(VLOOKUP($I189,'Privacy Analyst Evaluation'!$A$46:$F$120,6,0),""))&amp;""</f>
        <v/>
      </c>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row>
    <row r="190" spans="1:338" ht="17" x14ac:dyDescent="0.2">
      <c r="A190" s="199" t="str">
        <f>IFERROR(IF($A189+1&gt;'(backend scoring)'!$T$335,"",$A189+1),"")</f>
        <v/>
      </c>
      <c r="B190" s="199" t="str">
        <f>_xlfn.XLOOKUP($A190,'(backend scoring)'!$V$2:$V$333,'(backend scoring)'!$A$2:$A$333,"")</f>
        <v/>
      </c>
      <c r="C190" s="199" t="str">
        <f>IFERROR(VLOOKUP($B190,'Institution Evaluation'!$A$55:$F$345,2,0),IFERROR(VLOOKUP($B190,'Privacy Analyst Evaluation'!$A$46:$F$120,2,0),""))&amp;""</f>
        <v/>
      </c>
      <c r="D190" s="199" t="str">
        <f>IFERROR(VLOOKUP($B190,'Institution Evaluation'!$A$55:$F$345,3,0),IFERROR(VLOOKUP($B190,'Privacy Analyst Evaluation'!$A$46:$F$120,3,0),""))&amp;""</f>
        <v/>
      </c>
      <c r="E190" s="199" t="str">
        <f>IFERROR(VLOOKUP($B190,'Institution Evaluation'!$A$55:$F$345,4,0),IFERROR(VLOOKUP($B190,'Privacy Analyst Evaluation'!$A$46:$F$120,4,0),""))&amp;""</f>
        <v/>
      </c>
      <c r="F190" s="199" t="str">
        <f>IFERROR(VLOOKUP($B190,'Institution Evaluation'!$A$55:$F$345,6,0),IFERROR(VLOOKUP($B190,'Privacy Analyst Evaluation'!$A$46:$F$120,6,0),""))&amp;""</f>
        <v/>
      </c>
      <c r="G190" s="200"/>
      <c r="H190" s="199" t="str">
        <f>IFERROR(IF($H189+1&gt;'(backend scoring)'!$Q$335,"",$H189+1),"")</f>
        <v/>
      </c>
      <c r="I190" s="199" t="str">
        <f>_xlfn.XLOOKUP($H190,'(backend scoring)'!$S$2:$S$333,'(backend scoring)'!$A$2:$A$333,"")</f>
        <v/>
      </c>
      <c r="J190" s="199" t="str">
        <f>IFERROR(VLOOKUP($I190,'Institution Evaluation'!$A$55:$F$345,2,0),IFERROR(VLOOKUP($I190,'Privacy Analyst Evaluation'!$A$46:$F$120,2,0),""))</f>
        <v/>
      </c>
      <c r="K190" s="199" t="str">
        <f>IFERROR(VLOOKUP($I190,'Institution Evaluation'!$A$55:$F$345,3,0),IFERROR(VLOOKUP($I190,'Privacy Analyst Evaluation'!$A$46:$F$120,3,0),""))&amp;""</f>
        <v/>
      </c>
      <c r="L190" s="199" t="str">
        <f>IFERROR(VLOOKUP($I190,'Institution Evaluation'!$A$55:$F$345,4,0),IFERROR(VLOOKUP($I190,'Privacy Analyst Evaluation'!$A$46:$F$120,4,0),""))&amp;""</f>
        <v/>
      </c>
      <c r="M190" s="199" t="str">
        <f>IFERROR(VLOOKUP($I190,'Institution Evaluation'!$A$55:$F$345,6,0),IFERROR(VLOOKUP($I190,'Privacy Analyst Evaluation'!$A$46:$F$120,6,0),""))&amp;""</f>
        <v/>
      </c>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row>
    <row r="191" spans="1:338" ht="17" x14ac:dyDescent="0.2">
      <c r="A191" s="199" t="str">
        <f>IFERROR(IF($A190+1&gt;'(backend scoring)'!$T$335,"",$A190+1),"")</f>
        <v/>
      </c>
      <c r="B191" s="199" t="str">
        <f>_xlfn.XLOOKUP($A191,'(backend scoring)'!$V$2:$V$333,'(backend scoring)'!$A$2:$A$333,"")</f>
        <v/>
      </c>
      <c r="C191" s="199" t="str">
        <f>IFERROR(VLOOKUP($B191,'Institution Evaluation'!$A$55:$F$345,2,0),IFERROR(VLOOKUP($B191,'Privacy Analyst Evaluation'!$A$46:$F$120,2,0),""))&amp;""</f>
        <v/>
      </c>
      <c r="D191" s="199" t="str">
        <f>IFERROR(VLOOKUP($B191,'Institution Evaluation'!$A$55:$F$345,3,0),IFERROR(VLOOKUP($B191,'Privacy Analyst Evaluation'!$A$46:$F$120,3,0),""))&amp;""</f>
        <v/>
      </c>
      <c r="E191" s="199" t="str">
        <f>IFERROR(VLOOKUP($B191,'Institution Evaluation'!$A$55:$F$345,4,0),IFERROR(VLOOKUP($B191,'Privacy Analyst Evaluation'!$A$46:$F$120,4,0),""))&amp;""</f>
        <v/>
      </c>
      <c r="F191" s="199" t="str">
        <f>IFERROR(VLOOKUP($B191,'Institution Evaluation'!$A$55:$F$345,6,0),IFERROR(VLOOKUP($B191,'Privacy Analyst Evaluation'!$A$46:$F$120,6,0),""))&amp;""</f>
        <v/>
      </c>
      <c r="G191" s="200"/>
      <c r="H191" s="199" t="str">
        <f>IFERROR(IF($H190+1&gt;'(backend scoring)'!$Q$335,"",$H190+1),"")</f>
        <v/>
      </c>
      <c r="I191" s="199" t="str">
        <f>_xlfn.XLOOKUP($H191,'(backend scoring)'!$S$2:$S$333,'(backend scoring)'!$A$2:$A$333,"")</f>
        <v/>
      </c>
      <c r="J191" s="199" t="str">
        <f>IFERROR(VLOOKUP($I191,'Institution Evaluation'!$A$55:$F$345,2,0),IFERROR(VLOOKUP($I191,'Privacy Analyst Evaluation'!$A$46:$F$120,2,0),""))</f>
        <v/>
      </c>
      <c r="K191" s="199" t="str">
        <f>IFERROR(VLOOKUP($I191,'Institution Evaluation'!$A$55:$F$345,3,0),IFERROR(VLOOKUP($I191,'Privacy Analyst Evaluation'!$A$46:$F$120,3,0),""))&amp;""</f>
        <v/>
      </c>
      <c r="L191" s="199" t="str">
        <f>IFERROR(VLOOKUP($I191,'Institution Evaluation'!$A$55:$F$345,4,0),IFERROR(VLOOKUP($I191,'Privacy Analyst Evaluation'!$A$46:$F$120,4,0),""))&amp;""</f>
        <v/>
      </c>
      <c r="M191" s="199" t="str">
        <f>IFERROR(VLOOKUP($I191,'Institution Evaluation'!$A$55:$F$345,6,0),IFERROR(VLOOKUP($I191,'Privacy Analyst Evaluation'!$A$46:$F$120,6,0),""))&amp;""</f>
        <v/>
      </c>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row>
    <row r="192" spans="1:338" ht="17" x14ac:dyDescent="0.2">
      <c r="A192" s="199" t="str">
        <f>IFERROR(IF($A191+1&gt;'(backend scoring)'!$T$335,"",$A191+1),"")</f>
        <v/>
      </c>
      <c r="B192" s="199" t="str">
        <f>_xlfn.XLOOKUP($A192,'(backend scoring)'!$V$2:$V$333,'(backend scoring)'!$A$2:$A$333,"")</f>
        <v/>
      </c>
      <c r="C192" s="199" t="str">
        <f>IFERROR(VLOOKUP($B192,'Institution Evaluation'!$A$55:$F$345,2,0),IFERROR(VLOOKUP($B192,'Privacy Analyst Evaluation'!$A$46:$F$120,2,0),""))&amp;""</f>
        <v/>
      </c>
      <c r="D192" s="199" t="str">
        <f>IFERROR(VLOOKUP($B192,'Institution Evaluation'!$A$55:$F$345,3,0),IFERROR(VLOOKUP($B192,'Privacy Analyst Evaluation'!$A$46:$F$120,3,0),""))&amp;""</f>
        <v/>
      </c>
      <c r="E192" s="199" t="str">
        <f>IFERROR(VLOOKUP($B192,'Institution Evaluation'!$A$55:$F$345,4,0),IFERROR(VLOOKUP($B192,'Privacy Analyst Evaluation'!$A$46:$F$120,4,0),""))&amp;""</f>
        <v/>
      </c>
      <c r="F192" s="199" t="str">
        <f>IFERROR(VLOOKUP($B192,'Institution Evaluation'!$A$55:$F$345,6,0),IFERROR(VLOOKUP($B192,'Privacy Analyst Evaluation'!$A$46:$F$120,6,0),""))&amp;""</f>
        <v/>
      </c>
      <c r="G192" s="200"/>
      <c r="H192" s="199" t="str">
        <f>IFERROR(IF($H191+1&gt;'(backend scoring)'!$Q$335,"",$H191+1),"")</f>
        <v/>
      </c>
      <c r="I192" s="199" t="str">
        <f>_xlfn.XLOOKUP($H192,'(backend scoring)'!$S$2:$S$333,'(backend scoring)'!$A$2:$A$333,"")</f>
        <v/>
      </c>
      <c r="J192" s="199" t="str">
        <f>IFERROR(VLOOKUP($I192,'Institution Evaluation'!$A$55:$F$345,2,0),IFERROR(VLOOKUP($I192,'Privacy Analyst Evaluation'!$A$46:$F$120,2,0),""))</f>
        <v/>
      </c>
      <c r="K192" s="199" t="str">
        <f>IFERROR(VLOOKUP($I192,'Institution Evaluation'!$A$55:$F$345,3,0),IFERROR(VLOOKUP($I192,'Privacy Analyst Evaluation'!$A$46:$F$120,3,0),""))&amp;""</f>
        <v/>
      </c>
      <c r="L192" s="199" t="str">
        <f>IFERROR(VLOOKUP($I192,'Institution Evaluation'!$A$55:$F$345,4,0),IFERROR(VLOOKUP($I192,'Privacy Analyst Evaluation'!$A$46:$F$120,4,0),""))&amp;""</f>
        <v/>
      </c>
      <c r="M192" s="199" t="str">
        <f>IFERROR(VLOOKUP($I192,'Institution Evaluation'!$A$55:$F$345,6,0),IFERROR(VLOOKUP($I192,'Privacy Analyst Evaluation'!$A$46:$F$120,6,0),""))&amp;""</f>
        <v/>
      </c>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row>
    <row r="193" spans="1:338" ht="17" x14ac:dyDescent="0.2">
      <c r="A193" s="199" t="str">
        <f>IFERROR(IF($A192+1&gt;'(backend scoring)'!$T$335,"",$A192+1),"")</f>
        <v/>
      </c>
      <c r="B193" s="199" t="str">
        <f>_xlfn.XLOOKUP($A193,'(backend scoring)'!$V$2:$V$333,'(backend scoring)'!$A$2:$A$333,"")</f>
        <v/>
      </c>
      <c r="C193" s="199" t="str">
        <f>IFERROR(VLOOKUP($B193,'Institution Evaluation'!$A$55:$F$345,2,0),IFERROR(VLOOKUP($B193,'Privacy Analyst Evaluation'!$A$46:$F$120,2,0),""))&amp;""</f>
        <v/>
      </c>
      <c r="D193" s="199" t="str">
        <f>IFERROR(VLOOKUP($B193,'Institution Evaluation'!$A$55:$F$345,3,0),IFERROR(VLOOKUP($B193,'Privacy Analyst Evaluation'!$A$46:$F$120,3,0),""))&amp;""</f>
        <v/>
      </c>
      <c r="E193" s="199" t="str">
        <f>IFERROR(VLOOKUP($B193,'Institution Evaluation'!$A$55:$F$345,4,0),IFERROR(VLOOKUP($B193,'Privacy Analyst Evaluation'!$A$46:$F$120,4,0),""))&amp;""</f>
        <v/>
      </c>
      <c r="F193" s="199" t="str">
        <f>IFERROR(VLOOKUP($B193,'Institution Evaluation'!$A$55:$F$345,6,0),IFERROR(VLOOKUP($B193,'Privacy Analyst Evaluation'!$A$46:$F$120,6,0),""))&amp;""</f>
        <v/>
      </c>
      <c r="G193" s="200"/>
      <c r="H193" s="199" t="str">
        <f>IFERROR(IF($H192+1&gt;'(backend scoring)'!$Q$335,"",$H192+1),"")</f>
        <v/>
      </c>
      <c r="I193" s="199" t="str">
        <f>_xlfn.XLOOKUP($H193,'(backend scoring)'!$S$2:$S$333,'(backend scoring)'!$A$2:$A$333,"")</f>
        <v/>
      </c>
      <c r="J193" s="199" t="str">
        <f>IFERROR(VLOOKUP($I193,'Institution Evaluation'!$A$55:$F$345,2,0),IFERROR(VLOOKUP($I193,'Privacy Analyst Evaluation'!$A$46:$F$120,2,0),""))</f>
        <v/>
      </c>
      <c r="K193" s="199" t="str">
        <f>IFERROR(VLOOKUP($I193,'Institution Evaluation'!$A$55:$F$345,3,0),IFERROR(VLOOKUP($I193,'Privacy Analyst Evaluation'!$A$46:$F$120,3,0),""))&amp;""</f>
        <v/>
      </c>
      <c r="L193" s="199" t="str">
        <f>IFERROR(VLOOKUP($I193,'Institution Evaluation'!$A$55:$F$345,4,0),IFERROR(VLOOKUP($I193,'Privacy Analyst Evaluation'!$A$46:$F$120,4,0),""))&amp;""</f>
        <v/>
      </c>
      <c r="M193" s="199" t="str">
        <f>IFERROR(VLOOKUP($I193,'Institution Evaluation'!$A$55:$F$345,6,0),IFERROR(VLOOKUP($I193,'Privacy Analyst Evaluation'!$A$46:$F$120,6,0),""))&amp;""</f>
        <v/>
      </c>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row>
    <row r="194" spans="1:338" ht="17" x14ac:dyDescent="0.2">
      <c r="A194" s="199" t="str">
        <f>IFERROR(IF($A193+1&gt;'(backend scoring)'!$T$335,"",$A193+1),"")</f>
        <v/>
      </c>
      <c r="B194" s="199" t="str">
        <f>_xlfn.XLOOKUP($A194,'(backend scoring)'!$V$2:$V$333,'(backend scoring)'!$A$2:$A$333,"")</f>
        <v/>
      </c>
      <c r="C194" s="199" t="str">
        <f>IFERROR(VLOOKUP($B194,'Institution Evaluation'!$A$55:$F$345,2,0),IFERROR(VLOOKUP($B194,'Privacy Analyst Evaluation'!$A$46:$F$120,2,0),""))&amp;""</f>
        <v/>
      </c>
      <c r="D194" s="199" t="str">
        <f>IFERROR(VLOOKUP($B194,'Institution Evaluation'!$A$55:$F$345,3,0),IFERROR(VLOOKUP($B194,'Privacy Analyst Evaluation'!$A$46:$F$120,3,0),""))&amp;""</f>
        <v/>
      </c>
      <c r="E194" s="199" t="str">
        <f>IFERROR(VLOOKUP($B194,'Institution Evaluation'!$A$55:$F$345,4,0),IFERROR(VLOOKUP($B194,'Privacy Analyst Evaluation'!$A$46:$F$120,4,0),""))&amp;""</f>
        <v/>
      </c>
      <c r="F194" s="199" t="str">
        <f>IFERROR(VLOOKUP($B194,'Institution Evaluation'!$A$55:$F$345,6,0),IFERROR(VLOOKUP($B194,'Privacy Analyst Evaluation'!$A$46:$F$120,6,0),""))&amp;""</f>
        <v/>
      </c>
      <c r="G194" s="200"/>
      <c r="H194" s="199" t="str">
        <f>IFERROR(IF($H193+1&gt;'(backend scoring)'!$Q$335,"",$H193+1),"")</f>
        <v/>
      </c>
      <c r="I194" s="199" t="str">
        <f>_xlfn.XLOOKUP($H194,'(backend scoring)'!$S$2:$S$333,'(backend scoring)'!$A$2:$A$333,"")</f>
        <v/>
      </c>
      <c r="J194" s="199" t="str">
        <f>IFERROR(VLOOKUP($I194,'Institution Evaluation'!$A$55:$F$345,2,0),IFERROR(VLOOKUP($I194,'Privacy Analyst Evaluation'!$A$46:$F$120,2,0),""))</f>
        <v/>
      </c>
      <c r="K194" s="199" t="str">
        <f>IFERROR(VLOOKUP($I194,'Institution Evaluation'!$A$55:$F$345,3,0),IFERROR(VLOOKUP($I194,'Privacy Analyst Evaluation'!$A$46:$F$120,3,0),""))&amp;""</f>
        <v/>
      </c>
      <c r="L194" s="199" t="str">
        <f>IFERROR(VLOOKUP($I194,'Institution Evaluation'!$A$55:$F$345,4,0),IFERROR(VLOOKUP($I194,'Privacy Analyst Evaluation'!$A$46:$F$120,4,0),""))&amp;""</f>
        <v/>
      </c>
      <c r="M194" s="199" t="str">
        <f>IFERROR(VLOOKUP($I194,'Institution Evaluation'!$A$55:$F$345,6,0),IFERROR(VLOOKUP($I194,'Privacy Analyst Evaluation'!$A$46:$F$120,6,0),""))&amp;""</f>
        <v/>
      </c>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row>
    <row r="195" spans="1:338" ht="17" x14ac:dyDescent="0.2">
      <c r="A195" s="199" t="str">
        <f>IFERROR(IF($A194+1&gt;'(backend scoring)'!$T$335,"",$A194+1),"")</f>
        <v/>
      </c>
      <c r="B195" s="199" t="str">
        <f>_xlfn.XLOOKUP($A195,'(backend scoring)'!$V$2:$V$333,'(backend scoring)'!$A$2:$A$333,"")</f>
        <v/>
      </c>
      <c r="C195" s="199" t="str">
        <f>IFERROR(VLOOKUP($B195,'Institution Evaluation'!$A$55:$F$345,2,0),IFERROR(VLOOKUP($B195,'Privacy Analyst Evaluation'!$A$46:$F$120,2,0),""))&amp;""</f>
        <v/>
      </c>
      <c r="D195" s="199" t="str">
        <f>IFERROR(VLOOKUP($B195,'Institution Evaluation'!$A$55:$F$345,3,0),IFERROR(VLOOKUP($B195,'Privacy Analyst Evaluation'!$A$46:$F$120,3,0),""))&amp;""</f>
        <v/>
      </c>
      <c r="E195" s="199" t="str">
        <f>IFERROR(VLOOKUP($B195,'Institution Evaluation'!$A$55:$F$345,4,0),IFERROR(VLOOKUP($B195,'Privacy Analyst Evaluation'!$A$46:$F$120,4,0),""))&amp;""</f>
        <v/>
      </c>
      <c r="F195" s="199" t="str">
        <f>IFERROR(VLOOKUP($B195,'Institution Evaluation'!$A$55:$F$345,6,0),IFERROR(VLOOKUP($B195,'Privacy Analyst Evaluation'!$A$46:$F$120,6,0),""))&amp;""</f>
        <v/>
      </c>
      <c r="G195" s="200"/>
      <c r="H195" s="199" t="str">
        <f>IFERROR(IF($H194+1&gt;'(backend scoring)'!$Q$335,"",$H194+1),"")</f>
        <v/>
      </c>
      <c r="I195" s="199" t="str">
        <f>_xlfn.XLOOKUP($H195,'(backend scoring)'!$S$2:$S$333,'(backend scoring)'!$A$2:$A$333,"")</f>
        <v/>
      </c>
      <c r="J195" s="199" t="str">
        <f>IFERROR(VLOOKUP($I195,'Institution Evaluation'!$A$55:$F$345,2,0),IFERROR(VLOOKUP($I195,'Privacy Analyst Evaluation'!$A$46:$F$120,2,0),""))</f>
        <v/>
      </c>
      <c r="K195" s="199" t="str">
        <f>IFERROR(VLOOKUP($I195,'Institution Evaluation'!$A$55:$F$345,3,0),IFERROR(VLOOKUP($I195,'Privacy Analyst Evaluation'!$A$46:$F$120,3,0),""))&amp;""</f>
        <v/>
      </c>
      <c r="L195" s="199" t="str">
        <f>IFERROR(VLOOKUP($I195,'Institution Evaluation'!$A$55:$F$345,4,0),IFERROR(VLOOKUP($I195,'Privacy Analyst Evaluation'!$A$46:$F$120,4,0),""))&amp;""</f>
        <v/>
      </c>
      <c r="M195" s="199" t="str">
        <f>IFERROR(VLOOKUP($I195,'Institution Evaluation'!$A$55:$F$345,6,0),IFERROR(VLOOKUP($I195,'Privacy Analyst Evaluation'!$A$46:$F$120,6,0),""))&amp;""</f>
        <v/>
      </c>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row>
    <row r="196" spans="1:338" ht="17" x14ac:dyDescent="0.2">
      <c r="A196" s="199" t="str">
        <f>IFERROR(IF($A195+1&gt;'(backend scoring)'!$T$335,"",$A195+1),"")</f>
        <v/>
      </c>
      <c r="B196" s="199" t="str">
        <f>_xlfn.XLOOKUP($A196,'(backend scoring)'!$V$2:$V$333,'(backend scoring)'!$A$2:$A$333,"")</f>
        <v/>
      </c>
      <c r="C196" s="199" t="str">
        <f>IFERROR(VLOOKUP($B196,'Institution Evaluation'!$A$55:$F$345,2,0),IFERROR(VLOOKUP($B196,'Privacy Analyst Evaluation'!$A$46:$F$120,2,0),""))&amp;""</f>
        <v/>
      </c>
      <c r="D196" s="199" t="str">
        <f>IFERROR(VLOOKUP($B196,'Institution Evaluation'!$A$55:$F$345,3,0),IFERROR(VLOOKUP($B196,'Privacy Analyst Evaluation'!$A$46:$F$120,3,0),""))&amp;""</f>
        <v/>
      </c>
      <c r="E196" s="199" t="str">
        <f>IFERROR(VLOOKUP($B196,'Institution Evaluation'!$A$55:$F$345,4,0),IFERROR(VLOOKUP($B196,'Privacy Analyst Evaluation'!$A$46:$F$120,4,0),""))&amp;""</f>
        <v/>
      </c>
      <c r="F196" s="199" t="str">
        <f>IFERROR(VLOOKUP($B196,'Institution Evaluation'!$A$55:$F$345,6,0),IFERROR(VLOOKUP($B196,'Privacy Analyst Evaluation'!$A$46:$F$120,6,0),""))&amp;""</f>
        <v/>
      </c>
      <c r="G196" s="200"/>
      <c r="H196" s="199" t="str">
        <f>IFERROR(IF($H195+1&gt;'(backend scoring)'!$Q$335,"",$H195+1),"")</f>
        <v/>
      </c>
      <c r="I196" s="199" t="str">
        <f>_xlfn.XLOOKUP($H196,'(backend scoring)'!$S$2:$S$333,'(backend scoring)'!$A$2:$A$333,"")</f>
        <v/>
      </c>
      <c r="J196" s="199" t="str">
        <f>IFERROR(VLOOKUP($I196,'Institution Evaluation'!$A$55:$F$345,2,0),IFERROR(VLOOKUP($I196,'Privacy Analyst Evaluation'!$A$46:$F$120,2,0),""))</f>
        <v/>
      </c>
      <c r="K196" s="199" t="str">
        <f>IFERROR(VLOOKUP($I196,'Institution Evaluation'!$A$55:$F$345,3,0),IFERROR(VLOOKUP($I196,'Privacy Analyst Evaluation'!$A$46:$F$120,3,0),""))&amp;""</f>
        <v/>
      </c>
      <c r="L196" s="199" t="str">
        <f>IFERROR(VLOOKUP($I196,'Institution Evaluation'!$A$55:$F$345,4,0),IFERROR(VLOOKUP($I196,'Privacy Analyst Evaluation'!$A$46:$F$120,4,0),""))&amp;""</f>
        <v/>
      </c>
      <c r="M196" s="199" t="str">
        <f>IFERROR(VLOOKUP($I196,'Institution Evaluation'!$A$55:$F$345,6,0),IFERROR(VLOOKUP($I196,'Privacy Analyst Evaluation'!$A$46:$F$120,6,0),""))&amp;""</f>
        <v/>
      </c>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row>
    <row r="197" spans="1:338" ht="17" x14ac:dyDescent="0.2">
      <c r="A197" s="199" t="str">
        <f>IFERROR(IF($A196+1&gt;'(backend scoring)'!$T$335,"",$A196+1),"")</f>
        <v/>
      </c>
      <c r="B197" s="199" t="str">
        <f>_xlfn.XLOOKUP($A197,'(backend scoring)'!$V$2:$V$333,'(backend scoring)'!$A$2:$A$333,"")</f>
        <v/>
      </c>
      <c r="C197" s="199" t="str">
        <f>IFERROR(VLOOKUP($B197,'Institution Evaluation'!$A$55:$F$345,2,0),IFERROR(VLOOKUP($B197,'Privacy Analyst Evaluation'!$A$46:$F$120,2,0),""))&amp;""</f>
        <v/>
      </c>
      <c r="D197" s="199" t="str">
        <f>IFERROR(VLOOKUP($B197,'Institution Evaluation'!$A$55:$F$345,3,0),IFERROR(VLOOKUP($B197,'Privacy Analyst Evaluation'!$A$46:$F$120,3,0),""))&amp;""</f>
        <v/>
      </c>
      <c r="E197" s="199" t="str">
        <f>IFERROR(VLOOKUP($B197,'Institution Evaluation'!$A$55:$F$345,4,0),IFERROR(VLOOKUP($B197,'Privacy Analyst Evaluation'!$A$46:$F$120,4,0),""))&amp;""</f>
        <v/>
      </c>
      <c r="F197" s="199" t="str">
        <f>IFERROR(VLOOKUP($B197,'Institution Evaluation'!$A$55:$F$345,6,0),IFERROR(VLOOKUP($B197,'Privacy Analyst Evaluation'!$A$46:$F$120,6,0),""))&amp;""</f>
        <v/>
      </c>
      <c r="G197" s="200"/>
      <c r="H197" s="199" t="str">
        <f>IFERROR(IF($H196+1&gt;'(backend scoring)'!$Q$335,"",$H196+1),"")</f>
        <v/>
      </c>
      <c r="I197" s="199" t="str">
        <f>_xlfn.XLOOKUP($H197,'(backend scoring)'!$S$2:$S$333,'(backend scoring)'!$A$2:$A$333,"")</f>
        <v/>
      </c>
      <c r="J197" s="199" t="str">
        <f>IFERROR(VLOOKUP($I197,'Institution Evaluation'!$A$55:$F$345,2,0),IFERROR(VLOOKUP($I197,'Privacy Analyst Evaluation'!$A$46:$F$120,2,0),""))</f>
        <v/>
      </c>
      <c r="K197" s="199" t="str">
        <f>IFERROR(VLOOKUP($I197,'Institution Evaluation'!$A$55:$F$345,3,0),IFERROR(VLOOKUP($I197,'Privacy Analyst Evaluation'!$A$46:$F$120,3,0),""))&amp;""</f>
        <v/>
      </c>
      <c r="L197" s="199" t="str">
        <f>IFERROR(VLOOKUP($I197,'Institution Evaluation'!$A$55:$F$345,4,0),IFERROR(VLOOKUP($I197,'Privacy Analyst Evaluation'!$A$46:$F$120,4,0),""))&amp;""</f>
        <v/>
      </c>
      <c r="M197" s="199" t="str">
        <f>IFERROR(VLOOKUP($I197,'Institution Evaluation'!$A$55:$F$345,6,0),IFERROR(VLOOKUP($I197,'Privacy Analyst Evaluation'!$A$46:$F$120,6,0),""))&amp;""</f>
        <v/>
      </c>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row>
    <row r="198" spans="1:338" ht="17" x14ac:dyDescent="0.2">
      <c r="A198" s="199" t="str">
        <f>IFERROR(IF($A197+1&gt;'(backend scoring)'!$T$335,"",$A197+1),"")</f>
        <v/>
      </c>
      <c r="B198" s="199" t="str">
        <f>_xlfn.XLOOKUP($A198,'(backend scoring)'!$V$2:$V$333,'(backend scoring)'!$A$2:$A$333,"")</f>
        <v/>
      </c>
      <c r="C198" s="199" t="str">
        <f>IFERROR(VLOOKUP($B198,'Institution Evaluation'!$A$55:$F$345,2,0),IFERROR(VLOOKUP($B198,'Privacy Analyst Evaluation'!$A$46:$F$120,2,0),""))&amp;""</f>
        <v/>
      </c>
      <c r="D198" s="199" t="str">
        <f>IFERROR(VLOOKUP($B198,'Institution Evaluation'!$A$55:$F$345,3,0),IFERROR(VLOOKUP($B198,'Privacy Analyst Evaluation'!$A$46:$F$120,3,0),""))&amp;""</f>
        <v/>
      </c>
      <c r="E198" s="199" t="str">
        <f>IFERROR(VLOOKUP($B198,'Institution Evaluation'!$A$55:$F$345,4,0),IFERROR(VLOOKUP($B198,'Privacy Analyst Evaluation'!$A$46:$F$120,4,0),""))&amp;""</f>
        <v/>
      </c>
      <c r="F198" s="199" t="str">
        <f>IFERROR(VLOOKUP($B198,'Institution Evaluation'!$A$55:$F$345,6,0),IFERROR(VLOOKUP($B198,'Privacy Analyst Evaluation'!$A$46:$F$120,6,0),""))&amp;""</f>
        <v/>
      </c>
      <c r="G198" s="200"/>
      <c r="H198" s="199" t="str">
        <f>IFERROR(IF($H197+1&gt;'(backend scoring)'!$Q$335,"",$H197+1),"")</f>
        <v/>
      </c>
      <c r="I198" s="199" t="str">
        <f>_xlfn.XLOOKUP($H198,'(backend scoring)'!$S$2:$S$333,'(backend scoring)'!$A$2:$A$333,"")</f>
        <v/>
      </c>
      <c r="J198" s="199" t="str">
        <f>IFERROR(VLOOKUP($I198,'Institution Evaluation'!$A$55:$F$345,2,0),IFERROR(VLOOKUP($I198,'Privacy Analyst Evaluation'!$A$46:$F$120,2,0),""))</f>
        <v/>
      </c>
      <c r="K198" s="199" t="str">
        <f>IFERROR(VLOOKUP($I198,'Institution Evaluation'!$A$55:$F$345,3,0),IFERROR(VLOOKUP($I198,'Privacy Analyst Evaluation'!$A$46:$F$120,3,0),""))&amp;""</f>
        <v/>
      </c>
      <c r="L198" s="199" t="str">
        <f>IFERROR(VLOOKUP($I198,'Institution Evaluation'!$A$55:$F$345,4,0),IFERROR(VLOOKUP($I198,'Privacy Analyst Evaluation'!$A$46:$F$120,4,0),""))&amp;""</f>
        <v/>
      </c>
      <c r="M198" s="199" t="str">
        <f>IFERROR(VLOOKUP($I198,'Institution Evaluation'!$A$55:$F$345,6,0),IFERROR(VLOOKUP($I198,'Privacy Analyst Evaluation'!$A$46:$F$120,6,0),""))&amp;""</f>
        <v/>
      </c>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row>
    <row r="199" spans="1:338" ht="17" x14ac:dyDescent="0.2">
      <c r="A199" s="199" t="str">
        <f>IFERROR(IF($A198+1&gt;'(backend scoring)'!$T$335,"",$A198+1),"")</f>
        <v/>
      </c>
      <c r="B199" s="199" t="str">
        <f>_xlfn.XLOOKUP($A199,'(backend scoring)'!$V$2:$V$333,'(backend scoring)'!$A$2:$A$333,"")</f>
        <v/>
      </c>
      <c r="C199" s="199" t="str">
        <f>IFERROR(VLOOKUP($B199,'Institution Evaluation'!$A$55:$F$345,2,0),IFERROR(VLOOKUP($B199,'Privacy Analyst Evaluation'!$A$46:$F$120,2,0),""))&amp;""</f>
        <v/>
      </c>
      <c r="D199" s="199" t="str">
        <f>IFERROR(VLOOKUP($B199,'Institution Evaluation'!$A$55:$F$345,3,0),IFERROR(VLOOKUP($B199,'Privacy Analyst Evaluation'!$A$46:$F$120,3,0),""))&amp;""</f>
        <v/>
      </c>
      <c r="E199" s="199" t="str">
        <f>IFERROR(VLOOKUP($B199,'Institution Evaluation'!$A$55:$F$345,4,0),IFERROR(VLOOKUP($B199,'Privacy Analyst Evaluation'!$A$46:$F$120,4,0),""))&amp;""</f>
        <v/>
      </c>
      <c r="F199" s="199" t="str">
        <f>IFERROR(VLOOKUP($B199,'Institution Evaluation'!$A$55:$F$345,6,0),IFERROR(VLOOKUP($B199,'Privacy Analyst Evaluation'!$A$46:$F$120,6,0),""))&amp;""</f>
        <v/>
      </c>
      <c r="G199" s="200"/>
      <c r="H199" s="199" t="str">
        <f>IFERROR(IF($H198+1&gt;'(backend scoring)'!$Q$335,"",$H198+1),"")</f>
        <v/>
      </c>
      <c r="I199" s="199" t="str">
        <f>_xlfn.XLOOKUP($H199,'(backend scoring)'!$S$2:$S$333,'(backend scoring)'!$A$2:$A$333,"")</f>
        <v/>
      </c>
      <c r="J199" s="199" t="str">
        <f>IFERROR(VLOOKUP($I199,'Institution Evaluation'!$A$55:$F$345,2,0),IFERROR(VLOOKUP($I199,'Privacy Analyst Evaluation'!$A$46:$F$120,2,0),""))</f>
        <v/>
      </c>
      <c r="K199" s="199" t="str">
        <f>IFERROR(VLOOKUP($I199,'Institution Evaluation'!$A$55:$F$345,3,0),IFERROR(VLOOKUP($I199,'Privacy Analyst Evaluation'!$A$46:$F$120,3,0),""))&amp;""</f>
        <v/>
      </c>
      <c r="L199" s="199" t="str">
        <f>IFERROR(VLOOKUP($I199,'Institution Evaluation'!$A$55:$F$345,4,0),IFERROR(VLOOKUP($I199,'Privacy Analyst Evaluation'!$A$46:$F$120,4,0),""))&amp;""</f>
        <v/>
      </c>
      <c r="M199" s="199" t="str">
        <f>IFERROR(VLOOKUP($I199,'Institution Evaluation'!$A$55:$F$345,6,0),IFERROR(VLOOKUP($I199,'Privacy Analyst Evaluation'!$A$46:$F$120,6,0),""))&amp;""</f>
        <v/>
      </c>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row>
    <row r="200" spans="1:338" ht="17" x14ac:dyDescent="0.2">
      <c r="A200" s="199" t="str">
        <f>IFERROR(IF($A199+1&gt;'(backend scoring)'!$T$335,"",$A199+1),"")</f>
        <v/>
      </c>
      <c r="B200" s="199" t="str">
        <f>_xlfn.XLOOKUP($A200,'(backend scoring)'!$V$2:$V$333,'(backend scoring)'!$A$2:$A$333,"")</f>
        <v/>
      </c>
      <c r="C200" s="199" t="str">
        <f>IFERROR(VLOOKUP($B200,'Institution Evaluation'!$A$55:$F$345,2,0),IFERROR(VLOOKUP($B200,'Privacy Analyst Evaluation'!$A$46:$F$120,2,0),""))&amp;""</f>
        <v/>
      </c>
      <c r="D200" s="199" t="str">
        <f>IFERROR(VLOOKUP($B200,'Institution Evaluation'!$A$55:$F$345,3,0),IFERROR(VLOOKUP($B200,'Privacy Analyst Evaluation'!$A$46:$F$120,3,0),""))&amp;""</f>
        <v/>
      </c>
      <c r="E200" s="199" t="str">
        <f>IFERROR(VLOOKUP($B200,'Institution Evaluation'!$A$55:$F$345,4,0),IFERROR(VLOOKUP($B200,'Privacy Analyst Evaluation'!$A$46:$F$120,4,0),""))&amp;""</f>
        <v/>
      </c>
      <c r="F200" s="199" t="str">
        <f>IFERROR(VLOOKUP($B200,'Institution Evaluation'!$A$55:$F$345,6,0),IFERROR(VLOOKUP($B200,'Privacy Analyst Evaluation'!$A$46:$F$120,6,0),""))&amp;""</f>
        <v/>
      </c>
      <c r="G200" s="200"/>
      <c r="H200" s="199" t="str">
        <f>IFERROR(IF($H199+1&gt;'(backend scoring)'!$Q$335,"",$H199+1),"")</f>
        <v/>
      </c>
      <c r="I200" s="199" t="str">
        <f>_xlfn.XLOOKUP($H200,'(backend scoring)'!$S$2:$S$333,'(backend scoring)'!$A$2:$A$333,"")</f>
        <v/>
      </c>
      <c r="J200" s="199" t="str">
        <f>IFERROR(VLOOKUP($I200,'Institution Evaluation'!$A$55:$F$345,2,0),IFERROR(VLOOKUP($I200,'Privacy Analyst Evaluation'!$A$46:$F$120,2,0),""))</f>
        <v/>
      </c>
      <c r="K200" s="199" t="str">
        <f>IFERROR(VLOOKUP($I200,'Institution Evaluation'!$A$55:$F$345,3,0),IFERROR(VLOOKUP($I200,'Privacy Analyst Evaluation'!$A$46:$F$120,3,0),""))&amp;""</f>
        <v/>
      </c>
      <c r="L200" s="199" t="str">
        <f>IFERROR(VLOOKUP($I200,'Institution Evaluation'!$A$55:$F$345,4,0),IFERROR(VLOOKUP($I200,'Privacy Analyst Evaluation'!$A$46:$F$120,4,0),""))&amp;""</f>
        <v/>
      </c>
      <c r="M200" s="199" t="str">
        <f>IFERROR(VLOOKUP($I200,'Institution Evaluation'!$A$55:$F$345,6,0),IFERROR(VLOOKUP($I200,'Privacy Analyst Evaluation'!$A$46:$F$120,6,0),""))&amp;""</f>
        <v/>
      </c>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row>
    <row r="201" spans="1:338" ht="17" x14ac:dyDescent="0.2">
      <c r="A201" s="199" t="str">
        <f>IFERROR(IF($A200+1&gt;'(backend scoring)'!$T$335,"",$A200+1),"")</f>
        <v/>
      </c>
      <c r="B201" s="199" t="str">
        <f>_xlfn.XLOOKUP($A201,'(backend scoring)'!$V$2:$V$333,'(backend scoring)'!$A$2:$A$333,"")</f>
        <v/>
      </c>
      <c r="C201" s="199" t="str">
        <f>IFERROR(VLOOKUP($B201,'Institution Evaluation'!$A$55:$F$345,2,0),IFERROR(VLOOKUP($B201,'Privacy Analyst Evaluation'!$A$46:$F$120,2,0),""))&amp;""</f>
        <v/>
      </c>
      <c r="D201" s="199" t="str">
        <f>IFERROR(VLOOKUP($B201,'Institution Evaluation'!$A$55:$F$345,3,0),IFERROR(VLOOKUP($B201,'Privacy Analyst Evaluation'!$A$46:$F$120,3,0),""))&amp;""</f>
        <v/>
      </c>
      <c r="E201" s="199" t="str">
        <f>IFERROR(VLOOKUP($B201,'Institution Evaluation'!$A$55:$F$345,4,0),IFERROR(VLOOKUP($B201,'Privacy Analyst Evaluation'!$A$46:$F$120,4,0),""))&amp;""</f>
        <v/>
      </c>
      <c r="F201" s="199" t="str">
        <f>IFERROR(VLOOKUP($B201,'Institution Evaluation'!$A$55:$F$345,6,0),IFERROR(VLOOKUP($B201,'Privacy Analyst Evaluation'!$A$46:$F$120,6,0),""))&amp;""</f>
        <v/>
      </c>
      <c r="G201" s="200"/>
      <c r="H201" s="199" t="str">
        <f>IFERROR(IF($H200+1&gt;'(backend scoring)'!$Q$335,"",$H200+1),"")</f>
        <v/>
      </c>
      <c r="I201" s="199" t="str">
        <f>_xlfn.XLOOKUP($H201,'(backend scoring)'!$S$2:$S$333,'(backend scoring)'!$A$2:$A$333,"")</f>
        <v/>
      </c>
      <c r="J201" s="199" t="str">
        <f>IFERROR(VLOOKUP($I201,'Institution Evaluation'!$A$55:$F$345,2,0),IFERROR(VLOOKUP($I201,'Privacy Analyst Evaluation'!$A$46:$F$120,2,0),""))</f>
        <v/>
      </c>
      <c r="K201" s="199" t="str">
        <f>IFERROR(VLOOKUP($I201,'Institution Evaluation'!$A$55:$F$345,3,0),IFERROR(VLOOKUP($I201,'Privacy Analyst Evaluation'!$A$46:$F$120,3,0),""))&amp;""</f>
        <v/>
      </c>
      <c r="L201" s="199" t="str">
        <f>IFERROR(VLOOKUP($I201,'Institution Evaluation'!$A$55:$F$345,4,0),IFERROR(VLOOKUP($I201,'Privacy Analyst Evaluation'!$A$46:$F$120,4,0),""))&amp;""</f>
        <v/>
      </c>
      <c r="M201" s="199" t="str">
        <f>IFERROR(VLOOKUP($I201,'Institution Evaluation'!$A$55:$F$345,6,0),IFERROR(VLOOKUP($I201,'Privacy Analyst Evaluation'!$A$46:$F$120,6,0),""))&amp;""</f>
        <v/>
      </c>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row>
    <row r="202" spans="1:338" ht="17" x14ac:dyDescent="0.2">
      <c r="A202" s="199" t="str">
        <f>IFERROR(IF($A201+1&gt;'(backend scoring)'!$T$335,"",$A201+1),"")</f>
        <v/>
      </c>
      <c r="B202" s="199" t="str">
        <f>_xlfn.XLOOKUP($A202,'(backend scoring)'!$V$2:$V$333,'(backend scoring)'!$A$2:$A$333,"")</f>
        <v/>
      </c>
      <c r="C202" s="199" t="str">
        <f>IFERROR(VLOOKUP($B202,'Institution Evaluation'!$A$55:$F$345,2,0),IFERROR(VLOOKUP($B202,'Privacy Analyst Evaluation'!$A$46:$F$120,2,0),""))&amp;""</f>
        <v/>
      </c>
      <c r="D202" s="199" t="str">
        <f>IFERROR(VLOOKUP($B202,'Institution Evaluation'!$A$55:$F$345,3,0),IFERROR(VLOOKUP($B202,'Privacy Analyst Evaluation'!$A$46:$F$120,3,0),""))&amp;""</f>
        <v/>
      </c>
      <c r="E202" s="199" t="str">
        <f>IFERROR(VLOOKUP($B202,'Institution Evaluation'!$A$55:$F$345,4,0),IFERROR(VLOOKUP($B202,'Privacy Analyst Evaluation'!$A$46:$F$120,4,0),""))&amp;""</f>
        <v/>
      </c>
      <c r="F202" s="199" t="str">
        <f>IFERROR(VLOOKUP($B202,'Institution Evaluation'!$A$55:$F$345,6,0),IFERROR(VLOOKUP($B202,'Privacy Analyst Evaluation'!$A$46:$F$120,6,0),""))&amp;""</f>
        <v/>
      </c>
      <c r="G202" s="200"/>
      <c r="H202" s="199" t="str">
        <f>IFERROR(IF($H201+1&gt;'(backend scoring)'!$Q$335,"",$H201+1),"")</f>
        <v/>
      </c>
      <c r="I202" s="199" t="str">
        <f>_xlfn.XLOOKUP($H202,'(backend scoring)'!$S$2:$S$333,'(backend scoring)'!$A$2:$A$333,"")</f>
        <v/>
      </c>
      <c r="J202" s="199" t="str">
        <f>IFERROR(VLOOKUP($I202,'Institution Evaluation'!$A$55:$F$345,2,0),IFERROR(VLOOKUP($I202,'Privacy Analyst Evaluation'!$A$46:$F$120,2,0),""))</f>
        <v/>
      </c>
      <c r="K202" s="199" t="str">
        <f>IFERROR(VLOOKUP($I202,'Institution Evaluation'!$A$55:$F$345,3,0),IFERROR(VLOOKUP($I202,'Privacy Analyst Evaluation'!$A$46:$F$120,3,0),""))&amp;""</f>
        <v/>
      </c>
      <c r="L202" s="199" t="str">
        <f>IFERROR(VLOOKUP($I202,'Institution Evaluation'!$A$55:$F$345,4,0),IFERROR(VLOOKUP($I202,'Privacy Analyst Evaluation'!$A$46:$F$120,4,0),""))&amp;""</f>
        <v/>
      </c>
      <c r="M202" s="199" t="str">
        <f>IFERROR(VLOOKUP($I202,'Institution Evaluation'!$A$55:$F$345,6,0),IFERROR(VLOOKUP($I202,'Privacy Analyst Evaluation'!$A$46:$F$120,6,0),""))&amp;""</f>
        <v/>
      </c>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row>
    <row r="203" spans="1:338" ht="17" x14ac:dyDescent="0.2">
      <c r="A203" s="199" t="str">
        <f>IFERROR(IF($A202+1&gt;'(backend scoring)'!$T$335,"",$A202+1),"")</f>
        <v/>
      </c>
      <c r="B203" s="199" t="str">
        <f>_xlfn.XLOOKUP($A203,'(backend scoring)'!$V$2:$V$333,'(backend scoring)'!$A$2:$A$333,"")</f>
        <v/>
      </c>
      <c r="C203" s="199" t="str">
        <f>IFERROR(VLOOKUP($B203,'Institution Evaluation'!$A$55:$F$345,2,0),IFERROR(VLOOKUP($B203,'Privacy Analyst Evaluation'!$A$46:$F$120,2,0),""))&amp;""</f>
        <v/>
      </c>
      <c r="D203" s="199" t="str">
        <f>IFERROR(VLOOKUP($B203,'Institution Evaluation'!$A$55:$F$345,3,0),IFERROR(VLOOKUP($B203,'Privacy Analyst Evaluation'!$A$46:$F$120,3,0),""))&amp;""</f>
        <v/>
      </c>
      <c r="E203" s="199" t="str">
        <f>IFERROR(VLOOKUP($B203,'Institution Evaluation'!$A$55:$F$345,4,0),IFERROR(VLOOKUP($B203,'Privacy Analyst Evaluation'!$A$46:$F$120,4,0),""))&amp;""</f>
        <v/>
      </c>
      <c r="F203" s="199" t="str">
        <f>IFERROR(VLOOKUP($B203,'Institution Evaluation'!$A$55:$F$345,6,0),IFERROR(VLOOKUP($B203,'Privacy Analyst Evaluation'!$A$46:$F$120,6,0),""))&amp;""</f>
        <v/>
      </c>
      <c r="G203" s="200"/>
      <c r="H203" s="199" t="str">
        <f>IFERROR(IF($H202+1&gt;'(backend scoring)'!$Q$335,"",$H202+1),"")</f>
        <v/>
      </c>
      <c r="I203" s="199" t="str">
        <f>_xlfn.XLOOKUP($H203,'(backend scoring)'!$S$2:$S$333,'(backend scoring)'!$A$2:$A$333,"")</f>
        <v/>
      </c>
      <c r="J203" s="199" t="str">
        <f>IFERROR(VLOOKUP($I203,'Institution Evaluation'!$A$55:$F$345,2,0),IFERROR(VLOOKUP($I203,'Privacy Analyst Evaluation'!$A$46:$F$120,2,0),""))</f>
        <v/>
      </c>
      <c r="K203" s="199" t="str">
        <f>IFERROR(VLOOKUP($I203,'Institution Evaluation'!$A$55:$F$345,3,0),IFERROR(VLOOKUP($I203,'Privacy Analyst Evaluation'!$A$46:$F$120,3,0),""))&amp;""</f>
        <v/>
      </c>
      <c r="L203" s="199" t="str">
        <f>IFERROR(VLOOKUP($I203,'Institution Evaluation'!$A$55:$F$345,4,0),IFERROR(VLOOKUP($I203,'Privacy Analyst Evaluation'!$A$46:$F$120,4,0),""))&amp;""</f>
        <v/>
      </c>
      <c r="M203" s="199" t="str">
        <f>IFERROR(VLOOKUP($I203,'Institution Evaluation'!$A$55:$F$345,6,0),IFERROR(VLOOKUP($I203,'Privacy Analyst Evaluation'!$A$46:$F$120,6,0),""))&amp;""</f>
        <v/>
      </c>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row>
    <row r="204" spans="1:338" ht="17" x14ac:dyDescent="0.2">
      <c r="A204" s="199" t="str">
        <f>IFERROR(IF($A203+1&gt;'(backend scoring)'!$T$335,"",$A203+1),"")</f>
        <v/>
      </c>
      <c r="B204" s="199" t="str">
        <f>_xlfn.XLOOKUP($A204,'(backend scoring)'!$V$2:$V$333,'(backend scoring)'!$A$2:$A$333,"")</f>
        <v/>
      </c>
      <c r="C204" s="199" t="str">
        <f>IFERROR(VLOOKUP($B204,'Institution Evaluation'!$A$55:$F$345,2,0),IFERROR(VLOOKUP($B204,'Privacy Analyst Evaluation'!$A$46:$F$120,2,0),""))&amp;""</f>
        <v/>
      </c>
      <c r="D204" s="199" t="str">
        <f>IFERROR(VLOOKUP($B204,'Institution Evaluation'!$A$55:$F$345,3,0),IFERROR(VLOOKUP($B204,'Privacy Analyst Evaluation'!$A$46:$F$120,3,0),""))&amp;""</f>
        <v/>
      </c>
      <c r="E204" s="199" t="str">
        <f>IFERROR(VLOOKUP($B204,'Institution Evaluation'!$A$55:$F$345,4,0),IFERROR(VLOOKUP($B204,'Privacy Analyst Evaluation'!$A$46:$F$120,4,0),""))&amp;""</f>
        <v/>
      </c>
      <c r="F204" s="199" t="str">
        <f>IFERROR(VLOOKUP($B204,'Institution Evaluation'!$A$55:$F$345,6,0),IFERROR(VLOOKUP($B204,'Privacy Analyst Evaluation'!$A$46:$F$120,6,0),""))&amp;""</f>
        <v/>
      </c>
      <c r="G204" s="200"/>
      <c r="H204" s="199" t="str">
        <f>IFERROR(IF($H203+1&gt;'(backend scoring)'!$Q$335,"",$H203+1),"")</f>
        <v/>
      </c>
      <c r="I204" s="199" t="str">
        <f>_xlfn.XLOOKUP($H204,'(backend scoring)'!$S$2:$S$333,'(backend scoring)'!$A$2:$A$333,"")</f>
        <v/>
      </c>
      <c r="J204" s="199" t="str">
        <f>IFERROR(VLOOKUP($I204,'Institution Evaluation'!$A$55:$F$345,2,0),IFERROR(VLOOKUP($I204,'Privacy Analyst Evaluation'!$A$46:$F$120,2,0),""))</f>
        <v/>
      </c>
      <c r="K204" s="199" t="str">
        <f>IFERROR(VLOOKUP($I204,'Institution Evaluation'!$A$55:$F$345,3,0),IFERROR(VLOOKUP($I204,'Privacy Analyst Evaluation'!$A$46:$F$120,3,0),""))&amp;""</f>
        <v/>
      </c>
      <c r="L204" s="199" t="str">
        <f>IFERROR(VLOOKUP($I204,'Institution Evaluation'!$A$55:$F$345,4,0),IFERROR(VLOOKUP($I204,'Privacy Analyst Evaluation'!$A$46:$F$120,4,0),""))&amp;""</f>
        <v/>
      </c>
      <c r="M204" s="199" t="str">
        <f>IFERROR(VLOOKUP($I204,'Institution Evaluation'!$A$55:$F$345,6,0),IFERROR(VLOOKUP($I204,'Privacy Analyst Evaluation'!$A$46:$F$120,6,0),""))&amp;""</f>
        <v/>
      </c>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row>
    <row r="205" spans="1:338" ht="17" x14ac:dyDescent="0.2">
      <c r="A205" s="199" t="str">
        <f>IFERROR(IF($A204+1&gt;'(backend scoring)'!$T$335,"",$A204+1),"")</f>
        <v/>
      </c>
      <c r="B205" s="199" t="str">
        <f>_xlfn.XLOOKUP($A205,'(backend scoring)'!$V$2:$V$333,'(backend scoring)'!$A$2:$A$333,"")</f>
        <v/>
      </c>
      <c r="C205" s="199" t="str">
        <f>IFERROR(VLOOKUP($B205,'Institution Evaluation'!$A$55:$F$345,2,0),IFERROR(VLOOKUP($B205,'Privacy Analyst Evaluation'!$A$46:$F$120,2,0),""))&amp;""</f>
        <v/>
      </c>
      <c r="D205" s="199" t="str">
        <f>IFERROR(VLOOKUP($B205,'Institution Evaluation'!$A$55:$F$345,3,0),IFERROR(VLOOKUP($B205,'Privacy Analyst Evaluation'!$A$46:$F$120,3,0),""))&amp;""</f>
        <v/>
      </c>
      <c r="E205" s="199" t="str">
        <f>IFERROR(VLOOKUP($B205,'Institution Evaluation'!$A$55:$F$345,4,0),IFERROR(VLOOKUP($B205,'Privacy Analyst Evaluation'!$A$46:$F$120,4,0),""))&amp;""</f>
        <v/>
      </c>
      <c r="F205" s="199" t="str">
        <f>IFERROR(VLOOKUP($B205,'Institution Evaluation'!$A$55:$F$345,6,0),IFERROR(VLOOKUP($B205,'Privacy Analyst Evaluation'!$A$46:$F$120,6,0),""))&amp;""</f>
        <v/>
      </c>
      <c r="G205" s="200"/>
      <c r="H205" s="199" t="str">
        <f>IFERROR(IF($H204+1&gt;'(backend scoring)'!$Q$335,"",$H204+1),"")</f>
        <v/>
      </c>
      <c r="I205" s="199" t="str">
        <f>_xlfn.XLOOKUP($H205,'(backend scoring)'!$S$2:$S$333,'(backend scoring)'!$A$2:$A$333,"")</f>
        <v/>
      </c>
      <c r="J205" s="199" t="str">
        <f>IFERROR(VLOOKUP($I205,'Institution Evaluation'!$A$55:$F$345,2,0),IFERROR(VLOOKUP($I205,'Privacy Analyst Evaluation'!$A$46:$F$120,2,0),""))</f>
        <v/>
      </c>
      <c r="K205" s="199" t="str">
        <f>IFERROR(VLOOKUP($I205,'Institution Evaluation'!$A$55:$F$345,3,0),IFERROR(VLOOKUP($I205,'Privacy Analyst Evaluation'!$A$46:$F$120,3,0),""))&amp;""</f>
        <v/>
      </c>
      <c r="L205" s="199" t="str">
        <f>IFERROR(VLOOKUP($I205,'Institution Evaluation'!$A$55:$F$345,4,0),IFERROR(VLOOKUP($I205,'Privacy Analyst Evaluation'!$A$46:$F$120,4,0),""))&amp;""</f>
        <v/>
      </c>
      <c r="M205" s="199" t="str">
        <f>IFERROR(VLOOKUP($I205,'Institution Evaluation'!$A$55:$F$345,6,0),IFERROR(VLOOKUP($I205,'Privacy Analyst Evaluation'!$A$46:$F$120,6,0),""))&amp;""</f>
        <v/>
      </c>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row>
    <row r="206" spans="1:338" ht="17" x14ac:dyDescent="0.2">
      <c r="A206" s="199" t="str">
        <f>IFERROR(IF($A205+1&gt;'(backend scoring)'!$T$335,"",$A205+1),"")</f>
        <v/>
      </c>
      <c r="B206" s="199" t="str">
        <f>_xlfn.XLOOKUP($A206,'(backend scoring)'!$V$2:$V$333,'(backend scoring)'!$A$2:$A$333,"")</f>
        <v/>
      </c>
      <c r="C206" s="199" t="str">
        <f>IFERROR(VLOOKUP($B206,'Institution Evaluation'!$A$55:$F$345,2,0),IFERROR(VLOOKUP($B206,'Privacy Analyst Evaluation'!$A$46:$F$120,2,0),""))&amp;""</f>
        <v/>
      </c>
      <c r="D206" s="199" t="str">
        <f>IFERROR(VLOOKUP($B206,'Institution Evaluation'!$A$55:$F$345,3,0),IFERROR(VLOOKUP($B206,'Privacy Analyst Evaluation'!$A$46:$F$120,3,0),""))&amp;""</f>
        <v/>
      </c>
      <c r="E206" s="199" t="str">
        <f>IFERROR(VLOOKUP($B206,'Institution Evaluation'!$A$55:$F$345,4,0),IFERROR(VLOOKUP($B206,'Privacy Analyst Evaluation'!$A$46:$F$120,4,0),""))&amp;""</f>
        <v/>
      </c>
      <c r="F206" s="199" t="str">
        <f>IFERROR(VLOOKUP($B206,'Institution Evaluation'!$A$55:$F$345,6,0),IFERROR(VLOOKUP($B206,'Privacy Analyst Evaluation'!$A$46:$F$120,6,0),""))&amp;""</f>
        <v/>
      </c>
      <c r="G206" s="200"/>
      <c r="H206" s="199" t="str">
        <f>IFERROR(IF($H205+1&gt;'(backend scoring)'!$Q$335,"",$H205+1),"")</f>
        <v/>
      </c>
      <c r="I206" s="199" t="str">
        <f>_xlfn.XLOOKUP($H206,'(backend scoring)'!$S$2:$S$333,'(backend scoring)'!$A$2:$A$333,"")</f>
        <v/>
      </c>
      <c r="J206" s="199" t="str">
        <f>IFERROR(VLOOKUP($I206,'Institution Evaluation'!$A$55:$F$345,2,0),IFERROR(VLOOKUP($I206,'Privacy Analyst Evaluation'!$A$46:$F$120,2,0),""))</f>
        <v/>
      </c>
      <c r="K206" s="199" t="str">
        <f>IFERROR(VLOOKUP($I206,'Institution Evaluation'!$A$55:$F$345,3,0),IFERROR(VLOOKUP($I206,'Privacy Analyst Evaluation'!$A$46:$F$120,3,0),""))&amp;""</f>
        <v/>
      </c>
      <c r="L206" s="199" t="str">
        <f>IFERROR(VLOOKUP($I206,'Institution Evaluation'!$A$55:$F$345,4,0),IFERROR(VLOOKUP($I206,'Privacy Analyst Evaluation'!$A$46:$F$120,4,0),""))&amp;""</f>
        <v/>
      </c>
      <c r="M206" s="199" t="str">
        <f>IFERROR(VLOOKUP($I206,'Institution Evaluation'!$A$55:$F$345,6,0),IFERROR(VLOOKUP($I206,'Privacy Analyst Evaluation'!$A$46:$F$120,6,0),""))&amp;""</f>
        <v/>
      </c>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row>
    <row r="207" spans="1:338" ht="17" x14ac:dyDescent="0.2">
      <c r="A207" s="199" t="str">
        <f>IFERROR(IF($A206+1&gt;'(backend scoring)'!$T$335,"",$A206+1),"")</f>
        <v/>
      </c>
      <c r="B207" s="199" t="str">
        <f>_xlfn.XLOOKUP($A207,'(backend scoring)'!$V$2:$V$333,'(backend scoring)'!$A$2:$A$333,"")</f>
        <v/>
      </c>
      <c r="C207" s="199" t="str">
        <f>IFERROR(VLOOKUP($B207,'Institution Evaluation'!$A$55:$F$345,2,0),IFERROR(VLOOKUP($B207,'Privacy Analyst Evaluation'!$A$46:$F$120,2,0),""))&amp;""</f>
        <v/>
      </c>
      <c r="D207" s="199" t="str">
        <f>IFERROR(VLOOKUP($B207,'Institution Evaluation'!$A$55:$F$345,3,0),IFERROR(VLOOKUP($B207,'Privacy Analyst Evaluation'!$A$46:$F$120,3,0),""))&amp;""</f>
        <v/>
      </c>
      <c r="E207" s="199" t="str">
        <f>IFERROR(VLOOKUP($B207,'Institution Evaluation'!$A$55:$F$345,4,0),IFERROR(VLOOKUP($B207,'Privacy Analyst Evaluation'!$A$46:$F$120,4,0),""))&amp;""</f>
        <v/>
      </c>
      <c r="F207" s="199" t="str">
        <f>IFERROR(VLOOKUP($B207,'Institution Evaluation'!$A$55:$F$345,6,0),IFERROR(VLOOKUP($B207,'Privacy Analyst Evaluation'!$A$46:$F$120,6,0),""))&amp;""</f>
        <v/>
      </c>
      <c r="G207" s="200"/>
      <c r="H207" s="199" t="str">
        <f>IFERROR(IF($H206+1&gt;'(backend scoring)'!$Q$335,"",$H206+1),"")</f>
        <v/>
      </c>
      <c r="I207" s="199" t="str">
        <f>_xlfn.XLOOKUP($H207,'(backend scoring)'!$S$2:$S$333,'(backend scoring)'!$A$2:$A$333,"")</f>
        <v/>
      </c>
      <c r="J207" s="199" t="str">
        <f>IFERROR(VLOOKUP($I207,'Institution Evaluation'!$A$55:$F$345,2,0),IFERROR(VLOOKUP($I207,'Privacy Analyst Evaluation'!$A$46:$F$120,2,0),""))</f>
        <v/>
      </c>
      <c r="K207" s="199" t="str">
        <f>IFERROR(VLOOKUP($I207,'Institution Evaluation'!$A$55:$F$345,3,0),IFERROR(VLOOKUP($I207,'Privacy Analyst Evaluation'!$A$46:$F$120,3,0),""))&amp;""</f>
        <v/>
      </c>
      <c r="L207" s="199" t="str">
        <f>IFERROR(VLOOKUP($I207,'Institution Evaluation'!$A$55:$F$345,4,0),IFERROR(VLOOKUP($I207,'Privacy Analyst Evaluation'!$A$46:$F$120,4,0),""))&amp;""</f>
        <v/>
      </c>
      <c r="M207" s="199" t="str">
        <f>IFERROR(VLOOKUP($I207,'Institution Evaluation'!$A$55:$F$345,6,0),IFERROR(VLOOKUP($I207,'Privacy Analyst Evaluation'!$A$46:$F$120,6,0),""))&amp;""</f>
        <v/>
      </c>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c r="EZ207"/>
      <c r="FA207"/>
      <c r="FB207"/>
      <c r="FC207"/>
      <c r="FD207"/>
      <c r="FE207"/>
      <c r="FF207"/>
      <c r="FG207"/>
      <c r="FH207"/>
      <c r="FI207"/>
      <c r="FJ207"/>
      <c r="FK207"/>
      <c r="FL207"/>
      <c r="FM207"/>
      <c r="FN207"/>
      <c r="FO207"/>
      <c r="FP207"/>
      <c r="FQ207"/>
      <c r="FR207"/>
      <c r="FS207"/>
      <c r="FT207"/>
      <c r="FU207"/>
      <c r="FV207"/>
      <c r="FW207"/>
      <c r="FX207"/>
      <c r="FY207"/>
      <c r="FZ207"/>
      <c r="GA207"/>
      <c r="GB207"/>
      <c r="GC207"/>
      <c r="GD207"/>
      <c r="GE207"/>
      <c r="GF207"/>
      <c r="GG207"/>
      <c r="GH207"/>
      <c r="GI207"/>
      <c r="GJ207"/>
      <c r="GK207"/>
      <c r="GL207"/>
      <c r="GM207"/>
      <c r="GN207"/>
      <c r="GO207"/>
      <c r="GP207"/>
      <c r="GQ207"/>
      <c r="GR207"/>
      <c r="GS207"/>
      <c r="GT207"/>
      <c r="GU207"/>
      <c r="GV207"/>
      <c r="GW207"/>
      <c r="GX207"/>
      <c r="GY207"/>
      <c r="GZ207"/>
      <c r="HA207"/>
      <c r="HB207"/>
      <c r="HC207"/>
      <c r="HD207"/>
      <c r="HE207"/>
      <c r="HF207"/>
      <c r="HG207"/>
      <c r="HH207"/>
      <c r="HI207"/>
      <c r="HJ207"/>
      <c r="HK207"/>
      <c r="HL207"/>
      <c r="HM207"/>
      <c r="HN207"/>
      <c r="HO207"/>
      <c r="HP207"/>
      <c r="HQ207"/>
      <c r="HR207"/>
      <c r="HS207"/>
      <c r="HT207"/>
      <c r="HU207"/>
      <c r="HV207"/>
      <c r="HW207"/>
      <c r="HX207"/>
      <c r="HY207"/>
      <c r="HZ207"/>
      <c r="IA207"/>
      <c r="IB207"/>
      <c r="IC207"/>
      <c r="ID207"/>
      <c r="IE207"/>
      <c r="IF207"/>
      <c r="IG207"/>
      <c r="IH207"/>
      <c r="II207"/>
      <c r="IJ207"/>
      <c r="IK207"/>
      <c r="IL207"/>
      <c r="IM207"/>
      <c r="IN207"/>
      <c r="IO207"/>
      <c r="IP207"/>
      <c r="IQ207"/>
      <c r="IR207"/>
      <c r="IS207"/>
      <c r="IT207"/>
      <c r="IU207"/>
      <c r="IV207"/>
      <c r="IW207"/>
      <c r="IX207"/>
      <c r="IY207"/>
      <c r="IZ207"/>
      <c r="JA207"/>
      <c r="JB207"/>
      <c r="JC207"/>
      <c r="JD207"/>
      <c r="JE207"/>
      <c r="JF207"/>
      <c r="JG207"/>
      <c r="JH207"/>
      <c r="JI207"/>
      <c r="JJ207"/>
      <c r="JK207"/>
      <c r="JL207"/>
      <c r="JM207"/>
      <c r="JN207"/>
      <c r="JO207"/>
      <c r="JP207"/>
      <c r="JQ207"/>
      <c r="JR207"/>
      <c r="JS207"/>
      <c r="JT207"/>
      <c r="JU207"/>
      <c r="JV207"/>
      <c r="JW207"/>
      <c r="JX207"/>
      <c r="JY207"/>
      <c r="JZ207"/>
      <c r="KA207"/>
      <c r="KB207"/>
      <c r="KC207"/>
      <c r="KD207"/>
      <c r="KE207"/>
      <c r="KF207"/>
      <c r="KG207"/>
      <c r="KH207"/>
      <c r="KI207"/>
      <c r="KJ207"/>
      <c r="KK207"/>
      <c r="KL207"/>
      <c r="KM207"/>
      <c r="KN207"/>
      <c r="KO207"/>
      <c r="KP207"/>
      <c r="KQ207"/>
      <c r="KR207"/>
      <c r="KS207"/>
      <c r="KT207"/>
      <c r="KU207"/>
      <c r="KV207"/>
      <c r="KW207"/>
      <c r="KX207"/>
      <c r="KY207"/>
      <c r="KZ207"/>
      <c r="LA207"/>
      <c r="LB207"/>
      <c r="LC207"/>
      <c r="LD207"/>
      <c r="LE207"/>
      <c r="LF207"/>
      <c r="LG207"/>
      <c r="LH207"/>
      <c r="LI207"/>
      <c r="LJ207"/>
      <c r="LK207"/>
      <c r="LL207"/>
      <c r="LM207"/>
      <c r="LN207"/>
      <c r="LO207"/>
      <c r="LP207"/>
      <c r="LQ207"/>
      <c r="LR207"/>
      <c r="LS207"/>
      <c r="LT207"/>
      <c r="LU207"/>
      <c r="LV207"/>
      <c r="LW207"/>
      <c r="LX207"/>
      <c r="LY207"/>
      <c r="LZ207"/>
    </row>
    <row r="208" spans="1:338" ht="17" x14ac:dyDescent="0.2">
      <c r="A208" s="199" t="str">
        <f>IFERROR(IF($A207+1&gt;'(backend scoring)'!$T$335,"",$A207+1),"")</f>
        <v/>
      </c>
      <c r="B208" s="199" t="str">
        <f>_xlfn.XLOOKUP($A208,'(backend scoring)'!$V$2:$V$333,'(backend scoring)'!$A$2:$A$333,"")</f>
        <v/>
      </c>
      <c r="C208" s="199" t="str">
        <f>IFERROR(VLOOKUP($B208,'Institution Evaluation'!$A$55:$F$345,2,0),IFERROR(VLOOKUP($B208,'Privacy Analyst Evaluation'!$A$46:$F$120,2,0),""))&amp;""</f>
        <v/>
      </c>
      <c r="D208" s="199" t="str">
        <f>IFERROR(VLOOKUP($B208,'Institution Evaluation'!$A$55:$F$345,3,0),IFERROR(VLOOKUP($B208,'Privacy Analyst Evaluation'!$A$46:$F$120,3,0),""))&amp;""</f>
        <v/>
      </c>
      <c r="E208" s="199" t="str">
        <f>IFERROR(VLOOKUP($B208,'Institution Evaluation'!$A$55:$F$345,4,0),IFERROR(VLOOKUP($B208,'Privacy Analyst Evaluation'!$A$46:$F$120,4,0),""))&amp;""</f>
        <v/>
      </c>
      <c r="F208" s="199" t="str">
        <f>IFERROR(VLOOKUP($B208,'Institution Evaluation'!$A$55:$F$345,6,0),IFERROR(VLOOKUP($B208,'Privacy Analyst Evaluation'!$A$46:$F$120,6,0),""))&amp;""</f>
        <v/>
      </c>
      <c r="G208" s="200"/>
      <c r="H208" s="199" t="str">
        <f>IFERROR(IF($H207+1&gt;'(backend scoring)'!$Q$335,"",$H207+1),"")</f>
        <v/>
      </c>
      <c r="I208" s="199" t="str">
        <f>_xlfn.XLOOKUP($H208,'(backend scoring)'!$S$2:$S$333,'(backend scoring)'!$A$2:$A$333,"")</f>
        <v/>
      </c>
      <c r="J208" s="199" t="str">
        <f>IFERROR(VLOOKUP($I208,'Institution Evaluation'!$A$55:$F$345,2,0),IFERROR(VLOOKUP($I208,'Privacy Analyst Evaluation'!$A$46:$F$120,2,0),""))</f>
        <v/>
      </c>
      <c r="K208" s="199" t="str">
        <f>IFERROR(VLOOKUP($I208,'Institution Evaluation'!$A$55:$F$345,3,0),IFERROR(VLOOKUP($I208,'Privacy Analyst Evaluation'!$A$46:$F$120,3,0),""))&amp;""</f>
        <v/>
      </c>
      <c r="L208" s="199" t="str">
        <f>IFERROR(VLOOKUP($I208,'Institution Evaluation'!$A$55:$F$345,4,0),IFERROR(VLOOKUP($I208,'Privacy Analyst Evaluation'!$A$46:$F$120,4,0),""))&amp;""</f>
        <v/>
      </c>
      <c r="M208" s="199" t="str">
        <f>IFERROR(VLOOKUP($I208,'Institution Evaluation'!$A$55:$F$345,6,0),IFERROR(VLOOKUP($I208,'Privacy Analyst Evaluation'!$A$46:$F$120,6,0),""))&amp;""</f>
        <v/>
      </c>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row>
    <row r="209" spans="1:338" ht="17" x14ac:dyDescent="0.2">
      <c r="A209" s="199" t="str">
        <f>IFERROR(IF($A208+1&gt;'(backend scoring)'!$T$335,"",$A208+1),"")</f>
        <v/>
      </c>
      <c r="B209" s="199" t="str">
        <f>_xlfn.XLOOKUP($A209,'(backend scoring)'!$V$2:$V$333,'(backend scoring)'!$A$2:$A$333,"")</f>
        <v/>
      </c>
      <c r="C209" s="199" t="str">
        <f>IFERROR(VLOOKUP($B209,'Institution Evaluation'!$A$55:$F$345,2,0),IFERROR(VLOOKUP($B209,'Privacy Analyst Evaluation'!$A$46:$F$120,2,0),""))&amp;""</f>
        <v/>
      </c>
      <c r="D209" s="199" t="str">
        <f>IFERROR(VLOOKUP($B209,'Institution Evaluation'!$A$55:$F$345,3,0),IFERROR(VLOOKUP($B209,'Privacy Analyst Evaluation'!$A$46:$F$120,3,0),""))&amp;""</f>
        <v/>
      </c>
      <c r="E209" s="199" t="str">
        <f>IFERROR(VLOOKUP($B209,'Institution Evaluation'!$A$55:$F$345,4,0),IFERROR(VLOOKUP($B209,'Privacy Analyst Evaluation'!$A$46:$F$120,4,0),""))&amp;""</f>
        <v/>
      </c>
      <c r="F209" s="199" t="str">
        <f>IFERROR(VLOOKUP($B209,'Institution Evaluation'!$A$55:$F$345,6,0),IFERROR(VLOOKUP($B209,'Privacy Analyst Evaluation'!$A$46:$F$120,6,0),""))&amp;""</f>
        <v/>
      </c>
      <c r="G209" s="200"/>
      <c r="H209" s="199" t="str">
        <f>IFERROR(IF($H208+1&gt;'(backend scoring)'!$Q$335,"",$H208+1),"")</f>
        <v/>
      </c>
      <c r="I209" s="199" t="str">
        <f>_xlfn.XLOOKUP($H209,'(backend scoring)'!$S$2:$S$333,'(backend scoring)'!$A$2:$A$333,"")</f>
        <v/>
      </c>
      <c r="J209" s="199" t="str">
        <f>IFERROR(VLOOKUP($I209,'Institution Evaluation'!$A$55:$F$345,2,0),IFERROR(VLOOKUP($I209,'Privacy Analyst Evaluation'!$A$46:$F$120,2,0),""))</f>
        <v/>
      </c>
      <c r="K209" s="199" t="str">
        <f>IFERROR(VLOOKUP($I209,'Institution Evaluation'!$A$55:$F$345,3,0),IFERROR(VLOOKUP($I209,'Privacy Analyst Evaluation'!$A$46:$F$120,3,0),""))&amp;""</f>
        <v/>
      </c>
      <c r="L209" s="199" t="str">
        <f>IFERROR(VLOOKUP($I209,'Institution Evaluation'!$A$55:$F$345,4,0),IFERROR(VLOOKUP($I209,'Privacy Analyst Evaluation'!$A$46:$F$120,4,0),""))&amp;""</f>
        <v/>
      </c>
      <c r="M209" s="199" t="str">
        <f>IFERROR(VLOOKUP($I209,'Institution Evaluation'!$A$55:$F$345,6,0),IFERROR(VLOOKUP($I209,'Privacy Analyst Evaluation'!$A$46:$F$120,6,0),""))&amp;""</f>
        <v/>
      </c>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row>
    <row r="210" spans="1:338" ht="17" x14ac:dyDescent="0.2">
      <c r="A210" s="199" t="str">
        <f>IFERROR(IF($A209+1&gt;'(backend scoring)'!$T$335,"",$A209+1),"")</f>
        <v/>
      </c>
      <c r="B210" s="199" t="str">
        <f>_xlfn.XLOOKUP($A210,'(backend scoring)'!$V$2:$V$333,'(backend scoring)'!$A$2:$A$333,"")</f>
        <v/>
      </c>
      <c r="C210" s="199" t="str">
        <f>IFERROR(VLOOKUP($B210,'Institution Evaluation'!$A$55:$F$345,2,0),IFERROR(VLOOKUP($B210,'Privacy Analyst Evaluation'!$A$46:$F$120,2,0),""))&amp;""</f>
        <v/>
      </c>
      <c r="D210" s="199" t="str">
        <f>IFERROR(VLOOKUP($B210,'Institution Evaluation'!$A$55:$F$345,3,0),IFERROR(VLOOKUP($B210,'Privacy Analyst Evaluation'!$A$46:$F$120,3,0),""))&amp;""</f>
        <v/>
      </c>
      <c r="E210" s="199" t="str">
        <f>IFERROR(VLOOKUP($B210,'Institution Evaluation'!$A$55:$F$345,4,0),IFERROR(VLOOKUP($B210,'Privacy Analyst Evaluation'!$A$46:$F$120,4,0),""))&amp;""</f>
        <v/>
      </c>
      <c r="F210" s="199" t="str">
        <f>IFERROR(VLOOKUP($B210,'Institution Evaluation'!$A$55:$F$345,6,0),IFERROR(VLOOKUP($B210,'Privacy Analyst Evaluation'!$A$46:$F$120,6,0),""))&amp;""</f>
        <v/>
      </c>
      <c r="G210" s="200"/>
      <c r="H210" s="199" t="str">
        <f>IFERROR(IF($H209+1&gt;'(backend scoring)'!$Q$335,"",$H209+1),"")</f>
        <v/>
      </c>
      <c r="I210" s="199" t="str">
        <f>_xlfn.XLOOKUP($H210,'(backend scoring)'!$S$2:$S$333,'(backend scoring)'!$A$2:$A$333,"")</f>
        <v/>
      </c>
      <c r="J210" s="199" t="str">
        <f>IFERROR(VLOOKUP($I210,'Institution Evaluation'!$A$55:$F$345,2,0),IFERROR(VLOOKUP($I210,'Privacy Analyst Evaluation'!$A$46:$F$120,2,0),""))</f>
        <v/>
      </c>
      <c r="K210" s="199" t="str">
        <f>IFERROR(VLOOKUP($I210,'Institution Evaluation'!$A$55:$F$345,3,0),IFERROR(VLOOKUP($I210,'Privacy Analyst Evaluation'!$A$46:$F$120,3,0),""))&amp;""</f>
        <v/>
      </c>
      <c r="L210" s="199" t="str">
        <f>IFERROR(VLOOKUP($I210,'Institution Evaluation'!$A$55:$F$345,4,0),IFERROR(VLOOKUP($I210,'Privacy Analyst Evaluation'!$A$46:$F$120,4,0),""))&amp;""</f>
        <v/>
      </c>
      <c r="M210" s="199" t="str">
        <f>IFERROR(VLOOKUP($I210,'Institution Evaluation'!$A$55:$F$345,6,0),IFERROR(VLOOKUP($I210,'Privacy Analyst Evaluation'!$A$46:$F$120,6,0),""))&amp;""</f>
        <v/>
      </c>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row>
    <row r="211" spans="1:338" ht="17" x14ac:dyDescent="0.2">
      <c r="A211" s="199" t="str">
        <f>IFERROR(IF($A210+1&gt;'(backend scoring)'!$T$335,"",$A210+1),"")</f>
        <v/>
      </c>
      <c r="B211" s="199" t="str">
        <f>_xlfn.XLOOKUP($A211,'(backend scoring)'!$V$2:$V$333,'(backend scoring)'!$A$2:$A$333,"")</f>
        <v/>
      </c>
      <c r="C211" s="199" t="str">
        <f>IFERROR(VLOOKUP($B211,'Institution Evaluation'!$A$55:$F$345,2,0),IFERROR(VLOOKUP($B211,'Privacy Analyst Evaluation'!$A$46:$F$120,2,0),""))&amp;""</f>
        <v/>
      </c>
      <c r="D211" s="199" t="str">
        <f>IFERROR(VLOOKUP($B211,'Institution Evaluation'!$A$55:$F$345,3,0),IFERROR(VLOOKUP($B211,'Privacy Analyst Evaluation'!$A$46:$F$120,3,0),""))&amp;""</f>
        <v/>
      </c>
      <c r="E211" s="199" t="str">
        <f>IFERROR(VLOOKUP($B211,'Institution Evaluation'!$A$55:$F$345,4,0),IFERROR(VLOOKUP($B211,'Privacy Analyst Evaluation'!$A$46:$F$120,4,0),""))&amp;""</f>
        <v/>
      </c>
      <c r="F211" s="199" t="str">
        <f>IFERROR(VLOOKUP($B211,'Institution Evaluation'!$A$55:$F$345,6,0),IFERROR(VLOOKUP($B211,'Privacy Analyst Evaluation'!$A$46:$F$120,6,0),""))&amp;""</f>
        <v/>
      </c>
      <c r="G211" s="200"/>
      <c r="H211" s="199" t="str">
        <f>IFERROR(IF($H210+1&gt;'(backend scoring)'!$Q$335,"",$H210+1),"")</f>
        <v/>
      </c>
      <c r="I211" s="199" t="str">
        <f>_xlfn.XLOOKUP($H211,'(backend scoring)'!$S$2:$S$333,'(backend scoring)'!$A$2:$A$333,"")</f>
        <v/>
      </c>
      <c r="J211" s="199" t="str">
        <f>IFERROR(VLOOKUP($I211,'Institution Evaluation'!$A$55:$F$345,2,0),IFERROR(VLOOKUP($I211,'Privacy Analyst Evaluation'!$A$46:$F$120,2,0),""))</f>
        <v/>
      </c>
      <c r="K211" s="199" t="str">
        <f>IFERROR(VLOOKUP($I211,'Institution Evaluation'!$A$55:$F$345,3,0),IFERROR(VLOOKUP($I211,'Privacy Analyst Evaluation'!$A$46:$F$120,3,0),""))&amp;""</f>
        <v/>
      </c>
      <c r="L211" s="199" t="str">
        <f>IFERROR(VLOOKUP($I211,'Institution Evaluation'!$A$55:$F$345,4,0),IFERROR(VLOOKUP($I211,'Privacy Analyst Evaluation'!$A$46:$F$120,4,0),""))&amp;""</f>
        <v/>
      </c>
      <c r="M211" s="199" t="str">
        <f>IFERROR(VLOOKUP($I211,'Institution Evaluation'!$A$55:$F$345,6,0),IFERROR(VLOOKUP($I211,'Privacy Analyst Evaluation'!$A$46:$F$120,6,0),""))&amp;""</f>
        <v/>
      </c>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row>
    <row r="212" spans="1:338" ht="17" x14ac:dyDescent="0.2">
      <c r="A212" s="199" t="str">
        <f>IFERROR(IF($A211+1&gt;'(backend scoring)'!$T$335,"",$A211+1),"")</f>
        <v/>
      </c>
      <c r="B212" s="199" t="str">
        <f>_xlfn.XLOOKUP($A212,'(backend scoring)'!$V$2:$V$333,'(backend scoring)'!$A$2:$A$333,"")</f>
        <v/>
      </c>
      <c r="C212" s="199" t="str">
        <f>IFERROR(VLOOKUP($B212,'Institution Evaluation'!$A$55:$F$345,2,0),IFERROR(VLOOKUP($B212,'Privacy Analyst Evaluation'!$A$46:$F$120,2,0),""))&amp;""</f>
        <v/>
      </c>
      <c r="D212" s="199" t="str">
        <f>IFERROR(VLOOKUP($B212,'Institution Evaluation'!$A$55:$F$345,3,0),IFERROR(VLOOKUP($B212,'Privacy Analyst Evaluation'!$A$46:$F$120,3,0),""))&amp;""</f>
        <v/>
      </c>
      <c r="E212" s="199" t="str">
        <f>IFERROR(VLOOKUP($B212,'Institution Evaluation'!$A$55:$F$345,4,0),IFERROR(VLOOKUP($B212,'Privacy Analyst Evaluation'!$A$46:$F$120,4,0),""))&amp;""</f>
        <v/>
      </c>
      <c r="F212" s="199" t="str">
        <f>IFERROR(VLOOKUP($B212,'Institution Evaluation'!$A$55:$F$345,6,0),IFERROR(VLOOKUP($B212,'Privacy Analyst Evaluation'!$A$46:$F$120,6,0),""))&amp;""</f>
        <v/>
      </c>
      <c r="G212" s="200"/>
      <c r="H212" s="199" t="str">
        <f>IFERROR(IF($H211+1&gt;'(backend scoring)'!$Q$335,"",$H211+1),"")</f>
        <v/>
      </c>
      <c r="I212" s="199" t="str">
        <f>_xlfn.XLOOKUP($H212,'(backend scoring)'!$S$2:$S$333,'(backend scoring)'!$A$2:$A$333,"")</f>
        <v/>
      </c>
      <c r="J212" s="199" t="str">
        <f>IFERROR(VLOOKUP($I212,'Institution Evaluation'!$A$55:$F$345,2,0),IFERROR(VLOOKUP($I212,'Privacy Analyst Evaluation'!$A$46:$F$120,2,0),""))</f>
        <v/>
      </c>
      <c r="K212" s="199" t="str">
        <f>IFERROR(VLOOKUP($I212,'Institution Evaluation'!$A$55:$F$345,3,0),IFERROR(VLOOKUP($I212,'Privacy Analyst Evaluation'!$A$46:$F$120,3,0),""))&amp;""</f>
        <v/>
      </c>
      <c r="L212" s="199" t="str">
        <f>IFERROR(VLOOKUP($I212,'Institution Evaluation'!$A$55:$F$345,4,0),IFERROR(VLOOKUP($I212,'Privacy Analyst Evaluation'!$A$46:$F$120,4,0),""))&amp;""</f>
        <v/>
      </c>
      <c r="M212" s="199" t="str">
        <f>IFERROR(VLOOKUP($I212,'Institution Evaluation'!$A$55:$F$345,6,0),IFERROR(VLOOKUP($I212,'Privacy Analyst Evaluation'!$A$46:$F$120,6,0),""))&amp;""</f>
        <v/>
      </c>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row>
    <row r="213" spans="1:338" ht="17" x14ac:dyDescent="0.2">
      <c r="A213" s="199" t="str">
        <f>IFERROR(IF($A212+1&gt;'(backend scoring)'!$T$335,"",$A212+1),"")</f>
        <v/>
      </c>
      <c r="B213" s="199" t="str">
        <f>_xlfn.XLOOKUP($A213,'(backend scoring)'!$V$2:$V$333,'(backend scoring)'!$A$2:$A$333,"")</f>
        <v/>
      </c>
      <c r="C213" s="199" t="str">
        <f>IFERROR(VLOOKUP($B213,'Institution Evaluation'!$A$55:$F$345,2,0),IFERROR(VLOOKUP($B213,'Privacy Analyst Evaluation'!$A$46:$F$120,2,0),""))&amp;""</f>
        <v/>
      </c>
      <c r="D213" s="199" t="str">
        <f>IFERROR(VLOOKUP($B213,'Institution Evaluation'!$A$55:$F$345,3,0),IFERROR(VLOOKUP($B213,'Privacy Analyst Evaluation'!$A$46:$F$120,3,0),""))&amp;""</f>
        <v/>
      </c>
      <c r="E213" s="199" t="str">
        <f>IFERROR(VLOOKUP($B213,'Institution Evaluation'!$A$55:$F$345,4,0),IFERROR(VLOOKUP($B213,'Privacy Analyst Evaluation'!$A$46:$F$120,4,0),""))&amp;""</f>
        <v/>
      </c>
      <c r="F213" s="199" t="str">
        <f>IFERROR(VLOOKUP($B213,'Institution Evaluation'!$A$55:$F$345,6,0),IFERROR(VLOOKUP($B213,'Privacy Analyst Evaluation'!$A$46:$F$120,6,0),""))&amp;""</f>
        <v/>
      </c>
      <c r="G213" s="200"/>
      <c r="H213" s="199" t="str">
        <f>IFERROR(IF($H212+1&gt;'(backend scoring)'!$Q$335,"",$H212+1),"")</f>
        <v/>
      </c>
      <c r="I213" s="199" t="str">
        <f>_xlfn.XLOOKUP($H213,'(backend scoring)'!$S$2:$S$333,'(backend scoring)'!$A$2:$A$333,"")</f>
        <v/>
      </c>
      <c r="J213" s="199" t="str">
        <f>IFERROR(VLOOKUP($I213,'Institution Evaluation'!$A$55:$F$345,2,0),IFERROR(VLOOKUP($I213,'Privacy Analyst Evaluation'!$A$46:$F$120,2,0),""))</f>
        <v/>
      </c>
      <c r="K213" s="199" t="str">
        <f>IFERROR(VLOOKUP($I213,'Institution Evaluation'!$A$55:$F$345,3,0),IFERROR(VLOOKUP($I213,'Privacy Analyst Evaluation'!$A$46:$F$120,3,0),""))&amp;""</f>
        <v/>
      </c>
      <c r="L213" s="199" t="str">
        <f>IFERROR(VLOOKUP($I213,'Institution Evaluation'!$A$55:$F$345,4,0),IFERROR(VLOOKUP($I213,'Privacy Analyst Evaluation'!$A$46:$F$120,4,0),""))&amp;""</f>
        <v/>
      </c>
      <c r="M213" s="199" t="str">
        <f>IFERROR(VLOOKUP($I213,'Institution Evaluation'!$A$55:$F$345,6,0),IFERROR(VLOOKUP($I213,'Privacy Analyst Evaluation'!$A$46:$F$120,6,0),""))&amp;""</f>
        <v/>
      </c>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row>
    <row r="214" spans="1:338" ht="17" x14ac:dyDescent="0.2">
      <c r="A214" s="199" t="str">
        <f>IFERROR(IF($A213+1&gt;'(backend scoring)'!$T$335,"",$A213+1),"")</f>
        <v/>
      </c>
      <c r="B214" s="199" t="str">
        <f>_xlfn.XLOOKUP($A214,'(backend scoring)'!$V$2:$V$333,'(backend scoring)'!$A$2:$A$333,"")</f>
        <v/>
      </c>
      <c r="C214" s="199" t="str">
        <f>IFERROR(VLOOKUP($B214,'Institution Evaluation'!$A$55:$F$345,2,0),IFERROR(VLOOKUP($B214,'Privacy Analyst Evaluation'!$A$46:$F$120,2,0),""))&amp;""</f>
        <v/>
      </c>
      <c r="D214" s="199" t="str">
        <f>IFERROR(VLOOKUP($B214,'Institution Evaluation'!$A$55:$F$345,3,0),IFERROR(VLOOKUP($B214,'Privacy Analyst Evaluation'!$A$46:$F$120,3,0),""))&amp;""</f>
        <v/>
      </c>
      <c r="E214" s="199" t="str">
        <f>IFERROR(VLOOKUP($B214,'Institution Evaluation'!$A$55:$F$345,4,0),IFERROR(VLOOKUP($B214,'Privacy Analyst Evaluation'!$A$46:$F$120,4,0),""))&amp;""</f>
        <v/>
      </c>
      <c r="F214" s="199" t="str">
        <f>IFERROR(VLOOKUP($B214,'Institution Evaluation'!$A$55:$F$345,6,0),IFERROR(VLOOKUP($B214,'Privacy Analyst Evaluation'!$A$46:$F$120,6,0),""))&amp;""</f>
        <v/>
      </c>
      <c r="G214" s="200"/>
      <c r="H214" s="199" t="str">
        <f>IFERROR(IF($H213+1&gt;'(backend scoring)'!$Q$335,"",$H213+1),"")</f>
        <v/>
      </c>
      <c r="I214" s="199" t="str">
        <f>_xlfn.XLOOKUP($H214,'(backend scoring)'!$S$2:$S$333,'(backend scoring)'!$A$2:$A$333,"")</f>
        <v/>
      </c>
      <c r="J214" s="199" t="str">
        <f>IFERROR(VLOOKUP($I214,'Institution Evaluation'!$A$55:$F$345,2,0),IFERROR(VLOOKUP($I214,'Privacy Analyst Evaluation'!$A$46:$F$120,2,0),""))</f>
        <v/>
      </c>
      <c r="K214" s="199" t="str">
        <f>IFERROR(VLOOKUP($I214,'Institution Evaluation'!$A$55:$F$345,3,0),IFERROR(VLOOKUP($I214,'Privacy Analyst Evaluation'!$A$46:$F$120,3,0),""))&amp;""</f>
        <v/>
      </c>
      <c r="L214" s="199" t="str">
        <f>IFERROR(VLOOKUP($I214,'Institution Evaluation'!$A$55:$F$345,4,0),IFERROR(VLOOKUP($I214,'Privacy Analyst Evaluation'!$A$46:$F$120,4,0),""))&amp;""</f>
        <v/>
      </c>
      <c r="M214" s="199" t="str">
        <f>IFERROR(VLOOKUP($I214,'Institution Evaluation'!$A$55:$F$345,6,0),IFERROR(VLOOKUP($I214,'Privacy Analyst Evaluation'!$A$46:$F$120,6,0),""))&amp;""</f>
        <v/>
      </c>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row>
    <row r="215" spans="1:338" ht="17" x14ac:dyDescent="0.2">
      <c r="A215" s="199" t="str">
        <f>IFERROR(IF($A214+1&gt;'(backend scoring)'!$T$335,"",$A214+1),"")</f>
        <v/>
      </c>
      <c r="B215" s="199" t="str">
        <f>_xlfn.XLOOKUP($A215,'(backend scoring)'!$V$2:$V$333,'(backend scoring)'!$A$2:$A$333,"")</f>
        <v/>
      </c>
      <c r="C215" s="199" t="str">
        <f>IFERROR(VLOOKUP($B215,'Institution Evaluation'!$A$55:$F$345,2,0),IFERROR(VLOOKUP($B215,'Privacy Analyst Evaluation'!$A$46:$F$120,2,0),""))&amp;""</f>
        <v/>
      </c>
      <c r="D215" s="199" t="str">
        <f>IFERROR(VLOOKUP($B215,'Institution Evaluation'!$A$55:$F$345,3,0),IFERROR(VLOOKUP($B215,'Privacy Analyst Evaluation'!$A$46:$F$120,3,0),""))&amp;""</f>
        <v/>
      </c>
      <c r="E215" s="199" t="str">
        <f>IFERROR(VLOOKUP($B215,'Institution Evaluation'!$A$55:$F$345,4,0),IFERROR(VLOOKUP($B215,'Privacy Analyst Evaluation'!$A$46:$F$120,4,0),""))&amp;""</f>
        <v/>
      </c>
      <c r="F215" s="199" t="str">
        <f>IFERROR(VLOOKUP($B215,'Institution Evaluation'!$A$55:$F$345,6,0),IFERROR(VLOOKUP($B215,'Privacy Analyst Evaluation'!$A$46:$F$120,6,0),""))&amp;""</f>
        <v/>
      </c>
      <c r="G215" s="200"/>
      <c r="H215" s="199" t="str">
        <f>IFERROR(IF($H214+1&gt;'(backend scoring)'!$Q$335,"",$H214+1),"")</f>
        <v/>
      </c>
      <c r="I215" s="199" t="str">
        <f>_xlfn.XLOOKUP($H215,'(backend scoring)'!$S$2:$S$333,'(backend scoring)'!$A$2:$A$333,"")</f>
        <v/>
      </c>
      <c r="J215" s="199" t="str">
        <f>IFERROR(VLOOKUP($I215,'Institution Evaluation'!$A$55:$F$345,2,0),IFERROR(VLOOKUP($I215,'Privacy Analyst Evaluation'!$A$46:$F$120,2,0),""))</f>
        <v/>
      </c>
      <c r="K215" s="199" t="str">
        <f>IFERROR(VLOOKUP($I215,'Institution Evaluation'!$A$55:$F$345,3,0),IFERROR(VLOOKUP($I215,'Privacy Analyst Evaluation'!$A$46:$F$120,3,0),""))&amp;""</f>
        <v/>
      </c>
      <c r="L215" s="199" t="str">
        <f>IFERROR(VLOOKUP($I215,'Institution Evaluation'!$A$55:$F$345,4,0),IFERROR(VLOOKUP($I215,'Privacy Analyst Evaluation'!$A$46:$F$120,4,0),""))&amp;""</f>
        <v/>
      </c>
      <c r="M215" s="199" t="str">
        <f>IFERROR(VLOOKUP($I215,'Institution Evaluation'!$A$55:$F$345,6,0),IFERROR(VLOOKUP($I215,'Privacy Analyst Evaluation'!$A$46:$F$120,6,0),""))&amp;""</f>
        <v/>
      </c>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c r="HL215"/>
      <c r="HM215"/>
      <c r="HN215"/>
      <c r="HO215"/>
      <c r="HP215"/>
      <c r="HQ215"/>
      <c r="HR215"/>
      <c r="HS215"/>
      <c r="HT215"/>
      <c r="HU215"/>
      <c r="HV215"/>
      <c r="HW215"/>
      <c r="HX215"/>
      <c r="HY215"/>
      <c r="HZ215"/>
      <c r="IA215"/>
      <c r="IB215"/>
      <c r="IC215"/>
      <c r="ID215"/>
      <c r="IE215"/>
      <c r="IF215"/>
      <c r="IG215"/>
      <c r="IH215"/>
      <c r="II215"/>
      <c r="IJ215"/>
      <c r="IK215"/>
      <c r="IL215"/>
      <c r="IM215"/>
      <c r="IN215"/>
      <c r="IO215"/>
      <c r="IP215"/>
      <c r="IQ215"/>
      <c r="IR215"/>
      <c r="IS215"/>
      <c r="IT215"/>
      <c r="IU215"/>
      <c r="IV215"/>
      <c r="IW215"/>
      <c r="IX215"/>
      <c r="IY215"/>
      <c r="IZ215"/>
      <c r="JA215"/>
      <c r="JB215"/>
      <c r="JC215"/>
      <c r="JD215"/>
      <c r="JE215"/>
      <c r="JF215"/>
      <c r="JG215"/>
      <c r="JH215"/>
      <c r="JI215"/>
      <c r="JJ215"/>
      <c r="JK215"/>
      <c r="JL215"/>
      <c r="JM215"/>
      <c r="JN215"/>
      <c r="JO215"/>
      <c r="JP215"/>
      <c r="JQ215"/>
      <c r="JR215"/>
      <c r="JS215"/>
      <c r="JT215"/>
      <c r="JU215"/>
      <c r="JV215"/>
      <c r="JW215"/>
      <c r="JX215"/>
      <c r="JY215"/>
      <c r="JZ215"/>
      <c r="KA215"/>
      <c r="KB215"/>
      <c r="KC215"/>
      <c r="KD215"/>
      <c r="KE215"/>
      <c r="KF215"/>
      <c r="KG215"/>
      <c r="KH215"/>
      <c r="KI215"/>
      <c r="KJ215"/>
      <c r="KK215"/>
      <c r="KL215"/>
      <c r="KM215"/>
      <c r="KN215"/>
      <c r="KO215"/>
      <c r="KP215"/>
      <c r="KQ215"/>
      <c r="KR215"/>
      <c r="KS215"/>
      <c r="KT215"/>
      <c r="KU215"/>
      <c r="KV215"/>
      <c r="KW215"/>
      <c r="KX215"/>
      <c r="KY215"/>
      <c r="KZ215"/>
      <c r="LA215"/>
      <c r="LB215"/>
      <c r="LC215"/>
      <c r="LD215"/>
      <c r="LE215"/>
      <c r="LF215"/>
      <c r="LG215"/>
      <c r="LH215"/>
      <c r="LI215"/>
      <c r="LJ215"/>
      <c r="LK215"/>
      <c r="LL215"/>
      <c r="LM215"/>
      <c r="LN215"/>
      <c r="LO215"/>
      <c r="LP215"/>
      <c r="LQ215"/>
      <c r="LR215"/>
      <c r="LS215"/>
      <c r="LT215"/>
      <c r="LU215"/>
      <c r="LV215"/>
      <c r="LW215"/>
      <c r="LX215"/>
      <c r="LY215"/>
      <c r="LZ215"/>
    </row>
    <row r="216" spans="1:338" ht="17" x14ac:dyDescent="0.2">
      <c r="A216" s="199" t="str">
        <f>IFERROR(IF($A215+1&gt;'(backend scoring)'!$T$335,"",$A215+1),"")</f>
        <v/>
      </c>
      <c r="B216" s="199" t="str">
        <f>_xlfn.XLOOKUP($A216,'(backend scoring)'!$V$2:$V$333,'(backend scoring)'!$A$2:$A$333,"")</f>
        <v/>
      </c>
      <c r="C216" s="199" t="str">
        <f>IFERROR(VLOOKUP($B216,'Institution Evaluation'!$A$55:$F$345,2,0),IFERROR(VLOOKUP($B216,'Privacy Analyst Evaluation'!$A$46:$F$120,2,0),""))&amp;""</f>
        <v/>
      </c>
      <c r="D216" s="199" t="str">
        <f>IFERROR(VLOOKUP($B216,'Institution Evaluation'!$A$55:$F$345,3,0),IFERROR(VLOOKUP($B216,'Privacy Analyst Evaluation'!$A$46:$F$120,3,0),""))&amp;""</f>
        <v/>
      </c>
      <c r="E216" s="199" t="str">
        <f>IFERROR(VLOOKUP($B216,'Institution Evaluation'!$A$55:$F$345,4,0),IFERROR(VLOOKUP($B216,'Privacy Analyst Evaluation'!$A$46:$F$120,4,0),""))&amp;""</f>
        <v/>
      </c>
      <c r="F216" s="199" t="str">
        <f>IFERROR(VLOOKUP($B216,'Institution Evaluation'!$A$55:$F$345,6,0),IFERROR(VLOOKUP($B216,'Privacy Analyst Evaluation'!$A$46:$F$120,6,0),""))&amp;""</f>
        <v/>
      </c>
      <c r="G216" s="200"/>
      <c r="H216" s="199" t="str">
        <f>IFERROR(IF($H215+1&gt;'(backend scoring)'!$Q$335,"",$H215+1),"")</f>
        <v/>
      </c>
      <c r="I216" s="199" t="str">
        <f>_xlfn.XLOOKUP($H216,'(backend scoring)'!$S$2:$S$333,'(backend scoring)'!$A$2:$A$333,"")</f>
        <v/>
      </c>
      <c r="J216" s="199" t="str">
        <f>IFERROR(VLOOKUP($I216,'Institution Evaluation'!$A$55:$F$345,2,0),IFERROR(VLOOKUP($I216,'Privacy Analyst Evaluation'!$A$46:$F$120,2,0),""))</f>
        <v/>
      </c>
      <c r="K216" s="199" t="str">
        <f>IFERROR(VLOOKUP($I216,'Institution Evaluation'!$A$55:$F$345,3,0),IFERROR(VLOOKUP($I216,'Privacy Analyst Evaluation'!$A$46:$F$120,3,0),""))&amp;""</f>
        <v/>
      </c>
      <c r="L216" s="199" t="str">
        <f>IFERROR(VLOOKUP($I216,'Institution Evaluation'!$A$55:$F$345,4,0),IFERROR(VLOOKUP($I216,'Privacy Analyst Evaluation'!$A$46:$F$120,4,0),""))&amp;""</f>
        <v/>
      </c>
      <c r="M216" s="199" t="str">
        <f>IFERROR(VLOOKUP($I216,'Institution Evaluation'!$A$55:$F$345,6,0),IFERROR(VLOOKUP($I216,'Privacy Analyst Evaluation'!$A$46:$F$120,6,0),""))&amp;""</f>
        <v/>
      </c>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row>
    <row r="217" spans="1:338" ht="17" x14ac:dyDescent="0.2">
      <c r="A217" s="199" t="str">
        <f>IFERROR(IF($A216+1&gt;'(backend scoring)'!$T$335,"",$A216+1),"")</f>
        <v/>
      </c>
      <c r="B217" s="199" t="str">
        <f>_xlfn.XLOOKUP($A217,'(backend scoring)'!$V$2:$V$333,'(backend scoring)'!$A$2:$A$333,"")</f>
        <v/>
      </c>
      <c r="C217" s="199" t="str">
        <f>IFERROR(VLOOKUP($B217,'Institution Evaluation'!$A$55:$F$345,2,0),IFERROR(VLOOKUP($B217,'Privacy Analyst Evaluation'!$A$46:$F$120,2,0),""))&amp;""</f>
        <v/>
      </c>
      <c r="D217" s="199" t="str">
        <f>IFERROR(VLOOKUP($B217,'Institution Evaluation'!$A$55:$F$345,3,0),IFERROR(VLOOKUP($B217,'Privacy Analyst Evaluation'!$A$46:$F$120,3,0),""))&amp;""</f>
        <v/>
      </c>
      <c r="E217" s="199" t="str">
        <f>IFERROR(VLOOKUP($B217,'Institution Evaluation'!$A$55:$F$345,4,0),IFERROR(VLOOKUP($B217,'Privacy Analyst Evaluation'!$A$46:$F$120,4,0),""))&amp;""</f>
        <v/>
      </c>
      <c r="F217" s="199" t="str">
        <f>IFERROR(VLOOKUP($B217,'Institution Evaluation'!$A$55:$F$345,6,0),IFERROR(VLOOKUP($B217,'Privacy Analyst Evaluation'!$A$46:$F$120,6,0),""))&amp;""</f>
        <v/>
      </c>
      <c r="G217" s="200"/>
      <c r="H217" s="199" t="str">
        <f>IFERROR(IF($H216+1&gt;'(backend scoring)'!$Q$335,"",$H216+1),"")</f>
        <v/>
      </c>
      <c r="I217" s="199" t="str">
        <f>_xlfn.XLOOKUP($H217,'(backend scoring)'!$S$2:$S$333,'(backend scoring)'!$A$2:$A$333,"")</f>
        <v/>
      </c>
      <c r="J217" s="199" t="str">
        <f>IFERROR(VLOOKUP($I217,'Institution Evaluation'!$A$55:$F$345,2,0),IFERROR(VLOOKUP($I217,'Privacy Analyst Evaluation'!$A$46:$F$120,2,0),""))</f>
        <v/>
      </c>
      <c r="K217" s="199" t="str">
        <f>IFERROR(VLOOKUP($I217,'Institution Evaluation'!$A$55:$F$345,3,0),IFERROR(VLOOKUP($I217,'Privacy Analyst Evaluation'!$A$46:$F$120,3,0),""))&amp;""</f>
        <v/>
      </c>
      <c r="L217" s="199" t="str">
        <f>IFERROR(VLOOKUP($I217,'Institution Evaluation'!$A$55:$F$345,4,0),IFERROR(VLOOKUP($I217,'Privacy Analyst Evaluation'!$A$46:$F$120,4,0),""))&amp;""</f>
        <v/>
      </c>
      <c r="M217" s="199" t="str">
        <f>IFERROR(VLOOKUP($I217,'Institution Evaluation'!$A$55:$F$345,6,0),IFERROR(VLOOKUP($I217,'Privacy Analyst Evaluation'!$A$46:$F$120,6,0),""))&amp;""</f>
        <v/>
      </c>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c r="HL217"/>
      <c r="HM217"/>
      <c r="HN217"/>
      <c r="HO217"/>
      <c r="HP217"/>
      <c r="HQ217"/>
      <c r="HR217"/>
      <c r="HS217"/>
      <c r="HT217"/>
      <c r="HU217"/>
      <c r="HV217"/>
      <c r="HW217"/>
      <c r="HX217"/>
      <c r="HY217"/>
      <c r="HZ217"/>
      <c r="IA217"/>
      <c r="IB217"/>
      <c r="IC217"/>
      <c r="ID217"/>
      <c r="IE217"/>
      <c r="IF217"/>
      <c r="IG217"/>
      <c r="IH217"/>
      <c r="II217"/>
      <c r="IJ217"/>
      <c r="IK217"/>
      <c r="IL217"/>
      <c r="IM217"/>
      <c r="IN217"/>
      <c r="IO217"/>
      <c r="IP217"/>
      <c r="IQ217"/>
      <c r="IR217"/>
      <c r="IS217"/>
      <c r="IT217"/>
      <c r="IU217"/>
      <c r="IV217"/>
      <c r="IW217"/>
      <c r="IX217"/>
      <c r="IY217"/>
      <c r="IZ217"/>
      <c r="JA217"/>
      <c r="JB217"/>
      <c r="JC217"/>
      <c r="JD217"/>
      <c r="JE217"/>
      <c r="JF217"/>
      <c r="JG217"/>
      <c r="JH217"/>
      <c r="JI217"/>
      <c r="JJ217"/>
      <c r="JK217"/>
      <c r="JL217"/>
      <c r="JM217"/>
      <c r="JN217"/>
      <c r="JO217"/>
      <c r="JP217"/>
      <c r="JQ217"/>
      <c r="JR217"/>
      <c r="JS217"/>
      <c r="JT217"/>
      <c r="JU217"/>
      <c r="JV217"/>
      <c r="JW217"/>
      <c r="JX217"/>
      <c r="JY217"/>
      <c r="JZ217"/>
      <c r="KA217"/>
      <c r="KB217"/>
      <c r="KC217"/>
      <c r="KD217"/>
      <c r="KE217"/>
      <c r="KF217"/>
      <c r="KG217"/>
      <c r="KH217"/>
      <c r="KI217"/>
      <c r="KJ217"/>
      <c r="KK217"/>
      <c r="KL217"/>
      <c r="KM217"/>
      <c r="KN217"/>
      <c r="KO217"/>
      <c r="KP217"/>
      <c r="KQ217"/>
      <c r="KR217"/>
      <c r="KS217"/>
      <c r="KT217"/>
      <c r="KU217"/>
      <c r="KV217"/>
      <c r="KW217"/>
      <c r="KX217"/>
      <c r="KY217"/>
      <c r="KZ217"/>
      <c r="LA217"/>
      <c r="LB217"/>
      <c r="LC217"/>
      <c r="LD217"/>
      <c r="LE217"/>
      <c r="LF217"/>
      <c r="LG217"/>
      <c r="LH217"/>
      <c r="LI217"/>
      <c r="LJ217"/>
      <c r="LK217"/>
      <c r="LL217"/>
      <c r="LM217"/>
      <c r="LN217"/>
      <c r="LO217"/>
      <c r="LP217"/>
      <c r="LQ217"/>
      <c r="LR217"/>
      <c r="LS217"/>
      <c r="LT217"/>
      <c r="LU217"/>
      <c r="LV217"/>
      <c r="LW217"/>
      <c r="LX217"/>
      <c r="LY217"/>
      <c r="LZ217"/>
    </row>
    <row r="218" spans="1:338" ht="17" x14ac:dyDescent="0.2">
      <c r="A218" s="199" t="str">
        <f>IFERROR(IF($A217+1&gt;'(backend scoring)'!$T$335,"",$A217+1),"")</f>
        <v/>
      </c>
      <c r="B218" s="199" t="str">
        <f>_xlfn.XLOOKUP($A218,'(backend scoring)'!$V$2:$V$333,'(backend scoring)'!$A$2:$A$333,"")</f>
        <v/>
      </c>
      <c r="C218" s="199" t="str">
        <f>IFERROR(VLOOKUP($B218,'Institution Evaluation'!$A$55:$F$345,2,0),IFERROR(VLOOKUP($B218,'Privacy Analyst Evaluation'!$A$46:$F$120,2,0),""))&amp;""</f>
        <v/>
      </c>
      <c r="D218" s="199" t="str">
        <f>IFERROR(VLOOKUP($B218,'Institution Evaluation'!$A$55:$F$345,3,0),IFERROR(VLOOKUP($B218,'Privacy Analyst Evaluation'!$A$46:$F$120,3,0),""))&amp;""</f>
        <v/>
      </c>
      <c r="E218" s="199" t="str">
        <f>IFERROR(VLOOKUP($B218,'Institution Evaluation'!$A$55:$F$345,4,0),IFERROR(VLOOKUP($B218,'Privacy Analyst Evaluation'!$A$46:$F$120,4,0),""))&amp;""</f>
        <v/>
      </c>
      <c r="F218" s="199" t="str">
        <f>IFERROR(VLOOKUP($B218,'Institution Evaluation'!$A$55:$F$345,6,0),IFERROR(VLOOKUP($B218,'Privacy Analyst Evaluation'!$A$46:$F$120,6,0),""))&amp;""</f>
        <v/>
      </c>
      <c r="G218" s="200"/>
      <c r="H218" s="199" t="str">
        <f>IFERROR(IF($H217+1&gt;'(backend scoring)'!$Q$335,"",$H217+1),"")</f>
        <v/>
      </c>
      <c r="I218" s="199" t="str">
        <f>_xlfn.XLOOKUP($H218,'(backend scoring)'!$S$2:$S$333,'(backend scoring)'!$A$2:$A$333,"")</f>
        <v/>
      </c>
      <c r="J218" s="199" t="str">
        <f>IFERROR(VLOOKUP($I218,'Institution Evaluation'!$A$55:$F$345,2,0),IFERROR(VLOOKUP($I218,'Privacy Analyst Evaluation'!$A$46:$F$120,2,0),""))</f>
        <v/>
      </c>
      <c r="K218" s="199" t="str">
        <f>IFERROR(VLOOKUP($I218,'Institution Evaluation'!$A$55:$F$345,3,0),IFERROR(VLOOKUP($I218,'Privacy Analyst Evaluation'!$A$46:$F$120,3,0),""))&amp;""</f>
        <v/>
      </c>
      <c r="L218" s="199" t="str">
        <f>IFERROR(VLOOKUP($I218,'Institution Evaluation'!$A$55:$F$345,4,0),IFERROR(VLOOKUP($I218,'Privacy Analyst Evaluation'!$A$46:$F$120,4,0),""))&amp;""</f>
        <v/>
      </c>
      <c r="M218" s="199" t="str">
        <f>IFERROR(VLOOKUP($I218,'Institution Evaluation'!$A$55:$F$345,6,0),IFERROR(VLOOKUP($I218,'Privacy Analyst Evaluation'!$A$46:$F$120,6,0),""))&amp;""</f>
        <v/>
      </c>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row>
    <row r="219" spans="1:338" ht="17" x14ac:dyDescent="0.2">
      <c r="A219" s="199" t="str">
        <f>IFERROR(IF($A218+1&gt;'(backend scoring)'!$T$335,"",$A218+1),"")</f>
        <v/>
      </c>
      <c r="B219" s="199" t="str">
        <f>_xlfn.XLOOKUP($A219,'(backend scoring)'!$V$2:$V$333,'(backend scoring)'!$A$2:$A$333,"")</f>
        <v/>
      </c>
      <c r="C219" s="199" t="str">
        <f>IFERROR(VLOOKUP($B219,'Institution Evaluation'!$A$55:$F$345,2,0),IFERROR(VLOOKUP($B219,'Privacy Analyst Evaluation'!$A$46:$F$120,2,0),""))&amp;""</f>
        <v/>
      </c>
      <c r="D219" s="199" t="str">
        <f>IFERROR(VLOOKUP($B219,'Institution Evaluation'!$A$55:$F$345,3,0),IFERROR(VLOOKUP($B219,'Privacy Analyst Evaluation'!$A$46:$F$120,3,0),""))&amp;""</f>
        <v/>
      </c>
      <c r="E219" s="199" t="str">
        <f>IFERROR(VLOOKUP($B219,'Institution Evaluation'!$A$55:$F$345,4,0),IFERROR(VLOOKUP($B219,'Privacy Analyst Evaluation'!$A$46:$F$120,4,0),""))&amp;""</f>
        <v/>
      </c>
      <c r="F219" s="199" t="str">
        <f>IFERROR(VLOOKUP($B219,'Institution Evaluation'!$A$55:$F$345,6,0),IFERROR(VLOOKUP($B219,'Privacy Analyst Evaluation'!$A$46:$F$120,6,0),""))&amp;""</f>
        <v/>
      </c>
      <c r="G219" s="200"/>
      <c r="H219" s="199" t="str">
        <f>IFERROR(IF($H218+1&gt;'(backend scoring)'!$Q$335,"",$H218+1),"")</f>
        <v/>
      </c>
      <c r="I219" s="199" t="str">
        <f>_xlfn.XLOOKUP($H219,'(backend scoring)'!$S$2:$S$333,'(backend scoring)'!$A$2:$A$333,"")</f>
        <v/>
      </c>
      <c r="J219" s="199" t="str">
        <f>IFERROR(VLOOKUP($I219,'Institution Evaluation'!$A$55:$F$345,2,0),IFERROR(VLOOKUP($I219,'Privacy Analyst Evaluation'!$A$46:$F$120,2,0),""))</f>
        <v/>
      </c>
      <c r="K219" s="199" t="str">
        <f>IFERROR(VLOOKUP($I219,'Institution Evaluation'!$A$55:$F$345,3,0),IFERROR(VLOOKUP($I219,'Privacy Analyst Evaluation'!$A$46:$F$120,3,0),""))&amp;""</f>
        <v/>
      </c>
      <c r="L219" s="199" t="str">
        <f>IFERROR(VLOOKUP($I219,'Institution Evaluation'!$A$55:$F$345,4,0),IFERROR(VLOOKUP($I219,'Privacy Analyst Evaluation'!$A$46:$F$120,4,0),""))&amp;""</f>
        <v/>
      </c>
      <c r="M219" s="199" t="str">
        <f>IFERROR(VLOOKUP($I219,'Institution Evaluation'!$A$55:$F$345,6,0),IFERROR(VLOOKUP($I219,'Privacy Analyst Evaluation'!$A$46:$F$120,6,0),""))&amp;""</f>
        <v/>
      </c>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row>
    <row r="220" spans="1:338" ht="17" x14ac:dyDescent="0.2">
      <c r="A220" s="199" t="str">
        <f>IFERROR(IF($A219+1&gt;'(backend scoring)'!$T$335,"",$A219+1),"")</f>
        <v/>
      </c>
      <c r="B220" s="199" t="str">
        <f>_xlfn.XLOOKUP($A220,'(backend scoring)'!$V$2:$V$333,'(backend scoring)'!$A$2:$A$333,"")</f>
        <v/>
      </c>
      <c r="C220" s="199" t="str">
        <f>IFERROR(VLOOKUP($B220,'Institution Evaluation'!$A$55:$F$345,2,0),IFERROR(VLOOKUP($B220,'Privacy Analyst Evaluation'!$A$46:$F$120,2,0),""))&amp;""</f>
        <v/>
      </c>
      <c r="D220" s="199" t="str">
        <f>IFERROR(VLOOKUP($B220,'Institution Evaluation'!$A$55:$F$345,3,0),IFERROR(VLOOKUP($B220,'Privacy Analyst Evaluation'!$A$46:$F$120,3,0),""))&amp;""</f>
        <v/>
      </c>
      <c r="E220" s="199" t="str">
        <f>IFERROR(VLOOKUP($B220,'Institution Evaluation'!$A$55:$F$345,4,0),IFERROR(VLOOKUP($B220,'Privacy Analyst Evaluation'!$A$46:$F$120,4,0),""))&amp;""</f>
        <v/>
      </c>
      <c r="F220" s="199" t="str">
        <f>IFERROR(VLOOKUP($B220,'Institution Evaluation'!$A$55:$F$345,6,0),IFERROR(VLOOKUP($B220,'Privacy Analyst Evaluation'!$A$46:$F$120,6,0),""))&amp;""</f>
        <v/>
      </c>
      <c r="G220" s="200"/>
      <c r="H220" s="199" t="str">
        <f>IFERROR(IF($H219+1&gt;'(backend scoring)'!$Q$335,"",$H219+1),"")</f>
        <v/>
      </c>
      <c r="I220" s="199" t="str">
        <f>_xlfn.XLOOKUP($H220,'(backend scoring)'!$S$2:$S$333,'(backend scoring)'!$A$2:$A$333,"")</f>
        <v/>
      </c>
      <c r="J220" s="199" t="str">
        <f>IFERROR(VLOOKUP($I220,'Institution Evaluation'!$A$55:$F$345,2,0),IFERROR(VLOOKUP($I220,'Privacy Analyst Evaluation'!$A$46:$F$120,2,0),""))</f>
        <v/>
      </c>
      <c r="K220" s="199" t="str">
        <f>IFERROR(VLOOKUP($I220,'Institution Evaluation'!$A$55:$F$345,3,0),IFERROR(VLOOKUP($I220,'Privacy Analyst Evaluation'!$A$46:$F$120,3,0),""))&amp;""</f>
        <v/>
      </c>
      <c r="L220" s="199" t="str">
        <f>IFERROR(VLOOKUP($I220,'Institution Evaluation'!$A$55:$F$345,4,0),IFERROR(VLOOKUP($I220,'Privacy Analyst Evaluation'!$A$46:$F$120,4,0),""))&amp;""</f>
        <v/>
      </c>
      <c r="M220" s="199" t="str">
        <f>IFERROR(VLOOKUP($I220,'Institution Evaluation'!$A$55:$F$345,6,0),IFERROR(VLOOKUP($I220,'Privacy Analyst Evaluation'!$A$46:$F$120,6,0),""))&amp;""</f>
        <v/>
      </c>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row>
    <row r="221" spans="1:338" ht="17" x14ac:dyDescent="0.2">
      <c r="A221" s="199" t="str">
        <f>IFERROR(IF($A220+1&gt;'(backend scoring)'!$T$335,"",$A220+1),"")</f>
        <v/>
      </c>
      <c r="B221" s="199" t="str">
        <f>_xlfn.XLOOKUP($A221,'(backend scoring)'!$V$2:$V$333,'(backend scoring)'!$A$2:$A$333,"")</f>
        <v/>
      </c>
      <c r="C221" s="199" t="str">
        <f>IFERROR(VLOOKUP($B221,'Institution Evaluation'!$A$55:$F$345,2,0),IFERROR(VLOOKUP($B221,'Privacy Analyst Evaluation'!$A$46:$F$120,2,0),""))&amp;""</f>
        <v/>
      </c>
      <c r="D221" s="199" t="str">
        <f>IFERROR(VLOOKUP($B221,'Institution Evaluation'!$A$55:$F$345,3,0),IFERROR(VLOOKUP($B221,'Privacy Analyst Evaluation'!$A$46:$F$120,3,0),""))&amp;""</f>
        <v/>
      </c>
      <c r="E221" s="199" t="str">
        <f>IFERROR(VLOOKUP($B221,'Institution Evaluation'!$A$55:$F$345,4,0),IFERROR(VLOOKUP($B221,'Privacy Analyst Evaluation'!$A$46:$F$120,4,0),""))&amp;""</f>
        <v/>
      </c>
      <c r="F221" s="199" t="str">
        <f>IFERROR(VLOOKUP($B221,'Institution Evaluation'!$A$55:$F$345,6,0),IFERROR(VLOOKUP($B221,'Privacy Analyst Evaluation'!$A$46:$F$120,6,0),""))&amp;""</f>
        <v/>
      </c>
      <c r="G221" s="200"/>
      <c r="H221" s="199" t="str">
        <f>IFERROR(IF($H220+1&gt;'(backend scoring)'!$Q$335,"",$H220+1),"")</f>
        <v/>
      </c>
      <c r="I221" s="199" t="str">
        <f>_xlfn.XLOOKUP($H221,'(backend scoring)'!$S$2:$S$333,'(backend scoring)'!$A$2:$A$333,"")</f>
        <v/>
      </c>
      <c r="J221" s="199" t="str">
        <f>IFERROR(VLOOKUP($I221,'Institution Evaluation'!$A$55:$F$345,2,0),IFERROR(VLOOKUP($I221,'Privacy Analyst Evaluation'!$A$46:$F$120,2,0),""))</f>
        <v/>
      </c>
      <c r="K221" s="199" t="str">
        <f>IFERROR(VLOOKUP($I221,'Institution Evaluation'!$A$55:$F$345,3,0),IFERROR(VLOOKUP($I221,'Privacy Analyst Evaluation'!$A$46:$F$120,3,0),""))&amp;""</f>
        <v/>
      </c>
      <c r="L221" s="199" t="str">
        <f>IFERROR(VLOOKUP($I221,'Institution Evaluation'!$A$55:$F$345,4,0),IFERROR(VLOOKUP($I221,'Privacy Analyst Evaluation'!$A$46:$F$120,4,0),""))&amp;""</f>
        <v/>
      </c>
      <c r="M221" s="199" t="str">
        <f>IFERROR(VLOOKUP($I221,'Institution Evaluation'!$A$55:$F$345,6,0),IFERROR(VLOOKUP($I221,'Privacy Analyst Evaluation'!$A$46:$F$120,6,0),""))&amp;""</f>
        <v/>
      </c>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row>
    <row r="222" spans="1:338" ht="17" x14ac:dyDescent="0.2">
      <c r="A222" s="199" t="str">
        <f>IFERROR(IF($A221+1&gt;'(backend scoring)'!$T$335,"",$A221+1),"")</f>
        <v/>
      </c>
      <c r="B222" s="199" t="str">
        <f>_xlfn.XLOOKUP($A222,'(backend scoring)'!$V$2:$V$333,'(backend scoring)'!$A$2:$A$333,"")</f>
        <v/>
      </c>
      <c r="C222" s="199" t="str">
        <f>IFERROR(VLOOKUP($B222,'Institution Evaluation'!$A$55:$F$345,2,0),IFERROR(VLOOKUP($B222,'Privacy Analyst Evaluation'!$A$46:$F$120,2,0),""))&amp;""</f>
        <v/>
      </c>
      <c r="D222" s="199" t="str">
        <f>IFERROR(VLOOKUP($B222,'Institution Evaluation'!$A$55:$F$345,3,0),IFERROR(VLOOKUP($B222,'Privacy Analyst Evaluation'!$A$46:$F$120,3,0),""))&amp;""</f>
        <v/>
      </c>
      <c r="E222" s="199" t="str">
        <f>IFERROR(VLOOKUP($B222,'Institution Evaluation'!$A$55:$F$345,4,0),IFERROR(VLOOKUP($B222,'Privacy Analyst Evaluation'!$A$46:$F$120,4,0),""))&amp;""</f>
        <v/>
      </c>
      <c r="F222" s="199" t="str">
        <f>IFERROR(VLOOKUP($B222,'Institution Evaluation'!$A$55:$F$345,6,0),IFERROR(VLOOKUP($B222,'Privacy Analyst Evaluation'!$A$46:$F$120,6,0),""))&amp;""</f>
        <v/>
      </c>
      <c r="G222" s="200"/>
      <c r="H222" s="199" t="str">
        <f>IFERROR(IF($H221+1&gt;'(backend scoring)'!$Q$335,"",$H221+1),"")</f>
        <v/>
      </c>
      <c r="I222" s="199" t="str">
        <f>_xlfn.XLOOKUP($H222,'(backend scoring)'!$S$2:$S$333,'(backend scoring)'!$A$2:$A$333,"")</f>
        <v/>
      </c>
      <c r="J222" s="199" t="str">
        <f>IFERROR(VLOOKUP($I222,'Institution Evaluation'!$A$55:$F$345,2,0),IFERROR(VLOOKUP($I222,'Privacy Analyst Evaluation'!$A$46:$F$120,2,0),""))</f>
        <v/>
      </c>
      <c r="K222" s="199" t="str">
        <f>IFERROR(VLOOKUP($I222,'Institution Evaluation'!$A$55:$F$345,3,0),IFERROR(VLOOKUP($I222,'Privacy Analyst Evaluation'!$A$46:$F$120,3,0),""))&amp;""</f>
        <v/>
      </c>
      <c r="L222" s="199" t="str">
        <f>IFERROR(VLOOKUP($I222,'Institution Evaluation'!$A$55:$F$345,4,0),IFERROR(VLOOKUP($I222,'Privacy Analyst Evaluation'!$A$46:$F$120,4,0),""))&amp;""</f>
        <v/>
      </c>
      <c r="M222" s="199" t="str">
        <f>IFERROR(VLOOKUP($I222,'Institution Evaluation'!$A$55:$F$345,6,0),IFERROR(VLOOKUP($I222,'Privacy Analyst Evaluation'!$A$46:$F$120,6,0),""))&amp;""</f>
        <v/>
      </c>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row>
    <row r="223" spans="1:338" ht="17" x14ac:dyDescent="0.2">
      <c r="A223" s="199" t="str">
        <f>IFERROR(IF($A222+1&gt;'(backend scoring)'!$T$335,"",$A222+1),"")</f>
        <v/>
      </c>
      <c r="B223" s="199" t="str">
        <f>_xlfn.XLOOKUP($A223,'(backend scoring)'!$V$2:$V$333,'(backend scoring)'!$A$2:$A$333,"")</f>
        <v/>
      </c>
      <c r="C223" s="199" t="str">
        <f>IFERROR(VLOOKUP($B223,'Institution Evaluation'!$A$55:$F$345,2,0),IFERROR(VLOOKUP($B223,'Privacy Analyst Evaluation'!$A$46:$F$120,2,0),""))&amp;""</f>
        <v/>
      </c>
      <c r="D223" s="199" t="str">
        <f>IFERROR(VLOOKUP($B223,'Institution Evaluation'!$A$55:$F$345,3,0),IFERROR(VLOOKUP($B223,'Privacy Analyst Evaluation'!$A$46:$F$120,3,0),""))&amp;""</f>
        <v/>
      </c>
      <c r="E223" s="199" t="str">
        <f>IFERROR(VLOOKUP($B223,'Institution Evaluation'!$A$55:$F$345,4,0),IFERROR(VLOOKUP($B223,'Privacy Analyst Evaluation'!$A$46:$F$120,4,0),""))&amp;""</f>
        <v/>
      </c>
      <c r="F223" s="199" t="str">
        <f>IFERROR(VLOOKUP($B223,'Institution Evaluation'!$A$55:$F$345,6,0),IFERROR(VLOOKUP($B223,'Privacy Analyst Evaluation'!$A$46:$F$120,6,0),""))&amp;""</f>
        <v/>
      </c>
      <c r="G223" s="200"/>
      <c r="H223" s="199" t="str">
        <f>IFERROR(IF($H222+1&gt;'(backend scoring)'!$Q$335,"",$H222+1),"")</f>
        <v/>
      </c>
      <c r="I223" s="199" t="str">
        <f>_xlfn.XLOOKUP($H223,'(backend scoring)'!$S$2:$S$333,'(backend scoring)'!$A$2:$A$333,"")</f>
        <v/>
      </c>
      <c r="J223" s="199" t="str">
        <f>IFERROR(VLOOKUP($I223,'Institution Evaluation'!$A$55:$F$345,2,0),IFERROR(VLOOKUP($I223,'Privacy Analyst Evaluation'!$A$46:$F$120,2,0),""))</f>
        <v/>
      </c>
      <c r="K223" s="199" t="str">
        <f>IFERROR(VLOOKUP($I223,'Institution Evaluation'!$A$55:$F$345,3,0),IFERROR(VLOOKUP($I223,'Privacy Analyst Evaluation'!$A$46:$F$120,3,0),""))&amp;""</f>
        <v/>
      </c>
      <c r="L223" s="199" t="str">
        <f>IFERROR(VLOOKUP($I223,'Institution Evaluation'!$A$55:$F$345,4,0),IFERROR(VLOOKUP($I223,'Privacy Analyst Evaluation'!$A$46:$F$120,4,0),""))&amp;""</f>
        <v/>
      </c>
      <c r="M223" s="199" t="str">
        <f>IFERROR(VLOOKUP($I223,'Institution Evaluation'!$A$55:$F$345,6,0),IFERROR(VLOOKUP($I223,'Privacy Analyst Evaluation'!$A$46:$F$120,6,0),""))&amp;""</f>
        <v/>
      </c>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row>
    <row r="224" spans="1:338" ht="17" x14ac:dyDescent="0.2">
      <c r="A224" s="199" t="str">
        <f>IFERROR(IF($A223+1&gt;'(backend scoring)'!$T$335,"",$A223+1),"")</f>
        <v/>
      </c>
      <c r="B224" s="199" t="str">
        <f>_xlfn.XLOOKUP($A224,'(backend scoring)'!$V$2:$V$333,'(backend scoring)'!$A$2:$A$333,"")</f>
        <v/>
      </c>
      <c r="C224" s="199" t="str">
        <f>IFERROR(VLOOKUP($B224,'Institution Evaluation'!$A$55:$F$345,2,0),IFERROR(VLOOKUP($B224,'Privacy Analyst Evaluation'!$A$46:$F$120,2,0),""))&amp;""</f>
        <v/>
      </c>
      <c r="D224" s="199" t="str">
        <f>IFERROR(VLOOKUP($B224,'Institution Evaluation'!$A$55:$F$345,3,0),IFERROR(VLOOKUP($B224,'Privacy Analyst Evaluation'!$A$46:$F$120,3,0),""))&amp;""</f>
        <v/>
      </c>
      <c r="E224" s="199" t="str">
        <f>IFERROR(VLOOKUP($B224,'Institution Evaluation'!$A$55:$F$345,4,0),IFERROR(VLOOKUP($B224,'Privacy Analyst Evaluation'!$A$46:$F$120,4,0),""))&amp;""</f>
        <v/>
      </c>
      <c r="F224" s="199" t="str">
        <f>IFERROR(VLOOKUP($B224,'Institution Evaluation'!$A$55:$F$345,6,0),IFERROR(VLOOKUP($B224,'Privacy Analyst Evaluation'!$A$46:$F$120,6,0),""))&amp;""</f>
        <v/>
      </c>
      <c r="G224" s="200"/>
      <c r="H224" s="199" t="str">
        <f>IFERROR(IF($H223+1&gt;'(backend scoring)'!$Q$335,"",$H223+1),"")</f>
        <v/>
      </c>
      <c r="I224" s="199" t="str">
        <f>_xlfn.XLOOKUP($H224,'(backend scoring)'!$S$2:$S$333,'(backend scoring)'!$A$2:$A$333,"")</f>
        <v/>
      </c>
      <c r="J224" s="199" t="str">
        <f>IFERROR(VLOOKUP($I224,'Institution Evaluation'!$A$55:$F$345,2,0),IFERROR(VLOOKUP($I224,'Privacy Analyst Evaluation'!$A$46:$F$120,2,0),""))</f>
        <v/>
      </c>
      <c r="K224" s="199" t="str">
        <f>IFERROR(VLOOKUP($I224,'Institution Evaluation'!$A$55:$F$345,3,0),IFERROR(VLOOKUP($I224,'Privacy Analyst Evaluation'!$A$46:$F$120,3,0),""))&amp;""</f>
        <v/>
      </c>
      <c r="L224" s="199" t="str">
        <f>IFERROR(VLOOKUP($I224,'Institution Evaluation'!$A$55:$F$345,4,0),IFERROR(VLOOKUP($I224,'Privacy Analyst Evaluation'!$A$46:$F$120,4,0),""))&amp;""</f>
        <v/>
      </c>
      <c r="M224" s="199" t="str">
        <f>IFERROR(VLOOKUP($I224,'Institution Evaluation'!$A$55:$F$345,6,0),IFERROR(VLOOKUP($I224,'Privacy Analyst Evaluation'!$A$46:$F$120,6,0),""))&amp;""</f>
        <v/>
      </c>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row>
    <row r="225" spans="1:338" ht="17" x14ac:dyDescent="0.2">
      <c r="A225" s="199" t="str">
        <f>IFERROR(IF($A224+1&gt;'(backend scoring)'!$T$335,"",$A224+1),"")</f>
        <v/>
      </c>
      <c r="B225" s="199" t="str">
        <f>_xlfn.XLOOKUP($A225,'(backend scoring)'!$V$2:$V$333,'(backend scoring)'!$A$2:$A$333,"")</f>
        <v/>
      </c>
      <c r="C225" s="199" t="str">
        <f>IFERROR(VLOOKUP($B225,'Institution Evaluation'!$A$55:$F$345,2,0),IFERROR(VLOOKUP($B225,'Privacy Analyst Evaluation'!$A$46:$F$120,2,0),""))&amp;""</f>
        <v/>
      </c>
      <c r="D225" s="199" t="str">
        <f>IFERROR(VLOOKUP($B225,'Institution Evaluation'!$A$55:$F$345,3,0),IFERROR(VLOOKUP($B225,'Privacy Analyst Evaluation'!$A$46:$F$120,3,0),""))&amp;""</f>
        <v/>
      </c>
      <c r="E225" s="199" t="str">
        <f>IFERROR(VLOOKUP($B225,'Institution Evaluation'!$A$55:$F$345,4,0),IFERROR(VLOOKUP($B225,'Privacy Analyst Evaluation'!$A$46:$F$120,4,0),""))&amp;""</f>
        <v/>
      </c>
      <c r="F225" s="199" t="str">
        <f>IFERROR(VLOOKUP($B225,'Institution Evaluation'!$A$55:$F$345,6,0),IFERROR(VLOOKUP($B225,'Privacy Analyst Evaluation'!$A$46:$F$120,6,0),""))&amp;""</f>
        <v/>
      </c>
      <c r="G225" s="200"/>
      <c r="H225" s="199" t="str">
        <f>IFERROR(IF($H224+1&gt;'(backend scoring)'!$Q$335,"",$H224+1),"")</f>
        <v/>
      </c>
      <c r="I225" s="199" t="str">
        <f>_xlfn.XLOOKUP($H225,'(backend scoring)'!$S$2:$S$333,'(backend scoring)'!$A$2:$A$333,"")</f>
        <v/>
      </c>
      <c r="J225" s="199" t="str">
        <f>IFERROR(VLOOKUP($I225,'Institution Evaluation'!$A$55:$F$345,2,0),IFERROR(VLOOKUP($I225,'Privacy Analyst Evaluation'!$A$46:$F$120,2,0),""))</f>
        <v/>
      </c>
      <c r="K225" s="199" t="str">
        <f>IFERROR(VLOOKUP($I225,'Institution Evaluation'!$A$55:$F$345,3,0),IFERROR(VLOOKUP($I225,'Privacy Analyst Evaluation'!$A$46:$F$120,3,0),""))&amp;""</f>
        <v/>
      </c>
      <c r="L225" s="199" t="str">
        <f>IFERROR(VLOOKUP($I225,'Institution Evaluation'!$A$55:$F$345,4,0),IFERROR(VLOOKUP($I225,'Privacy Analyst Evaluation'!$A$46:$F$120,4,0),""))&amp;""</f>
        <v/>
      </c>
      <c r="M225" s="199" t="str">
        <f>IFERROR(VLOOKUP($I225,'Institution Evaluation'!$A$55:$F$345,6,0),IFERROR(VLOOKUP($I225,'Privacy Analyst Evaluation'!$A$46:$F$120,6,0),""))&amp;""</f>
        <v/>
      </c>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row>
    <row r="226" spans="1:338" ht="17" x14ac:dyDescent="0.2">
      <c r="A226" s="199" t="str">
        <f>IFERROR(IF($A225+1&gt;'(backend scoring)'!$T$335,"",$A225+1),"")</f>
        <v/>
      </c>
      <c r="B226" s="199" t="str">
        <f>_xlfn.XLOOKUP($A226,'(backend scoring)'!$V$2:$V$333,'(backend scoring)'!$A$2:$A$333,"")</f>
        <v/>
      </c>
      <c r="C226" s="199" t="str">
        <f>IFERROR(VLOOKUP($B226,'Institution Evaluation'!$A$55:$F$345,2,0),IFERROR(VLOOKUP($B226,'Privacy Analyst Evaluation'!$A$46:$F$120,2,0),""))&amp;""</f>
        <v/>
      </c>
      <c r="D226" s="199" t="str">
        <f>IFERROR(VLOOKUP($B226,'Institution Evaluation'!$A$55:$F$345,3,0),IFERROR(VLOOKUP($B226,'Privacy Analyst Evaluation'!$A$46:$F$120,3,0),""))&amp;""</f>
        <v/>
      </c>
      <c r="E226" s="199" t="str">
        <f>IFERROR(VLOOKUP($B226,'Institution Evaluation'!$A$55:$F$345,4,0),IFERROR(VLOOKUP($B226,'Privacy Analyst Evaluation'!$A$46:$F$120,4,0),""))&amp;""</f>
        <v/>
      </c>
      <c r="F226" s="199" t="str">
        <f>IFERROR(VLOOKUP($B226,'Institution Evaluation'!$A$55:$F$345,6,0),IFERROR(VLOOKUP($B226,'Privacy Analyst Evaluation'!$A$46:$F$120,6,0),""))&amp;""</f>
        <v/>
      </c>
      <c r="G226" s="200"/>
      <c r="H226" s="199" t="str">
        <f>IFERROR(IF($H225+1&gt;'(backend scoring)'!$Q$335,"",$H225+1),"")</f>
        <v/>
      </c>
      <c r="I226" s="199" t="str">
        <f>_xlfn.XLOOKUP($H226,'(backend scoring)'!$S$2:$S$333,'(backend scoring)'!$A$2:$A$333,"")</f>
        <v/>
      </c>
      <c r="J226" s="199" t="str">
        <f>IFERROR(VLOOKUP($I226,'Institution Evaluation'!$A$55:$F$345,2,0),IFERROR(VLOOKUP($I226,'Privacy Analyst Evaluation'!$A$46:$F$120,2,0),""))</f>
        <v/>
      </c>
      <c r="K226" s="199" t="str">
        <f>IFERROR(VLOOKUP($I226,'Institution Evaluation'!$A$55:$F$345,3,0),IFERROR(VLOOKUP($I226,'Privacy Analyst Evaluation'!$A$46:$F$120,3,0),""))&amp;""</f>
        <v/>
      </c>
      <c r="L226" s="199" t="str">
        <f>IFERROR(VLOOKUP($I226,'Institution Evaluation'!$A$55:$F$345,4,0),IFERROR(VLOOKUP($I226,'Privacy Analyst Evaluation'!$A$46:$F$120,4,0),""))&amp;""</f>
        <v/>
      </c>
      <c r="M226" s="199" t="str">
        <f>IFERROR(VLOOKUP($I226,'Institution Evaluation'!$A$55:$F$345,6,0),IFERROR(VLOOKUP($I226,'Privacy Analyst Evaluation'!$A$46:$F$120,6,0),""))&amp;""</f>
        <v/>
      </c>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row>
    <row r="227" spans="1:338" ht="17" x14ac:dyDescent="0.2">
      <c r="A227" s="199" t="str">
        <f>IFERROR(IF($A226+1&gt;'(backend scoring)'!$T$335,"",$A226+1),"")</f>
        <v/>
      </c>
      <c r="B227" s="199" t="str">
        <f>_xlfn.XLOOKUP($A227,'(backend scoring)'!$V$2:$V$333,'(backend scoring)'!$A$2:$A$333,"")</f>
        <v/>
      </c>
      <c r="C227" s="199" t="str">
        <f>IFERROR(VLOOKUP($B227,'Institution Evaluation'!$A$55:$F$345,2,0),IFERROR(VLOOKUP($B227,'Privacy Analyst Evaluation'!$A$46:$F$120,2,0),""))&amp;""</f>
        <v/>
      </c>
      <c r="D227" s="199" t="str">
        <f>IFERROR(VLOOKUP($B227,'Institution Evaluation'!$A$55:$F$345,3,0),IFERROR(VLOOKUP($B227,'Privacy Analyst Evaluation'!$A$46:$F$120,3,0),""))&amp;""</f>
        <v/>
      </c>
      <c r="E227" s="199" t="str">
        <f>IFERROR(VLOOKUP($B227,'Institution Evaluation'!$A$55:$F$345,4,0),IFERROR(VLOOKUP($B227,'Privacy Analyst Evaluation'!$A$46:$F$120,4,0),""))&amp;""</f>
        <v/>
      </c>
      <c r="F227" s="199" t="str">
        <f>IFERROR(VLOOKUP($B227,'Institution Evaluation'!$A$55:$F$345,6,0),IFERROR(VLOOKUP($B227,'Privacy Analyst Evaluation'!$A$46:$F$120,6,0),""))&amp;""</f>
        <v/>
      </c>
      <c r="G227" s="200"/>
      <c r="H227" s="199" t="str">
        <f>IFERROR(IF($H226+1&gt;'(backend scoring)'!$Q$335,"",$H226+1),"")</f>
        <v/>
      </c>
      <c r="I227" s="199" t="str">
        <f>_xlfn.XLOOKUP($H227,'(backend scoring)'!$S$2:$S$333,'(backend scoring)'!$A$2:$A$333,"")</f>
        <v/>
      </c>
      <c r="J227" s="199" t="str">
        <f>IFERROR(VLOOKUP($I227,'Institution Evaluation'!$A$55:$F$345,2,0),IFERROR(VLOOKUP($I227,'Privacy Analyst Evaluation'!$A$46:$F$120,2,0),""))</f>
        <v/>
      </c>
      <c r="K227" s="199" t="str">
        <f>IFERROR(VLOOKUP($I227,'Institution Evaluation'!$A$55:$F$345,3,0),IFERROR(VLOOKUP($I227,'Privacy Analyst Evaluation'!$A$46:$F$120,3,0),""))&amp;""</f>
        <v/>
      </c>
      <c r="L227" s="199" t="str">
        <f>IFERROR(VLOOKUP($I227,'Institution Evaluation'!$A$55:$F$345,4,0),IFERROR(VLOOKUP($I227,'Privacy Analyst Evaluation'!$A$46:$F$120,4,0),""))&amp;""</f>
        <v/>
      </c>
      <c r="M227" s="199" t="str">
        <f>IFERROR(VLOOKUP($I227,'Institution Evaluation'!$A$55:$F$345,6,0),IFERROR(VLOOKUP($I227,'Privacy Analyst Evaluation'!$A$46:$F$120,6,0),""))&amp;""</f>
        <v/>
      </c>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row>
    <row r="228" spans="1:338" ht="17" x14ac:dyDescent="0.2">
      <c r="A228" s="199" t="str">
        <f>IFERROR(IF($A227+1&gt;'(backend scoring)'!$T$335,"",$A227+1),"")</f>
        <v/>
      </c>
      <c r="B228" s="199" t="str">
        <f>_xlfn.XLOOKUP($A228,'(backend scoring)'!$V$2:$V$333,'(backend scoring)'!$A$2:$A$333,"")</f>
        <v/>
      </c>
      <c r="C228" s="199" t="str">
        <f>IFERROR(VLOOKUP($B228,'Institution Evaluation'!$A$55:$F$345,2,0),IFERROR(VLOOKUP($B228,'Privacy Analyst Evaluation'!$A$46:$F$120,2,0),""))&amp;""</f>
        <v/>
      </c>
      <c r="D228" s="199" t="str">
        <f>IFERROR(VLOOKUP($B228,'Institution Evaluation'!$A$55:$F$345,3,0),IFERROR(VLOOKUP($B228,'Privacy Analyst Evaluation'!$A$46:$F$120,3,0),""))&amp;""</f>
        <v/>
      </c>
      <c r="E228" s="199" t="str">
        <f>IFERROR(VLOOKUP($B228,'Institution Evaluation'!$A$55:$F$345,4,0),IFERROR(VLOOKUP($B228,'Privacy Analyst Evaluation'!$A$46:$F$120,4,0),""))&amp;""</f>
        <v/>
      </c>
      <c r="F228" s="199" t="str">
        <f>IFERROR(VLOOKUP($B228,'Institution Evaluation'!$A$55:$F$345,6,0),IFERROR(VLOOKUP($B228,'Privacy Analyst Evaluation'!$A$46:$F$120,6,0),""))&amp;""</f>
        <v/>
      </c>
      <c r="G228" s="200"/>
      <c r="H228" s="199" t="str">
        <f>IFERROR(IF($H227+1&gt;'(backend scoring)'!$Q$335,"",$H227+1),"")</f>
        <v/>
      </c>
      <c r="I228" s="199" t="str">
        <f>_xlfn.XLOOKUP($H228,'(backend scoring)'!$S$2:$S$333,'(backend scoring)'!$A$2:$A$333,"")</f>
        <v/>
      </c>
      <c r="J228" s="199" t="str">
        <f>IFERROR(VLOOKUP($I228,'Institution Evaluation'!$A$55:$F$345,2,0),IFERROR(VLOOKUP($I228,'Privacy Analyst Evaluation'!$A$46:$F$120,2,0),""))</f>
        <v/>
      </c>
      <c r="K228" s="199" t="str">
        <f>IFERROR(VLOOKUP($I228,'Institution Evaluation'!$A$55:$F$345,3,0),IFERROR(VLOOKUP($I228,'Privacy Analyst Evaluation'!$A$46:$F$120,3,0),""))&amp;""</f>
        <v/>
      </c>
      <c r="L228" s="199" t="str">
        <f>IFERROR(VLOOKUP($I228,'Institution Evaluation'!$A$55:$F$345,4,0),IFERROR(VLOOKUP($I228,'Privacy Analyst Evaluation'!$A$46:$F$120,4,0),""))&amp;""</f>
        <v/>
      </c>
      <c r="M228" s="199" t="str">
        <f>IFERROR(VLOOKUP($I228,'Institution Evaluation'!$A$55:$F$345,6,0),IFERROR(VLOOKUP($I228,'Privacy Analyst Evaluation'!$A$46:$F$120,6,0),""))&amp;""</f>
        <v/>
      </c>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row>
    <row r="229" spans="1:338" ht="17" x14ac:dyDescent="0.2">
      <c r="A229" s="199" t="str">
        <f>IFERROR(IF($A228+1&gt;'(backend scoring)'!$T$335,"",$A228+1),"")</f>
        <v/>
      </c>
      <c r="B229" s="199" t="str">
        <f>_xlfn.XLOOKUP($A229,'(backend scoring)'!$V$2:$V$333,'(backend scoring)'!$A$2:$A$333,"")</f>
        <v/>
      </c>
      <c r="C229" s="199" t="str">
        <f>IFERROR(VLOOKUP($B229,'Institution Evaluation'!$A$55:$F$345,2,0),IFERROR(VLOOKUP($B229,'Privacy Analyst Evaluation'!$A$46:$F$120,2,0),""))&amp;""</f>
        <v/>
      </c>
      <c r="D229" s="199" t="str">
        <f>IFERROR(VLOOKUP($B229,'Institution Evaluation'!$A$55:$F$345,3,0),IFERROR(VLOOKUP($B229,'Privacy Analyst Evaluation'!$A$46:$F$120,3,0),""))&amp;""</f>
        <v/>
      </c>
      <c r="E229" s="199" t="str">
        <f>IFERROR(VLOOKUP($B229,'Institution Evaluation'!$A$55:$F$345,4,0),IFERROR(VLOOKUP($B229,'Privacy Analyst Evaluation'!$A$46:$F$120,4,0),""))&amp;""</f>
        <v/>
      </c>
      <c r="F229" s="199" t="str">
        <f>IFERROR(VLOOKUP($B229,'Institution Evaluation'!$A$55:$F$345,6,0),IFERROR(VLOOKUP($B229,'Privacy Analyst Evaluation'!$A$46:$F$120,6,0),""))&amp;""</f>
        <v/>
      </c>
      <c r="G229" s="200"/>
      <c r="H229" s="199" t="str">
        <f>IFERROR(IF($H228+1&gt;'(backend scoring)'!$Q$335,"",$H228+1),"")</f>
        <v/>
      </c>
      <c r="I229" s="199" t="str">
        <f>_xlfn.XLOOKUP($H229,'(backend scoring)'!$S$2:$S$333,'(backend scoring)'!$A$2:$A$333,"")</f>
        <v/>
      </c>
      <c r="J229" s="199" t="str">
        <f>IFERROR(VLOOKUP($I229,'Institution Evaluation'!$A$55:$F$345,2,0),IFERROR(VLOOKUP($I229,'Privacy Analyst Evaluation'!$A$46:$F$120,2,0),""))</f>
        <v/>
      </c>
      <c r="K229" s="199" t="str">
        <f>IFERROR(VLOOKUP($I229,'Institution Evaluation'!$A$55:$F$345,3,0),IFERROR(VLOOKUP($I229,'Privacy Analyst Evaluation'!$A$46:$F$120,3,0),""))&amp;""</f>
        <v/>
      </c>
      <c r="L229" s="199" t="str">
        <f>IFERROR(VLOOKUP($I229,'Institution Evaluation'!$A$55:$F$345,4,0),IFERROR(VLOOKUP($I229,'Privacy Analyst Evaluation'!$A$46:$F$120,4,0),""))&amp;""</f>
        <v/>
      </c>
      <c r="M229" s="199" t="str">
        <f>IFERROR(VLOOKUP($I229,'Institution Evaluation'!$A$55:$F$345,6,0),IFERROR(VLOOKUP($I229,'Privacy Analyst Evaluation'!$A$46:$F$120,6,0),""))&amp;""</f>
        <v/>
      </c>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row>
    <row r="230" spans="1:338" ht="17" x14ac:dyDescent="0.2">
      <c r="A230" s="199" t="str">
        <f>IFERROR(IF($A229+1&gt;'(backend scoring)'!$T$335,"",$A229+1),"")</f>
        <v/>
      </c>
      <c r="B230" s="199" t="str">
        <f>_xlfn.XLOOKUP($A230,'(backend scoring)'!$V$2:$V$333,'(backend scoring)'!$A$2:$A$333,"")</f>
        <v/>
      </c>
      <c r="C230" s="199" t="str">
        <f>IFERROR(VLOOKUP($B230,'Institution Evaluation'!$A$55:$F$345,2,0),IFERROR(VLOOKUP($B230,'Privacy Analyst Evaluation'!$A$46:$F$120,2,0),""))&amp;""</f>
        <v/>
      </c>
      <c r="D230" s="199" t="str">
        <f>IFERROR(VLOOKUP($B230,'Institution Evaluation'!$A$55:$F$345,3,0),IFERROR(VLOOKUP($B230,'Privacy Analyst Evaluation'!$A$46:$F$120,3,0),""))&amp;""</f>
        <v/>
      </c>
      <c r="E230" s="199" t="str">
        <f>IFERROR(VLOOKUP($B230,'Institution Evaluation'!$A$55:$F$345,4,0),IFERROR(VLOOKUP($B230,'Privacy Analyst Evaluation'!$A$46:$F$120,4,0),""))&amp;""</f>
        <v/>
      </c>
      <c r="F230" s="199" t="str">
        <f>IFERROR(VLOOKUP($B230,'Institution Evaluation'!$A$55:$F$345,6,0),IFERROR(VLOOKUP($B230,'Privacy Analyst Evaluation'!$A$46:$F$120,6,0),""))&amp;""</f>
        <v/>
      </c>
      <c r="G230" s="200"/>
      <c r="H230" s="199" t="str">
        <f>IFERROR(IF($H229+1&gt;'(backend scoring)'!$Q$335,"",$H229+1),"")</f>
        <v/>
      </c>
      <c r="I230" s="199" t="str">
        <f>_xlfn.XLOOKUP($H230,'(backend scoring)'!$S$2:$S$333,'(backend scoring)'!$A$2:$A$333,"")</f>
        <v/>
      </c>
      <c r="J230" s="199" t="str">
        <f>IFERROR(VLOOKUP($I230,'Institution Evaluation'!$A$55:$F$345,2,0),IFERROR(VLOOKUP($I230,'Privacy Analyst Evaluation'!$A$46:$F$120,2,0),""))</f>
        <v/>
      </c>
      <c r="K230" s="199" t="str">
        <f>IFERROR(VLOOKUP($I230,'Institution Evaluation'!$A$55:$F$345,3,0),IFERROR(VLOOKUP($I230,'Privacy Analyst Evaluation'!$A$46:$F$120,3,0),""))&amp;""</f>
        <v/>
      </c>
      <c r="L230" s="199" t="str">
        <f>IFERROR(VLOOKUP($I230,'Institution Evaluation'!$A$55:$F$345,4,0),IFERROR(VLOOKUP($I230,'Privacy Analyst Evaluation'!$A$46:$F$120,4,0),""))&amp;""</f>
        <v/>
      </c>
      <c r="M230" s="199" t="str">
        <f>IFERROR(VLOOKUP($I230,'Institution Evaluation'!$A$55:$F$345,6,0),IFERROR(VLOOKUP($I230,'Privacy Analyst Evaluation'!$A$46:$F$120,6,0),""))&amp;""</f>
        <v/>
      </c>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row>
    <row r="231" spans="1:338" ht="17" x14ac:dyDescent="0.2">
      <c r="A231" s="199" t="str">
        <f>IFERROR(IF($A230+1&gt;'(backend scoring)'!$T$335,"",$A230+1),"")</f>
        <v/>
      </c>
      <c r="B231" s="199" t="str">
        <f>_xlfn.XLOOKUP($A231,'(backend scoring)'!$V$2:$V$333,'(backend scoring)'!$A$2:$A$333,"")</f>
        <v/>
      </c>
      <c r="C231" s="199" t="str">
        <f>IFERROR(VLOOKUP($B231,'Institution Evaluation'!$A$55:$F$345,2,0),IFERROR(VLOOKUP($B231,'Privacy Analyst Evaluation'!$A$46:$F$120,2,0),""))&amp;""</f>
        <v/>
      </c>
      <c r="D231" s="199" t="str">
        <f>IFERROR(VLOOKUP($B231,'Institution Evaluation'!$A$55:$F$345,3,0),IFERROR(VLOOKUP($B231,'Privacy Analyst Evaluation'!$A$46:$F$120,3,0),""))&amp;""</f>
        <v/>
      </c>
      <c r="E231" s="199" t="str">
        <f>IFERROR(VLOOKUP($B231,'Institution Evaluation'!$A$55:$F$345,4,0),IFERROR(VLOOKUP($B231,'Privacy Analyst Evaluation'!$A$46:$F$120,4,0),""))&amp;""</f>
        <v/>
      </c>
      <c r="F231" s="199" t="str">
        <f>IFERROR(VLOOKUP($B231,'Institution Evaluation'!$A$55:$F$345,6,0),IFERROR(VLOOKUP($B231,'Privacy Analyst Evaluation'!$A$46:$F$120,6,0),""))&amp;""</f>
        <v/>
      </c>
      <c r="G231" s="200"/>
      <c r="H231" s="199" t="str">
        <f>IFERROR(IF($H230+1&gt;'(backend scoring)'!$Q$335,"",$H230+1),"")</f>
        <v/>
      </c>
      <c r="I231" s="199" t="str">
        <f>_xlfn.XLOOKUP($H231,'(backend scoring)'!$S$2:$S$333,'(backend scoring)'!$A$2:$A$333,"")</f>
        <v/>
      </c>
      <c r="J231" s="199" t="str">
        <f>IFERROR(VLOOKUP($I231,'Institution Evaluation'!$A$55:$F$345,2,0),IFERROR(VLOOKUP($I231,'Privacy Analyst Evaluation'!$A$46:$F$120,2,0),""))</f>
        <v/>
      </c>
      <c r="K231" s="199" t="str">
        <f>IFERROR(VLOOKUP($I231,'Institution Evaluation'!$A$55:$F$345,3,0),IFERROR(VLOOKUP($I231,'Privacy Analyst Evaluation'!$A$46:$F$120,3,0),""))&amp;""</f>
        <v/>
      </c>
      <c r="L231" s="199" t="str">
        <f>IFERROR(VLOOKUP($I231,'Institution Evaluation'!$A$55:$F$345,4,0),IFERROR(VLOOKUP($I231,'Privacy Analyst Evaluation'!$A$46:$F$120,4,0),""))&amp;""</f>
        <v/>
      </c>
      <c r="M231" s="199" t="str">
        <f>IFERROR(VLOOKUP($I231,'Institution Evaluation'!$A$55:$F$345,6,0),IFERROR(VLOOKUP($I231,'Privacy Analyst Evaluation'!$A$46:$F$120,6,0),""))&amp;""</f>
        <v/>
      </c>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row>
    <row r="232" spans="1:338" ht="17" x14ac:dyDescent="0.2">
      <c r="A232" s="199" t="str">
        <f>IFERROR(IF($A231+1&gt;'(backend scoring)'!$T$335,"",$A231+1),"")</f>
        <v/>
      </c>
      <c r="B232" s="199" t="str">
        <f>_xlfn.XLOOKUP($A232,'(backend scoring)'!$V$2:$V$333,'(backend scoring)'!$A$2:$A$333,"")</f>
        <v/>
      </c>
      <c r="C232" s="199" t="str">
        <f>IFERROR(VLOOKUP($B232,'Institution Evaluation'!$A$55:$F$345,2,0),IFERROR(VLOOKUP($B232,'Privacy Analyst Evaluation'!$A$46:$F$120,2,0),""))&amp;""</f>
        <v/>
      </c>
      <c r="D232" s="199" t="str">
        <f>IFERROR(VLOOKUP($B232,'Institution Evaluation'!$A$55:$F$345,3,0),IFERROR(VLOOKUP($B232,'Privacy Analyst Evaluation'!$A$46:$F$120,3,0),""))&amp;""</f>
        <v/>
      </c>
      <c r="E232" s="199" t="str">
        <f>IFERROR(VLOOKUP($B232,'Institution Evaluation'!$A$55:$F$345,4,0),IFERROR(VLOOKUP($B232,'Privacy Analyst Evaluation'!$A$46:$F$120,4,0),""))&amp;""</f>
        <v/>
      </c>
      <c r="F232" s="199" t="str">
        <f>IFERROR(VLOOKUP($B232,'Institution Evaluation'!$A$55:$F$345,6,0),IFERROR(VLOOKUP($B232,'Privacy Analyst Evaluation'!$A$46:$F$120,6,0),""))&amp;""</f>
        <v/>
      </c>
      <c r="G232" s="200"/>
      <c r="H232" s="199" t="str">
        <f>IFERROR(IF($H231+1&gt;'(backend scoring)'!$Q$335,"",$H231+1),"")</f>
        <v/>
      </c>
      <c r="I232" s="199" t="str">
        <f>_xlfn.XLOOKUP($H232,'(backend scoring)'!$S$2:$S$333,'(backend scoring)'!$A$2:$A$333,"")</f>
        <v/>
      </c>
      <c r="J232" s="199" t="str">
        <f>IFERROR(VLOOKUP($I232,'Institution Evaluation'!$A$55:$F$345,2,0),IFERROR(VLOOKUP($I232,'Privacy Analyst Evaluation'!$A$46:$F$120,2,0),""))</f>
        <v/>
      </c>
      <c r="K232" s="199" t="str">
        <f>IFERROR(VLOOKUP($I232,'Institution Evaluation'!$A$55:$F$345,3,0),IFERROR(VLOOKUP($I232,'Privacy Analyst Evaluation'!$A$46:$F$120,3,0),""))&amp;""</f>
        <v/>
      </c>
      <c r="L232" s="199" t="str">
        <f>IFERROR(VLOOKUP($I232,'Institution Evaluation'!$A$55:$F$345,4,0),IFERROR(VLOOKUP($I232,'Privacy Analyst Evaluation'!$A$46:$F$120,4,0),""))&amp;""</f>
        <v/>
      </c>
      <c r="M232" s="199" t="str">
        <f>IFERROR(VLOOKUP($I232,'Institution Evaluation'!$A$55:$F$345,6,0),IFERROR(VLOOKUP($I232,'Privacy Analyst Evaluation'!$A$46:$F$120,6,0),""))&amp;""</f>
        <v/>
      </c>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row>
    <row r="233" spans="1:338" ht="17" x14ac:dyDescent="0.2">
      <c r="A233" s="199" t="str">
        <f>IFERROR(IF($A232+1&gt;'(backend scoring)'!$T$335,"",$A232+1),"")</f>
        <v/>
      </c>
      <c r="B233" s="199" t="str">
        <f>_xlfn.XLOOKUP($A233,'(backend scoring)'!$V$2:$V$333,'(backend scoring)'!$A$2:$A$333,"")</f>
        <v/>
      </c>
      <c r="C233" s="199" t="str">
        <f>IFERROR(VLOOKUP($B233,'Institution Evaluation'!$A$55:$F$345,2,0),IFERROR(VLOOKUP($B233,'Privacy Analyst Evaluation'!$A$46:$F$120,2,0),""))&amp;""</f>
        <v/>
      </c>
      <c r="D233" s="199" t="str">
        <f>IFERROR(VLOOKUP($B233,'Institution Evaluation'!$A$55:$F$345,3,0),IFERROR(VLOOKUP($B233,'Privacy Analyst Evaluation'!$A$46:$F$120,3,0),""))&amp;""</f>
        <v/>
      </c>
      <c r="E233" s="199" t="str">
        <f>IFERROR(VLOOKUP($B233,'Institution Evaluation'!$A$55:$F$345,4,0),IFERROR(VLOOKUP($B233,'Privacy Analyst Evaluation'!$A$46:$F$120,4,0),""))&amp;""</f>
        <v/>
      </c>
      <c r="F233" s="199" t="str">
        <f>IFERROR(VLOOKUP($B233,'Institution Evaluation'!$A$55:$F$345,6,0),IFERROR(VLOOKUP($B233,'Privacy Analyst Evaluation'!$A$46:$F$120,6,0),""))&amp;""</f>
        <v/>
      </c>
      <c r="G233" s="200"/>
      <c r="H233" s="199" t="str">
        <f>IFERROR(IF($H232+1&gt;'(backend scoring)'!$Q$335,"",$H232+1),"")</f>
        <v/>
      </c>
      <c r="I233" s="199" t="str">
        <f>_xlfn.XLOOKUP($H233,'(backend scoring)'!$S$2:$S$333,'(backend scoring)'!$A$2:$A$333,"")</f>
        <v/>
      </c>
      <c r="J233" s="199" t="str">
        <f>IFERROR(VLOOKUP($I233,'Institution Evaluation'!$A$55:$F$345,2,0),IFERROR(VLOOKUP($I233,'Privacy Analyst Evaluation'!$A$46:$F$120,2,0),""))</f>
        <v/>
      </c>
      <c r="K233" s="199" t="str">
        <f>IFERROR(VLOOKUP($I233,'Institution Evaluation'!$A$55:$F$345,3,0),IFERROR(VLOOKUP($I233,'Privacy Analyst Evaluation'!$A$46:$F$120,3,0),""))&amp;""</f>
        <v/>
      </c>
      <c r="L233" s="199" t="str">
        <f>IFERROR(VLOOKUP($I233,'Institution Evaluation'!$A$55:$F$345,4,0),IFERROR(VLOOKUP($I233,'Privacy Analyst Evaluation'!$A$46:$F$120,4,0),""))&amp;""</f>
        <v/>
      </c>
      <c r="M233" s="199" t="str">
        <f>IFERROR(VLOOKUP($I233,'Institution Evaluation'!$A$55:$F$345,6,0),IFERROR(VLOOKUP($I233,'Privacy Analyst Evaluation'!$A$46:$F$120,6,0),""))&amp;""</f>
        <v/>
      </c>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row>
    <row r="234" spans="1:338" ht="17" x14ac:dyDescent="0.2">
      <c r="A234" s="199" t="str">
        <f>IFERROR(IF($A233+1&gt;'(backend scoring)'!$T$335,"",$A233+1),"")</f>
        <v/>
      </c>
      <c r="B234" s="199" t="str">
        <f>_xlfn.XLOOKUP($A234,'(backend scoring)'!$V$2:$V$333,'(backend scoring)'!$A$2:$A$333,"")</f>
        <v/>
      </c>
      <c r="C234" s="199" t="str">
        <f>IFERROR(VLOOKUP($B234,'Institution Evaluation'!$A$55:$F$345,2,0),IFERROR(VLOOKUP($B234,'Privacy Analyst Evaluation'!$A$46:$F$120,2,0),""))&amp;""</f>
        <v/>
      </c>
      <c r="D234" s="199" t="str">
        <f>IFERROR(VLOOKUP($B234,'Institution Evaluation'!$A$55:$F$345,3,0),IFERROR(VLOOKUP($B234,'Privacy Analyst Evaluation'!$A$46:$F$120,3,0),""))&amp;""</f>
        <v/>
      </c>
      <c r="E234" s="199" t="str">
        <f>IFERROR(VLOOKUP($B234,'Institution Evaluation'!$A$55:$F$345,4,0),IFERROR(VLOOKUP($B234,'Privacy Analyst Evaluation'!$A$46:$F$120,4,0),""))&amp;""</f>
        <v/>
      </c>
      <c r="F234" s="199" t="str">
        <f>IFERROR(VLOOKUP($B234,'Institution Evaluation'!$A$55:$F$345,6,0),IFERROR(VLOOKUP($B234,'Privacy Analyst Evaluation'!$A$46:$F$120,6,0),""))&amp;""</f>
        <v/>
      </c>
      <c r="G234" s="200"/>
      <c r="H234" s="199" t="str">
        <f>IFERROR(IF($H233+1&gt;'(backend scoring)'!$Q$335,"",$H233+1),"")</f>
        <v/>
      </c>
      <c r="I234" s="199" t="str">
        <f>_xlfn.XLOOKUP($H234,'(backend scoring)'!$S$2:$S$333,'(backend scoring)'!$A$2:$A$333,"")</f>
        <v/>
      </c>
      <c r="J234" s="199" t="str">
        <f>IFERROR(VLOOKUP($I234,'Institution Evaluation'!$A$55:$F$345,2,0),IFERROR(VLOOKUP($I234,'Privacy Analyst Evaluation'!$A$46:$F$120,2,0),""))</f>
        <v/>
      </c>
      <c r="K234" s="199" t="str">
        <f>IFERROR(VLOOKUP($I234,'Institution Evaluation'!$A$55:$F$345,3,0),IFERROR(VLOOKUP($I234,'Privacy Analyst Evaluation'!$A$46:$F$120,3,0),""))&amp;""</f>
        <v/>
      </c>
      <c r="L234" s="199" t="str">
        <f>IFERROR(VLOOKUP($I234,'Institution Evaluation'!$A$55:$F$345,4,0),IFERROR(VLOOKUP($I234,'Privacy Analyst Evaluation'!$A$46:$F$120,4,0),""))&amp;""</f>
        <v/>
      </c>
      <c r="M234" s="199" t="str">
        <f>IFERROR(VLOOKUP($I234,'Institution Evaluation'!$A$55:$F$345,6,0),IFERROR(VLOOKUP($I234,'Privacy Analyst Evaluation'!$A$46:$F$120,6,0),""))&amp;""</f>
        <v/>
      </c>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row>
    <row r="235" spans="1:338" ht="17" x14ac:dyDescent="0.2">
      <c r="A235" s="199" t="str">
        <f>IFERROR(IF($A234+1&gt;'(backend scoring)'!$T$335,"",$A234+1),"")</f>
        <v/>
      </c>
      <c r="B235" s="199" t="str">
        <f>_xlfn.XLOOKUP($A235,'(backend scoring)'!$V$2:$V$333,'(backend scoring)'!$A$2:$A$333,"")</f>
        <v/>
      </c>
      <c r="C235" s="199" t="str">
        <f>IFERROR(VLOOKUP($B235,'Institution Evaluation'!$A$55:$F$345,2,0),IFERROR(VLOOKUP($B235,'Privacy Analyst Evaluation'!$A$46:$F$120,2,0),""))&amp;""</f>
        <v/>
      </c>
      <c r="D235" s="199" t="str">
        <f>IFERROR(VLOOKUP($B235,'Institution Evaluation'!$A$55:$F$345,3,0),IFERROR(VLOOKUP($B235,'Privacy Analyst Evaluation'!$A$46:$F$120,3,0),""))&amp;""</f>
        <v/>
      </c>
      <c r="E235" s="199" t="str">
        <f>IFERROR(VLOOKUP($B235,'Institution Evaluation'!$A$55:$F$345,4,0),IFERROR(VLOOKUP($B235,'Privacy Analyst Evaluation'!$A$46:$F$120,4,0),""))&amp;""</f>
        <v/>
      </c>
      <c r="F235" s="199" t="str">
        <f>IFERROR(VLOOKUP($B235,'Institution Evaluation'!$A$55:$F$345,6,0),IFERROR(VLOOKUP($B235,'Privacy Analyst Evaluation'!$A$46:$F$120,6,0),""))&amp;""</f>
        <v/>
      </c>
      <c r="G235" s="200"/>
      <c r="H235" s="199" t="str">
        <f>IFERROR(IF($H234+1&gt;'(backend scoring)'!$Q$335,"",$H234+1),"")</f>
        <v/>
      </c>
      <c r="I235" s="199" t="str">
        <f>_xlfn.XLOOKUP($H235,'(backend scoring)'!$S$2:$S$333,'(backend scoring)'!$A$2:$A$333,"")</f>
        <v/>
      </c>
      <c r="J235" s="199" t="str">
        <f>IFERROR(VLOOKUP($I235,'Institution Evaluation'!$A$55:$F$345,2,0),IFERROR(VLOOKUP($I235,'Privacy Analyst Evaluation'!$A$46:$F$120,2,0),""))</f>
        <v/>
      </c>
      <c r="K235" s="199" t="str">
        <f>IFERROR(VLOOKUP($I235,'Institution Evaluation'!$A$55:$F$345,3,0),IFERROR(VLOOKUP($I235,'Privacy Analyst Evaluation'!$A$46:$F$120,3,0),""))&amp;""</f>
        <v/>
      </c>
      <c r="L235" s="199" t="str">
        <f>IFERROR(VLOOKUP($I235,'Institution Evaluation'!$A$55:$F$345,4,0),IFERROR(VLOOKUP($I235,'Privacy Analyst Evaluation'!$A$46:$F$120,4,0),""))&amp;""</f>
        <v/>
      </c>
      <c r="M235" s="199" t="str">
        <f>IFERROR(VLOOKUP($I235,'Institution Evaluation'!$A$55:$F$345,6,0),IFERROR(VLOOKUP($I235,'Privacy Analyst Evaluation'!$A$46:$F$120,6,0),""))&amp;""</f>
        <v/>
      </c>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row>
    <row r="236" spans="1:338" ht="17" x14ac:dyDescent="0.2">
      <c r="A236" s="199" t="str">
        <f>IFERROR(IF($A235+1&gt;'(backend scoring)'!$T$335,"",$A235+1),"")</f>
        <v/>
      </c>
      <c r="B236" s="199" t="str">
        <f>_xlfn.XLOOKUP($A236,'(backend scoring)'!$V$2:$V$333,'(backend scoring)'!$A$2:$A$333,"")</f>
        <v/>
      </c>
      <c r="C236" s="199" t="str">
        <f>IFERROR(VLOOKUP($B236,'Institution Evaluation'!$A$55:$F$345,2,0),IFERROR(VLOOKUP($B236,'Privacy Analyst Evaluation'!$A$46:$F$120,2,0),""))&amp;""</f>
        <v/>
      </c>
      <c r="D236" s="199" t="str">
        <f>IFERROR(VLOOKUP($B236,'Institution Evaluation'!$A$55:$F$345,3,0),IFERROR(VLOOKUP($B236,'Privacy Analyst Evaluation'!$A$46:$F$120,3,0),""))&amp;""</f>
        <v/>
      </c>
      <c r="E236" s="199" t="str">
        <f>IFERROR(VLOOKUP($B236,'Institution Evaluation'!$A$55:$F$345,4,0),IFERROR(VLOOKUP($B236,'Privacy Analyst Evaluation'!$A$46:$F$120,4,0),""))&amp;""</f>
        <v/>
      </c>
      <c r="F236" s="199" t="str">
        <f>IFERROR(VLOOKUP($B236,'Institution Evaluation'!$A$55:$F$345,6,0),IFERROR(VLOOKUP($B236,'Privacy Analyst Evaluation'!$A$46:$F$120,6,0),""))&amp;""</f>
        <v/>
      </c>
      <c r="G236" s="200"/>
      <c r="H236" s="199" t="str">
        <f>IFERROR(IF($H235+1&gt;'(backend scoring)'!$Q$335,"",$H235+1),"")</f>
        <v/>
      </c>
      <c r="I236" s="199" t="str">
        <f>_xlfn.XLOOKUP($H236,'(backend scoring)'!$S$2:$S$333,'(backend scoring)'!$A$2:$A$333,"")</f>
        <v/>
      </c>
      <c r="J236" s="199" t="str">
        <f>IFERROR(VLOOKUP($I236,'Institution Evaluation'!$A$55:$F$345,2,0),IFERROR(VLOOKUP($I236,'Privacy Analyst Evaluation'!$A$46:$F$120,2,0),""))</f>
        <v/>
      </c>
      <c r="K236" s="199" t="str">
        <f>IFERROR(VLOOKUP($I236,'Institution Evaluation'!$A$55:$F$345,3,0),IFERROR(VLOOKUP($I236,'Privacy Analyst Evaluation'!$A$46:$F$120,3,0),""))&amp;""</f>
        <v/>
      </c>
      <c r="L236" s="199" t="str">
        <f>IFERROR(VLOOKUP($I236,'Institution Evaluation'!$A$55:$F$345,4,0),IFERROR(VLOOKUP($I236,'Privacy Analyst Evaluation'!$A$46:$F$120,4,0),""))&amp;""</f>
        <v/>
      </c>
      <c r="M236" s="199" t="str">
        <f>IFERROR(VLOOKUP($I236,'Institution Evaluation'!$A$55:$F$345,6,0),IFERROR(VLOOKUP($I236,'Privacy Analyst Evaluation'!$A$46:$F$120,6,0),""))&amp;""</f>
        <v/>
      </c>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row>
    <row r="237" spans="1:338" ht="17" x14ac:dyDescent="0.2">
      <c r="A237" s="199" t="str">
        <f>IFERROR(IF($A236+1&gt;'(backend scoring)'!$T$335,"",$A236+1),"")</f>
        <v/>
      </c>
      <c r="B237" s="199" t="str">
        <f>_xlfn.XLOOKUP($A237,'(backend scoring)'!$V$2:$V$333,'(backend scoring)'!$A$2:$A$333,"")</f>
        <v/>
      </c>
      <c r="C237" s="199" t="str">
        <f>IFERROR(VLOOKUP($B237,'Institution Evaluation'!$A$55:$F$345,2,0),IFERROR(VLOOKUP($B237,'Privacy Analyst Evaluation'!$A$46:$F$120,2,0),""))&amp;""</f>
        <v/>
      </c>
      <c r="D237" s="199" t="str">
        <f>IFERROR(VLOOKUP($B237,'Institution Evaluation'!$A$55:$F$345,3,0),IFERROR(VLOOKUP($B237,'Privacy Analyst Evaluation'!$A$46:$F$120,3,0),""))&amp;""</f>
        <v/>
      </c>
      <c r="E237" s="199" t="str">
        <f>IFERROR(VLOOKUP($B237,'Institution Evaluation'!$A$55:$F$345,4,0),IFERROR(VLOOKUP($B237,'Privacy Analyst Evaluation'!$A$46:$F$120,4,0),""))&amp;""</f>
        <v/>
      </c>
      <c r="F237" s="199" t="str">
        <f>IFERROR(VLOOKUP($B237,'Institution Evaluation'!$A$55:$F$345,6,0),IFERROR(VLOOKUP($B237,'Privacy Analyst Evaluation'!$A$46:$F$120,6,0),""))&amp;""</f>
        <v/>
      </c>
      <c r="G237" s="200"/>
      <c r="H237" s="199" t="str">
        <f>IFERROR(IF($H236+1&gt;'(backend scoring)'!$Q$335,"",$H236+1),"")</f>
        <v/>
      </c>
      <c r="I237" s="199" t="str">
        <f>_xlfn.XLOOKUP($H237,'(backend scoring)'!$S$2:$S$333,'(backend scoring)'!$A$2:$A$333,"")</f>
        <v/>
      </c>
      <c r="J237" s="199" t="str">
        <f>IFERROR(VLOOKUP($I237,'Institution Evaluation'!$A$55:$F$345,2,0),IFERROR(VLOOKUP($I237,'Privacy Analyst Evaluation'!$A$46:$F$120,2,0),""))</f>
        <v/>
      </c>
      <c r="K237" s="199" t="str">
        <f>IFERROR(VLOOKUP($I237,'Institution Evaluation'!$A$55:$F$345,3,0),IFERROR(VLOOKUP($I237,'Privacy Analyst Evaluation'!$A$46:$F$120,3,0),""))&amp;""</f>
        <v/>
      </c>
      <c r="L237" s="199" t="str">
        <f>IFERROR(VLOOKUP($I237,'Institution Evaluation'!$A$55:$F$345,4,0),IFERROR(VLOOKUP($I237,'Privacy Analyst Evaluation'!$A$46:$F$120,4,0),""))&amp;""</f>
        <v/>
      </c>
      <c r="M237" s="199" t="str">
        <f>IFERROR(VLOOKUP($I237,'Institution Evaluation'!$A$55:$F$345,6,0),IFERROR(VLOOKUP($I237,'Privacy Analyst Evaluation'!$A$46:$F$120,6,0),""))&amp;""</f>
        <v/>
      </c>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row>
    <row r="238" spans="1:338" ht="17" x14ac:dyDescent="0.2">
      <c r="A238" s="199" t="str">
        <f>IFERROR(IF($A237+1&gt;'(backend scoring)'!$T$335,"",$A237+1),"")</f>
        <v/>
      </c>
      <c r="B238" s="199" t="str">
        <f>_xlfn.XLOOKUP($A238,'(backend scoring)'!$V$2:$V$333,'(backend scoring)'!$A$2:$A$333,"")</f>
        <v/>
      </c>
      <c r="C238" s="199" t="str">
        <f>IFERROR(VLOOKUP($B238,'Institution Evaluation'!$A$55:$F$345,2,0),IFERROR(VLOOKUP($B238,'Privacy Analyst Evaluation'!$A$46:$F$120,2,0),""))&amp;""</f>
        <v/>
      </c>
      <c r="D238" s="199" t="str">
        <f>IFERROR(VLOOKUP($B238,'Institution Evaluation'!$A$55:$F$345,3,0),IFERROR(VLOOKUP($B238,'Privacy Analyst Evaluation'!$A$46:$F$120,3,0),""))&amp;""</f>
        <v/>
      </c>
      <c r="E238" s="199" t="str">
        <f>IFERROR(VLOOKUP($B238,'Institution Evaluation'!$A$55:$F$345,4,0),IFERROR(VLOOKUP($B238,'Privacy Analyst Evaluation'!$A$46:$F$120,4,0),""))&amp;""</f>
        <v/>
      </c>
      <c r="F238" s="199" t="str">
        <f>IFERROR(VLOOKUP($B238,'Institution Evaluation'!$A$55:$F$345,6,0),IFERROR(VLOOKUP($B238,'Privacy Analyst Evaluation'!$A$46:$F$120,6,0),""))&amp;""</f>
        <v/>
      </c>
      <c r="G238" s="200"/>
      <c r="H238" s="199" t="str">
        <f>IFERROR(IF($H237+1&gt;'(backend scoring)'!$Q$335,"",$H237+1),"")</f>
        <v/>
      </c>
      <c r="I238" s="199" t="str">
        <f>_xlfn.XLOOKUP($H238,'(backend scoring)'!$S$2:$S$333,'(backend scoring)'!$A$2:$A$333,"")</f>
        <v/>
      </c>
      <c r="J238" s="199" t="str">
        <f>IFERROR(VLOOKUP($I238,'Institution Evaluation'!$A$55:$F$345,2,0),IFERROR(VLOOKUP($I238,'Privacy Analyst Evaluation'!$A$46:$F$120,2,0),""))</f>
        <v/>
      </c>
      <c r="K238" s="199" t="str">
        <f>IFERROR(VLOOKUP($I238,'Institution Evaluation'!$A$55:$F$345,3,0),IFERROR(VLOOKUP($I238,'Privacy Analyst Evaluation'!$A$46:$F$120,3,0),""))&amp;""</f>
        <v/>
      </c>
      <c r="L238" s="199" t="str">
        <f>IFERROR(VLOOKUP($I238,'Institution Evaluation'!$A$55:$F$345,4,0),IFERROR(VLOOKUP($I238,'Privacy Analyst Evaluation'!$A$46:$F$120,4,0),""))&amp;""</f>
        <v/>
      </c>
      <c r="M238" s="199" t="str">
        <f>IFERROR(VLOOKUP($I238,'Institution Evaluation'!$A$55:$F$345,6,0),IFERROR(VLOOKUP($I238,'Privacy Analyst Evaluation'!$A$46:$F$120,6,0),""))&amp;""</f>
        <v/>
      </c>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row>
    <row r="239" spans="1:338" ht="17" x14ac:dyDescent="0.2">
      <c r="A239" s="199" t="str">
        <f>IFERROR(IF($A238+1&gt;'(backend scoring)'!$T$335,"",$A238+1),"")</f>
        <v/>
      </c>
      <c r="B239" s="199" t="str">
        <f>_xlfn.XLOOKUP($A239,'(backend scoring)'!$V$2:$V$333,'(backend scoring)'!$A$2:$A$333,"")</f>
        <v/>
      </c>
      <c r="C239" s="199" t="str">
        <f>IFERROR(VLOOKUP($B239,'Institution Evaluation'!$A$55:$F$345,2,0),IFERROR(VLOOKUP($B239,'Privacy Analyst Evaluation'!$A$46:$F$120,2,0),""))&amp;""</f>
        <v/>
      </c>
      <c r="D239" s="199" t="str">
        <f>IFERROR(VLOOKUP($B239,'Institution Evaluation'!$A$55:$F$345,3,0),IFERROR(VLOOKUP($B239,'Privacy Analyst Evaluation'!$A$46:$F$120,3,0),""))&amp;""</f>
        <v/>
      </c>
      <c r="E239" s="199" t="str">
        <f>IFERROR(VLOOKUP($B239,'Institution Evaluation'!$A$55:$F$345,4,0),IFERROR(VLOOKUP($B239,'Privacy Analyst Evaluation'!$A$46:$F$120,4,0),""))&amp;""</f>
        <v/>
      </c>
      <c r="F239" s="199" t="str">
        <f>IFERROR(VLOOKUP($B239,'Institution Evaluation'!$A$55:$F$345,6,0),IFERROR(VLOOKUP($B239,'Privacy Analyst Evaluation'!$A$46:$F$120,6,0),""))&amp;""</f>
        <v/>
      </c>
      <c r="G239" s="200"/>
      <c r="H239" s="199" t="str">
        <f>IFERROR(IF($H238+1&gt;'(backend scoring)'!$Q$335,"",$H238+1),"")</f>
        <v/>
      </c>
      <c r="I239" s="199" t="str">
        <f>_xlfn.XLOOKUP($H239,'(backend scoring)'!$S$2:$S$333,'(backend scoring)'!$A$2:$A$333,"")</f>
        <v/>
      </c>
      <c r="J239" s="199" t="str">
        <f>IFERROR(VLOOKUP($I239,'Institution Evaluation'!$A$55:$F$345,2,0),IFERROR(VLOOKUP($I239,'Privacy Analyst Evaluation'!$A$46:$F$120,2,0),""))</f>
        <v/>
      </c>
      <c r="K239" s="199" t="str">
        <f>IFERROR(VLOOKUP($I239,'Institution Evaluation'!$A$55:$F$345,3,0),IFERROR(VLOOKUP($I239,'Privacy Analyst Evaluation'!$A$46:$F$120,3,0),""))&amp;""</f>
        <v/>
      </c>
      <c r="L239" s="199" t="str">
        <f>IFERROR(VLOOKUP($I239,'Institution Evaluation'!$A$55:$F$345,4,0),IFERROR(VLOOKUP($I239,'Privacy Analyst Evaluation'!$A$46:$F$120,4,0),""))&amp;""</f>
        <v/>
      </c>
      <c r="M239" s="199" t="str">
        <f>IFERROR(VLOOKUP($I239,'Institution Evaluation'!$A$55:$F$345,6,0),IFERROR(VLOOKUP($I239,'Privacy Analyst Evaluation'!$A$46:$F$120,6,0),""))&amp;""</f>
        <v/>
      </c>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row>
    <row r="240" spans="1:338" ht="17" x14ac:dyDescent="0.2">
      <c r="A240" s="199" t="str">
        <f>IFERROR(IF($A239+1&gt;'(backend scoring)'!$T$335,"",$A239+1),"")</f>
        <v/>
      </c>
      <c r="B240" s="199" t="str">
        <f>_xlfn.XLOOKUP($A240,'(backend scoring)'!$V$2:$V$333,'(backend scoring)'!$A$2:$A$333,"")</f>
        <v/>
      </c>
      <c r="C240" s="199" t="str">
        <f>IFERROR(VLOOKUP($B240,'Institution Evaluation'!$A$55:$F$345,2,0),IFERROR(VLOOKUP($B240,'Privacy Analyst Evaluation'!$A$46:$F$120,2,0),""))&amp;""</f>
        <v/>
      </c>
      <c r="D240" s="199" t="str">
        <f>IFERROR(VLOOKUP($B240,'Institution Evaluation'!$A$55:$F$345,3,0),IFERROR(VLOOKUP($B240,'Privacy Analyst Evaluation'!$A$46:$F$120,3,0),""))&amp;""</f>
        <v/>
      </c>
      <c r="E240" s="199" t="str">
        <f>IFERROR(VLOOKUP($B240,'Institution Evaluation'!$A$55:$F$345,4,0),IFERROR(VLOOKUP($B240,'Privacy Analyst Evaluation'!$A$46:$F$120,4,0),""))&amp;""</f>
        <v/>
      </c>
      <c r="F240" s="199" t="str">
        <f>IFERROR(VLOOKUP($B240,'Institution Evaluation'!$A$55:$F$345,6,0),IFERROR(VLOOKUP($B240,'Privacy Analyst Evaluation'!$A$46:$F$120,6,0),""))&amp;""</f>
        <v/>
      </c>
      <c r="G240" s="200"/>
      <c r="H240" s="199" t="str">
        <f>IFERROR(IF($H239+1&gt;'(backend scoring)'!$Q$335,"",$H239+1),"")</f>
        <v/>
      </c>
      <c r="I240" s="199" t="str">
        <f>_xlfn.XLOOKUP($H240,'(backend scoring)'!$S$2:$S$333,'(backend scoring)'!$A$2:$A$333,"")</f>
        <v/>
      </c>
      <c r="J240" s="199" t="str">
        <f>IFERROR(VLOOKUP($I240,'Institution Evaluation'!$A$55:$F$345,2,0),IFERROR(VLOOKUP($I240,'Privacy Analyst Evaluation'!$A$46:$F$120,2,0),""))</f>
        <v/>
      </c>
      <c r="K240" s="199" t="str">
        <f>IFERROR(VLOOKUP($I240,'Institution Evaluation'!$A$55:$F$345,3,0),IFERROR(VLOOKUP($I240,'Privacy Analyst Evaluation'!$A$46:$F$120,3,0),""))&amp;""</f>
        <v/>
      </c>
      <c r="L240" s="199" t="str">
        <f>IFERROR(VLOOKUP($I240,'Institution Evaluation'!$A$55:$F$345,4,0),IFERROR(VLOOKUP($I240,'Privacy Analyst Evaluation'!$A$46:$F$120,4,0),""))&amp;""</f>
        <v/>
      </c>
      <c r="M240" s="199" t="str">
        <f>IFERROR(VLOOKUP($I240,'Institution Evaluation'!$A$55:$F$345,6,0),IFERROR(VLOOKUP($I240,'Privacy Analyst Evaluation'!$A$46:$F$120,6,0),""))&amp;""</f>
        <v/>
      </c>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row>
    <row r="241" spans="1:338" ht="17" x14ac:dyDescent="0.2">
      <c r="A241" s="199" t="str">
        <f>IFERROR(IF($A240+1&gt;'(backend scoring)'!$T$335,"",$A240+1),"")</f>
        <v/>
      </c>
      <c r="B241" s="199" t="str">
        <f>_xlfn.XLOOKUP($A241,'(backend scoring)'!$V$2:$V$333,'(backend scoring)'!$A$2:$A$333,"")</f>
        <v/>
      </c>
      <c r="C241" s="199" t="str">
        <f>IFERROR(VLOOKUP($B241,'Institution Evaluation'!$A$55:$F$345,2,0),IFERROR(VLOOKUP($B241,'Privacy Analyst Evaluation'!$A$46:$F$120,2,0),""))&amp;""</f>
        <v/>
      </c>
      <c r="D241" s="199" t="str">
        <f>IFERROR(VLOOKUP($B241,'Institution Evaluation'!$A$55:$F$345,3,0),IFERROR(VLOOKUP($B241,'Privacy Analyst Evaluation'!$A$46:$F$120,3,0),""))&amp;""</f>
        <v/>
      </c>
      <c r="E241" s="199" t="str">
        <f>IFERROR(VLOOKUP($B241,'Institution Evaluation'!$A$55:$F$345,4,0),IFERROR(VLOOKUP($B241,'Privacy Analyst Evaluation'!$A$46:$F$120,4,0),""))&amp;""</f>
        <v/>
      </c>
      <c r="F241" s="199" t="str">
        <f>IFERROR(VLOOKUP($B241,'Institution Evaluation'!$A$55:$F$345,6,0),IFERROR(VLOOKUP($B241,'Privacy Analyst Evaluation'!$A$46:$F$120,6,0),""))&amp;""</f>
        <v/>
      </c>
      <c r="G241" s="200"/>
      <c r="H241" s="199" t="str">
        <f>IFERROR(IF($H240+1&gt;'(backend scoring)'!$Q$335,"",$H240+1),"")</f>
        <v/>
      </c>
      <c r="I241" s="199" t="str">
        <f>_xlfn.XLOOKUP($H241,'(backend scoring)'!$S$2:$S$333,'(backend scoring)'!$A$2:$A$333,"")</f>
        <v/>
      </c>
      <c r="J241" s="199" t="str">
        <f>IFERROR(VLOOKUP($I241,'Institution Evaluation'!$A$55:$F$345,2,0),IFERROR(VLOOKUP($I241,'Privacy Analyst Evaluation'!$A$46:$F$120,2,0),""))</f>
        <v/>
      </c>
      <c r="K241" s="199" t="str">
        <f>IFERROR(VLOOKUP($I241,'Institution Evaluation'!$A$55:$F$345,3,0),IFERROR(VLOOKUP($I241,'Privacy Analyst Evaluation'!$A$46:$F$120,3,0),""))&amp;""</f>
        <v/>
      </c>
      <c r="L241" s="199" t="str">
        <f>IFERROR(VLOOKUP($I241,'Institution Evaluation'!$A$55:$F$345,4,0),IFERROR(VLOOKUP($I241,'Privacy Analyst Evaluation'!$A$46:$F$120,4,0),""))&amp;""</f>
        <v/>
      </c>
      <c r="M241" s="199" t="str">
        <f>IFERROR(VLOOKUP($I241,'Institution Evaluation'!$A$55:$F$345,6,0),IFERROR(VLOOKUP($I241,'Privacy Analyst Evaluation'!$A$46:$F$120,6,0),""))&amp;""</f>
        <v/>
      </c>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row>
    <row r="242" spans="1:338" ht="17" x14ac:dyDescent="0.2">
      <c r="A242" s="199" t="str">
        <f>IFERROR(IF($A241+1&gt;'(backend scoring)'!$T$335,"",$A241+1),"")</f>
        <v/>
      </c>
      <c r="B242" s="199" t="str">
        <f>_xlfn.XLOOKUP($A242,'(backend scoring)'!$V$2:$V$333,'(backend scoring)'!$A$2:$A$333,"")</f>
        <v/>
      </c>
      <c r="C242" s="199" t="str">
        <f>IFERROR(VLOOKUP($B242,'Institution Evaluation'!$A$55:$F$345,2,0),IFERROR(VLOOKUP($B242,'Privacy Analyst Evaluation'!$A$46:$F$120,2,0),""))&amp;""</f>
        <v/>
      </c>
      <c r="D242" s="199" t="str">
        <f>IFERROR(VLOOKUP($B242,'Institution Evaluation'!$A$55:$F$345,3,0),IFERROR(VLOOKUP($B242,'Privacy Analyst Evaluation'!$A$46:$F$120,3,0),""))&amp;""</f>
        <v/>
      </c>
      <c r="E242" s="199" t="str">
        <f>IFERROR(VLOOKUP($B242,'Institution Evaluation'!$A$55:$F$345,4,0),IFERROR(VLOOKUP($B242,'Privacy Analyst Evaluation'!$A$46:$F$120,4,0),""))&amp;""</f>
        <v/>
      </c>
      <c r="F242" s="199" t="str">
        <f>IFERROR(VLOOKUP($B242,'Institution Evaluation'!$A$55:$F$345,6,0),IFERROR(VLOOKUP($B242,'Privacy Analyst Evaluation'!$A$46:$F$120,6,0),""))&amp;""</f>
        <v/>
      </c>
      <c r="G242" s="200"/>
      <c r="H242" s="199" t="str">
        <f>IFERROR(IF($H241+1&gt;'(backend scoring)'!$Q$335,"",$H241+1),"")</f>
        <v/>
      </c>
      <c r="I242" s="199" t="str">
        <f>_xlfn.XLOOKUP($H242,'(backend scoring)'!$S$2:$S$333,'(backend scoring)'!$A$2:$A$333,"")</f>
        <v/>
      </c>
      <c r="J242" s="199" t="str">
        <f>IFERROR(VLOOKUP($I242,'Institution Evaluation'!$A$55:$F$345,2,0),IFERROR(VLOOKUP($I242,'Privacy Analyst Evaluation'!$A$46:$F$120,2,0),""))</f>
        <v/>
      </c>
      <c r="K242" s="199" t="str">
        <f>IFERROR(VLOOKUP($I242,'Institution Evaluation'!$A$55:$F$345,3,0),IFERROR(VLOOKUP($I242,'Privacy Analyst Evaluation'!$A$46:$F$120,3,0),""))&amp;""</f>
        <v/>
      </c>
      <c r="L242" s="199" t="str">
        <f>IFERROR(VLOOKUP($I242,'Institution Evaluation'!$A$55:$F$345,4,0),IFERROR(VLOOKUP($I242,'Privacy Analyst Evaluation'!$A$46:$F$120,4,0),""))&amp;""</f>
        <v/>
      </c>
      <c r="M242" s="199" t="str">
        <f>IFERROR(VLOOKUP($I242,'Institution Evaluation'!$A$55:$F$345,6,0),IFERROR(VLOOKUP($I242,'Privacy Analyst Evaluation'!$A$46:$F$120,6,0),""))&amp;""</f>
        <v/>
      </c>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c r="EZ242"/>
      <c r="FA242"/>
      <c r="FB242"/>
      <c r="FC242"/>
      <c r="FD242"/>
      <c r="FE242"/>
      <c r="FF242"/>
      <c r="FG242"/>
      <c r="FH242"/>
      <c r="FI242"/>
      <c r="FJ242"/>
      <c r="FK242"/>
      <c r="FL242"/>
      <c r="FM242"/>
      <c r="FN242"/>
      <c r="FO242"/>
      <c r="FP242"/>
      <c r="FQ242"/>
      <c r="FR242"/>
      <c r="FS242"/>
      <c r="FT242"/>
      <c r="FU242"/>
      <c r="FV242"/>
      <c r="FW242"/>
      <c r="FX242"/>
      <c r="FY242"/>
      <c r="FZ242"/>
      <c r="GA242"/>
      <c r="GB242"/>
      <c r="GC242"/>
      <c r="GD242"/>
      <c r="GE242"/>
      <c r="GF242"/>
      <c r="GG242"/>
      <c r="GH242"/>
      <c r="GI242"/>
      <c r="GJ242"/>
      <c r="GK242"/>
      <c r="GL242"/>
      <c r="GM242"/>
      <c r="GN242"/>
      <c r="GO242"/>
      <c r="GP242"/>
      <c r="GQ242"/>
      <c r="GR242"/>
      <c r="GS242"/>
      <c r="GT242"/>
      <c r="GU242"/>
      <c r="GV242"/>
      <c r="GW242"/>
      <c r="GX242"/>
      <c r="GY242"/>
      <c r="GZ242"/>
      <c r="HA242"/>
      <c r="HB242"/>
      <c r="HC242"/>
      <c r="HD242"/>
      <c r="HE242"/>
      <c r="HF242"/>
      <c r="HG242"/>
      <c r="HH242"/>
      <c r="HI242"/>
      <c r="HJ242"/>
      <c r="HK242"/>
      <c r="HL242"/>
      <c r="HM242"/>
      <c r="HN242"/>
      <c r="HO242"/>
      <c r="HP242"/>
      <c r="HQ242"/>
      <c r="HR242"/>
      <c r="HS242"/>
      <c r="HT242"/>
      <c r="HU242"/>
      <c r="HV242"/>
      <c r="HW242"/>
      <c r="HX242"/>
      <c r="HY242"/>
      <c r="HZ242"/>
      <c r="IA242"/>
      <c r="IB242"/>
      <c r="IC242"/>
      <c r="ID242"/>
      <c r="IE242"/>
      <c r="IF242"/>
      <c r="IG242"/>
      <c r="IH242"/>
      <c r="II242"/>
      <c r="IJ242"/>
      <c r="IK242"/>
      <c r="IL242"/>
      <c r="IM242"/>
      <c r="IN242"/>
      <c r="IO242"/>
      <c r="IP242"/>
      <c r="IQ242"/>
      <c r="IR242"/>
      <c r="IS242"/>
      <c r="IT242"/>
      <c r="IU242"/>
      <c r="IV242"/>
      <c r="IW242"/>
      <c r="IX242"/>
      <c r="IY242"/>
      <c r="IZ242"/>
      <c r="JA242"/>
      <c r="JB242"/>
      <c r="JC242"/>
      <c r="JD242"/>
      <c r="JE242"/>
      <c r="JF242"/>
      <c r="JG242"/>
      <c r="JH242"/>
      <c r="JI242"/>
      <c r="JJ242"/>
      <c r="JK242"/>
      <c r="JL242"/>
      <c r="JM242"/>
      <c r="JN242"/>
      <c r="JO242"/>
      <c r="JP242"/>
      <c r="JQ242"/>
      <c r="JR242"/>
      <c r="JS242"/>
      <c r="JT242"/>
      <c r="JU242"/>
      <c r="JV242"/>
      <c r="JW242"/>
      <c r="JX242"/>
      <c r="JY242"/>
      <c r="JZ242"/>
      <c r="KA242"/>
      <c r="KB242"/>
      <c r="KC242"/>
      <c r="KD242"/>
      <c r="KE242"/>
      <c r="KF242"/>
      <c r="KG242"/>
      <c r="KH242"/>
      <c r="KI242"/>
      <c r="KJ242"/>
      <c r="KK242"/>
      <c r="KL242"/>
      <c r="KM242"/>
      <c r="KN242"/>
      <c r="KO242"/>
      <c r="KP242"/>
      <c r="KQ242"/>
      <c r="KR242"/>
      <c r="KS242"/>
      <c r="KT242"/>
      <c r="KU242"/>
      <c r="KV242"/>
      <c r="KW242"/>
      <c r="KX242"/>
      <c r="KY242"/>
      <c r="KZ242"/>
      <c r="LA242"/>
      <c r="LB242"/>
      <c r="LC242"/>
      <c r="LD242"/>
      <c r="LE242"/>
      <c r="LF242"/>
      <c r="LG242"/>
      <c r="LH242"/>
      <c r="LI242"/>
      <c r="LJ242"/>
      <c r="LK242"/>
      <c r="LL242"/>
      <c r="LM242"/>
      <c r="LN242"/>
      <c r="LO242"/>
      <c r="LP242"/>
      <c r="LQ242"/>
      <c r="LR242"/>
      <c r="LS242"/>
      <c r="LT242"/>
      <c r="LU242"/>
      <c r="LV242"/>
      <c r="LW242"/>
      <c r="LX242"/>
      <c r="LY242"/>
      <c r="LZ242"/>
    </row>
    <row r="243" spans="1:338" ht="17" x14ac:dyDescent="0.2">
      <c r="A243" s="199" t="str">
        <f>IFERROR(IF($A242+1&gt;'(backend scoring)'!$T$335,"",$A242+1),"")</f>
        <v/>
      </c>
      <c r="B243" s="199" t="str">
        <f>_xlfn.XLOOKUP($A243,'(backend scoring)'!$V$2:$V$333,'(backend scoring)'!$A$2:$A$333,"")</f>
        <v/>
      </c>
      <c r="C243" s="199" t="str">
        <f>IFERROR(VLOOKUP($B243,'Institution Evaluation'!$A$55:$F$345,2,0),IFERROR(VLOOKUP($B243,'Privacy Analyst Evaluation'!$A$46:$F$120,2,0),""))&amp;""</f>
        <v/>
      </c>
      <c r="D243" s="199" t="str">
        <f>IFERROR(VLOOKUP($B243,'Institution Evaluation'!$A$55:$F$345,3,0),IFERROR(VLOOKUP($B243,'Privacy Analyst Evaluation'!$A$46:$F$120,3,0),""))&amp;""</f>
        <v/>
      </c>
      <c r="E243" s="199" t="str">
        <f>IFERROR(VLOOKUP($B243,'Institution Evaluation'!$A$55:$F$345,4,0),IFERROR(VLOOKUP($B243,'Privacy Analyst Evaluation'!$A$46:$F$120,4,0),""))&amp;""</f>
        <v/>
      </c>
      <c r="F243" s="199" t="str">
        <f>IFERROR(VLOOKUP($B243,'Institution Evaluation'!$A$55:$F$345,6,0),IFERROR(VLOOKUP($B243,'Privacy Analyst Evaluation'!$A$46:$F$120,6,0),""))&amp;""</f>
        <v/>
      </c>
      <c r="G243" s="200"/>
      <c r="H243" s="199" t="str">
        <f>IFERROR(IF($H242+1&gt;'(backend scoring)'!$Q$335,"",$H242+1),"")</f>
        <v/>
      </c>
      <c r="I243" s="199" t="str">
        <f>_xlfn.XLOOKUP($H243,'(backend scoring)'!$S$2:$S$333,'(backend scoring)'!$A$2:$A$333,"")</f>
        <v/>
      </c>
      <c r="J243" s="199" t="str">
        <f>IFERROR(VLOOKUP($I243,'Institution Evaluation'!$A$55:$F$345,2,0),IFERROR(VLOOKUP($I243,'Privacy Analyst Evaluation'!$A$46:$F$120,2,0),""))</f>
        <v/>
      </c>
      <c r="K243" s="199" t="str">
        <f>IFERROR(VLOOKUP($I243,'Institution Evaluation'!$A$55:$F$345,3,0),IFERROR(VLOOKUP($I243,'Privacy Analyst Evaluation'!$A$46:$F$120,3,0),""))&amp;""</f>
        <v/>
      </c>
      <c r="L243" s="199" t="str">
        <f>IFERROR(VLOOKUP($I243,'Institution Evaluation'!$A$55:$F$345,4,0),IFERROR(VLOOKUP($I243,'Privacy Analyst Evaluation'!$A$46:$F$120,4,0),""))&amp;""</f>
        <v/>
      </c>
      <c r="M243" s="199" t="str">
        <f>IFERROR(VLOOKUP($I243,'Institution Evaluation'!$A$55:$F$345,6,0),IFERROR(VLOOKUP($I243,'Privacy Analyst Evaluation'!$A$46:$F$120,6,0),""))&amp;""</f>
        <v/>
      </c>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row>
    <row r="244" spans="1:338" ht="17" x14ac:dyDescent="0.2">
      <c r="A244" s="199" t="str">
        <f>IFERROR(IF($A243+1&gt;'(backend scoring)'!$T$335,"",$A243+1),"")</f>
        <v/>
      </c>
      <c r="B244" s="199" t="str">
        <f>_xlfn.XLOOKUP($A244,'(backend scoring)'!$V$2:$V$333,'(backend scoring)'!$A$2:$A$333,"")</f>
        <v/>
      </c>
      <c r="C244" s="199" t="str">
        <f>IFERROR(VLOOKUP($B244,'Institution Evaluation'!$A$55:$F$345,2,0),IFERROR(VLOOKUP($B244,'Privacy Analyst Evaluation'!$A$46:$F$120,2,0),""))&amp;""</f>
        <v/>
      </c>
      <c r="D244" s="199" t="str">
        <f>IFERROR(VLOOKUP($B244,'Institution Evaluation'!$A$55:$F$345,3,0),IFERROR(VLOOKUP($B244,'Privacy Analyst Evaluation'!$A$46:$F$120,3,0),""))&amp;""</f>
        <v/>
      </c>
      <c r="E244" s="199" t="str">
        <f>IFERROR(VLOOKUP($B244,'Institution Evaluation'!$A$55:$F$345,4,0),IFERROR(VLOOKUP($B244,'Privacy Analyst Evaluation'!$A$46:$F$120,4,0),""))&amp;""</f>
        <v/>
      </c>
      <c r="F244" s="199" t="str">
        <f>IFERROR(VLOOKUP($B244,'Institution Evaluation'!$A$55:$F$345,6,0),IFERROR(VLOOKUP($B244,'Privacy Analyst Evaluation'!$A$46:$F$120,6,0),""))&amp;""</f>
        <v/>
      </c>
      <c r="G244" s="200"/>
      <c r="H244" s="199" t="str">
        <f>IFERROR(IF($H243+1&gt;'(backend scoring)'!$Q$335,"",$H243+1),"")</f>
        <v/>
      </c>
      <c r="I244" s="199" t="str">
        <f>_xlfn.XLOOKUP($H244,'(backend scoring)'!$S$2:$S$333,'(backend scoring)'!$A$2:$A$333,"")</f>
        <v/>
      </c>
      <c r="J244" s="199" t="str">
        <f>IFERROR(VLOOKUP($I244,'Institution Evaluation'!$A$55:$F$345,2,0),IFERROR(VLOOKUP($I244,'Privacy Analyst Evaluation'!$A$46:$F$120,2,0),""))</f>
        <v/>
      </c>
      <c r="K244" s="199" t="str">
        <f>IFERROR(VLOOKUP($I244,'Institution Evaluation'!$A$55:$F$345,3,0),IFERROR(VLOOKUP($I244,'Privacy Analyst Evaluation'!$A$46:$F$120,3,0),""))&amp;""</f>
        <v/>
      </c>
      <c r="L244" s="199" t="str">
        <f>IFERROR(VLOOKUP($I244,'Institution Evaluation'!$A$55:$F$345,4,0),IFERROR(VLOOKUP($I244,'Privacy Analyst Evaluation'!$A$46:$F$120,4,0),""))&amp;""</f>
        <v/>
      </c>
      <c r="M244" s="199" t="str">
        <f>IFERROR(VLOOKUP($I244,'Institution Evaluation'!$A$55:$F$345,6,0),IFERROR(VLOOKUP($I244,'Privacy Analyst Evaluation'!$A$46:$F$120,6,0),""))&amp;""</f>
        <v/>
      </c>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row>
    <row r="245" spans="1:338" ht="17" x14ac:dyDescent="0.2">
      <c r="A245" s="199" t="str">
        <f>IFERROR(IF($A244+1&gt;'(backend scoring)'!$T$335,"",$A244+1),"")</f>
        <v/>
      </c>
      <c r="B245" s="199" t="str">
        <f>_xlfn.XLOOKUP($A245,'(backend scoring)'!$V$2:$V$333,'(backend scoring)'!$A$2:$A$333,"")</f>
        <v/>
      </c>
      <c r="C245" s="199" t="str">
        <f>IFERROR(VLOOKUP($B245,'Institution Evaluation'!$A$55:$F$345,2,0),IFERROR(VLOOKUP($B245,'Privacy Analyst Evaluation'!$A$46:$F$120,2,0),""))&amp;""</f>
        <v/>
      </c>
      <c r="D245" s="199" t="str">
        <f>IFERROR(VLOOKUP($B245,'Institution Evaluation'!$A$55:$F$345,3,0),IFERROR(VLOOKUP($B245,'Privacy Analyst Evaluation'!$A$46:$F$120,3,0),""))&amp;""</f>
        <v/>
      </c>
      <c r="E245" s="199" t="str">
        <f>IFERROR(VLOOKUP($B245,'Institution Evaluation'!$A$55:$F$345,4,0),IFERROR(VLOOKUP($B245,'Privacy Analyst Evaluation'!$A$46:$F$120,4,0),""))&amp;""</f>
        <v/>
      </c>
      <c r="F245" s="199" t="str">
        <f>IFERROR(VLOOKUP($B245,'Institution Evaluation'!$A$55:$F$345,6,0),IFERROR(VLOOKUP($B245,'Privacy Analyst Evaluation'!$A$46:$F$120,6,0),""))&amp;""</f>
        <v/>
      </c>
      <c r="G245" s="200"/>
      <c r="H245" s="199" t="str">
        <f>IFERROR(IF($H244+1&gt;'(backend scoring)'!$Q$335,"",$H244+1),"")</f>
        <v/>
      </c>
      <c r="I245" s="199" t="str">
        <f>_xlfn.XLOOKUP($H245,'(backend scoring)'!$S$2:$S$333,'(backend scoring)'!$A$2:$A$333,"")</f>
        <v/>
      </c>
      <c r="J245" s="199" t="str">
        <f>IFERROR(VLOOKUP($I245,'Institution Evaluation'!$A$55:$F$345,2,0),IFERROR(VLOOKUP($I245,'Privacy Analyst Evaluation'!$A$46:$F$120,2,0),""))</f>
        <v/>
      </c>
      <c r="K245" s="199" t="str">
        <f>IFERROR(VLOOKUP($I245,'Institution Evaluation'!$A$55:$F$345,3,0),IFERROR(VLOOKUP($I245,'Privacy Analyst Evaluation'!$A$46:$F$120,3,0),""))&amp;""</f>
        <v/>
      </c>
      <c r="L245" s="199" t="str">
        <f>IFERROR(VLOOKUP($I245,'Institution Evaluation'!$A$55:$F$345,4,0),IFERROR(VLOOKUP($I245,'Privacy Analyst Evaluation'!$A$46:$F$120,4,0),""))&amp;""</f>
        <v/>
      </c>
      <c r="M245" s="199" t="str">
        <f>IFERROR(VLOOKUP($I245,'Institution Evaluation'!$A$55:$F$345,6,0),IFERROR(VLOOKUP($I245,'Privacy Analyst Evaluation'!$A$46:$F$120,6,0),""))&amp;""</f>
        <v/>
      </c>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row>
    <row r="246" spans="1:338" ht="17" x14ac:dyDescent="0.2">
      <c r="A246" s="199" t="str">
        <f>IFERROR(IF($A245+1&gt;'(backend scoring)'!$T$335,"",$A245+1),"")</f>
        <v/>
      </c>
      <c r="B246" s="199" t="str">
        <f>_xlfn.XLOOKUP($A246,'(backend scoring)'!$V$2:$V$333,'(backend scoring)'!$A$2:$A$333,"")</f>
        <v/>
      </c>
      <c r="C246" s="199" t="str">
        <f>IFERROR(VLOOKUP($B246,'Institution Evaluation'!$A$55:$F$345,2,0),IFERROR(VLOOKUP($B246,'Privacy Analyst Evaluation'!$A$46:$F$120,2,0),""))&amp;""</f>
        <v/>
      </c>
      <c r="D246" s="199" t="str">
        <f>IFERROR(VLOOKUP($B246,'Institution Evaluation'!$A$55:$F$345,3,0),IFERROR(VLOOKUP($B246,'Privacy Analyst Evaluation'!$A$46:$F$120,3,0),""))&amp;""</f>
        <v/>
      </c>
      <c r="E246" s="199" t="str">
        <f>IFERROR(VLOOKUP($B246,'Institution Evaluation'!$A$55:$F$345,4,0),IFERROR(VLOOKUP($B246,'Privacy Analyst Evaluation'!$A$46:$F$120,4,0),""))&amp;""</f>
        <v/>
      </c>
      <c r="F246" s="199" t="str">
        <f>IFERROR(VLOOKUP($B246,'Institution Evaluation'!$A$55:$F$345,6,0),IFERROR(VLOOKUP($B246,'Privacy Analyst Evaluation'!$A$46:$F$120,6,0),""))&amp;""</f>
        <v/>
      </c>
      <c r="G246" s="200"/>
      <c r="H246" s="199" t="str">
        <f>IFERROR(IF($H245+1&gt;'(backend scoring)'!$Q$335,"",$H245+1),"")</f>
        <v/>
      </c>
      <c r="I246" s="199" t="str">
        <f>_xlfn.XLOOKUP($H246,'(backend scoring)'!$S$2:$S$333,'(backend scoring)'!$A$2:$A$333,"")</f>
        <v/>
      </c>
      <c r="J246" s="199" t="str">
        <f>IFERROR(VLOOKUP($I246,'Institution Evaluation'!$A$55:$F$345,2,0),IFERROR(VLOOKUP($I246,'Privacy Analyst Evaluation'!$A$46:$F$120,2,0),""))</f>
        <v/>
      </c>
      <c r="K246" s="199" t="str">
        <f>IFERROR(VLOOKUP($I246,'Institution Evaluation'!$A$55:$F$345,3,0),IFERROR(VLOOKUP($I246,'Privacy Analyst Evaluation'!$A$46:$F$120,3,0),""))&amp;""</f>
        <v/>
      </c>
      <c r="L246" s="199" t="str">
        <f>IFERROR(VLOOKUP($I246,'Institution Evaluation'!$A$55:$F$345,4,0),IFERROR(VLOOKUP($I246,'Privacy Analyst Evaluation'!$A$46:$F$120,4,0),""))&amp;""</f>
        <v/>
      </c>
      <c r="M246" s="199" t="str">
        <f>IFERROR(VLOOKUP($I246,'Institution Evaluation'!$A$55:$F$345,6,0),IFERROR(VLOOKUP($I246,'Privacy Analyst Evaluation'!$A$46:$F$120,6,0),""))&amp;""</f>
        <v/>
      </c>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row>
    <row r="247" spans="1:338" ht="17" x14ac:dyDescent="0.2">
      <c r="A247" s="199" t="str">
        <f>IFERROR(IF($A246+1&gt;'(backend scoring)'!$T$335,"",$A246+1),"")</f>
        <v/>
      </c>
      <c r="B247" s="199" t="str">
        <f>_xlfn.XLOOKUP($A247,'(backend scoring)'!$V$2:$V$333,'(backend scoring)'!$A$2:$A$333,"")</f>
        <v/>
      </c>
      <c r="C247" s="199" t="str">
        <f>IFERROR(VLOOKUP($B247,'Institution Evaluation'!$A$55:$F$345,2,0),IFERROR(VLOOKUP($B247,'Privacy Analyst Evaluation'!$A$46:$F$120,2,0),""))&amp;""</f>
        <v/>
      </c>
      <c r="D247" s="199" t="str">
        <f>IFERROR(VLOOKUP($B247,'Institution Evaluation'!$A$55:$F$345,3,0),IFERROR(VLOOKUP($B247,'Privacy Analyst Evaluation'!$A$46:$F$120,3,0),""))&amp;""</f>
        <v/>
      </c>
      <c r="E247" s="199" t="str">
        <f>IFERROR(VLOOKUP($B247,'Institution Evaluation'!$A$55:$F$345,4,0),IFERROR(VLOOKUP($B247,'Privacy Analyst Evaluation'!$A$46:$F$120,4,0),""))&amp;""</f>
        <v/>
      </c>
      <c r="F247" s="199" t="str">
        <f>IFERROR(VLOOKUP($B247,'Institution Evaluation'!$A$55:$F$345,6,0),IFERROR(VLOOKUP($B247,'Privacy Analyst Evaluation'!$A$46:$F$120,6,0),""))&amp;""</f>
        <v/>
      </c>
      <c r="G247" s="200"/>
      <c r="H247" s="199" t="str">
        <f>IFERROR(IF($H246+1&gt;'(backend scoring)'!$Q$335,"",$H246+1),"")</f>
        <v/>
      </c>
      <c r="I247" s="199" t="str">
        <f>_xlfn.XLOOKUP($H247,'(backend scoring)'!$S$2:$S$333,'(backend scoring)'!$A$2:$A$333,"")</f>
        <v/>
      </c>
      <c r="J247" s="199" t="str">
        <f>IFERROR(VLOOKUP($I247,'Institution Evaluation'!$A$55:$F$345,2,0),IFERROR(VLOOKUP($I247,'Privacy Analyst Evaluation'!$A$46:$F$120,2,0),""))</f>
        <v/>
      </c>
      <c r="K247" s="199" t="str">
        <f>IFERROR(VLOOKUP($I247,'Institution Evaluation'!$A$55:$F$345,3,0),IFERROR(VLOOKUP($I247,'Privacy Analyst Evaluation'!$A$46:$F$120,3,0),""))&amp;""</f>
        <v/>
      </c>
      <c r="L247" s="199" t="str">
        <f>IFERROR(VLOOKUP($I247,'Institution Evaluation'!$A$55:$F$345,4,0),IFERROR(VLOOKUP($I247,'Privacy Analyst Evaluation'!$A$46:$F$120,4,0),""))&amp;""</f>
        <v/>
      </c>
      <c r="M247" s="199" t="str">
        <f>IFERROR(VLOOKUP($I247,'Institution Evaluation'!$A$55:$F$345,6,0),IFERROR(VLOOKUP($I247,'Privacy Analyst Evaluation'!$A$46:$F$120,6,0),""))&amp;""</f>
        <v/>
      </c>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row>
    <row r="248" spans="1:338" ht="17" x14ac:dyDescent="0.2">
      <c r="A248" s="199" t="str">
        <f>IFERROR(IF($A247+1&gt;'(backend scoring)'!$T$335,"",$A247+1),"")</f>
        <v/>
      </c>
      <c r="B248" s="199" t="str">
        <f>_xlfn.XLOOKUP($A248,'(backend scoring)'!$V$2:$V$333,'(backend scoring)'!$A$2:$A$333,"")</f>
        <v/>
      </c>
      <c r="C248" s="199" t="str">
        <f>IFERROR(VLOOKUP($B248,'Institution Evaluation'!$A$55:$F$345,2,0),IFERROR(VLOOKUP($B248,'Privacy Analyst Evaluation'!$A$46:$F$120,2,0),""))&amp;""</f>
        <v/>
      </c>
      <c r="D248" s="199" t="str">
        <f>IFERROR(VLOOKUP($B248,'Institution Evaluation'!$A$55:$F$345,3,0),IFERROR(VLOOKUP($B248,'Privacy Analyst Evaluation'!$A$46:$F$120,3,0),""))&amp;""</f>
        <v/>
      </c>
      <c r="E248" s="199" t="str">
        <f>IFERROR(VLOOKUP($B248,'Institution Evaluation'!$A$55:$F$345,4,0),IFERROR(VLOOKUP($B248,'Privacy Analyst Evaluation'!$A$46:$F$120,4,0),""))&amp;""</f>
        <v/>
      </c>
      <c r="F248" s="199" t="str">
        <f>IFERROR(VLOOKUP($B248,'Institution Evaluation'!$A$55:$F$345,6,0),IFERROR(VLOOKUP($B248,'Privacy Analyst Evaluation'!$A$46:$F$120,6,0),""))&amp;""</f>
        <v/>
      </c>
      <c r="G248" s="200"/>
      <c r="H248" s="199" t="str">
        <f>IFERROR(IF($H247+1&gt;'(backend scoring)'!$Q$335,"",$H247+1),"")</f>
        <v/>
      </c>
      <c r="I248" s="199" t="str">
        <f>_xlfn.XLOOKUP($H248,'(backend scoring)'!$S$2:$S$333,'(backend scoring)'!$A$2:$A$333,"")</f>
        <v/>
      </c>
      <c r="J248" s="199" t="str">
        <f>IFERROR(VLOOKUP($I248,'Institution Evaluation'!$A$55:$F$345,2,0),IFERROR(VLOOKUP($I248,'Privacy Analyst Evaluation'!$A$46:$F$120,2,0),""))</f>
        <v/>
      </c>
      <c r="K248" s="199" t="str">
        <f>IFERROR(VLOOKUP($I248,'Institution Evaluation'!$A$55:$F$345,3,0),IFERROR(VLOOKUP($I248,'Privacy Analyst Evaluation'!$A$46:$F$120,3,0),""))&amp;""</f>
        <v/>
      </c>
      <c r="L248" s="199" t="str">
        <f>IFERROR(VLOOKUP($I248,'Institution Evaluation'!$A$55:$F$345,4,0),IFERROR(VLOOKUP($I248,'Privacy Analyst Evaluation'!$A$46:$F$120,4,0),""))&amp;""</f>
        <v/>
      </c>
      <c r="M248" s="199" t="str">
        <f>IFERROR(VLOOKUP($I248,'Institution Evaluation'!$A$55:$F$345,6,0),IFERROR(VLOOKUP($I248,'Privacy Analyst Evaluation'!$A$46:$F$120,6,0),""))&amp;""</f>
        <v/>
      </c>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row>
    <row r="249" spans="1:338" ht="17" x14ac:dyDescent="0.2">
      <c r="A249" s="199" t="str">
        <f>IFERROR(IF($A248+1&gt;'(backend scoring)'!$T$335,"",$A248+1),"")</f>
        <v/>
      </c>
      <c r="B249" s="199" t="str">
        <f>_xlfn.XLOOKUP($A249,'(backend scoring)'!$V$2:$V$333,'(backend scoring)'!$A$2:$A$333,"")</f>
        <v/>
      </c>
      <c r="C249" s="199" t="str">
        <f>IFERROR(VLOOKUP($B249,'Institution Evaluation'!$A$55:$F$345,2,0),IFERROR(VLOOKUP($B249,'Privacy Analyst Evaluation'!$A$46:$F$120,2,0),""))&amp;""</f>
        <v/>
      </c>
      <c r="D249" s="199" t="str">
        <f>IFERROR(VLOOKUP($B249,'Institution Evaluation'!$A$55:$F$345,3,0),IFERROR(VLOOKUP($B249,'Privacy Analyst Evaluation'!$A$46:$F$120,3,0),""))&amp;""</f>
        <v/>
      </c>
      <c r="E249" s="199" t="str">
        <f>IFERROR(VLOOKUP($B249,'Institution Evaluation'!$A$55:$F$345,4,0),IFERROR(VLOOKUP($B249,'Privacy Analyst Evaluation'!$A$46:$F$120,4,0),""))&amp;""</f>
        <v/>
      </c>
      <c r="F249" s="199" t="str">
        <f>IFERROR(VLOOKUP($B249,'Institution Evaluation'!$A$55:$F$345,6,0),IFERROR(VLOOKUP($B249,'Privacy Analyst Evaluation'!$A$46:$F$120,6,0),""))&amp;""</f>
        <v/>
      </c>
      <c r="G249" s="200"/>
      <c r="H249" s="199" t="str">
        <f>IFERROR(IF($H248+1&gt;'(backend scoring)'!$Q$335,"",$H248+1),"")</f>
        <v/>
      </c>
      <c r="I249" s="199" t="str">
        <f>_xlfn.XLOOKUP($H249,'(backend scoring)'!$S$2:$S$333,'(backend scoring)'!$A$2:$A$333,"")</f>
        <v/>
      </c>
      <c r="J249" s="199" t="str">
        <f>IFERROR(VLOOKUP($I249,'Institution Evaluation'!$A$55:$F$345,2,0),IFERROR(VLOOKUP($I249,'Privacy Analyst Evaluation'!$A$46:$F$120,2,0),""))</f>
        <v/>
      </c>
      <c r="K249" s="199" t="str">
        <f>IFERROR(VLOOKUP($I249,'Institution Evaluation'!$A$55:$F$345,3,0),IFERROR(VLOOKUP($I249,'Privacy Analyst Evaluation'!$A$46:$F$120,3,0),""))&amp;""</f>
        <v/>
      </c>
      <c r="L249" s="199" t="str">
        <f>IFERROR(VLOOKUP($I249,'Institution Evaluation'!$A$55:$F$345,4,0),IFERROR(VLOOKUP($I249,'Privacy Analyst Evaluation'!$A$46:$F$120,4,0),""))&amp;""</f>
        <v/>
      </c>
      <c r="M249" s="199" t="str">
        <f>IFERROR(VLOOKUP($I249,'Institution Evaluation'!$A$55:$F$345,6,0),IFERROR(VLOOKUP($I249,'Privacy Analyst Evaluation'!$A$46:$F$120,6,0),""))&amp;""</f>
        <v/>
      </c>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row>
    <row r="250" spans="1:338" ht="17" x14ac:dyDescent="0.2">
      <c r="A250" s="199" t="str">
        <f>IFERROR(IF($A249+1&gt;'(backend scoring)'!$T$335,"",$A249+1),"")</f>
        <v/>
      </c>
      <c r="B250" s="199" t="str">
        <f>_xlfn.XLOOKUP($A250,'(backend scoring)'!$V$2:$V$333,'(backend scoring)'!$A$2:$A$333,"")</f>
        <v/>
      </c>
      <c r="C250" s="199" t="str">
        <f>IFERROR(VLOOKUP($B250,'Institution Evaluation'!$A$55:$F$345,2,0),IFERROR(VLOOKUP($B250,'Privacy Analyst Evaluation'!$A$46:$F$120,2,0),""))&amp;""</f>
        <v/>
      </c>
      <c r="D250" s="199" t="str">
        <f>IFERROR(VLOOKUP($B250,'Institution Evaluation'!$A$55:$F$345,3,0),IFERROR(VLOOKUP($B250,'Privacy Analyst Evaluation'!$A$46:$F$120,3,0),""))&amp;""</f>
        <v/>
      </c>
      <c r="E250" s="199" t="str">
        <f>IFERROR(VLOOKUP($B250,'Institution Evaluation'!$A$55:$F$345,4,0),IFERROR(VLOOKUP($B250,'Privacy Analyst Evaluation'!$A$46:$F$120,4,0),""))&amp;""</f>
        <v/>
      </c>
      <c r="F250" s="199" t="str">
        <f>IFERROR(VLOOKUP($B250,'Institution Evaluation'!$A$55:$F$345,6,0),IFERROR(VLOOKUP($B250,'Privacy Analyst Evaluation'!$A$46:$F$120,6,0),""))&amp;""</f>
        <v/>
      </c>
      <c r="G250" s="200"/>
      <c r="H250" s="199" t="str">
        <f>IFERROR(IF($H249+1&gt;'(backend scoring)'!$Q$335,"",$H249+1),"")</f>
        <v/>
      </c>
      <c r="I250" s="199" t="str">
        <f>_xlfn.XLOOKUP($H250,'(backend scoring)'!$S$2:$S$333,'(backend scoring)'!$A$2:$A$333,"")</f>
        <v/>
      </c>
      <c r="J250" s="199" t="str">
        <f>IFERROR(VLOOKUP($I250,'Institution Evaluation'!$A$55:$F$345,2,0),IFERROR(VLOOKUP($I250,'Privacy Analyst Evaluation'!$A$46:$F$120,2,0),""))</f>
        <v/>
      </c>
      <c r="K250" s="199" t="str">
        <f>IFERROR(VLOOKUP($I250,'Institution Evaluation'!$A$55:$F$345,3,0),IFERROR(VLOOKUP($I250,'Privacy Analyst Evaluation'!$A$46:$F$120,3,0),""))&amp;""</f>
        <v/>
      </c>
      <c r="L250" s="199" t="str">
        <f>IFERROR(VLOOKUP($I250,'Institution Evaluation'!$A$55:$F$345,4,0),IFERROR(VLOOKUP($I250,'Privacy Analyst Evaluation'!$A$46:$F$120,4,0),""))&amp;""</f>
        <v/>
      </c>
      <c r="M250" s="199" t="str">
        <f>IFERROR(VLOOKUP($I250,'Institution Evaluation'!$A$55:$F$345,6,0),IFERROR(VLOOKUP($I250,'Privacy Analyst Evaluation'!$A$46:$F$120,6,0),""))&amp;""</f>
        <v/>
      </c>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row>
    <row r="251" spans="1:338" ht="17" x14ac:dyDescent="0.2">
      <c r="A251" s="199" t="str">
        <f>IFERROR(IF($A250+1&gt;'(backend scoring)'!$T$335,"",$A250+1),"")</f>
        <v/>
      </c>
      <c r="B251" s="199" t="str">
        <f>_xlfn.XLOOKUP($A251,'(backend scoring)'!$V$2:$V$333,'(backend scoring)'!$A$2:$A$333,"")</f>
        <v/>
      </c>
      <c r="C251" s="199" t="str">
        <f>IFERROR(VLOOKUP($B251,'Institution Evaluation'!$A$55:$F$345,2,0),IFERROR(VLOOKUP($B251,'Privacy Analyst Evaluation'!$A$46:$F$120,2,0),""))&amp;""</f>
        <v/>
      </c>
      <c r="D251" s="199" t="str">
        <f>IFERROR(VLOOKUP($B251,'Institution Evaluation'!$A$55:$F$345,3,0),IFERROR(VLOOKUP($B251,'Privacy Analyst Evaluation'!$A$46:$F$120,3,0),""))&amp;""</f>
        <v/>
      </c>
      <c r="E251" s="199" t="str">
        <f>IFERROR(VLOOKUP($B251,'Institution Evaluation'!$A$55:$F$345,4,0),IFERROR(VLOOKUP($B251,'Privacy Analyst Evaluation'!$A$46:$F$120,4,0),""))&amp;""</f>
        <v/>
      </c>
      <c r="F251" s="199" t="str">
        <f>IFERROR(VLOOKUP($B251,'Institution Evaluation'!$A$55:$F$345,6,0),IFERROR(VLOOKUP($B251,'Privacy Analyst Evaluation'!$A$46:$F$120,6,0),""))&amp;""</f>
        <v/>
      </c>
      <c r="G251" s="200"/>
      <c r="H251" s="199" t="str">
        <f>IFERROR(IF($H250+1&gt;'(backend scoring)'!$Q$335,"",$H250+1),"")</f>
        <v/>
      </c>
      <c r="I251" s="199" t="str">
        <f>_xlfn.XLOOKUP($H251,'(backend scoring)'!$S$2:$S$333,'(backend scoring)'!$A$2:$A$333,"")</f>
        <v/>
      </c>
      <c r="J251" s="199" t="str">
        <f>IFERROR(VLOOKUP($I251,'Institution Evaluation'!$A$55:$F$345,2,0),IFERROR(VLOOKUP($I251,'Privacy Analyst Evaluation'!$A$46:$F$120,2,0),""))</f>
        <v/>
      </c>
      <c r="K251" s="199" t="str">
        <f>IFERROR(VLOOKUP($I251,'Institution Evaluation'!$A$55:$F$345,3,0),IFERROR(VLOOKUP($I251,'Privacy Analyst Evaluation'!$A$46:$F$120,3,0),""))&amp;""</f>
        <v/>
      </c>
      <c r="L251" s="199" t="str">
        <f>IFERROR(VLOOKUP($I251,'Institution Evaluation'!$A$55:$F$345,4,0),IFERROR(VLOOKUP($I251,'Privacy Analyst Evaluation'!$A$46:$F$120,4,0),""))&amp;""</f>
        <v/>
      </c>
      <c r="M251" s="199" t="str">
        <f>IFERROR(VLOOKUP($I251,'Institution Evaluation'!$A$55:$F$345,6,0),IFERROR(VLOOKUP($I251,'Privacy Analyst Evaluation'!$A$46:$F$120,6,0),""))&amp;""</f>
        <v/>
      </c>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row>
    <row r="252" spans="1:338" ht="17" x14ac:dyDescent="0.2">
      <c r="A252" s="199" t="str">
        <f>IFERROR(IF($A251+1&gt;'(backend scoring)'!$T$335,"",$A251+1),"")</f>
        <v/>
      </c>
      <c r="B252" s="199" t="str">
        <f>_xlfn.XLOOKUP($A252,'(backend scoring)'!$V$2:$V$333,'(backend scoring)'!$A$2:$A$333,"")</f>
        <v/>
      </c>
      <c r="C252" s="199" t="str">
        <f>IFERROR(VLOOKUP($B252,'Institution Evaluation'!$A$55:$F$345,2,0),IFERROR(VLOOKUP($B252,'Privacy Analyst Evaluation'!$A$46:$F$120,2,0),""))&amp;""</f>
        <v/>
      </c>
      <c r="D252" s="199" t="str">
        <f>IFERROR(VLOOKUP($B252,'Institution Evaluation'!$A$55:$F$345,3,0),IFERROR(VLOOKUP($B252,'Privacy Analyst Evaluation'!$A$46:$F$120,3,0),""))&amp;""</f>
        <v/>
      </c>
      <c r="E252" s="199" t="str">
        <f>IFERROR(VLOOKUP($B252,'Institution Evaluation'!$A$55:$F$345,4,0),IFERROR(VLOOKUP($B252,'Privacy Analyst Evaluation'!$A$46:$F$120,4,0),""))&amp;""</f>
        <v/>
      </c>
      <c r="F252" s="199" t="str">
        <f>IFERROR(VLOOKUP($B252,'Institution Evaluation'!$A$55:$F$345,6,0),IFERROR(VLOOKUP($B252,'Privacy Analyst Evaluation'!$A$46:$F$120,6,0),""))&amp;""</f>
        <v/>
      </c>
      <c r="G252" s="200"/>
      <c r="H252" s="199" t="str">
        <f>IFERROR(IF($H251+1&gt;'(backend scoring)'!$Q$335,"",$H251+1),"")</f>
        <v/>
      </c>
      <c r="I252" s="199" t="str">
        <f>_xlfn.XLOOKUP($H252,'(backend scoring)'!$S$2:$S$333,'(backend scoring)'!$A$2:$A$333,"")</f>
        <v/>
      </c>
      <c r="J252" s="199" t="str">
        <f>IFERROR(VLOOKUP($I252,'Institution Evaluation'!$A$55:$F$345,2,0),IFERROR(VLOOKUP($I252,'Privacy Analyst Evaluation'!$A$46:$F$120,2,0),""))</f>
        <v/>
      </c>
      <c r="K252" s="199" t="str">
        <f>IFERROR(VLOOKUP($I252,'Institution Evaluation'!$A$55:$F$345,3,0),IFERROR(VLOOKUP($I252,'Privacy Analyst Evaluation'!$A$46:$F$120,3,0),""))&amp;""</f>
        <v/>
      </c>
      <c r="L252" s="199" t="str">
        <f>IFERROR(VLOOKUP($I252,'Institution Evaluation'!$A$55:$F$345,4,0),IFERROR(VLOOKUP($I252,'Privacy Analyst Evaluation'!$A$46:$F$120,4,0),""))&amp;""</f>
        <v/>
      </c>
      <c r="M252" s="199" t="str">
        <f>IFERROR(VLOOKUP($I252,'Institution Evaluation'!$A$55:$F$345,6,0),IFERROR(VLOOKUP($I252,'Privacy Analyst Evaluation'!$A$46:$F$120,6,0),""))&amp;""</f>
        <v/>
      </c>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row>
    <row r="253" spans="1:338" ht="17" x14ac:dyDescent="0.2">
      <c r="A253" s="199" t="str">
        <f>IFERROR(IF($A252+1&gt;'(backend scoring)'!$T$335,"",$A252+1),"")</f>
        <v/>
      </c>
      <c r="B253" s="199" t="str">
        <f>_xlfn.XLOOKUP($A253,'(backend scoring)'!$V$2:$V$333,'(backend scoring)'!$A$2:$A$333,"")</f>
        <v/>
      </c>
      <c r="C253" s="199" t="str">
        <f>IFERROR(VLOOKUP($B253,'Institution Evaluation'!$A$55:$F$345,2,0),IFERROR(VLOOKUP($B253,'Privacy Analyst Evaluation'!$A$46:$F$120,2,0),""))&amp;""</f>
        <v/>
      </c>
      <c r="D253" s="199" t="str">
        <f>IFERROR(VLOOKUP($B253,'Institution Evaluation'!$A$55:$F$345,3,0),IFERROR(VLOOKUP($B253,'Privacy Analyst Evaluation'!$A$46:$F$120,3,0),""))&amp;""</f>
        <v/>
      </c>
      <c r="E253" s="199" t="str">
        <f>IFERROR(VLOOKUP($B253,'Institution Evaluation'!$A$55:$F$345,4,0),IFERROR(VLOOKUP($B253,'Privacy Analyst Evaluation'!$A$46:$F$120,4,0),""))&amp;""</f>
        <v/>
      </c>
      <c r="F253" s="199" t="str">
        <f>IFERROR(VLOOKUP($B253,'Institution Evaluation'!$A$55:$F$345,6,0),IFERROR(VLOOKUP($B253,'Privacy Analyst Evaluation'!$A$46:$F$120,6,0),""))&amp;""</f>
        <v/>
      </c>
      <c r="G253" s="200"/>
      <c r="H253" s="199" t="str">
        <f>IFERROR(IF($H252+1&gt;'(backend scoring)'!$Q$335,"",$H252+1),"")</f>
        <v/>
      </c>
      <c r="I253" s="199" t="str">
        <f>_xlfn.XLOOKUP($H253,'(backend scoring)'!$S$2:$S$333,'(backend scoring)'!$A$2:$A$333,"")</f>
        <v/>
      </c>
      <c r="J253" s="199" t="str">
        <f>IFERROR(VLOOKUP($I253,'Institution Evaluation'!$A$55:$F$345,2,0),IFERROR(VLOOKUP($I253,'Privacy Analyst Evaluation'!$A$46:$F$120,2,0),""))</f>
        <v/>
      </c>
      <c r="K253" s="199" t="str">
        <f>IFERROR(VLOOKUP($I253,'Institution Evaluation'!$A$55:$F$345,3,0),IFERROR(VLOOKUP($I253,'Privacy Analyst Evaluation'!$A$46:$F$120,3,0),""))&amp;""</f>
        <v/>
      </c>
      <c r="L253" s="199" t="str">
        <f>IFERROR(VLOOKUP($I253,'Institution Evaluation'!$A$55:$F$345,4,0),IFERROR(VLOOKUP($I253,'Privacy Analyst Evaluation'!$A$46:$F$120,4,0),""))&amp;""</f>
        <v/>
      </c>
      <c r="M253" s="199" t="str">
        <f>IFERROR(VLOOKUP($I253,'Institution Evaluation'!$A$55:$F$345,6,0),IFERROR(VLOOKUP($I253,'Privacy Analyst Evaluation'!$A$46:$F$120,6,0),""))&amp;""</f>
        <v/>
      </c>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row>
    <row r="254" spans="1:338" ht="17" x14ac:dyDescent="0.2">
      <c r="A254" s="199" t="str">
        <f>IFERROR(IF($A253+1&gt;'(backend scoring)'!$T$335,"",$A253+1),"")</f>
        <v/>
      </c>
      <c r="B254" s="199" t="str">
        <f>_xlfn.XLOOKUP($A254,'(backend scoring)'!$V$2:$V$333,'(backend scoring)'!$A$2:$A$333,"")</f>
        <v/>
      </c>
      <c r="C254" s="199" t="str">
        <f>IFERROR(VLOOKUP($B254,'Institution Evaluation'!$A$55:$F$345,2,0),IFERROR(VLOOKUP($B254,'Privacy Analyst Evaluation'!$A$46:$F$120,2,0),""))&amp;""</f>
        <v/>
      </c>
      <c r="D254" s="199" t="str">
        <f>IFERROR(VLOOKUP($B254,'Institution Evaluation'!$A$55:$F$345,3,0),IFERROR(VLOOKUP($B254,'Privacy Analyst Evaluation'!$A$46:$F$120,3,0),""))&amp;""</f>
        <v/>
      </c>
      <c r="E254" s="199" t="str">
        <f>IFERROR(VLOOKUP($B254,'Institution Evaluation'!$A$55:$F$345,4,0),IFERROR(VLOOKUP($B254,'Privacy Analyst Evaluation'!$A$46:$F$120,4,0),""))&amp;""</f>
        <v/>
      </c>
      <c r="F254" s="199" t="str">
        <f>IFERROR(VLOOKUP($B254,'Institution Evaluation'!$A$55:$F$345,6,0),IFERROR(VLOOKUP($B254,'Privacy Analyst Evaluation'!$A$46:$F$120,6,0),""))&amp;""</f>
        <v/>
      </c>
      <c r="G254" s="200"/>
      <c r="H254" s="199" t="str">
        <f>IFERROR(IF($H253+1&gt;'(backend scoring)'!$Q$335,"",$H253+1),"")</f>
        <v/>
      </c>
      <c r="I254" s="199" t="str">
        <f>_xlfn.XLOOKUP($H254,'(backend scoring)'!$S$2:$S$333,'(backend scoring)'!$A$2:$A$333,"")</f>
        <v/>
      </c>
      <c r="J254" s="199" t="str">
        <f>IFERROR(VLOOKUP($I254,'Institution Evaluation'!$A$55:$F$345,2,0),IFERROR(VLOOKUP($I254,'Privacy Analyst Evaluation'!$A$46:$F$120,2,0),""))</f>
        <v/>
      </c>
      <c r="K254" s="199" t="str">
        <f>IFERROR(VLOOKUP($I254,'Institution Evaluation'!$A$55:$F$345,3,0),IFERROR(VLOOKUP($I254,'Privacy Analyst Evaluation'!$A$46:$F$120,3,0),""))&amp;""</f>
        <v/>
      </c>
      <c r="L254" s="199" t="str">
        <f>IFERROR(VLOOKUP($I254,'Institution Evaluation'!$A$55:$F$345,4,0),IFERROR(VLOOKUP($I254,'Privacy Analyst Evaluation'!$A$46:$F$120,4,0),""))&amp;""</f>
        <v/>
      </c>
      <c r="M254" s="199" t="str">
        <f>IFERROR(VLOOKUP($I254,'Institution Evaluation'!$A$55:$F$345,6,0),IFERROR(VLOOKUP($I254,'Privacy Analyst Evaluation'!$A$46:$F$120,6,0),""))&amp;""</f>
        <v/>
      </c>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row>
    <row r="255" spans="1:338" ht="17" x14ac:dyDescent="0.2">
      <c r="A255" s="199" t="str">
        <f>IFERROR(IF($A254+1&gt;'(backend scoring)'!$T$335,"",$A254+1),"")</f>
        <v/>
      </c>
      <c r="B255" s="199" t="str">
        <f>_xlfn.XLOOKUP($A255,'(backend scoring)'!$V$2:$V$333,'(backend scoring)'!$A$2:$A$333,"")</f>
        <v/>
      </c>
      <c r="C255" s="199" t="str">
        <f>IFERROR(VLOOKUP($B255,'Institution Evaluation'!$A$55:$F$345,2,0),IFERROR(VLOOKUP($B255,'Privacy Analyst Evaluation'!$A$46:$F$120,2,0),""))&amp;""</f>
        <v/>
      </c>
      <c r="D255" s="199" t="str">
        <f>IFERROR(VLOOKUP($B255,'Institution Evaluation'!$A$55:$F$345,3,0),IFERROR(VLOOKUP($B255,'Privacy Analyst Evaluation'!$A$46:$F$120,3,0),""))&amp;""</f>
        <v/>
      </c>
      <c r="E255" s="199" t="str">
        <f>IFERROR(VLOOKUP($B255,'Institution Evaluation'!$A$55:$F$345,4,0),IFERROR(VLOOKUP($B255,'Privacy Analyst Evaluation'!$A$46:$F$120,4,0),""))&amp;""</f>
        <v/>
      </c>
      <c r="F255" s="199" t="str">
        <f>IFERROR(VLOOKUP($B255,'Institution Evaluation'!$A$55:$F$345,6,0),IFERROR(VLOOKUP($B255,'Privacy Analyst Evaluation'!$A$46:$F$120,6,0),""))&amp;""</f>
        <v/>
      </c>
      <c r="G255" s="200"/>
      <c r="H255" s="199" t="str">
        <f>IFERROR(IF($H254+1&gt;'(backend scoring)'!$Q$335,"",$H254+1),"")</f>
        <v/>
      </c>
      <c r="I255" s="199" t="str">
        <f>_xlfn.XLOOKUP($H255,'(backend scoring)'!$S$2:$S$333,'(backend scoring)'!$A$2:$A$333,"")</f>
        <v/>
      </c>
      <c r="J255" s="199" t="str">
        <f>IFERROR(VLOOKUP($I255,'Institution Evaluation'!$A$55:$F$345,2,0),IFERROR(VLOOKUP($I255,'Privacy Analyst Evaluation'!$A$46:$F$120,2,0),""))</f>
        <v/>
      </c>
      <c r="K255" s="199" t="str">
        <f>IFERROR(VLOOKUP($I255,'Institution Evaluation'!$A$55:$F$345,3,0),IFERROR(VLOOKUP($I255,'Privacy Analyst Evaluation'!$A$46:$F$120,3,0),""))&amp;""</f>
        <v/>
      </c>
      <c r="L255" s="199" t="str">
        <f>IFERROR(VLOOKUP($I255,'Institution Evaluation'!$A$55:$F$345,4,0),IFERROR(VLOOKUP($I255,'Privacy Analyst Evaluation'!$A$46:$F$120,4,0),""))&amp;""</f>
        <v/>
      </c>
      <c r="M255" s="199" t="str">
        <f>IFERROR(VLOOKUP($I255,'Institution Evaluation'!$A$55:$F$345,6,0),IFERROR(VLOOKUP($I255,'Privacy Analyst Evaluation'!$A$46:$F$120,6,0),""))&amp;""</f>
        <v/>
      </c>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row>
    <row r="256" spans="1:338" ht="17" x14ac:dyDescent="0.2">
      <c r="A256" s="199" t="str">
        <f>IFERROR(IF($A255+1&gt;'(backend scoring)'!$T$335,"",$A255+1),"")</f>
        <v/>
      </c>
      <c r="B256" s="199" t="str">
        <f>_xlfn.XLOOKUP($A256,'(backend scoring)'!$V$2:$V$333,'(backend scoring)'!$A$2:$A$333,"")</f>
        <v/>
      </c>
      <c r="C256" s="199" t="str">
        <f>IFERROR(VLOOKUP($B256,'Institution Evaluation'!$A$55:$F$345,2,0),IFERROR(VLOOKUP($B256,'Privacy Analyst Evaluation'!$A$46:$F$120,2,0),""))&amp;""</f>
        <v/>
      </c>
      <c r="D256" s="199" t="str">
        <f>IFERROR(VLOOKUP($B256,'Institution Evaluation'!$A$55:$F$345,3,0),IFERROR(VLOOKUP($B256,'Privacy Analyst Evaluation'!$A$46:$F$120,3,0),""))&amp;""</f>
        <v/>
      </c>
      <c r="E256" s="199" t="str">
        <f>IFERROR(VLOOKUP($B256,'Institution Evaluation'!$A$55:$F$345,4,0),IFERROR(VLOOKUP($B256,'Privacy Analyst Evaluation'!$A$46:$F$120,4,0),""))&amp;""</f>
        <v/>
      </c>
      <c r="F256" s="199" t="str">
        <f>IFERROR(VLOOKUP($B256,'Institution Evaluation'!$A$55:$F$345,6,0),IFERROR(VLOOKUP($B256,'Privacy Analyst Evaluation'!$A$46:$F$120,6,0),""))&amp;""</f>
        <v/>
      </c>
      <c r="G256" s="200"/>
      <c r="H256" s="199" t="str">
        <f>IFERROR(IF($H255+1&gt;'(backend scoring)'!$Q$335,"",$H255+1),"")</f>
        <v/>
      </c>
      <c r="I256" s="199" t="str">
        <f>_xlfn.XLOOKUP($H256,'(backend scoring)'!$S$2:$S$333,'(backend scoring)'!$A$2:$A$333,"")</f>
        <v/>
      </c>
      <c r="J256" s="199" t="str">
        <f>IFERROR(VLOOKUP($I256,'Institution Evaluation'!$A$55:$F$345,2,0),IFERROR(VLOOKUP($I256,'Privacy Analyst Evaluation'!$A$46:$F$120,2,0),""))</f>
        <v/>
      </c>
      <c r="K256" s="199" t="str">
        <f>IFERROR(VLOOKUP($I256,'Institution Evaluation'!$A$55:$F$345,3,0),IFERROR(VLOOKUP($I256,'Privacy Analyst Evaluation'!$A$46:$F$120,3,0),""))&amp;""</f>
        <v/>
      </c>
      <c r="L256" s="199" t="str">
        <f>IFERROR(VLOOKUP($I256,'Institution Evaluation'!$A$55:$F$345,4,0),IFERROR(VLOOKUP($I256,'Privacy Analyst Evaluation'!$A$46:$F$120,4,0),""))&amp;""</f>
        <v/>
      </c>
      <c r="M256" s="199" t="str">
        <f>IFERROR(VLOOKUP($I256,'Institution Evaluation'!$A$55:$F$345,6,0),IFERROR(VLOOKUP($I256,'Privacy Analyst Evaluation'!$A$46:$F$120,6,0),""))&amp;""</f>
        <v/>
      </c>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row>
    <row r="257" spans="1:338" ht="17" x14ac:dyDescent="0.2">
      <c r="A257" s="199" t="str">
        <f>IFERROR(IF($A256+1&gt;'(backend scoring)'!$T$335,"",$A256+1),"")</f>
        <v/>
      </c>
      <c r="B257" s="199" t="str">
        <f>_xlfn.XLOOKUP($A257,'(backend scoring)'!$V$2:$V$333,'(backend scoring)'!$A$2:$A$333,"")</f>
        <v/>
      </c>
      <c r="C257" s="199" t="str">
        <f>IFERROR(VLOOKUP($B257,'Institution Evaluation'!$A$55:$F$345,2,0),IFERROR(VLOOKUP($B257,'Privacy Analyst Evaluation'!$A$46:$F$120,2,0),""))&amp;""</f>
        <v/>
      </c>
      <c r="D257" s="199" t="str">
        <f>IFERROR(VLOOKUP($B257,'Institution Evaluation'!$A$55:$F$345,3,0),IFERROR(VLOOKUP($B257,'Privacy Analyst Evaluation'!$A$46:$F$120,3,0),""))&amp;""</f>
        <v/>
      </c>
      <c r="E257" s="199" t="str">
        <f>IFERROR(VLOOKUP($B257,'Institution Evaluation'!$A$55:$F$345,4,0),IFERROR(VLOOKUP($B257,'Privacy Analyst Evaluation'!$A$46:$F$120,4,0),""))&amp;""</f>
        <v/>
      </c>
      <c r="F257" s="199" t="str">
        <f>IFERROR(VLOOKUP($B257,'Institution Evaluation'!$A$55:$F$345,6,0),IFERROR(VLOOKUP($B257,'Privacy Analyst Evaluation'!$A$46:$F$120,6,0),""))&amp;""</f>
        <v/>
      </c>
      <c r="G257" s="200"/>
      <c r="H257" s="199" t="str">
        <f>IFERROR(IF($H256+1&gt;'(backend scoring)'!$Q$335,"",$H256+1),"")</f>
        <v/>
      </c>
      <c r="I257" s="199" t="str">
        <f>_xlfn.XLOOKUP($H257,'(backend scoring)'!$S$2:$S$333,'(backend scoring)'!$A$2:$A$333,"")</f>
        <v/>
      </c>
      <c r="J257" s="199" t="str">
        <f>IFERROR(VLOOKUP($I257,'Institution Evaluation'!$A$55:$F$345,2,0),IFERROR(VLOOKUP($I257,'Privacy Analyst Evaluation'!$A$46:$F$120,2,0),""))</f>
        <v/>
      </c>
      <c r="K257" s="199" t="str">
        <f>IFERROR(VLOOKUP($I257,'Institution Evaluation'!$A$55:$F$345,3,0),IFERROR(VLOOKUP($I257,'Privacy Analyst Evaluation'!$A$46:$F$120,3,0),""))&amp;""</f>
        <v/>
      </c>
      <c r="L257" s="199" t="str">
        <f>IFERROR(VLOOKUP($I257,'Institution Evaluation'!$A$55:$F$345,4,0),IFERROR(VLOOKUP($I257,'Privacy Analyst Evaluation'!$A$46:$F$120,4,0),""))&amp;""</f>
        <v/>
      </c>
      <c r="M257" s="199" t="str">
        <f>IFERROR(VLOOKUP($I257,'Institution Evaluation'!$A$55:$F$345,6,0),IFERROR(VLOOKUP($I257,'Privacy Analyst Evaluation'!$A$46:$F$120,6,0),""))&amp;""</f>
        <v/>
      </c>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row>
    <row r="258" spans="1:338" ht="17" x14ac:dyDescent="0.2">
      <c r="A258" s="199" t="str">
        <f>IFERROR(IF($A257+1&gt;'(backend scoring)'!$T$335,"",$A257+1),"")</f>
        <v/>
      </c>
      <c r="B258" s="199" t="str">
        <f>_xlfn.XLOOKUP($A258,'(backend scoring)'!$V$2:$V$333,'(backend scoring)'!$A$2:$A$333,"")</f>
        <v/>
      </c>
      <c r="C258" s="199" t="str">
        <f>IFERROR(VLOOKUP($B258,'Institution Evaluation'!$A$55:$F$345,2,0),IFERROR(VLOOKUP($B258,'Privacy Analyst Evaluation'!$A$46:$F$120,2,0),""))&amp;""</f>
        <v/>
      </c>
      <c r="D258" s="199" t="str">
        <f>IFERROR(VLOOKUP($B258,'Institution Evaluation'!$A$55:$F$345,3,0),IFERROR(VLOOKUP($B258,'Privacy Analyst Evaluation'!$A$46:$F$120,3,0),""))&amp;""</f>
        <v/>
      </c>
      <c r="E258" s="199" t="str">
        <f>IFERROR(VLOOKUP($B258,'Institution Evaluation'!$A$55:$F$345,4,0),IFERROR(VLOOKUP($B258,'Privacy Analyst Evaluation'!$A$46:$F$120,4,0),""))&amp;""</f>
        <v/>
      </c>
      <c r="F258" s="199" t="str">
        <f>IFERROR(VLOOKUP($B258,'Institution Evaluation'!$A$55:$F$345,6,0),IFERROR(VLOOKUP($B258,'Privacy Analyst Evaluation'!$A$46:$F$120,6,0),""))&amp;""</f>
        <v/>
      </c>
      <c r="G258" s="200"/>
      <c r="H258" s="199" t="str">
        <f>IFERROR(IF($H257+1&gt;'(backend scoring)'!$Q$335,"",$H257+1),"")</f>
        <v/>
      </c>
      <c r="I258" s="199" t="str">
        <f>_xlfn.XLOOKUP($H258,'(backend scoring)'!$S$2:$S$333,'(backend scoring)'!$A$2:$A$333,"")</f>
        <v/>
      </c>
      <c r="J258" s="199" t="str">
        <f>IFERROR(VLOOKUP($I258,'Institution Evaluation'!$A$55:$F$345,2,0),IFERROR(VLOOKUP($I258,'Privacy Analyst Evaluation'!$A$46:$F$120,2,0),""))</f>
        <v/>
      </c>
      <c r="K258" s="199" t="str">
        <f>IFERROR(VLOOKUP($I258,'Institution Evaluation'!$A$55:$F$345,3,0),IFERROR(VLOOKUP($I258,'Privacy Analyst Evaluation'!$A$46:$F$120,3,0),""))&amp;""</f>
        <v/>
      </c>
      <c r="L258" s="199" t="str">
        <f>IFERROR(VLOOKUP($I258,'Institution Evaluation'!$A$55:$F$345,4,0),IFERROR(VLOOKUP($I258,'Privacy Analyst Evaluation'!$A$46:$F$120,4,0),""))&amp;""</f>
        <v/>
      </c>
      <c r="M258" s="199" t="str">
        <f>IFERROR(VLOOKUP($I258,'Institution Evaluation'!$A$55:$F$345,6,0),IFERROR(VLOOKUP($I258,'Privacy Analyst Evaluation'!$A$46:$F$120,6,0),""))&amp;""</f>
        <v/>
      </c>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row>
    <row r="259" spans="1:338" ht="17" x14ac:dyDescent="0.2">
      <c r="A259" s="199" t="str">
        <f>IFERROR(IF($A258+1&gt;'(backend scoring)'!$T$335,"",$A258+1),"")</f>
        <v/>
      </c>
      <c r="B259" s="199" t="str">
        <f>_xlfn.XLOOKUP($A259,'(backend scoring)'!$V$2:$V$333,'(backend scoring)'!$A$2:$A$333,"")</f>
        <v/>
      </c>
      <c r="C259" s="199" t="str">
        <f>IFERROR(VLOOKUP($B259,'Institution Evaluation'!$A$55:$F$345,2,0),IFERROR(VLOOKUP($B259,'Privacy Analyst Evaluation'!$A$46:$F$120,2,0),""))&amp;""</f>
        <v/>
      </c>
      <c r="D259" s="199" t="str">
        <f>IFERROR(VLOOKUP($B259,'Institution Evaluation'!$A$55:$F$345,3,0),IFERROR(VLOOKUP($B259,'Privacy Analyst Evaluation'!$A$46:$F$120,3,0),""))&amp;""</f>
        <v/>
      </c>
      <c r="E259" s="199" t="str">
        <f>IFERROR(VLOOKUP($B259,'Institution Evaluation'!$A$55:$F$345,4,0),IFERROR(VLOOKUP($B259,'Privacy Analyst Evaluation'!$A$46:$F$120,4,0),""))&amp;""</f>
        <v/>
      </c>
      <c r="F259" s="199" t="str">
        <f>IFERROR(VLOOKUP($B259,'Institution Evaluation'!$A$55:$F$345,6,0),IFERROR(VLOOKUP($B259,'Privacy Analyst Evaluation'!$A$46:$F$120,6,0),""))&amp;""</f>
        <v/>
      </c>
      <c r="G259" s="200"/>
      <c r="H259" s="199" t="str">
        <f>IFERROR(IF($H258+1&gt;'(backend scoring)'!$Q$335,"",$H258+1),"")</f>
        <v/>
      </c>
      <c r="I259" s="199" t="str">
        <f>_xlfn.XLOOKUP($H259,'(backend scoring)'!$S$2:$S$333,'(backend scoring)'!$A$2:$A$333,"")</f>
        <v/>
      </c>
      <c r="J259" s="199" t="str">
        <f>IFERROR(VLOOKUP($I259,'Institution Evaluation'!$A$55:$F$345,2,0),IFERROR(VLOOKUP($I259,'Privacy Analyst Evaluation'!$A$46:$F$120,2,0),""))</f>
        <v/>
      </c>
      <c r="K259" s="199" t="str">
        <f>IFERROR(VLOOKUP($I259,'Institution Evaluation'!$A$55:$F$345,3,0),IFERROR(VLOOKUP($I259,'Privacy Analyst Evaluation'!$A$46:$F$120,3,0),""))&amp;""</f>
        <v/>
      </c>
      <c r="L259" s="199" t="str">
        <f>IFERROR(VLOOKUP($I259,'Institution Evaluation'!$A$55:$F$345,4,0),IFERROR(VLOOKUP($I259,'Privacy Analyst Evaluation'!$A$46:$F$120,4,0),""))&amp;""</f>
        <v/>
      </c>
      <c r="M259" s="199" t="str">
        <f>IFERROR(VLOOKUP($I259,'Institution Evaluation'!$A$55:$F$345,6,0),IFERROR(VLOOKUP($I259,'Privacy Analyst Evaluation'!$A$46:$F$120,6,0),""))&amp;""</f>
        <v/>
      </c>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row>
    <row r="260" spans="1:338" ht="17" x14ac:dyDescent="0.2">
      <c r="A260" s="199" t="str">
        <f>IFERROR(IF($A259+1&gt;'(backend scoring)'!$T$335,"",$A259+1),"")</f>
        <v/>
      </c>
      <c r="B260" s="199" t="str">
        <f>_xlfn.XLOOKUP($A260,'(backend scoring)'!$V$2:$V$333,'(backend scoring)'!$A$2:$A$333,"")</f>
        <v/>
      </c>
      <c r="C260" s="199" t="str">
        <f>IFERROR(VLOOKUP($B260,'Institution Evaluation'!$A$55:$F$345,2,0),IFERROR(VLOOKUP($B260,'Privacy Analyst Evaluation'!$A$46:$F$120,2,0),""))&amp;""</f>
        <v/>
      </c>
      <c r="D260" s="199" t="str">
        <f>IFERROR(VLOOKUP($B260,'Institution Evaluation'!$A$55:$F$345,3,0),IFERROR(VLOOKUP($B260,'Privacy Analyst Evaluation'!$A$46:$F$120,3,0),""))&amp;""</f>
        <v/>
      </c>
      <c r="E260" s="199" t="str">
        <f>IFERROR(VLOOKUP($B260,'Institution Evaluation'!$A$55:$F$345,4,0),IFERROR(VLOOKUP($B260,'Privacy Analyst Evaluation'!$A$46:$F$120,4,0),""))&amp;""</f>
        <v/>
      </c>
      <c r="F260" s="199" t="str">
        <f>IFERROR(VLOOKUP($B260,'Institution Evaluation'!$A$55:$F$345,6,0),IFERROR(VLOOKUP($B260,'Privacy Analyst Evaluation'!$A$46:$F$120,6,0),""))&amp;""</f>
        <v/>
      </c>
      <c r="G260" s="200"/>
      <c r="H260" s="199" t="str">
        <f>IFERROR(IF($H259+1&gt;'(backend scoring)'!$Q$335,"",$H259+1),"")</f>
        <v/>
      </c>
      <c r="I260" s="199" t="str">
        <f>_xlfn.XLOOKUP($H260,'(backend scoring)'!$S$2:$S$333,'(backend scoring)'!$A$2:$A$333,"")</f>
        <v/>
      </c>
      <c r="J260" s="199" t="str">
        <f>IFERROR(VLOOKUP($I260,'Institution Evaluation'!$A$55:$F$345,2,0),IFERROR(VLOOKUP($I260,'Privacy Analyst Evaluation'!$A$46:$F$120,2,0),""))</f>
        <v/>
      </c>
      <c r="K260" s="199" t="str">
        <f>IFERROR(VLOOKUP($I260,'Institution Evaluation'!$A$55:$F$345,3,0),IFERROR(VLOOKUP($I260,'Privacy Analyst Evaluation'!$A$46:$F$120,3,0),""))&amp;""</f>
        <v/>
      </c>
      <c r="L260" s="199" t="str">
        <f>IFERROR(VLOOKUP($I260,'Institution Evaluation'!$A$55:$F$345,4,0),IFERROR(VLOOKUP($I260,'Privacy Analyst Evaluation'!$A$46:$F$120,4,0),""))&amp;""</f>
        <v/>
      </c>
      <c r="M260" s="199" t="str">
        <f>IFERROR(VLOOKUP($I260,'Institution Evaluation'!$A$55:$F$345,6,0),IFERROR(VLOOKUP($I260,'Privacy Analyst Evaluation'!$A$46:$F$120,6,0),""))&amp;""</f>
        <v/>
      </c>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row>
    <row r="261" spans="1:338" ht="17" x14ac:dyDescent="0.2">
      <c r="A261" s="199" t="str">
        <f>IFERROR(IF($A260+1&gt;'(backend scoring)'!$T$335,"",$A260+1),"")</f>
        <v/>
      </c>
      <c r="B261" s="199" t="str">
        <f>_xlfn.XLOOKUP($A261,'(backend scoring)'!$V$2:$V$333,'(backend scoring)'!$A$2:$A$333,"")</f>
        <v/>
      </c>
      <c r="C261" s="199" t="str">
        <f>IFERROR(VLOOKUP($B261,'Institution Evaluation'!$A$55:$F$345,2,0),IFERROR(VLOOKUP($B261,'Privacy Analyst Evaluation'!$A$46:$F$120,2,0),""))&amp;""</f>
        <v/>
      </c>
      <c r="D261" s="199" t="str">
        <f>IFERROR(VLOOKUP($B261,'Institution Evaluation'!$A$55:$F$345,3,0),IFERROR(VLOOKUP($B261,'Privacy Analyst Evaluation'!$A$46:$F$120,3,0),""))&amp;""</f>
        <v/>
      </c>
      <c r="E261" s="199" t="str">
        <f>IFERROR(VLOOKUP($B261,'Institution Evaluation'!$A$55:$F$345,4,0),IFERROR(VLOOKUP($B261,'Privacy Analyst Evaluation'!$A$46:$F$120,4,0),""))&amp;""</f>
        <v/>
      </c>
      <c r="F261" s="199" t="str">
        <f>IFERROR(VLOOKUP($B261,'Institution Evaluation'!$A$55:$F$345,6,0),IFERROR(VLOOKUP($B261,'Privacy Analyst Evaluation'!$A$46:$F$120,6,0),""))&amp;""</f>
        <v/>
      </c>
      <c r="G261" s="200"/>
      <c r="H261" s="199" t="str">
        <f>IFERROR(IF($H260+1&gt;'(backend scoring)'!$Q$335,"",$H260+1),"")</f>
        <v/>
      </c>
      <c r="I261" s="199" t="str">
        <f>_xlfn.XLOOKUP($H261,'(backend scoring)'!$S$2:$S$333,'(backend scoring)'!$A$2:$A$333,"")</f>
        <v/>
      </c>
      <c r="J261" s="199" t="str">
        <f>IFERROR(VLOOKUP($I261,'Institution Evaluation'!$A$55:$F$345,2,0),IFERROR(VLOOKUP($I261,'Privacy Analyst Evaluation'!$A$46:$F$120,2,0),""))</f>
        <v/>
      </c>
      <c r="K261" s="199" t="str">
        <f>IFERROR(VLOOKUP($I261,'Institution Evaluation'!$A$55:$F$345,3,0),IFERROR(VLOOKUP($I261,'Privacy Analyst Evaluation'!$A$46:$F$120,3,0),""))&amp;""</f>
        <v/>
      </c>
      <c r="L261" s="199" t="str">
        <f>IFERROR(VLOOKUP($I261,'Institution Evaluation'!$A$55:$F$345,4,0),IFERROR(VLOOKUP($I261,'Privacy Analyst Evaluation'!$A$46:$F$120,4,0),""))&amp;""</f>
        <v/>
      </c>
      <c r="M261" s="199" t="str">
        <f>IFERROR(VLOOKUP($I261,'Institution Evaluation'!$A$55:$F$345,6,0),IFERROR(VLOOKUP($I261,'Privacy Analyst Evaluation'!$A$46:$F$120,6,0),""))&amp;""</f>
        <v/>
      </c>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row>
    <row r="262" spans="1:338" ht="17" x14ac:dyDescent="0.2">
      <c r="A262" s="199" t="str">
        <f>IFERROR(IF($A261+1&gt;'(backend scoring)'!$T$335,"",$A261+1),"")</f>
        <v/>
      </c>
      <c r="B262" s="199" t="str">
        <f>_xlfn.XLOOKUP($A262,'(backend scoring)'!$V$2:$V$333,'(backend scoring)'!$A$2:$A$333,"")</f>
        <v/>
      </c>
      <c r="C262" s="199" t="str">
        <f>IFERROR(VLOOKUP($B262,'Institution Evaluation'!$A$55:$F$345,2,0),IFERROR(VLOOKUP($B262,'Privacy Analyst Evaluation'!$A$46:$F$120,2,0),""))&amp;""</f>
        <v/>
      </c>
      <c r="D262" s="199" t="str">
        <f>IFERROR(VLOOKUP($B262,'Institution Evaluation'!$A$55:$F$345,3,0),IFERROR(VLOOKUP($B262,'Privacy Analyst Evaluation'!$A$46:$F$120,3,0),""))&amp;""</f>
        <v/>
      </c>
      <c r="E262" s="199" t="str">
        <f>IFERROR(VLOOKUP($B262,'Institution Evaluation'!$A$55:$F$345,4,0),IFERROR(VLOOKUP($B262,'Privacy Analyst Evaluation'!$A$46:$F$120,4,0),""))&amp;""</f>
        <v/>
      </c>
      <c r="F262" s="199" t="str">
        <f>IFERROR(VLOOKUP($B262,'Institution Evaluation'!$A$55:$F$345,6,0),IFERROR(VLOOKUP($B262,'Privacy Analyst Evaluation'!$A$46:$F$120,6,0),""))&amp;""</f>
        <v/>
      </c>
      <c r="G262" s="200"/>
      <c r="H262" s="199" t="str">
        <f>IFERROR(IF($H261+1&gt;'(backend scoring)'!$Q$335,"",$H261+1),"")</f>
        <v/>
      </c>
      <c r="I262" s="199" t="str">
        <f>_xlfn.XLOOKUP($H262,'(backend scoring)'!$S$2:$S$333,'(backend scoring)'!$A$2:$A$333,"")</f>
        <v/>
      </c>
      <c r="J262" s="199" t="str">
        <f>IFERROR(VLOOKUP($I262,'Institution Evaluation'!$A$55:$F$345,2,0),IFERROR(VLOOKUP($I262,'Privacy Analyst Evaluation'!$A$46:$F$120,2,0),""))</f>
        <v/>
      </c>
      <c r="K262" s="199" t="str">
        <f>IFERROR(VLOOKUP($I262,'Institution Evaluation'!$A$55:$F$345,3,0),IFERROR(VLOOKUP($I262,'Privacy Analyst Evaluation'!$A$46:$F$120,3,0),""))&amp;""</f>
        <v/>
      </c>
      <c r="L262" s="199" t="str">
        <f>IFERROR(VLOOKUP($I262,'Institution Evaluation'!$A$55:$F$345,4,0),IFERROR(VLOOKUP($I262,'Privacy Analyst Evaluation'!$A$46:$F$120,4,0),""))&amp;""</f>
        <v/>
      </c>
      <c r="M262" s="199" t="str">
        <f>IFERROR(VLOOKUP($I262,'Institution Evaluation'!$A$55:$F$345,6,0),IFERROR(VLOOKUP($I262,'Privacy Analyst Evaluation'!$A$46:$F$120,6,0),""))&amp;""</f>
        <v/>
      </c>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row>
    <row r="263" spans="1:338" ht="17" x14ac:dyDescent="0.2">
      <c r="A263" s="199" t="str">
        <f>IFERROR(IF($A262+1&gt;'(backend scoring)'!$T$335,"",$A262+1),"")</f>
        <v/>
      </c>
      <c r="B263" s="199" t="str">
        <f>_xlfn.XLOOKUP($A263,'(backend scoring)'!$V$2:$V$333,'(backend scoring)'!$A$2:$A$333,"")</f>
        <v/>
      </c>
      <c r="C263" s="199" t="str">
        <f>IFERROR(VLOOKUP($B263,'Institution Evaluation'!$A$55:$F$345,2,0),IFERROR(VLOOKUP($B263,'Privacy Analyst Evaluation'!$A$46:$F$120,2,0),""))&amp;""</f>
        <v/>
      </c>
      <c r="D263" s="199" t="str">
        <f>IFERROR(VLOOKUP($B263,'Institution Evaluation'!$A$55:$F$345,3,0),IFERROR(VLOOKUP($B263,'Privacy Analyst Evaluation'!$A$46:$F$120,3,0),""))&amp;""</f>
        <v/>
      </c>
      <c r="E263" s="199" t="str">
        <f>IFERROR(VLOOKUP($B263,'Institution Evaluation'!$A$55:$F$345,4,0),IFERROR(VLOOKUP($B263,'Privacy Analyst Evaluation'!$A$46:$F$120,4,0),""))&amp;""</f>
        <v/>
      </c>
      <c r="F263" s="199" t="str">
        <f>IFERROR(VLOOKUP($B263,'Institution Evaluation'!$A$55:$F$345,6,0),IFERROR(VLOOKUP($B263,'Privacy Analyst Evaluation'!$A$46:$F$120,6,0),""))&amp;""</f>
        <v/>
      </c>
      <c r="G263" s="200"/>
      <c r="H263" s="199" t="str">
        <f>IFERROR(IF($H262+1&gt;'(backend scoring)'!$Q$335,"",$H262+1),"")</f>
        <v/>
      </c>
      <c r="I263" s="199" t="str">
        <f>_xlfn.XLOOKUP($H263,'(backend scoring)'!$S$2:$S$333,'(backend scoring)'!$A$2:$A$333,"")</f>
        <v/>
      </c>
      <c r="J263" s="199" t="str">
        <f>IFERROR(VLOOKUP($I263,'Institution Evaluation'!$A$55:$F$345,2,0),IFERROR(VLOOKUP($I263,'Privacy Analyst Evaluation'!$A$46:$F$120,2,0),""))</f>
        <v/>
      </c>
      <c r="K263" s="199" t="str">
        <f>IFERROR(VLOOKUP($I263,'Institution Evaluation'!$A$55:$F$345,3,0),IFERROR(VLOOKUP($I263,'Privacy Analyst Evaluation'!$A$46:$F$120,3,0),""))&amp;""</f>
        <v/>
      </c>
      <c r="L263" s="199" t="str">
        <f>IFERROR(VLOOKUP($I263,'Institution Evaluation'!$A$55:$F$345,4,0),IFERROR(VLOOKUP($I263,'Privacy Analyst Evaluation'!$A$46:$F$120,4,0),""))&amp;""</f>
        <v/>
      </c>
      <c r="M263" s="199" t="str">
        <f>IFERROR(VLOOKUP($I263,'Institution Evaluation'!$A$55:$F$345,6,0),IFERROR(VLOOKUP($I263,'Privacy Analyst Evaluation'!$A$46:$F$120,6,0),""))&amp;""</f>
        <v/>
      </c>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row>
    <row r="264" spans="1:338" ht="17" x14ac:dyDescent="0.2">
      <c r="A264" s="199" t="str">
        <f>IFERROR(IF($A263+1&gt;'(backend scoring)'!$T$335,"",$A263+1),"")</f>
        <v/>
      </c>
      <c r="B264" s="199" t="str">
        <f>_xlfn.XLOOKUP($A264,'(backend scoring)'!$V$2:$V$333,'(backend scoring)'!$A$2:$A$333,"")</f>
        <v/>
      </c>
      <c r="C264" s="199" t="str">
        <f>IFERROR(VLOOKUP($B264,'Institution Evaluation'!$A$55:$F$345,2,0),IFERROR(VLOOKUP($B264,'Privacy Analyst Evaluation'!$A$46:$F$120,2,0),""))&amp;""</f>
        <v/>
      </c>
      <c r="D264" s="199" t="str">
        <f>IFERROR(VLOOKUP($B264,'Institution Evaluation'!$A$55:$F$345,3,0),IFERROR(VLOOKUP($B264,'Privacy Analyst Evaluation'!$A$46:$F$120,3,0),""))&amp;""</f>
        <v/>
      </c>
      <c r="E264" s="199" t="str">
        <f>IFERROR(VLOOKUP($B264,'Institution Evaluation'!$A$55:$F$345,4,0),IFERROR(VLOOKUP($B264,'Privacy Analyst Evaluation'!$A$46:$F$120,4,0),""))&amp;""</f>
        <v/>
      </c>
      <c r="F264" s="199" t="str">
        <f>IFERROR(VLOOKUP($B264,'Institution Evaluation'!$A$55:$F$345,6,0),IFERROR(VLOOKUP($B264,'Privacy Analyst Evaluation'!$A$46:$F$120,6,0),""))&amp;""</f>
        <v/>
      </c>
      <c r="G264" s="200"/>
      <c r="H264" s="199" t="str">
        <f>IFERROR(IF($H263+1&gt;'(backend scoring)'!$Q$335,"",$H263+1),"")</f>
        <v/>
      </c>
      <c r="I264" s="199" t="str">
        <f>_xlfn.XLOOKUP($H264,'(backend scoring)'!$S$2:$S$333,'(backend scoring)'!$A$2:$A$333,"")</f>
        <v/>
      </c>
      <c r="J264" s="199" t="str">
        <f>IFERROR(VLOOKUP($I264,'Institution Evaluation'!$A$55:$F$345,2,0),IFERROR(VLOOKUP($I264,'Privacy Analyst Evaluation'!$A$46:$F$120,2,0),""))</f>
        <v/>
      </c>
      <c r="K264" s="199" t="str">
        <f>IFERROR(VLOOKUP($I264,'Institution Evaluation'!$A$55:$F$345,3,0),IFERROR(VLOOKUP($I264,'Privacy Analyst Evaluation'!$A$46:$F$120,3,0),""))&amp;""</f>
        <v/>
      </c>
      <c r="L264" s="199" t="str">
        <f>IFERROR(VLOOKUP($I264,'Institution Evaluation'!$A$55:$F$345,4,0),IFERROR(VLOOKUP($I264,'Privacy Analyst Evaluation'!$A$46:$F$120,4,0),""))&amp;""</f>
        <v/>
      </c>
      <c r="M264" s="199" t="str">
        <f>IFERROR(VLOOKUP($I264,'Institution Evaluation'!$A$55:$F$345,6,0),IFERROR(VLOOKUP($I264,'Privacy Analyst Evaluation'!$A$46:$F$120,6,0),""))&amp;""</f>
        <v/>
      </c>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row>
    <row r="265" spans="1:338" ht="17" x14ac:dyDescent="0.2">
      <c r="A265" s="199" t="str">
        <f>IFERROR(IF($A264+1&gt;'(backend scoring)'!$T$335,"",$A264+1),"")</f>
        <v/>
      </c>
      <c r="B265" s="199" t="str">
        <f>_xlfn.XLOOKUP($A265,'(backend scoring)'!$V$2:$V$333,'(backend scoring)'!$A$2:$A$333,"")</f>
        <v/>
      </c>
      <c r="C265" s="199" t="str">
        <f>IFERROR(VLOOKUP($B265,'Institution Evaluation'!$A$55:$F$345,2,0),IFERROR(VLOOKUP($B265,'Privacy Analyst Evaluation'!$A$46:$F$120,2,0),""))&amp;""</f>
        <v/>
      </c>
      <c r="D265" s="199" t="str">
        <f>IFERROR(VLOOKUP($B265,'Institution Evaluation'!$A$55:$F$345,3,0),IFERROR(VLOOKUP($B265,'Privacy Analyst Evaluation'!$A$46:$F$120,3,0),""))&amp;""</f>
        <v/>
      </c>
      <c r="E265" s="199" t="str">
        <f>IFERROR(VLOOKUP($B265,'Institution Evaluation'!$A$55:$F$345,4,0),IFERROR(VLOOKUP($B265,'Privacy Analyst Evaluation'!$A$46:$F$120,4,0),""))&amp;""</f>
        <v/>
      </c>
      <c r="F265" s="199" t="str">
        <f>IFERROR(VLOOKUP($B265,'Institution Evaluation'!$A$55:$F$345,6,0),IFERROR(VLOOKUP($B265,'Privacy Analyst Evaluation'!$A$46:$F$120,6,0),""))&amp;""</f>
        <v/>
      </c>
      <c r="G265" s="200"/>
      <c r="H265" s="199" t="str">
        <f>IFERROR(IF($H264+1&gt;'(backend scoring)'!$Q$335,"",$H264+1),"")</f>
        <v/>
      </c>
      <c r="I265" s="199" t="str">
        <f>_xlfn.XLOOKUP($H265,'(backend scoring)'!$S$2:$S$333,'(backend scoring)'!$A$2:$A$333,"")</f>
        <v/>
      </c>
      <c r="J265" s="199" t="str">
        <f>IFERROR(VLOOKUP($I265,'Institution Evaluation'!$A$55:$F$345,2,0),IFERROR(VLOOKUP($I265,'Privacy Analyst Evaluation'!$A$46:$F$120,2,0),""))</f>
        <v/>
      </c>
      <c r="K265" s="199" t="str">
        <f>IFERROR(VLOOKUP($I265,'Institution Evaluation'!$A$55:$F$345,3,0),IFERROR(VLOOKUP($I265,'Privacy Analyst Evaluation'!$A$46:$F$120,3,0),""))&amp;""</f>
        <v/>
      </c>
      <c r="L265" s="199" t="str">
        <f>IFERROR(VLOOKUP($I265,'Institution Evaluation'!$A$55:$F$345,4,0),IFERROR(VLOOKUP($I265,'Privacy Analyst Evaluation'!$A$46:$F$120,4,0),""))&amp;""</f>
        <v/>
      </c>
      <c r="M265" s="199" t="str">
        <f>IFERROR(VLOOKUP($I265,'Institution Evaluation'!$A$55:$F$345,6,0),IFERROR(VLOOKUP($I265,'Privacy Analyst Evaluation'!$A$46:$F$120,6,0),""))&amp;""</f>
        <v/>
      </c>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row>
    <row r="266" spans="1:338" ht="17" x14ac:dyDescent="0.2">
      <c r="A266" s="199" t="str">
        <f>IFERROR(IF($A265+1&gt;'(backend scoring)'!$T$335,"",$A265+1),"")</f>
        <v/>
      </c>
      <c r="B266" s="199" t="str">
        <f>_xlfn.XLOOKUP($A266,'(backend scoring)'!$V$2:$V$333,'(backend scoring)'!$A$2:$A$333,"")</f>
        <v/>
      </c>
      <c r="C266" s="199" t="str">
        <f>IFERROR(VLOOKUP($B266,'Institution Evaluation'!$A$55:$F$345,2,0),IFERROR(VLOOKUP($B266,'Privacy Analyst Evaluation'!$A$46:$F$120,2,0),""))&amp;""</f>
        <v/>
      </c>
      <c r="D266" s="199" t="str">
        <f>IFERROR(VLOOKUP($B266,'Institution Evaluation'!$A$55:$F$345,3,0),IFERROR(VLOOKUP($B266,'Privacy Analyst Evaluation'!$A$46:$F$120,3,0),""))&amp;""</f>
        <v/>
      </c>
      <c r="E266" s="199" t="str">
        <f>IFERROR(VLOOKUP($B266,'Institution Evaluation'!$A$55:$F$345,4,0),IFERROR(VLOOKUP($B266,'Privacy Analyst Evaluation'!$A$46:$F$120,4,0),""))&amp;""</f>
        <v/>
      </c>
      <c r="F266" s="199" t="str">
        <f>IFERROR(VLOOKUP($B266,'Institution Evaluation'!$A$55:$F$345,6,0),IFERROR(VLOOKUP($B266,'Privacy Analyst Evaluation'!$A$46:$F$120,6,0),""))&amp;""</f>
        <v/>
      </c>
      <c r="G266" s="200"/>
      <c r="H266" s="199" t="str">
        <f>IFERROR(IF($H265+1&gt;'(backend scoring)'!$Q$335,"",$H265+1),"")</f>
        <v/>
      </c>
      <c r="I266" s="199" t="str">
        <f>_xlfn.XLOOKUP($H266,'(backend scoring)'!$S$2:$S$333,'(backend scoring)'!$A$2:$A$333,"")</f>
        <v/>
      </c>
      <c r="J266" s="199" t="str">
        <f>IFERROR(VLOOKUP($I266,'Institution Evaluation'!$A$55:$F$345,2,0),IFERROR(VLOOKUP($I266,'Privacy Analyst Evaluation'!$A$46:$F$120,2,0),""))</f>
        <v/>
      </c>
      <c r="K266" s="199" t="str">
        <f>IFERROR(VLOOKUP($I266,'Institution Evaluation'!$A$55:$F$345,3,0),IFERROR(VLOOKUP($I266,'Privacy Analyst Evaluation'!$A$46:$F$120,3,0),""))&amp;""</f>
        <v/>
      </c>
      <c r="L266" s="199" t="str">
        <f>IFERROR(VLOOKUP($I266,'Institution Evaluation'!$A$55:$F$345,4,0),IFERROR(VLOOKUP($I266,'Privacy Analyst Evaluation'!$A$46:$F$120,4,0),""))&amp;""</f>
        <v/>
      </c>
      <c r="M266" s="199" t="str">
        <f>IFERROR(VLOOKUP($I266,'Institution Evaluation'!$A$55:$F$345,6,0),IFERROR(VLOOKUP($I266,'Privacy Analyst Evaluation'!$A$46:$F$120,6,0),""))&amp;""</f>
        <v/>
      </c>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c r="IV266"/>
      <c r="IW266"/>
      <c r="IX266"/>
      <c r="IY266"/>
      <c r="IZ266"/>
      <c r="JA266"/>
      <c r="JB266"/>
      <c r="JC266"/>
      <c r="JD266"/>
      <c r="JE266"/>
      <c r="JF266"/>
      <c r="JG266"/>
      <c r="JH266"/>
      <c r="JI266"/>
      <c r="JJ266"/>
      <c r="JK266"/>
      <c r="JL266"/>
      <c r="JM266"/>
      <c r="JN266"/>
      <c r="JO266"/>
      <c r="JP266"/>
      <c r="JQ266"/>
      <c r="JR266"/>
      <c r="JS266"/>
      <c r="JT266"/>
      <c r="JU266"/>
      <c r="JV266"/>
      <c r="JW266"/>
      <c r="JX266"/>
      <c r="JY266"/>
      <c r="JZ266"/>
      <c r="KA266"/>
      <c r="KB266"/>
      <c r="KC266"/>
      <c r="KD266"/>
      <c r="KE266"/>
      <c r="KF266"/>
      <c r="KG266"/>
      <c r="KH266"/>
      <c r="KI266"/>
      <c r="KJ266"/>
      <c r="KK266"/>
      <c r="KL266"/>
      <c r="KM266"/>
      <c r="KN266"/>
      <c r="KO266"/>
      <c r="KP266"/>
      <c r="KQ266"/>
      <c r="KR266"/>
      <c r="KS266"/>
      <c r="KT266"/>
      <c r="KU266"/>
      <c r="KV266"/>
      <c r="KW266"/>
      <c r="KX266"/>
      <c r="KY266"/>
      <c r="KZ266"/>
      <c r="LA266"/>
      <c r="LB266"/>
      <c r="LC266"/>
      <c r="LD266"/>
      <c r="LE266"/>
      <c r="LF266"/>
      <c r="LG266"/>
      <c r="LH266"/>
      <c r="LI266"/>
      <c r="LJ266"/>
      <c r="LK266"/>
      <c r="LL266"/>
      <c r="LM266"/>
      <c r="LN266"/>
      <c r="LO266"/>
      <c r="LP266"/>
      <c r="LQ266"/>
      <c r="LR266"/>
      <c r="LS266"/>
      <c r="LT266"/>
      <c r="LU266"/>
      <c r="LV266"/>
      <c r="LW266"/>
      <c r="LX266"/>
      <c r="LY266"/>
      <c r="LZ266"/>
    </row>
    <row r="267" spans="1:338" ht="17" x14ac:dyDescent="0.2">
      <c r="A267" s="199" t="str">
        <f>IFERROR(IF($A266+1&gt;'(backend scoring)'!$T$335,"",$A266+1),"")</f>
        <v/>
      </c>
      <c r="B267" s="199" t="str">
        <f>_xlfn.XLOOKUP($A267,'(backend scoring)'!$V$2:$V$333,'(backend scoring)'!$A$2:$A$333,"")</f>
        <v/>
      </c>
      <c r="C267" s="199" t="str">
        <f>IFERROR(VLOOKUP($B267,'Institution Evaluation'!$A$55:$F$345,2,0),IFERROR(VLOOKUP($B267,'Privacy Analyst Evaluation'!$A$46:$F$120,2,0),""))&amp;""</f>
        <v/>
      </c>
      <c r="D267" s="199" t="str">
        <f>IFERROR(VLOOKUP($B267,'Institution Evaluation'!$A$55:$F$345,3,0),IFERROR(VLOOKUP($B267,'Privacy Analyst Evaluation'!$A$46:$F$120,3,0),""))&amp;""</f>
        <v/>
      </c>
      <c r="E267" s="199" t="str">
        <f>IFERROR(VLOOKUP($B267,'Institution Evaluation'!$A$55:$F$345,4,0),IFERROR(VLOOKUP($B267,'Privacy Analyst Evaluation'!$A$46:$F$120,4,0),""))&amp;""</f>
        <v/>
      </c>
      <c r="F267" s="199" t="str">
        <f>IFERROR(VLOOKUP($B267,'Institution Evaluation'!$A$55:$F$345,6,0),IFERROR(VLOOKUP($B267,'Privacy Analyst Evaluation'!$A$46:$F$120,6,0),""))&amp;""</f>
        <v/>
      </c>
      <c r="G267" s="200"/>
      <c r="H267" s="199" t="str">
        <f>IFERROR(IF($H266+1&gt;'(backend scoring)'!$Q$335,"",$H266+1),"")</f>
        <v/>
      </c>
      <c r="I267" s="199" t="str">
        <f>_xlfn.XLOOKUP($H267,'(backend scoring)'!$S$2:$S$333,'(backend scoring)'!$A$2:$A$333,"")</f>
        <v/>
      </c>
      <c r="J267" s="199" t="str">
        <f>IFERROR(VLOOKUP($I267,'Institution Evaluation'!$A$55:$F$345,2,0),IFERROR(VLOOKUP($I267,'Privacy Analyst Evaluation'!$A$46:$F$120,2,0),""))</f>
        <v/>
      </c>
      <c r="K267" s="199" t="str">
        <f>IFERROR(VLOOKUP($I267,'Institution Evaluation'!$A$55:$F$345,3,0),IFERROR(VLOOKUP($I267,'Privacy Analyst Evaluation'!$A$46:$F$120,3,0),""))&amp;""</f>
        <v/>
      </c>
      <c r="L267" s="199" t="str">
        <f>IFERROR(VLOOKUP($I267,'Institution Evaluation'!$A$55:$F$345,4,0),IFERROR(VLOOKUP($I267,'Privacy Analyst Evaluation'!$A$46:$F$120,4,0),""))&amp;""</f>
        <v/>
      </c>
      <c r="M267" s="199" t="str">
        <f>IFERROR(VLOOKUP($I267,'Institution Evaluation'!$A$55:$F$345,6,0),IFERROR(VLOOKUP($I267,'Privacy Analyst Evaluation'!$A$46:$F$120,6,0),""))&amp;""</f>
        <v/>
      </c>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c r="IV267"/>
      <c r="IW267"/>
      <c r="IX267"/>
      <c r="IY267"/>
      <c r="IZ267"/>
      <c r="JA267"/>
      <c r="JB267"/>
      <c r="JC267"/>
      <c r="JD267"/>
      <c r="JE267"/>
      <c r="JF267"/>
      <c r="JG267"/>
      <c r="JH267"/>
      <c r="JI267"/>
      <c r="JJ267"/>
      <c r="JK267"/>
      <c r="JL267"/>
      <c r="JM267"/>
      <c r="JN267"/>
      <c r="JO267"/>
      <c r="JP267"/>
      <c r="JQ267"/>
      <c r="JR267"/>
      <c r="JS267"/>
      <c r="JT267"/>
      <c r="JU267"/>
      <c r="JV267"/>
      <c r="JW267"/>
      <c r="JX267"/>
      <c r="JY267"/>
      <c r="JZ267"/>
      <c r="KA267"/>
      <c r="KB267"/>
      <c r="KC267"/>
      <c r="KD267"/>
      <c r="KE267"/>
      <c r="KF267"/>
      <c r="KG267"/>
      <c r="KH267"/>
      <c r="KI267"/>
      <c r="KJ267"/>
      <c r="KK267"/>
      <c r="KL267"/>
      <c r="KM267"/>
      <c r="KN267"/>
      <c r="KO267"/>
      <c r="KP267"/>
      <c r="KQ267"/>
      <c r="KR267"/>
      <c r="KS267"/>
      <c r="KT267"/>
      <c r="KU267"/>
      <c r="KV267"/>
      <c r="KW267"/>
      <c r="KX267"/>
      <c r="KY267"/>
      <c r="KZ267"/>
      <c r="LA267"/>
      <c r="LB267"/>
      <c r="LC267"/>
      <c r="LD267"/>
      <c r="LE267"/>
      <c r="LF267"/>
      <c r="LG267"/>
      <c r="LH267"/>
      <c r="LI267"/>
      <c r="LJ267"/>
      <c r="LK267"/>
      <c r="LL267"/>
      <c r="LM267"/>
      <c r="LN267"/>
      <c r="LO267"/>
      <c r="LP267"/>
      <c r="LQ267"/>
      <c r="LR267"/>
      <c r="LS267"/>
      <c r="LT267"/>
      <c r="LU267"/>
      <c r="LV267"/>
      <c r="LW267"/>
      <c r="LX267"/>
      <c r="LY267"/>
      <c r="LZ267"/>
    </row>
    <row r="268" spans="1:338" ht="17" x14ac:dyDescent="0.2">
      <c r="A268" s="199" t="str">
        <f>IFERROR(IF($A267+1&gt;'(backend scoring)'!$T$335,"",$A267+1),"")</f>
        <v/>
      </c>
      <c r="B268" s="199" t="str">
        <f>_xlfn.XLOOKUP($A268,'(backend scoring)'!$V$2:$V$333,'(backend scoring)'!$A$2:$A$333,"")</f>
        <v/>
      </c>
      <c r="C268" s="199" t="str">
        <f>IFERROR(VLOOKUP($B268,'Institution Evaluation'!$A$55:$F$345,2,0),IFERROR(VLOOKUP($B268,'Privacy Analyst Evaluation'!$A$46:$F$120,2,0),""))&amp;""</f>
        <v/>
      </c>
      <c r="D268" s="199" t="str">
        <f>IFERROR(VLOOKUP($B268,'Institution Evaluation'!$A$55:$F$345,3,0),IFERROR(VLOOKUP($B268,'Privacy Analyst Evaluation'!$A$46:$F$120,3,0),""))&amp;""</f>
        <v/>
      </c>
      <c r="E268" s="199" t="str">
        <f>IFERROR(VLOOKUP($B268,'Institution Evaluation'!$A$55:$F$345,4,0),IFERROR(VLOOKUP($B268,'Privacy Analyst Evaluation'!$A$46:$F$120,4,0),""))&amp;""</f>
        <v/>
      </c>
      <c r="F268" s="199" t="str">
        <f>IFERROR(VLOOKUP($B268,'Institution Evaluation'!$A$55:$F$345,6,0),IFERROR(VLOOKUP($B268,'Privacy Analyst Evaluation'!$A$46:$F$120,6,0),""))&amp;""</f>
        <v/>
      </c>
      <c r="G268" s="200"/>
      <c r="H268" s="199" t="str">
        <f>IFERROR(IF($H267+1&gt;'(backend scoring)'!$Q$335,"",$H267+1),"")</f>
        <v/>
      </c>
      <c r="I268" s="199" t="str">
        <f>_xlfn.XLOOKUP($H268,'(backend scoring)'!$S$2:$S$333,'(backend scoring)'!$A$2:$A$333,"")</f>
        <v/>
      </c>
      <c r="J268" s="199" t="str">
        <f>IFERROR(VLOOKUP($I268,'Institution Evaluation'!$A$55:$F$345,2,0),IFERROR(VLOOKUP($I268,'Privacy Analyst Evaluation'!$A$46:$F$120,2,0),""))</f>
        <v/>
      </c>
      <c r="K268" s="199" t="str">
        <f>IFERROR(VLOOKUP($I268,'Institution Evaluation'!$A$55:$F$345,3,0),IFERROR(VLOOKUP($I268,'Privacy Analyst Evaluation'!$A$46:$F$120,3,0),""))&amp;""</f>
        <v/>
      </c>
      <c r="L268" s="199" t="str">
        <f>IFERROR(VLOOKUP($I268,'Institution Evaluation'!$A$55:$F$345,4,0),IFERROR(VLOOKUP($I268,'Privacy Analyst Evaluation'!$A$46:$F$120,4,0),""))&amp;""</f>
        <v/>
      </c>
      <c r="M268" s="199" t="str">
        <f>IFERROR(VLOOKUP($I268,'Institution Evaluation'!$A$55:$F$345,6,0),IFERROR(VLOOKUP($I268,'Privacy Analyst Evaluation'!$A$46:$F$120,6,0),""))&amp;""</f>
        <v/>
      </c>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c r="GU268"/>
      <c r="GV268"/>
      <c r="GW268"/>
      <c r="GX268"/>
      <c r="GY268"/>
      <c r="GZ268"/>
      <c r="HA268"/>
      <c r="HB268"/>
      <c r="HC268"/>
      <c r="HD268"/>
      <c r="HE268"/>
      <c r="HF268"/>
      <c r="HG268"/>
      <c r="HH268"/>
      <c r="HI268"/>
      <c r="HJ268"/>
      <c r="HK268"/>
      <c r="HL268"/>
      <c r="HM268"/>
      <c r="HN268"/>
      <c r="HO268"/>
      <c r="HP268"/>
      <c r="HQ268"/>
      <c r="HR268"/>
      <c r="HS268"/>
      <c r="HT268"/>
      <c r="HU268"/>
      <c r="HV268"/>
      <c r="HW268"/>
      <c r="HX268"/>
      <c r="HY268"/>
      <c r="HZ268"/>
      <c r="IA268"/>
      <c r="IB268"/>
      <c r="IC268"/>
      <c r="ID268"/>
      <c r="IE268"/>
      <c r="IF268"/>
      <c r="IG268"/>
      <c r="IH268"/>
      <c r="II268"/>
      <c r="IJ268"/>
      <c r="IK268"/>
      <c r="IL268"/>
      <c r="IM268"/>
      <c r="IN268"/>
      <c r="IO268"/>
      <c r="IP268"/>
      <c r="IQ268"/>
      <c r="IR268"/>
      <c r="IS268"/>
      <c r="IT268"/>
      <c r="IU268"/>
      <c r="IV268"/>
      <c r="IW268"/>
      <c r="IX268"/>
      <c r="IY268"/>
      <c r="IZ268"/>
      <c r="JA268"/>
      <c r="JB268"/>
      <c r="JC268"/>
      <c r="JD268"/>
      <c r="JE268"/>
      <c r="JF268"/>
      <c r="JG268"/>
      <c r="JH268"/>
      <c r="JI268"/>
      <c r="JJ268"/>
      <c r="JK268"/>
      <c r="JL268"/>
      <c r="JM268"/>
      <c r="JN268"/>
      <c r="JO268"/>
      <c r="JP268"/>
      <c r="JQ268"/>
      <c r="JR268"/>
      <c r="JS268"/>
      <c r="JT268"/>
      <c r="JU268"/>
      <c r="JV268"/>
      <c r="JW268"/>
      <c r="JX268"/>
      <c r="JY268"/>
      <c r="JZ268"/>
      <c r="KA268"/>
      <c r="KB268"/>
      <c r="KC268"/>
      <c r="KD268"/>
      <c r="KE268"/>
      <c r="KF268"/>
      <c r="KG268"/>
      <c r="KH268"/>
      <c r="KI268"/>
      <c r="KJ268"/>
      <c r="KK268"/>
      <c r="KL268"/>
      <c r="KM268"/>
      <c r="KN268"/>
      <c r="KO268"/>
      <c r="KP268"/>
      <c r="KQ268"/>
      <c r="KR268"/>
      <c r="KS268"/>
      <c r="KT268"/>
      <c r="KU268"/>
      <c r="KV268"/>
      <c r="KW268"/>
      <c r="KX268"/>
      <c r="KY268"/>
      <c r="KZ268"/>
      <c r="LA268"/>
      <c r="LB268"/>
      <c r="LC268"/>
      <c r="LD268"/>
      <c r="LE268"/>
      <c r="LF268"/>
      <c r="LG268"/>
      <c r="LH268"/>
      <c r="LI268"/>
      <c r="LJ268"/>
      <c r="LK268"/>
      <c r="LL268"/>
      <c r="LM268"/>
      <c r="LN268"/>
      <c r="LO268"/>
      <c r="LP268"/>
      <c r="LQ268"/>
      <c r="LR268"/>
      <c r="LS268"/>
      <c r="LT268"/>
      <c r="LU268"/>
      <c r="LV268"/>
      <c r="LW268"/>
      <c r="LX268"/>
      <c r="LY268"/>
      <c r="LZ268"/>
    </row>
    <row r="269" spans="1:338" ht="17" x14ac:dyDescent="0.2">
      <c r="A269" s="199" t="str">
        <f>IFERROR(IF($A268+1&gt;'(backend scoring)'!$T$335,"",$A268+1),"")</f>
        <v/>
      </c>
      <c r="B269" s="199" t="str">
        <f>_xlfn.XLOOKUP($A269,'(backend scoring)'!$V$2:$V$333,'(backend scoring)'!$A$2:$A$333,"")</f>
        <v/>
      </c>
      <c r="C269" s="199" t="str">
        <f>IFERROR(VLOOKUP($B269,'Institution Evaluation'!$A$55:$F$345,2,0),IFERROR(VLOOKUP($B269,'Privacy Analyst Evaluation'!$A$46:$F$120,2,0),""))&amp;""</f>
        <v/>
      </c>
      <c r="D269" s="199" t="str">
        <f>IFERROR(VLOOKUP($B269,'Institution Evaluation'!$A$55:$F$345,3,0),IFERROR(VLOOKUP($B269,'Privacy Analyst Evaluation'!$A$46:$F$120,3,0),""))&amp;""</f>
        <v/>
      </c>
      <c r="E269" s="199" t="str">
        <f>IFERROR(VLOOKUP($B269,'Institution Evaluation'!$A$55:$F$345,4,0),IFERROR(VLOOKUP($B269,'Privacy Analyst Evaluation'!$A$46:$F$120,4,0),""))&amp;""</f>
        <v/>
      </c>
      <c r="F269" s="199" t="str">
        <f>IFERROR(VLOOKUP($B269,'Institution Evaluation'!$A$55:$F$345,6,0),IFERROR(VLOOKUP($B269,'Privacy Analyst Evaluation'!$A$46:$F$120,6,0),""))&amp;""</f>
        <v/>
      </c>
      <c r="G269" s="200"/>
      <c r="H269" s="199" t="str">
        <f>IFERROR(IF($H268+1&gt;'(backend scoring)'!$Q$335,"",$H268+1),"")</f>
        <v/>
      </c>
      <c r="I269" s="199" t="str">
        <f>_xlfn.XLOOKUP($H269,'(backend scoring)'!$S$2:$S$333,'(backend scoring)'!$A$2:$A$333,"")</f>
        <v/>
      </c>
      <c r="J269" s="199" t="str">
        <f>IFERROR(VLOOKUP($I269,'Institution Evaluation'!$A$55:$F$345,2,0),IFERROR(VLOOKUP($I269,'Privacy Analyst Evaluation'!$A$46:$F$120,2,0),""))</f>
        <v/>
      </c>
      <c r="K269" s="199" t="str">
        <f>IFERROR(VLOOKUP($I269,'Institution Evaluation'!$A$55:$F$345,3,0),IFERROR(VLOOKUP($I269,'Privacy Analyst Evaluation'!$A$46:$F$120,3,0),""))&amp;""</f>
        <v/>
      </c>
      <c r="L269" s="199" t="str">
        <f>IFERROR(VLOOKUP($I269,'Institution Evaluation'!$A$55:$F$345,4,0),IFERROR(VLOOKUP($I269,'Privacy Analyst Evaluation'!$A$46:$F$120,4,0),""))&amp;""</f>
        <v/>
      </c>
      <c r="M269" s="199" t="str">
        <f>IFERROR(VLOOKUP($I269,'Institution Evaluation'!$A$55:$F$345,6,0),IFERROR(VLOOKUP($I269,'Privacy Analyst Evaluation'!$A$46:$F$120,6,0),""))&amp;""</f>
        <v/>
      </c>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row>
    <row r="270" spans="1:338" ht="17" x14ac:dyDescent="0.2">
      <c r="A270" s="199" t="str">
        <f>IFERROR(IF($A269+1&gt;'(backend scoring)'!$T$335,"",$A269+1),"")</f>
        <v/>
      </c>
      <c r="B270" s="199" t="str">
        <f>_xlfn.XLOOKUP($A270,'(backend scoring)'!$V$2:$V$333,'(backend scoring)'!$A$2:$A$333,"")</f>
        <v/>
      </c>
      <c r="C270" s="199" t="str">
        <f>IFERROR(VLOOKUP($B270,'Institution Evaluation'!$A$55:$F$345,2,0),IFERROR(VLOOKUP($B270,'Privacy Analyst Evaluation'!$A$46:$F$120,2,0),""))&amp;""</f>
        <v/>
      </c>
      <c r="D270" s="199" t="str">
        <f>IFERROR(VLOOKUP($B270,'Institution Evaluation'!$A$55:$F$345,3,0),IFERROR(VLOOKUP($B270,'Privacy Analyst Evaluation'!$A$46:$F$120,3,0),""))&amp;""</f>
        <v/>
      </c>
      <c r="E270" s="199" t="str">
        <f>IFERROR(VLOOKUP($B270,'Institution Evaluation'!$A$55:$F$345,4,0),IFERROR(VLOOKUP($B270,'Privacy Analyst Evaluation'!$A$46:$F$120,4,0),""))&amp;""</f>
        <v/>
      </c>
      <c r="F270" s="199" t="str">
        <f>IFERROR(VLOOKUP($B270,'Institution Evaluation'!$A$55:$F$345,6,0),IFERROR(VLOOKUP($B270,'Privacy Analyst Evaluation'!$A$46:$F$120,6,0),""))&amp;""</f>
        <v/>
      </c>
      <c r="G270" s="200"/>
      <c r="H270" s="199" t="str">
        <f>IFERROR(IF($H269+1&gt;'(backend scoring)'!$Q$335,"",$H269+1),"")</f>
        <v/>
      </c>
      <c r="I270" s="199" t="str">
        <f>_xlfn.XLOOKUP($H270,'(backend scoring)'!$S$2:$S$333,'(backend scoring)'!$A$2:$A$333,"")</f>
        <v/>
      </c>
      <c r="J270" s="199" t="str">
        <f>IFERROR(VLOOKUP($I270,'Institution Evaluation'!$A$55:$F$345,2,0),IFERROR(VLOOKUP($I270,'Privacy Analyst Evaluation'!$A$46:$F$120,2,0),""))</f>
        <v/>
      </c>
      <c r="K270" s="199" t="str">
        <f>IFERROR(VLOOKUP($I270,'Institution Evaluation'!$A$55:$F$345,3,0),IFERROR(VLOOKUP($I270,'Privacy Analyst Evaluation'!$A$46:$F$120,3,0),""))&amp;""</f>
        <v/>
      </c>
      <c r="L270" s="199" t="str">
        <f>IFERROR(VLOOKUP($I270,'Institution Evaluation'!$A$55:$F$345,4,0),IFERROR(VLOOKUP($I270,'Privacy Analyst Evaluation'!$A$46:$F$120,4,0),""))&amp;""</f>
        <v/>
      </c>
      <c r="M270" s="199" t="str">
        <f>IFERROR(VLOOKUP($I270,'Institution Evaluation'!$A$55:$F$345,6,0),IFERROR(VLOOKUP($I270,'Privacy Analyst Evaluation'!$A$46:$F$120,6,0),""))&amp;""</f>
        <v/>
      </c>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c r="IW270"/>
      <c r="IX270"/>
      <c r="IY270"/>
      <c r="IZ270"/>
      <c r="JA270"/>
      <c r="JB270"/>
      <c r="JC270"/>
      <c r="JD270"/>
      <c r="JE270"/>
      <c r="JF270"/>
      <c r="JG270"/>
      <c r="JH270"/>
      <c r="JI270"/>
      <c r="JJ270"/>
      <c r="JK270"/>
      <c r="JL270"/>
      <c r="JM270"/>
      <c r="JN270"/>
      <c r="JO270"/>
      <c r="JP270"/>
      <c r="JQ270"/>
      <c r="JR270"/>
      <c r="JS270"/>
      <c r="JT270"/>
      <c r="JU270"/>
      <c r="JV270"/>
      <c r="JW270"/>
      <c r="JX270"/>
      <c r="JY270"/>
      <c r="JZ270"/>
      <c r="KA270"/>
      <c r="KB270"/>
      <c r="KC270"/>
      <c r="KD270"/>
      <c r="KE270"/>
      <c r="KF270"/>
      <c r="KG270"/>
      <c r="KH270"/>
      <c r="KI270"/>
      <c r="KJ270"/>
      <c r="KK270"/>
      <c r="KL270"/>
      <c r="KM270"/>
      <c r="KN270"/>
      <c r="KO270"/>
      <c r="KP270"/>
      <c r="KQ270"/>
      <c r="KR270"/>
      <c r="KS270"/>
      <c r="KT270"/>
      <c r="KU270"/>
      <c r="KV270"/>
      <c r="KW270"/>
      <c r="KX270"/>
      <c r="KY270"/>
      <c r="KZ270"/>
      <c r="LA270"/>
      <c r="LB270"/>
      <c r="LC270"/>
      <c r="LD270"/>
      <c r="LE270"/>
      <c r="LF270"/>
      <c r="LG270"/>
      <c r="LH270"/>
      <c r="LI270"/>
      <c r="LJ270"/>
      <c r="LK270"/>
      <c r="LL270"/>
      <c r="LM270"/>
      <c r="LN270"/>
      <c r="LO270"/>
      <c r="LP270"/>
      <c r="LQ270"/>
      <c r="LR270"/>
      <c r="LS270"/>
      <c r="LT270"/>
      <c r="LU270"/>
      <c r="LV270"/>
      <c r="LW270"/>
      <c r="LX270"/>
      <c r="LY270"/>
      <c r="LZ270"/>
    </row>
    <row r="271" spans="1:338" ht="17" x14ac:dyDescent="0.2">
      <c r="A271" s="199" t="str">
        <f>IFERROR(IF($A270+1&gt;'(backend scoring)'!$T$335,"",$A270+1),"")</f>
        <v/>
      </c>
      <c r="B271" s="199" t="str">
        <f>_xlfn.XLOOKUP($A271,'(backend scoring)'!$V$2:$V$333,'(backend scoring)'!$A$2:$A$333,"")</f>
        <v/>
      </c>
      <c r="C271" s="199" t="str">
        <f>IFERROR(VLOOKUP($B271,'Institution Evaluation'!$A$55:$F$345,2,0),IFERROR(VLOOKUP($B271,'Privacy Analyst Evaluation'!$A$46:$F$120,2,0),""))&amp;""</f>
        <v/>
      </c>
      <c r="D271" s="199" t="str">
        <f>IFERROR(VLOOKUP($B271,'Institution Evaluation'!$A$55:$F$345,3,0),IFERROR(VLOOKUP($B271,'Privacy Analyst Evaluation'!$A$46:$F$120,3,0),""))&amp;""</f>
        <v/>
      </c>
      <c r="E271" s="199" t="str">
        <f>IFERROR(VLOOKUP($B271,'Institution Evaluation'!$A$55:$F$345,4,0),IFERROR(VLOOKUP($B271,'Privacy Analyst Evaluation'!$A$46:$F$120,4,0),""))&amp;""</f>
        <v/>
      </c>
      <c r="F271" s="199" t="str">
        <f>IFERROR(VLOOKUP($B271,'Institution Evaluation'!$A$55:$F$345,6,0),IFERROR(VLOOKUP($B271,'Privacy Analyst Evaluation'!$A$46:$F$120,6,0),""))&amp;""</f>
        <v/>
      </c>
      <c r="G271" s="200"/>
      <c r="H271" s="199" t="str">
        <f>IFERROR(IF($H270+1&gt;'(backend scoring)'!$Q$335,"",$H270+1),"")</f>
        <v/>
      </c>
      <c r="I271" s="199" t="str">
        <f>_xlfn.XLOOKUP($H271,'(backend scoring)'!$S$2:$S$333,'(backend scoring)'!$A$2:$A$333,"")</f>
        <v/>
      </c>
      <c r="J271" s="199" t="str">
        <f>IFERROR(VLOOKUP($I271,'Institution Evaluation'!$A$55:$F$345,2,0),IFERROR(VLOOKUP($I271,'Privacy Analyst Evaluation'!$A$46:$F$120,2,0),""))</f>
        <v/>
      </c>
      <c r="K271" s="199" t="str">
        <f>IFERROR(VLOOKUP($I271,'Institution Evaluation'!$A$55:$F$345,3,0),IFERROR(VLOOKUP($I271,'Privacy Analyst Evaluation'!$A$46:$F$120,3,0),""))&amp;""</f>
        <v/>
      </c>
      <c r="L271" s="199" t="str">
        <f>IFERROR(VLOOKUP($I271,'Institution Evaluation'!$A$55:$F$345,4,0),IFERROR(VLOOKUP($I271,'Privacy Analyst Evaluation'!$A$46:$F$120,4,0),""))&amp;""</f>
        <v/>
      </c>
      <c r="M271" s="199" t="str">
        <f>IFERROR(VLOOKUP($I271,'Institution Evaluation'!$A$55:$F$345,6,0),IFERROR(VLOOKUP($I271,'Privacy Analyst Evaluation'!$A$46:$F$120,6,0),""))&amp;""</f>
        <v/>
      </c>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c r="IW271"/>
      <c r="IX271"/>
      <c r="IY271"/>
      <c r="IZ271"/>
      <c r="JA271"/>
      <c r="JB271"/>
      <c r="JC271"/>
      <c r="JD271"/>
      <c r="JE271"/>
      <c r="JF271"/>
      <c r="JG271"/>
      <c r="JH271"/>
      <c r="JI271"/>
      <c r="JJ271"/>
      <c r="JK271"/>
      <c r="JL271"/>
      <c r="JM271"/>
      <c r="JN271"/>
      <c r="JO271"/>
      <c r="JP271"/>
      <c r="JQ271"/>
      <c r="JR271"/>
      <c r="JS271"/>
      <c r="JT271"/>
      <c r="JU271"/>
      <c r="JV271"/>
      <c r="JW271"/>
      <c r="JX271"/>
      <c r="JY271"/>
      <c r="JZ271"/>
      <c r="KA271"/>
      <c r="KB271"/>
      <c r="KC271"/>
      <c r="KD271"/>
      <c r="KE271"/>
      <c r="KF271"/>
      <c r="KG271"/>
      <c r="KH271"/>
      <c r="KI271"/>
      <c r="KJ271"/>
      <c r="KK271"/>
      <c r="KL271"/>
      <c r="KM271"/>
      <c r="KN271"/>
      <c r="KO271"/>
      <c r="KP271"/>
      <c r="KQ271"/>
      <c r="KR271"/>
      <c r="KS271"/>
      <c r="KT271"/>
      <c r="KU271"/>
      <c r="KV271"/>
      <c r="KW271"/>
      <c r="KX271"/>
      <c r="KY271"/>
      <c r="KZ271"/>
      <c r="LA271"/>
      <c r="LB271"/>
      <c r="LC271"/>
      <c r="LD271"/>
      <c r="LE271"/>
      <c r="LF271"/>
      <c r="LG271"/>
      <c r="LH271"/>
      <c r="LI271"/>
      <c r="LJ271"/>
      <c r="LK271"/>
      <c r="LL271"/>
      <c r="LM271"/>
      <c r="LN271"/>
      <c r="LO271"/>
      <c r="LP271"/>
      <c r="LQ271"/>
      <c r="LR271"/>
      <c r="LS271"/>
      <c r="LT271"/>
      <c r="LU271"/>
      <c r="LV271"/>
      <c r="LW271"/>
      <c r="LX271"/>
      <c r="LY271"/>
      <c r="LZ271"/>
    </row>
    <row r="272" spans="1:338" ht="17" x14ac:dyDescent="0.2">
      <c r="A272" s="199" t="str">
        <f>IFERROR(IF($A271+1&gt;'(backend scoring)'!$T$335,"",$A271+1),"")</f>
        <v/>
      </c>
      <c r="B272" s="199" t="str">
        <f>_xlfn.XLOOKUP($A272,'(backend scoring)'!$V$2:$V$333,'(backend scoring)'!$A$2:$A$333,"")</f>
        <v/>
      </c>
      <c r="C272" s="199" t="str">
        <f>IFERROR(VLOOKUP($B272,'Institution Evaluation'!$A$55:$F$345,2,0),IFERROR(VLOOKUP($B272,'Privacy Analyst Evaluation'!$A$46:$F$120,2,0),""))&amp;""</f>
        <v/>
      </c>
      <c r="D272" s="199" t="str">
        <f>IFERROR(VLOOKUP($B272,'Institution Evaluation'!$A$55:$F$345,3,0),IFERROR(VLOOKUP($B272,'Privacy Analyst Evaluation'!$A$46:$F$120,3,0),""))&amp;""</f>
        <v/>
      </c>
      <c r="E272" s="199" t="str">
        <f>IFERROR(VLOOKUP($B272,'Institution Evaluation'!$A$55:$F$345,4,0),IFERROR(VLOOKUP($B272,'Privacy Analyst Evaluation'!$A$46:$F$120,4,0),""))&amp;""</f>
        <v/>
      </c>
      <c r="F272" s="199" t="str">
        <f>IFERROR(VLOOKUP($B272,'Institution Evaluation'!$A$55:$F$345,6,0),IFERROR(VLOOKUP($B272,'Privacy Analyst Evaluation'!$A$46:$F$120,6,0),""))&amp;""</f>
        <v/>
      </c>
      <c r="G272" s="200"/>
      <c r="H272" s="199" t="str">
        <f>IFERROR(IF($H271+1&gt;'(backend scoring)'!$Q$335,"",$H271+1),"")</f>
        <v/>
      </c>
      <c r="I272" s="199" t="str">
        <f>_xlfn.XLOOKUP($H272,'(backend scoring)'!$S$2:$S$333,'(backend scoring)'!$A$2:$A$333,"")</f>
        <v/>
      </c>
      <c r="J272" s="199" t="str">
        <f>IFERROR(VLOOKUP($I272,'Institution Evaluation'!$A$55:$F$345,2,0),IFERROR(VLOOKUP($I272,'Privacy Analyst Evaluation'!$A$46:$F$120,2,0),""))</f>
        <v/>
      </c>
      <c r="K272" s="199" t="str">
        <f>IFERROR(VLOOKUP($I272,'Institution Evaluation'!$A$55:$F$345,3,0),IFERROR(VLOOKUP($I272,'Privacy Analyst Evaluation'!$A$46:$F$120,3,0),""))&amp;""</f>
        <v/>
      </c>
      <c r="L272" s="199" t="str">
        <f>IFERROR(VLOOKUP($I272,'Institution Evaluation'!$A$55:$F$345,4,0),IFERROR(VLOOKUP($I272,'Privacy Analyst Evaluation'!$A$46:$F$120,4,0),""))&amp;""</f>
        <v/>
      </c>
      <c r="M272" s="199" t="str">
        <f>IFERROR(VLOOKUP($I272,'Institution Evaluation'!$A$55:$F$345,6,0),IFERROR(VLOOKUP($I272,'Privacy Analyst Evaluation'!$A$46:$F$120,6,0),""))&amp;""</f>
        <v/>
      </c>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c r="GU272"/>
      <c r="GV272"/>
      <c r="GW272"/>
      <c r="GX272"/>
      <c r="GY272"/>
      <c r="GZ272"/>
      <c r="HA272"/>
      <c r="HB272"/>
      <c r="HC272"/>
      <c r="HD272"/>
      <c r="HE272"/>
      <c r="HF272"/>
      <c r="HG272"/>
      <c r="HH272"/>
      <c r="HI272"/>
      <c r="HJ272"/>
      <c r="HK272"/>
      <c r="HL272"/>
      <c r="HM272"/>
      <c r="HN272"/>
      <c r="HO272"/>
      <c r="HP272"/>
      <c r="HQ272"/>
      <c r="HR272"/>
      <c r="HS272"/>
      <c r="HT272"/>
      <c r="HU272"/>
      <c r="HV272"/>
      <c r="HW272"/>
      <c r="HX272"/>
      <c r="HY272"/>
      <c r="HZ272"/>
      <c r="IA272"/>
      <c r="IB272"/>
      <c r="IC272"/>
      <c r="ID272"/>
      <c r="IE272"/>
      <c r="IF272"/>
      <c r="IG272"/>
      <c r="IH272"/>
      <c r="II272"/>
      <c r="IJ272"/>
      <c r="IK272"/>
      <c r="IL272"/>
      <c r="IM272"/>
      <c r="IN272"/>
      <c r="IO272"/>
      <c r="IP272"/>
      <c r="IQ272"/>
      <c r="IR272"/>
      <c r="IS272"/>
      <c r="IT272"/>
      <c r="IU272"/>
      <c r="IV272"/>
      <c r="IW272"/>
      <c r="IX272"/>
      <c r="IY272"/>
      <c r="IZ272"/>
      <c r="JA272"/>
      <c r="JB272"/>
      <c r="JC272"/>
      <c r="JD272"/>
      <c r="JE272"/>
      <c r="JF272"/>
      <c r="JG272"/>
      <c r="JH272"/>
      <c r="JI272"/>
      <c r="JJ272"/>
      <c r="JK272"/>
      <c r="JL272"/>
      <c r="JM272"/>
      <c r="JN272"/>
      <c r="JO272"/>
      <c r="JP272"/>
      <c r="JQ272"/>
      <c r="JR272"/>
      <c r="JS272"/>
      <c r="JT272"/>
      <c r="JU272"/>
      <c r="JV272"/>
      <c r="JW272"/>
      <c r="JX272"/>
      <c r="JY272"/>
      <c r="JZ272"/>
      <c r="KA272"/>
      <c r="KB272"/>
      <c r="KC272"/>
      <c r="KD272"/>
      <c r="KE272"/>
      <c r="KF272"/>
      <c r="KG272"/>
      <c r="KH272"/>
      <c r="KI272"/>
      <c r="KJ272"/>
      <c r="KK272"/>
      <c r="KL272"/>
      <c r="KM272"/>
      <c r="KN272"/>
      <c r="KO272"/>
      <c r="KP272"/>
      <c r="KQ272"/>
      <c r="KR272"/>
      <c r="KS272"/>
      <c r="KT272"/>
      <c r="KU272"/>
      <c r="KV272"/>
      <c r="KW272"/>
      <c r="KX272"/>
      <c r="KY272"/>
      <c r="KZ272"/>
      <c r="LA272"/>
      <c r="LB272"/>
      <c r="LC272"/>
      <c r="LD272"/>
      <c r="LE272"/>
      <c r="LF272"/>
      <c r="LG272"/>
      <c r="LH272"/>
      <c r="LI272"/>
      <c r="LJ272"/>
      <c r="LK272"/>
      <c r="LL272"/>
      <c r="LM272"/>
      <c r="LN272"/>
      <c r="LO272"/>
      <c r="LP272"/>
      <c r="LQ272"/>
      <c r="LR272"/>
      <c r="LS272"/>
      <c r="LT272"/>
      <c r="LU272"/>
      <c r="LV272"/>
      <c r="LW272"/>
      <c r="LX272"/>
      <c r="LY272"/>
      <c r="LZ272"/>
    </row>
    <row r="273" spans="1:338" ht="17" x14ac:dyDescent="0.2">
      <c r="A273" s="199" t="str">
        <f>IFERROR(IF($A272+1&gt;'(backend scoring)'!$T$335,"",$A272+1),"")</f>
        <v/>
      </c>
      <c r="B273" s="199" t="str">
        <f>_xlfn.XLOOKUP($A273,'(backend scoring)'!$V$2:$V$333,'(backend scoring)'!$A$2:$A$333,"")</f>
        <v/>
      </c>
      <c r="C273" s="199" t="str">
        <f>IFERROR(VLOOKUP($B273,'Institution Evaluation'!$A$55:$F$345,2,0),IFERROR(VLOOKUP($B273,'Privacy Analyst Evaluation'!$A$46:$F$120,2,0),""))&amp;""</f>
        <v/>
      </c>
      <c r="D273" s="199" t="str">
        <f>IFERROR(VLOOKUP($B273,'Institution Evaluation'!$A$55:$F$345,3,0),IFERROR(VLOOKUP($B273,'Privacy Analyst Evaluation'!$A$46:$F$120,3,0),""))&amp;""</f>
        <v/>
      </c>
      <c r="E273" s="199" t="str">
        <f>IFERROR(VLOOKUP($B273,'Institution Evaluation'!$A$55:$F$345,4,0),IFERROR(VLOOKUP($B273,'Privacy Analyst Evaluation'!$A$46:$F$120,4,0),""))&amp;""</f>
        <v/>
      </c>
      <c r="F273" s="199" t="str">
        <f>IFERROR(VLOOKUP($B273,'Institution Evaluation'!$A$55:$F$345,6,0),IFERROR(VLOOKUP($B273,'Privacy Analyst Evaluation'!$A$46:$F$120,6,0),""))&amp;""</f>
        <v/>
      </c>
      <c r="G273" s="200"/>
      <c r="H273" s="199" t="str">
        <f>IFERROR(IF($H272+1&gt;'(backend scoring)'!$Q$335,"",$H272+1),"")</f>
        <v/>
      </c>
      <c r="I273" s="199" t="str">
        <f>_xlfn.XLOOKUP($H273,'(backend scoring)'!$S$2:$S$333,'(backend scoring)'!$A$2:$A$333,"")</f>
        <v/>
      </c>
      <c r="J273" s="199" t="str">
        <f>IFERROR(VLOOKUP($I273,'Institution Evaluation'!$A$55:$F$345,2,0),IFERROR(VLOOKUP($I273,'Privacy Analyst Evaluation'!$A$46:$F$120,2,0),""))</f>
        <v/>
      </c>
      <c r="K273" s="199" t="str">
        <f>IFERROR(VLOOKUP($I273,'Institution Evaluation'!$A$55:$F$345,3,0),IFERROR(VLOOKUP($I273,'Privacy Analyst Evaluation'!$A$46:$F$120,3,0),""))&amp;""</f>
        <v/>
      </c>
      <c r="L273" s="199" t="str">
        <f>IFERROR(VLOOKUP($I273,'Institution Evaluation'!$A$55:$F$345,4,0),IFERROR(VLOOKUP($I273,'Privacy Analyst Evaluation'!$A$46:$F$120,4,0),""))&amp;""</f>
        <v/>
      </c>
      <c r="M273" s="199" t="str">
        <f>IFERROR(VLOOKUP($I273,'Institution Evaluation'!$A$55:$F$345,6,0),IFERROR(VLOOKUP($I273,'Privacy Analyst Evaluation'!$A$46:$F$120,6,0),""))&amp;""</f>
        <v/>
      </c>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c r="GU273"/>
      <c r="GV273"/>
      <c r="GW273"/>
      <c r="GX273"/>
      <c r="GY273"/>
      <c r="GZ273"/>
      <c r="HA273"/>
      <c r="HB273"/>
      <c r="HC273"/>
      <c r="HD273"/>
      <c r="HE273"/>
      <c r="HF273"/>
      <c r="HG273"/>
      <c r="HH273"/>
      <c r="HI273"/>
      <c r="HJ273"/>
      <c r="HK273"/>
      <c r="HL273"/>
      <c r="HM273"/>
      <c r="HN273"/>
      <c r="HO273"/>
      <c r="HP273"/>
      <c r="HQ273"/>
      <c r="HR273"/>
      <c r="HS273"/>
      <c r="HT273"/>
      <c r="HU273"/>
      <c r="HV273"/>
      <c r="HW273"/>
      <c r="HX273"/>
      <c r="HY273"/>
      <c r="HZ273"/>
      <c r="IA273"/>
      <c r="IB273"/>
      <c r="IC273"/>
      <c r="ID273"/>
      <c r="IE273"/>
      <c r="IF273"/>
      <c r="IG273"/>
      <c r="IH273"/>
      <c r="II273"/>
      <c r="IJ273"/>
      <c r="IK273"/>
      <c r="IL273"/>
      <c r="IM273"/>
      <c r="IN273"/>
      <c r="IO273"/>
      <c r="IP273"/>
      <c r="IQ273"/>
      <c r="IR273"/>
      <c r="IS273"/>
      <c r="IT273"/>
      <c r="IU273"/>
      <c r="IV273"/>
      <c r="IW273"/>
      <c r="IX273"/>
      <c r="IY273"/>
      <c r="IZ273"/>
      <c r="JA273"/>
      <c r="JB273"/>
      <c r="JC273"/>
      <c r="JD273"/>
      <c r="JE273"/>
      <c r="JF273"/>
      <c r="JG273"/>
      <c r="JH273"/>
      <c r="JI273"/>
      <c r="JJ273"/>
      <c r="JK273"/>
      <c r="JL273"/>
      <c r="JM273"/>
      <c r="JN273"/>
      <c r="JO273"/>
      <c r="JP273"/>
      <c r="JQ273"/>
      <c r="JR273"/>
      <c r="JS273"/>
      <c r="JT273"/>
      <c r="JU273"/>
      <c r="JV273"/>
      <c r="JW273"/>
      <c r="JX273"/>
      <c r="JY273"/>
      <c r="JZ273"/>
      <c r="KA273"/>
      <c r="KB273"/>
      <c r="KC273"/>
      <c r="KD273"/>
      <c r="KE273"/>
      <c r="KF273"/>
      <c r="KG273"/>
      <c r="KH273"/>
      <c r="KI273"/>
      <c r="KJ273"/>
      <c r="KK273"/>
      <c r="KL273"/>
      <c r="KM273"/>
      <c r="KN273"/>
      <c r="KO273"/>
      <c r="KP273"/>
      <c r="KQ273"/>
      <c r="KR273"/>
      <c r="KS273"/>
      <c r="KT273"/>
      <c r="KU273"/>
      <c r="KV273"/>
      <c r="KW273"/>
      <c r="KX273"/>
      <c r="KY273"/>
      <c r="KZ273"/>
      <c r="LA273"/>
      <c r="LB273"/>
      <c r="LC273"/>
      <c r="LD273"/>
      <c r="LE273"/>
      <c r="LF273"/>
      <c r="LG273"/>
      <c r="LH273"/>
      <c r="LI273"/>
      <c r="LJ273"/>
      <c r="LK273"/>
      <c r="LL273"/>
      <c r="LM273"/>
      <c r="LN273"/>
      <c r="LO273"/>
      <c r="LP273"/>
      <c r="LQ273"/>
      <c r="LR273"/>
      <c r="LS273"/>
      <c r="LT273"/>
      <c r="LU273"/>
      <c r="LV273"/>
      <c r="LW273"/>
      <c r="LX273"/>
      <c r="LY273"/>
      <c r="LZ273"/>
    </row>
    <row r="274" spans="1:338" ht="17" x14ac:dyDescent="0.2">
      <c r="A274" s="199" t="str">
        <f>IFERROR(IF($A273+1&gt;'(backend scoring)'!$T$335,"",$A273+1),"")</f>
        <v/>
      </c>
      <c r="B274" s="199" t="str">
        <f>_xlfn.XLOOKUP($A274,'(backend scoring)'!$V$2:$V$333,'(backend scoring)'!$A$2:$A$333,"")</f>
        <v/>
      </c>
      <c r="C274" s="199" t="str">
        <f>IFERROR(VLOOKUP($B274,'Institution Evaluation'!$A$55:$F$345,2,0),IFERROR(VLOOKUP($B274,'Privacy Analyst Evaluation'!$A$46:$F$120,2,0),""))&amp;""</f>
        <v/>
      </c>
      <c r="D274" s="199" t="str">
        <f>IFERROR(VLOOKUP($B274,'Institution Evaluation'!$A$55:$F$345,3,0),IFERROR(VLOOKUP($B274,'Privacy Analyst Evaluation'!$A$46:$F$120,3,0),""))&amp;""</f>
        <v/>
      </c>
      <c r="E274" s="199" t="str">
        <f>IFERROR(VLOOKUP($B274,'Institution Evaluation'!$A$55:$F$345,4,0),IFERROR(VLOOKUP($B274,'Privacy Analyst Evaluation'!$A$46:$F$120,4,0),""))&amp;""</f>
        <v/>
      </c>
      <c r="F274" s="199" t="str">
        <f>IFERROR(VLOOKUP($B274,'Institution Evaluation'!$A$55:$F$345,6,0),IFERROR(VLOOKUP($B274,'Privacy Analyst Evaluation'!$A$46:$F$120,6,0),""))&amp;""</f>
        <v/>
      </c>
      <c r="G274" s="200"/>
      <c r="H274" s="199" t="str">
        <f>IFERROR(IF($H273+1&gt;'(backend scoring)'!$Q$335,"",$H273+1),"")</f>
        <v/>
      </c>
      <c r="I274" s="199" t="str">
        <f>_xlfn.XLOOKUP($H274,'(backend scoring)'!$S$2:$S$333,'(backend scoring)'!$A$2:$A$333,"")</f>
        <v/>
      </c>
      <c r="J274" s="199" t="str">
        <f>IFERROR(VLOOKUP($I274,'Institution Evaluation'!$A$55:$F$345,2,0),IFERROR(VLOOKUP($I274,'Privacy Analyst Evaluation'!$A$46:$F$120,2,0),""))</f>
        <v/>
      </c>
      <c r="K274" s="199" t="str">
        <f>IFERROR(VLOOKUP($I274,'Institution Evaluation'!$A$55:$F$345,3,0),IFERROR(VLOOKUP($I274,'Privacy Analyst Evaluation'!$A$46:$F$120,3,0),""))&amp;""</f>
        <v/>
      </c>
      <c r="L274" s="199" t="str">
        <f>IFERROR(VLOOKUP($I274,'Institution Evaluation'!$A$55:$F$345,4,0),IFERROR(VLOOKUP($I274,'Privacy Analyst Evaluation'!$A$46:$F$120,4,0),""))&amp;""</f>
        <v/>
      </c>
      <c r="M274" s="199" t="str">
        <f>IFERROR(VLOOKUP($I274,'Institution Evaluation'!$A$55:$F$345,6,0),IFERROR(VLOOKUP($I274,'Privacy Analyst Evaluation'!$A$46:$F$120,6,0),""))&amp;""</f>
        <v/>
      </c>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row>
    <row r="275" spans="1:338" ht="17" x14ac:dyDescent="0.2">
      <c r="A275" s="199" t="str">
        <f>IFERROR(IF($A274+1&gt;'(backend scoring)'!$T$335,"",$A274+1),"")</f>
        <v/>
      </c>
      <c r="B275" s="199" t="str">
        <f>_xlfn.XLOOKUP($A275,'(backend scoring)'!$V$2:$V$333,'(backend scoring)'!$A$2:$A$333,"")</f>
        <v/>
      </c>
      <c r="C275" s="199" t="str">
        <f>IFERROR(VLOOKUP($B275,'Institution Evaluation'!$A$55:$F$345,2,0),IFERROR(VLOOKUP($B275,'Privacy Analyst Evaluation'!$A$46:$F$120,2,0),""))&amp;""</f>
        <v/>
      </c>
      <c r="D275" s="199" t="str">
        <f>IFERROR(VLOOKUP($B275,'Institution Evaluation'!$A$55:$F$345,3,0),IFERROR(VLOOKUP($B275,'Privacy Analyst Evaluation'!$A$46:$F$120,3,0),""))&amp;""</f>
        <v/>
      </c>
      <c r="E275" s="199" t="str">
        <f>IFERROR(VLOOKUP($B275,'Institution Evaluation'!$A$55:$F$345,4,0),IFERROR(VLOOKUP($B275,'Privacy Analyst Evaluation'!$A$46:$F$120,4,0),""))&amp;""</f>
        <v/>
      </c>
      <c r="F275" s="199" t="str">
        <f>IFERROR(VLOOKUP($B275,'Institution Evaluation'!$A$55:$F$345,6,0),IFERROR(VLOOKUP($B275,'Privacy Analyst Evaluation'!$A$46:$F$120,6,0),""))&amp;""</f>
        <v/>
      </c>
      <c r="G275" s="200"/>
      <c r="H275" s="199" t="str">
        <f>IFERROR(IF($H274+1&gt;'(backend scoring)'!$Q$335,"",$H274+1),"")</f>
        <v/>
      </c>
      <c r="I275" s="199" t="str">
        <f>_xlfn.XLOOKUP($H275,'(backend scoring)'!$S$2:$S$333,'(backend scoring)'!$A$2:$A$333,"")</f>
        <v/>
      </c>
      <c r="J275" s="199" t="str">
        <f>IFERROR(VLOOKUP($I275,'Institution Evaluation'!$A$55:$F$345,2,0),IFERROR(VLOOKUP($I275,'Privacy Analyst Evaluation'!$A$46:$F$120,2,0),""))</f>
        <v/>
      </c>
      <c r="K275" s="199" t="str">
        <f>IFERROR(VLOOKUP($I275,'Institution Evaluation'!$A$55:$F$345,3,0),IFERROR(VLOOKUP($I275,'Privacy Analyst Evaluation'!$A$46:$F$120,3,0),""))&amp;""</f>
        <v/>
      </c>
      <c r="L275" s="199" t="str">
        <f>IFERROR(VLOOKUP($I275,'Institution Evaluation'!$A$55:$F$345,4,0),IFERROR(VLOOKUP($I275,'Privacy Analyst Evaluation'!$A$46:$F$120,4,0),""))&amp;""</f>
        <v/>
      </c>
      <c r="M275" s="199" t="str">
        <f>IFERROR(VLOOKUP($I275,'Institution Evaluation'!$A$55:$F$345,6,0),IFERROR(VLOOKUP($I275,'Privacy Analyst Evaluation'!$A$46:$F$120,6,0),""))&amp;""</f>
        <v/>
      </c>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row>
    <row r="276" spans="1:338" ht="17" x14ac:dyDescent="0.2">
      <c r="A276" s="199" t="str">
        <f>IFERROR(IF($A275+1&gt;'(backend scoring)'!$T$335,"",$A275+1),"")</f>
        <v/>
      </c>
      <c r="B276" s="199" t="str">
        <f>_xlfn.XLOOKUP($A276,'(backend scoring)'!$V$2:$V$333,'(backend scoring)'!$A$2:$A$333,"")</f>
        <v/>
      </c>
      <c r="C276" s="199" t="str">
        <f>IFERROR(VLOOKUP($B276,'Institution Evaluation'!$A$55:$F$345,2,0),IFERROR(VLOOKUP($B276,'Privacy Analyst Evaluation'!$A$46:$F$120,2,0),""))&amp;""</f>
        <v/>
      </c>
      <c r="D276" s="199" t="str">
        <f>IFERROR(VLOOKUP($B276,'Institution Evaluation'!$A$55:$F$345,3,0),IFERROR(VLOOKUP($B276,'Privacy Analyst Evaluation'!$A$46:$F$120,3,0),""))&amp;""</f>
        <v/>
      </c>
      <c r="E276" s="199" t="str">
        <f>IFERROR(VLOOKUP($B276,'Institution Evaluation'!$A$55:$F$345,4,0),IFERROR(VLOOKUP($B276,'Privacy Analyst Evaluation'!$A$46:$F$120,4,0),""))&amp;""</f>
        <v/>
      </c>
      <c r="F276" s="199" t="str">
        <f>IFERROR(VLOOKUP($B276,'Institution Evaluation'!$A$55:$F$345,6,0),IFERROR(VLOOKUP($B276,'Privacy Analyst Evaluation'!$A$46:$F$120,6,0),""))&amp;""</f>
        <v/>
      </c>
      <c r="G276" s="200"/>
      <c r="H276" s="199" t="str">
        <f>IFERROR(IF($H275+1&gt;'(backend scoring)'!$Q$335,"",$H275+1),"")</f>
        <v/>
      </c>
      <c r="I276" s="199" t="str">
        <f>_xlfn.XLOOKUP($H276,'(backend scoring)'!$S$2:$S$333,'(backend scoring)'!$A$2:$A$333,"")</f>
        <v/>
      </c>
      <c r="J276" s="199" t="str">
        <f>IFERROR(VLOOKUP($I276,'Institution Evaluation'!$A$55:$F$345,2,0),IFERROR(VLOOKUP($I276,'Privacy Analyst Evaluation'!$A$46:$F$120,2,0),""))</f>
        <v/>
      </c>
      <c r="K276" s="199" t="str">
        <f>IFERROR(VLOOKUP($I276,'Institution Evaluation'!$A$55:$F$345,3,0),IFERROR(VLOOKUP($I276,'Privacy Analyst Evaluation'!$A$46:$F$120,3,0),""))&amp;""</f>
        <v/>
      </c>
      <c r="L276" s="199" t="str">
        <f>IFERROR(VLOOKUP($I276,'Institution Evaluation'!$A$55:$F$345,4,0),IFERROR(VLOOKUP($I276,'Privacy Analyst Evaluation'!$A$46:$F$120,4,0),""))&amp;""</f>
        <v/>
      </c>
      <c r="M276" s="199" t="str">
        <f>IFERROR(VLOOKUP($I276,'Institution Evaluation'!$A$55:$F$345,6,0),IFERROR(VLOOKUP($I276,'Privacy Analyst Evaluation'!$A$46:$F$120,6,0),""))&amp;""</f>
        <v/>
      </c>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row>
    <row r="277" spans="1:338" ht="17" x14ac:dyDescent="0.2">
      <c r="A277" s="199" t="str">
        <f>IFERROR(IF($A276+1&gt;'(backend scoring)'!$T$335,"",$A276+1),"")</f>
        <v/>
      </c>
      <c r="B277" s="199" t="str">
        <f>_xlfn.XLOOKUP($A277,'(backend scoring)'!$V$2:$V$333,'(backend scoring)'!$A$2:$A$333,"")</f>
        <v/>
      </c>
      <c r="C277" s="199" t="str">
        <f>IFERROR(VLOOKUP($B277,'Institution Evaluation'!$A$55:$F$345,2,0),IFERROR(VLOOKUP($B277,'Privacy Analyst Evaluation'!$A$46:$F$120,2,0),""))&amp;""</f>
        <v/>
      </c>
      <c r="D277" s="199" t="str">
        <f>IFERROR(VLOOKUP($B277,'Institution Evaluation'!$A$55:$F$345,3,0),IFERROR(VLOOKUP($B277,'Privacy Analyst Evaluation'!$A$46:$F$120,3,0),""))&amp;""</f>
        <v/>
      </c>
      <c r="E277" s="199" t="str">
        <f>IFERROR(VLOOKUP($B277,'Institution Evaluation'!$A$55:$F$345,4,0),IFERROR(VLOOKUP($B277,'Privacy Analyst Evaluation'!$A$46:$F$120,4,0),""))&amp;""</f>
        <v/>
      </c>
      <c r="F277" s="199" t="str">
        <f>IFERROR(VLOOKUP($B277,'Institution Evaluation'!$A$55:$F$345,6,0),IFERROR(VLOOKUP($B277,'Privacy Analyst Evaluation'!$A$46:$F$120,6,0),""))&amp;""</f>
        <v/>
      </c>
      <c r="G277" s="200"/>
      <c r="H277" s="199" t="str">
        <f>IFERROR(IF($H276+1&gt;'(backend scoring)'!$Q$335,"",$H276+1),"")</f>
        <v/>
      </c>
      <c r="I277" s="199" t="str">
        <f>_xlfn.XLOOKUP($H277,'(backend scoring)'!$S$2:$S$333,'(backend scoring)'!$A$2:$A$333,"")</f>
        <v/>
      </c>
      <c r="J277" s="199" t="str">
        <f>IFERROR(VLOOKUP($I277,'Institution Evaluation'!$A$55:$F$345,2,0),IFERROR(VLOOKUP($I277,'Privacy Analyst Evaluation'!$A$46:$F$120,2,0),""))</f>
        <v/>
      </c>
      <c r="K277" s="199" t="str">
        <f>IFERROR(VLOOKUP($I277,'Institution Evaluation'!$A$55:$F$345,3,0),IFERROR(VLOOKUP($I277,'Privacy Analyst Evaluation'!$A$46:$F$120,3,0),""))&amp;""</f>
        <v/>
      </c>
      <c r="L277" s="199" t="str">
        <f>IFERROR(VLOOKUP($I277,'Institution Evaluation'!$A$55:$F$345,4,0),IFERROR(VLOOKUP($I277,'Privacy Analyst Evaluation'!$A$46:$F$120,4,0),""))&amp;""</f>
        <v/>
      </c>
      <c r="M277" s="199" t="str">
        <f>IFERROR(VLOOKUP($I277,'Institution Evaluation'!$A$55:$F$345,6,0),IFERROR(VLOOKUP($I277,'Privacy Analyst Evaluation'!$A$46:$F$120,6,0),""))&amp;""</f>
        <v/>
      </c>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row>
    <row r="278" spans="1:338" ht="17" x14ac:dyDescent="0.2">
      <c r="A278" s="199" t="str">
        <f>IFERROR(IF($A277+1&gt;'(backend scoring)'!$T$335,"",$A277+1),"")</f>
        <v/>
      </c>
      <c r="B278" s="199" t="str">
        <f>_xlfn.XLOOKUP($A278,'(backend scoring)'!$V$2:$V$333,'(backend scoring)'!$A$2:$A$333,"")</f>
        <v/>
      </c>
      <c r="C278" s="199" t="str">
        <f>IFERROR(VLOOKUP($B278,'Institution Evaluation'!$A$55:$F$345,2,0),IFERROR(VLOOKUP($B278,'Privacy Analyst Evaluation'!$A$46:$F$120,2,0),""))&amp;""</f>
        <v/>
      </c>
      <c r="D278" s="199" t="str">
        <f>IFERROR(VLOOKUP($B278,'Institution Evaluation'!$A$55:$F$345,3,0),IFERROR(VLOOKUP($B278,'Privacy Analyst Evaluation'!$A$46:$F$120,3,0),""))&amp;""</f>
        <v/>
      </c>
      <c r="E278" s="199" t="str">
        <f>IFERROR(VLOOKUP($B278,'Institution Evaluation'!$A$55:$F$345,4,0),IFERROR(VLOOKUP($B278,'Privacy Analyst Evaluation'!$A$46:$F$120,4,0),""))&amp;""</f>
        <v/>
      </c>
      <c r="F278" s="199" t="str">
        <f>IFERROR(VLOOKUP($B278,'Institution Evaluation'!$A$55:$F$345,6,0),IFERROR(VLOOKUP($B278,'Privacy Analyst Evaluation'!$A$46:$F$120,6,0),""))&amp;""</f>
        <v/>
      </c>
      <c r="G278" s="200"/>
      <c r="H278" s="199" t="str">
        <f>IFERROR(IF($H277+1&gt;'(backend scoring)'!$Q$335,"",$H277+1),"")</f>
        <v/>
      </c>
      <c r="I278" s="199" t="str">
        <f>_xlfn.XLOOKUP($H278,'(backend scoring)'!$S$2:$S$333,'(backend scoring)'!$A$2:$A$333,"")</f>
        <v/>
      </c>
      <c r="J278" s="199" t="str">
        <f>IFERROR(VLOOKUP($I278,'Institution Evaluation'!$A$55:$F$345,2,0),IFERROR(VLOOKUP($I278,'Privacy Analyst Evaluation'!$A$46:$F$120,2,0),""))</f>
        <v/>
      </c>
      <c r="K278" s="199" t="str">
        <f>IFERROR(VLOOKUP($I278,'Institution Evaluation'!$A$55:$F$345,3,0),IFERROR(VLOOKUP($I278,'Privacy Analyst Evaluation'!$A$46:$F$120,3,0),""))&amp;""</f>
        <v/>
      </c>
      <c r="L278" s="199" t="str">
        <f>IFERROR(VLOOKUP($I278,'Institution Evaluation'!$A$55:$F$345,4,0),IFERROR(VLOOKUP($I278,'Privacy Analyst Evaluation'!$A$46:$F$120,4,0),""))&amp;""</f>
        <v/>
      </c>
      <c r="M278" s="199" t="str">
        <f>IFERROR(VLOOKUP($I278,'Institution Evaluation'!$A$55:$F$345,6,0),IFERROR(VLOOKUP($I278,'Privacy Analyst Evaluation'!$A$46:$F$120,6,0),""))&amp;""</f>
        <v/>
      </c>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row>
    <row r="279" spans="1:338" ht="17" x14ac:dyDescent="0.2">
      <c r="A279" s="199" t="str">
        <f>IFERROR(IF($A278+1&gt;'(backend scoring)'!$T$335,"",$A278+1),"")</f>
        <v/>
      </c>
      <c r="B279" s="199" t="str">
        <f>_xlfn.XLOOKUP($A279,'(backend scoring)'!$V$2:$V$333,'(backend scoring)'!$A$2:$A$333,"")</f>
        <v/>
      </c>
      <c r="C279" s="199" t="str">
        <f>IFERROR(VLOOKUP($B279,'Institution Evaluation'!$A$55:$F$345,2,0),IFERROR(VLOOKUP($B279,'Privacy Analyst Evaluation'!$A$46:$F$120,2,0),""))&amp;""</f>
        <v/>
      </c>
      <c r="D279" s="199" t="str">
        <f>IFERROR(VLOOKUP($B279,'Institution Evaluation'!$A$55:$F$345,3,0),IFERROR(VLOOKUP($B279,'Privacy Analyst Evaluation'!$A$46:$F$120,3,0),""))&amp;""</f>
        <v/>
      </c>
      <c r="E279" s="199" t="str">
        <f>IFERROR(VLOOKUP($B279,'Institution Evaluation'!$A$55:$F$345,4,0),IFERROR(VLOOKUP($B279,'Privacy Analyst Evaluation'!$A$46:$F$120,4,0),""))&amp;""</f>
        <v/>
      </c>
      <c r="F279" s="199" t="str">
        <f>IFERROR(VLOOKUP($B279,'Institution Evaluation'!$A$55:$F$345,6,0),IFERROR(VLOOKUP($B279,'Privacy Analyst Evaluation'!$A$46:$F$120,6,0),""))&amp;""</f>
        <v/>
      </c>
      <c r="G279" s="200"/>
      <c r="H279" s="199" t="str">
        <f>IFERROR(IF($H278+1&gt;'(backend scoring)'!$Q$335,"",$H278+1),"")</f>
        <v/>
      </c>
      <c r="I279" s="199" t="str">
        <f>_xlfn.XLOOKUP($H279,'(backend scoring)'!$S$2:$S$333,'(backend scoring)'!$A$2:$A$333,"")</f>
        <v/>
      </c>
      <c r="J279" s="199" t="str">
        <f>IFERROR(VLOOKUP($I279,'Institution Evaluation'!$A$55:$F$345,2,0),IFERROR(VLOOKUP($I279,'Privacy Analyst Evaluation'!$A$46:$F$120,2,0),""))</f>
        <v/>
      </c>
      <c r="K279" s="199" t="str">
        <f>IFERROR(VLOOKUP($I279,'Institution Evaluation'!$A$55:$F$345,3,0),IFERROR(VLOOKUP($I279,'Privacy Analyst Evaluation'!$A$46:$F$120,3,0),""))&amp;""</f>
        <v/>
      </c>
      <c r="L279" s="199" t="str">
        <f>IFERROR(VLOOKUP($I279,'Institution Evaluation'!$A$55:$F$345,4,0),IFERROR(VLOOKUP($I279,'Privacy Analyst Evaluation'!$A$46:$F$120,4,0),""))&amp;""</f>
        <v/>
      </c>
      <c r="M279" s="199" t="str">
        <f>IFERROR(VLOOKUP($I279,'Institution Evaluation'!$A$55:$F$345,6,0),IFERROR(VLOOKUP($I279,'Privacy Analyst Evaluation'!$A$46:$F$120,6,0),""))&amp;""</f>
        <v/>
      </c>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c r="GU279"/>
      <c r="GV279"/>
      <c r="GW279"/>
      <c r="GX279"/>
      <c r="GY279"/>
      <c r="GZ279"/>
      <c r="HA279"/>
      <c r="HB279"/>
      <c r="HC279"/>
      <c r="HD279"/>
      <c r="HE279"/>
      <c r="HF279"/>
      <c r="HG279"/>
      <c r="HH279"/>
      <c r="HI279"/>
      <c r="HJ279"/>
      <c r="HK279"/>
      <c r="HL279"/>
      <c r="HM279"/>
      <c r="HN279"/>
      <c r="HO279"/>
      <c r="HP279"/>
      <c r="HQ279"/>
      <c r="HR279"/>
      <c r="HS279"/>
      <c r="HT279"/>
      <c r="HU279"/>
      <c r="HV279"/>
      <c r="HW279"/>
      <c r="HX279"/>
      <c r="HY279"/>
      <c r="HZ279"/>
      <c r="IA279"/>
      <c r="IB279"/>
      <c r="IC279"/>
      <c r="ID279"/>
      <c r="IE279"/>
      <c r="IF279"/>
      <c r="IG279"/>
      <c r="IH279"/>
      <c r="II279"/>
      <c r="IJ279"/>
      <c r="IK279"/>
      <c r="IL279"/>
      <c r="IM279"/>
      <c r="IN279"/>
      <c r="IO279"/>
      <c r="IP279"/>
      <c r="IQ279"/>
      <c r="IR279"/>
      <c r="IS279"/>
      <c r="IT279"/>
      <c r="IU279"/>
      <c r="IV279"/>
      <c r="IW279"/>
      <c r="IX279"/>
      <c r="IY279"/>
      <c r="IZ279"/>
      <c r="JA279"/>
      <c r="JB279"/>
      <c r="JC279"/>
      <c r="JD279"/>
      <c r="JE279"/>
      <c r="JF279"/>
      <c r="JG279"/>
      <c r="JH279"/>
      <c r="JI279"/>
      <c r="JJ279"/>
      <c r="JK279"/>
      <c r="JL279"/>
      <c r="JM279"/>
      <c r="JN279"/>
      <c r="JO279"/>
      <c r="JP279"/>
      <c r="JQ279"/>
      <c r="JR279"/>
      <c r="JS279"/>
      <c r="JT279"/>
      <c r="JU279"/>
      <c r="JV279"/>
      <c r="JW279"/>
      <c r="JX279"/>
      <c r="JY279"/>
      <c r="JZ279"/>
      <c r="KA279"/>
      <c r="KB279"/>
      <c r="KC279"/>
      <c r="KD279"/>
      <c r="KE279"/>
      <c r="KF279"/>
      <c r="KG279"/>
      <c r="KH279"/>
      <c r="KI279"/>
      <c r="KJ279"/>
      <c r="KK279"/>
      <c r="KL279"/>
      <c r="KM279"/>
      <c r="KN279"/>
      <c r="KO279"/>
      <c r="KP279"/>
      <c r="KQ279"/>
      <c r="KR279"/>
      <c r="KS279"/>
      <c r="KT279"/>
      <c r="KU279"/>
      <c r="KV279"/>
      <c r="KW279"/>
      <c r="KX279"/>
      <c r="KY279"/>
      <c r="KZ279"/>
      <c r="LA279"/>
      <c r="LB279"/>
      <c r="LC279"/>
      <c r="LD279"/>
      <c r="LE279"/>
      <c r="LF279"/>
      <c r="LG279"/>
      <c r="LH279"/>
      <c r="LI279"/>
      <c r="LJ279"/>
      <c r="LK279"/>
      <c r="LL279"/>
      <c r="LM279"/>
      <c r="LN279"/>
      <c r="LO279"/>
      <c r="LP279"/>
      <c r="LQ279"/>
      <c r="LR279"/>
      <c r="LS279"/>
      <c r="LT279"/>
      <c r="LU279"/>
      <c r="LV279"/>
      <c r="LW279"/>
      <c r="LX279"/>
      <c r="LY279"/>
      <c r="LZ279"/>
    </row>
    <row r="280" spans="1:338" ht="17" x14ac:dyDescent="0.2">
      <c r="A280" s="199" t="str">
        <f>IFERROR(IF($A279+1&gt;'(backend scoring)'!$T$335,"",$A279+1),"")</f>
        <v/>
      </c>
      <c r="B280" s="199" t="str">
        <f>_xlfn.XLOOKUP($A280,'(backend scoring)'!$V$2:$V$333,'(backend scoring)'!$A$2:$A$333,"")</f>
        <v/>
      </c>
      <c r="C280" s="199" t="str">
        <f>IFERROR(VLOOKUP($B280,'Institution Evaluation'!$A$55:$F$345,2,0),IFERROR(VLOOKUP($B280,'Privacy Analyst Evaluation'!$A$46:$F$120,2,0),""))&amp;""</f>
        <v/>
      </c>
      <c r="D280" s="199" t="str">
        <f>IFERROR(VLOOKUP($B280,'Institution Evaluation'!$A$55:$F$345,3,0),IFERROR(VLOOKUP($B280,'Privacy Analyst Evaluation'!$A$46:$F$120,3,0),""))&amp;""</f>
        <v/>
      </c>
      <c r="E280" s="199" t="str">
        <f>IFERROR(VLOOKUP($B280,'Institution Evaluation'!$A$55:$F$345,4,0),IFERROR(VLOOKUP($B280,'Privacy Analyst Evaluation'!$A$46:$F$120,4,0),""))&amp;""</f>
        <v/>
      </c>
      <c r="F280" s="199" t="str">
        <f>IFERROR(VLOOKUP($B280,'Institution Evaluation'!$A$55:$F$345,6,0),IFERROR(VLOOKUP($B280,'Privacy Analyst Evaluation'!$A$46:$F$120,6,0),""))&amp;""</f>
        <v/>
      </c>
      <c r="G280" s="200"/>
      <c r="H280" s="199" t="str">
        <f>IFERROR(IF($H279+1&gt;'(backend scoring)'!$Q$335,"",$H279+1),"")</f>
        <v/>
      </c>
      <c r="I280" s="199" t="str">
        <f>_xlfn.XLOOKUP($H280,'(backend scoring)'!$S$2:$S$333,'(backend scoring)'!$A$2:$A$333,"")</f>
        <v/>
      </c>
      <c r="J280" s="199" t="str">
        <f>IFERROR(VLOOKUP($I280,'Institution Evaluation'!$A$55:$F$345,2,0),IFERROR(VLOOKUP($I280,'Privacy Analyst Evaluation'!$A$46:$F$120,2,0),""))</f>
        <v/>
      </c>
      <c r="K280" s="199" t="str">
        <f>IFERROR(VLOOKUP($I280,'Institution Evaluation'!$A$55:$F$345,3,0),IFERROR(VLOOKUP($I280,'Privacy Analyst Evaluation'!$A$46:$F$120,3,0),""))&amp;""</f>
        <v/>
      </c>
      <c r="L280" s="199" t="str">
        <f>IFERROR(VLOOKUP($I280,'Institution Evaluation'!$A$55:$F$345,4,0),IFERROR(VLOOKUP($I280,'Privacy Analyst Evaluation'!$A$46:$F$120,4,0),""))&amp;""</f>
        <v/>
      </c>
      <c r="M280" s="199" t="str">
        <f>IFERROR(VLOOKUP($I280,'Institution Evaluation'!$A$55:$F$345,6,0),IFERROR(VLOOKUP($I280,'Privacy Analyst Evaluation'!$A$46:$F$120,6,0),""))&amp;""</f>
        <v/>
      </c>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c r="GU280"/>
      <c r="GV280"/>
      <c r="GW280"/>
      <c r="GX280"/>
      <c r="GY280"/>
      <c r="GZ280"/>
      <c r="HA280"/>
      <c r="HB280"/>
      <c r="HC280"/>
      <c r="HD280"/>
      <c r="HE280"/>
      <c r="HF280"/>
      <c r="HG280"/>
      <c r="HH280"/>
      <c r="HI280"/>
      <c r="HJ280"/>
      <c r="HK280"/>
      <c r="HL280"/>
      <c r="HM280"/>
      <c r="HN280"/>
      <c r="HO280"/>
      <c r="HP280"/>
      <c r="HQ280"/>
      <c r="HR280"/>
      <c r="HS280"/>
      <c r="HT280"/>
      <c r="HU280"/>
      <c r="HV280"/>
      <c r="HW280"/>
      <c r="HX280"/>
      <c r="HY280"/>
      <c r="HZ280"/>
      <c r="IA280"/>
      <c r="IB280"/>
      <c r="IC280"/>
      <c r="ID280"/>
      <c r="IE280"/>
      <c r="IF280"/>
      <c r="IG280"/>
      <c r="IH280"/>
      <c r="II280"/>
      <c r="IJ280"/>
      <c r="IK280"/>
      <c r="IL280"/>
      <c r="IM280"/>
      <c r="IN280"/>
      <c r="IO280"/>
      <c r="IP280"/>
      <c r="IQ280"/>
      <c r="IR280"/>
      <c r="IS280"/>
      <c r="IT280"/>
      <c r="IU280"/>
      <c r="IV280"/>
      <c r="IW280"/>
      <c r="IX280"/>
      <c r="IY280"/>
      <c r="IZ280"/>
      <c r="JA280"/>
      <c r="JB280"/>
      <c r="JC280"/>
      <c r="JD280"/>
      <c r="JE280"/>
      <c r="JF280"/>
      <c r="JG280"/>
      <c r="JH280"/>
      <c r="JI280"/>
      <c r="JJ280"/>
      <c r="JK280"/>
      <c r="JL280"/>
      <c r="JM280"/>
      <c r="JN280"/>
      <c r="JO280"/>
      <c r="JP280"/>
      <c r="JQ280"/>
      <c r="JR280"/>
      <c r="JS280"/>
      <c r="JT280"/>
      <c r="JU280"/>
      <c r="JV280"/>
      <c r="JW280"/>
      <c r="JX280"/>
      <c r="JY280"/>
      <c r="JZ280"/>
      <c r="KA280"/>
      <c r="KB280"/>
      <c r="KC280"/>
      <c r="KD280"/>
      <c r="KE280"/>
      <c r="KF280"/>
      <c r="KG280"/>
      <c r="KH280"/>
      <c r="KI280"/>
      <c r="KJ280"/>
      <c r="KK280"/>
      <c r="KL280"/>
      <c r="KM280"/>
      <c r="KN280"/>
      <c r="KO280"/>
      <c r="KP280"/>
      <c r="KQ280"/>
      <c r="KR280"/>
      <c r="KS280"/>
      <c r="KT280"/>
      <c r="KU280"/>
      <c r="KV280"/>
      <c r="KW280"/>
      <c r="KX280"/>
      <c r="KY280"/>
      <c r="KZ280"/>
      <c r="LA280"/>
      <c r="LB280"/>
      <c r="LC280"/>
      <c r="LD280"/>
      <c r="LE280"/>
      <c r="LF280"/>
      <c r="LG280"/>
      <c r="LH280"/>
      <c r="LI280"/>
      <c r="LJ280"/>
      <c r="LK280"/>
      <c r="LL280"/>
      <c r="LM280"/>
      <c r="LN280"/>
      <c r="LO280"/>
      <c r="LP280"/>
      <c r="LQ280"/>
      <c r="LR280"/>
      <c r="LS280"/>
      <c r="LT280"/>
      <c r="LU280"/>
      <c r="LV280"/>
      <c r="LW280"/>
      <c r="LX280"/>
      <c r="LY280"/>
      <c r="LZ280"/>
    </row>
    <row r="281" spans="1:338" ht="17" x14ac:dyDescent="0.2">
      <c r="A281" s="199" t="str">
        <f>IFERROR(IF($A280+1&gt;'(backend scoring)'!$T$335,"",$A280+1),"")</f>
        <v/>
      </c>
      <c r="B281" s="199" t="str">
        <f>_xlfn.XLOOKUP($A281,'(backend scoring)'!$V$2:$V$333,'(backend scoring)'!$A$2:$A$333,"")</f>
        <v/>
      </c>
      <c r="C281" s="199" t="str">
        <f>IFERROR(VLOOKUP($B281,'Institution Evaluation'!$A$55:$F$345,2,0),IFERROR(VLOOKUP($B281,'Privacy Analyst Evaluation'!$A$46:$F$120,2,0),""))&amp;""</f>
        <v/>
      </c>
      <c r="D281" s="199" t="str">
        <f>IFERROR(VLOOKUP($B281,'Institution Evaluation'!$A$55:$F$345,3,0),IFERROR(VLOOKUP($B281,'Privacy Analyst Evaluation'!$A$46:$F$120,3,0),""))&amp;""</f>
        <v/>
      </c>
      <c r="E281" s="199" t="str">
        <f>IFERROR(VLOOKUP($B281,'Institution Evaluation'!$A$55:$F$345,4,0),IFERROR(VLOOKUP($B281,'Privacy Analyst Evaluation'!$A$46:$F$120,4,0),""))&amp;""</f>
        <v/>
      </c>
      <c r="F281" s="199" t="str">
        <f>IFERROR(VLOOKUP($B281,'Institution Evaluation'!$A$55:$F$345,6,0),IFERROR(VLOOKUP($B281,'Privacy Analyst Evaluation'!$A$46:$F$120,6,0),""))&amp;""</f>
        <v/>
      </c>
      <c r="G281" s="200"/>
      <c r="H281" s="199" t="str">
        <f>IFERROR(IF($H280+1&gt;'(backend scoring)'!$Q$335,"",$H280+1),"")</f>
        <v/>
      </c>
      <c r="I281" s="199" t="str">
        <f>_xlfn.XLOOKUP($H281,'(backend scoring)'!$S$2:$S$333,'(backend scoring)'!$A$2:$A$333,"")</f>
        <v/>
      </c>
      <c r="J281" s="199" t="str">
        <f>IFERROR(VLOOKUP($I281,'Institution Evaluation'!$A$55:$F$345,2,0),IFERROR(VLOOKUP($I281,'Privacy Analyst Evaluation'!$A$46:$F$120,2,0),""))</f>
        <v/>
      </c>
      <c r="K281" s="199" t="str">
        <f>IFERROR(VLOOKUP($I281,'Institution Evaluation'!$A$55:$F$345,3,0),IFERROR(VLOOKUP($I281,'Privacy Analyst Evaluation'!$A$46:$F$120,3,0),""))&amp;""</f>
        <v/>
      </c>
      <c r="L281" s="199" t="str">
        <f>IFERROR(VLOOKUP($I281,'Institution Evaluation'!$A$55:$F$345,4,0),IFERROR(VLOOKUP($I281,'Privacy Analyst Evaluation'!$A$46:$F$120,4,0),""))&amp;""</f>
        <v/>
      </c>
      <c r="M281" s="199" t="str">
        <f>IFERROR(VLOOKUP($I281,'Institution Evaluation'!$A$55:$F$345,6,0),IFERROR(VLOOKUP($I281,'Privacy Analyst Evaluation'!$A$46:$F$120,6,0),""))&amp;""</f>
        <v/>
      </c>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c r="GU281"/>
      <c r="GV281"/>
      <c r="GW281"/>
      <c r="GX281"/>
      <c r="GY281"/>
      <c r="GZ281"/>
      <c r="HA281"/>
      <c r="HB281"/>
      <c r="HC281"/>
      <c r="HD281"/>
      <c r="HE281"/>
      <c r="HF281"/>
      <c r="HG281"/>
      <c r="HH281"/>
      <c r="HI281"/>
      <c r="HJ281"/>
      <c r="HK281"/>
      <c r="HL281"/>
      <c r="HM281"/>
      <c r="HN281"/>
      <c r="HO281"/>
      <c r="HP281"/>
      <c r="HQ281"/>
      <c r="HR281"/>
      <c r="HS281"/>
      <c r="HT281"/>
      <c r="HU281"/>
      <c r="HV281"/>
      <c r="HW281"/>
      <c r="HX281"/>
      <c r="HY281"/>
      <c r="HZ281"/>
      <c r="IA281"/>
      <c r="IB281"/>
      <c r="IC281"/>
      <c r="ID281"/>
      <c r="IE281"/>
      <c r="IF281"/>
      <c r="IG281"/>
      <c r="IH281"/>
      <c r="II281"/>
      <c r="IJ281"/>
      <c r="IK281"/>
      <c r="IL281"/>
      <c r="IM281"/>
      <c r="IN281"/>
      <c r="IO281"/>
      <c r="IP281"/>
      <c r="IQ281"/>
      <c r="IR281"/>
      <c r="IS281"/>
      <c r="IT281"/>
      <c r="IU281"/>
      <c r="IV281"/>
      <c r="IW281"/>
      <c r="IX281"/>
      <c r="IY281"/>
      <c r="IZ281"/>
      <c r="JA281"/>
      <c r="JB281"/>
      <c r="JC281"/>
      <c r="JD281"/>
      <c r="JE281"/>
      <c r="JF281"/>
      <c r="JG281"/>
      <c r="JH281"/>
      <c r="JI281"/>
      <c r="JJ281"/>
      <c r="JK281"/>
      <c r="JL281"/>
      <c r="JM281"/>
      <c r="JN281"/>
      <c r="JO281"/>
      <c r="JP281"/>
      <c r="JQ281"/>
      <c r="JR281"/>
      <c r="JS281"/>
      <c r="JT281"/>
      <c r="JU281"/>
      <c r="JV281"/>
      <c r="JW281"/>
      <c r="JX281"/>
      <c r="JY281"/>
      <c r="JZ281"/>
      <c r="KA281"/>
      <c r="KB281"/>
      <c r="KC281"/>
      <c r="KD281"/>
      <c r="KE281"/>
      <c r="KF281"/>
      <c r="KG281"/>
      <c r="KH281"/>
      <c r="KI281"/>
      <c r="KJ281"/>
      <c r="KK281"/>
      <c r="KL281"/>
      <c r="KM281"/>
      <c r="KN281"/>
      <c r="KO281"/>
      <c r="KP281"/>
      <c r="KQ281"/>
      <c r="KR281"/>
      <c r="KS281"/>
      <c r="KT281"/>
      <c r="KU281"/>
      <c r="KV281"/>
      <c r="KW281"/>
      <c r="KX281"/>
      <c r="KY281"/>
      <c r="KZ281"/>
      <c r="LA281"/>
      <c r="LB281"/>
      <c r="LC281"/>
      <c r="LD281"/>
      <c r="LE281"/>
      <c r="LF281"/>
      <c r="LG281"/>
      <c r="LH281"/>
      <c r="LI281"/>
      <c r="LJ281"/>
      <c r="LK281"/>
      <c r="LL281"/>
      <c r="LM281"/>
      <c r="LN281"/>
      <c r="LO281"/>
      <c r="LP281"/>
      <c r="LQ281"/>
      <c r="LR281"/>
      <c r="LS281"/>
      <c r="LT281"/>
      <c r="LU281"/>
      <c r="LV281"/>
      <c r="LW281"/>
      <c r="LX281"/>
      <c r="LY281"/>
      <c r="LZ281"/>
    </row>
    <row r="282" spans="1:338" ht="17" x14ac:dyDescent="0.2">
      <c r="A282" s="199" t="str">
        <f>IFERROR(IF($A281+1&gt;'(backend scoring)'!$T$335,"",$A281+1),"")</f>
        <v/>
      </c>
      <c r="B282" s="199" t="str">
        <f>_xlfn.XLOOKUP($A282,'(backend scoring)'!$V$2:$V$333,'(backend scoring)'!$A$2:$A$333,"")</f>
        <v/>
      </c>
      <c r="C282" s="199" t="str">
        <f>IFERROR(VLOOKUP($B282,'Institution Evaluation'!$A$55:$F$345,2,0),IFERROR(VLOOKUP($B282,'Privacy Analyst Evaluation'!$A$46:$F$120,2,0),""))&amp;""</f>
        <v/>
      </c>
      <c r="D282" s="199" t="str">
        <f>IFERROR(VLOOKUP($B282,'Institution Evaluation'!$A$55:$F$345,3,0),IFERROR(VLOOKUP($B282,'Privacy Analyst Evaluation'!$A$46:$F$120,3,0),""))&amp;""</f>
        <v/>
      </c>
      <c r="E282" s="199" t="str">
        <f>IFERROR(VLOOKUP($B282,'Institution Evaluation'!$A$55:$F$345,4,0),IFERROR(VLOOKUP($B282,'Privacy Analyst Evaluation'!$A$46:$F$120,4,0),""))&amp;""</f>
        <v/>
      </c>
      <c r="F282" s="199" t="str">
        <f>IFERROR(VLOOKUP($B282,'Institution Evaluation'!$A$55:$F$345,6,0),IFERROR(VLOOKUP($B282,'Privacy Analyst Evaluation'!$A$46:$F$120,6,0),""))&amp;""</f>
        <v/>
      </c>
      <c r="G282" s="200"/>
      <c r="H282" s="199" t="str">
        <f>IFERROR(IF($H281+1&gt;'(backend scoring)'!$Q$335,"",$H281+1),"")</f>
        <v/>
      </c>
      <c r="I282" s="199" t="str">
        <f>_xlfn.XLOOKUP($H282,'(backend scoring)'!$S$2:$S$333,'(backend scoring)'!$A$2:$A$333,"")</f>
        <v/>
      </c>
      <c r="J282" s="199" t="str">
        <f>IFERROR(VLOOKUP($I282,'Institution Evaluation'!$A$55:$F$345,2,0),IFERROR(VLOOKUP($I282,'Privacy Analyst Evaluation'!$A$46:$F$120,2,0),""))</f>
        <v/>
      </c>
      <c r="K282" s="199" t="str">
        <f>IFERROR(VLOOKUP($I282,'Institution Evaluation'!$A$55:$F$345,3,0),IFERROR(VLOOKUP($I282,'Privacy Analyst Evaluation'!$A$46:$F$120,3,0),""))&amp;""</f>
        <v/>
      </c>
      <c r="L282" s="199" t="str">
        <f>IFERROR(VLOOKUP($I282,'Institution Evaluation'!$A$55:$F$345,4,0),IFERROR(VLOOKUP($I282,'Privacy Analyst Evaluation'!$A$46:$F$120,4,0),""))&amp;""</f>
        <v/>
      </c>
      <c r="M282" s="199" t="str">
        <f>IFERROR(VLOOKUP($I282,'Institution Evaluation'!$A$55:$F$345,6,0),IFERROR(VLOOKUP($I282,'Privacy Analyst Evaluation'!$A$46:$F$120,6,0),""))&amp;""</f>
        <v/>
      </c>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row>
    <row r="283" spans="1:338" ht="17" x14ac:dyDescent="0.2">
      <c r="A283" s="199" t="str">
        <f>IFERROR(IF($A282+1&gt;'(backend scoring)'!$T$335,"",$A282+1),"")</f>
        <v/>
      </c>
      <c r="B283" s="199" t="str">
        <f>_xlfn.XLOOKUP($A283,'(backend scoring)'!$V$2:$V$333,'(backend scoring)'!$A$2:$A$333,"")</f>
        <v/>
      </c>
      <c r="C283" s="199" t="str">
        <f>IFERROR(VLOOKUP($B283,'Institution Evaluation'!$A$55:$F$345,2,0),IFERROR(VLOOKUP($B283,'Privacy Analyst Evaluation'!$A$46:$F$120,2,0),""))&amp;""</f>
        <v/>
      </c>
      <c r="D283" s="199" t="str">
        <f>IFERROR(VLOOKUP($B283,'Institution Evaluation'!$A$55:$F$345,3,0),IFERROR(VLOOKUP($B283,'Privacy Analyst Evaluation'!$A$46:$F$120,3,0),""))&amp;""</f>
        <v/>
      </c>
      <c r="E283" s="199" t="str">
        <f>IFERROR(VLOOKUP($B283,'Institution Evaluation'!$A$55:$F$345,4,0),IFERROR(VLOOKUP($B283,'Privacy Analyst Evaluation'!$A$46:$F$120,4,0),""))&amp;""</f>
        <v/>
      </c>
      <c r="F283" s="199" t="str">
        <f>IFERROR(VLOOKUP($B283,'Institution Evaluation'!$A$55:$F$345,6,0),IFERROR(VLOOKUP($B283,'Privacy Analyst Evaluation'!$A$46:$F$120,6,0),""))&amp;""</f>
        <v/>
      </c>
      <c r="G283" s="200"/>
      <c r="H283" s="199" t="str">
        <f>IFERROR(IF($H282+1&gt;'(backend scoring)'!$Q$335,"",$H282+1),"")</f>
        <v/>
      </c>
      <c r="I283" s="199" t="str">
        <f>_xlfn.XLOOKUP($H283,'(backend scoring)'!$S$2:$S$333,'(backend scoring)'!$A$2:$A$333,"")</f>
        <v/>
      </c>
      <c r="J283" s="199" t="str">
        <f>IFERROR(VLOOKUP($I283,'Institution Evaluation'!$A$55:$F$345,2,0),IFERROR(VLOOKUP($I283,'Privacy Analyst Evaluation'!$A$46:$F$120,2,0),""))</f>
        <v/>
      </c>
      <c r="K283" s="199" t="str">
        <f>IFERROR(VLOOKUP($I283,'Institution Evaluation'!$A$55:$F$345,3,0),IFERROR(VLOOKUP($I283,'Privacy Analyst Evaluation'!$A$46:$F$120,3,0),""))&amp;""</f>
        <v/>
      </c>
      <c r="L283" s="199" t="str">
        <f>IFERROR(VLOOKUP($I283,'Institution Evaluation'!$A$55:$F$345,4,0),IFERROR(VLOOKUP($I283,'Privacy Analyst Evaluation'!$A$46:$F$120,4,0),""))&amp;""</f>
        <v/>
      </c>
      <c r="M283" s="199" t="str">
        <f>IFERROR(VLOOKUP($I283,'Institution Evaluation'!$A$55:$F$345,6,0),IFERROR(VLOOKUP($I283,'Privacy Analyst Evaluation'!$A$46:$F$120,6,0),""))&amp;""</f>
        <v/>
      </c>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c r="GU283"/>
      <c r="GV283"/>
      <c r="GW283"/>
      <c r="GX283"/>
      <c r="GY283"/>
      <c r="GZ283"/>
      <c r="HA283"/>
      <c r="HB283"/>
      <c r="HC283"/>
      <c r="HD283"/>
      <c r="HE283"/>
      <c r="HF283"/>
      <c r="HG283"/>
      <c r="HH283"/>
      <c r="HI283"/>
      <c r="HJ283"/>
      <c r="HK283"/>
      <c r="HL283"/>
      <c r="HM283"/>
      <c r="HN283"/>
      <c r="HO283"/>
      <c r="HP283"/>
      <c r="HQ283"/>
      <c r="HR283"/>
      <c r="HS283"/>
      <c r="HT283"/>
      <c r="HU283"/>
      <c r="HV283"/>
      <c r="HW283"/>
      <c r="HX283"/>
      <c r="HY283"/>
      <c r="HZ283"/>
      <c r="IA283"/>
      <c r="IB283"/>
      <c r="IC283"/>
      <c r="ID283"/>
      <c r="IE283"/>
      <c r="IF283"/>
      <c r="IG283"/>
      <c r="IH283"/>
      <c r="II283"/>
      <c r="IJ283"/>
      <c r="IK283"/>
      <c r="IL283"/>
      <c r="IM283"/>
      <c r="IN283"/>
      <c r="IO283"/>
      <c r="IP283"/>
      <c r="IQ283"/>
      <c r="IR283"/>
      <c r="IS283"/>
      <c r="IT283"/>
      <c r="IU283"/>
      <c r="IV283"/>
      <c r="IW283"/>
      <c r="IX283"/>
      <c r="IY283"/>
      <c r="IZ283"/>
      <c r="JA283"/>
      <c r="JB283"/>
      <c r="JC283"/>
      <c r="JD283"/>
      <c r="JE283"/>
      <c r="JF283"/>
      <c r="JG283"/>
      <c r="JH283"/>
      <c r="JI283"/>
      <c r="JJ283"/>
      <c r="JK283"/>
      <c r="JL283"/>
      <c r="JM283"/>
      <c r="JN283"/>
      <c r="JO283"/>
      <c r="JP283"/>
      <c r="JQ283"/>
      <c r="JR283"/>
      <c r="JS283"/>
      <c r="JT283"/>
      <c r="JU283"/>
      <c r="JV283"/>
      <c r="JW283"/>
      <c r="JX283"/>
      <c r="JY283"/>
      <c r="JZ283"/>
      <c r="KA283"/>
      <c r="KB283"/>
      <c r="KC283"/>
      <c r="KD283"/>
      <c r="KE283"/>
      <c r="KF283"/>
      <c r="KG283"/>
      <c r="KH283"/>
      <c r="KI283"/>
      <c r="KJ283"/>
      <c r="KK283"/>
      <c r="KL283"/>
      <c r="KM283"/>
      <c r="KN283"/>
      <c r="KO283"/>
      <c r="KP283"/>
      <c r="KQ283"/>
      <c r="KR283"/>
      <c r="KS283"/>
      <c r="KT283"/>
      <c r="KU283"/>
      <c r="KV283"/>
      <c r="KW283"/>
      <c r="KX283"/>
      <c r="KY283"/>
      <c r="KZ283"/>
      <c r="LA283"/>
      <c r="LB283"/>
      <c r="LC283"/>
      <c r="LD283"/>
      <c r="LE283"/>
      <c r="LF283"/>
      <c r="LG283"/>
      <c r="LH283"/>
      <c r="LI283"/>
      <c r="LJ283"/>
      <c r="LK283"/>
      <c r="LL283"/>
      <c r="LM283"/>
      <c r="LN283"/>
      <c r="LO283"/>
      <c r="LP283"/>
      <c r="LQ283"/>
      <c r="LR283"/>
      <c r="LS283"/>
      <c r="LT283"/>
      <c r="LU283"/>
      <c r="LV283"/>
      <c r="LW283"/>
      <c r="LX283"/>
      <c r="LY283"/>
      <c r="LZ283"/>
    </row>
    <row r="284" spans="1:338" ht="17" x14ac:dyDescent="0.2">
      <c r="A284" s="199" t="str">
        <f>IFERROR(IF($A283+1&gt;'(backend scoring)'!$T$335,"",$A283+1),"")</f>
        <v/>
      </c>
      <c r="B284" s="199" t="str">
        <f>_xlfn.XLOOKUP($A284,'(backend scoring)'!$V$2:$V$333,'(backend scoring)'!$A$2:$A$333,"")</f>
        <v/>
      </c>
      <c r="C284" s="199" t="str">
        <f>IFERROR(VLOOKUP($B284,'Institution Evaluation'!$A$55:$F$345,2,0),IFERROR(VLOOKUP($B284,'Privacy Analyst Evaluation'!$A$46:$F$120,2,0),""))&amp;""</f>
        <v/>
      </c>
      <c r="D284" s="199" t="str">
        <f>IFERROR(VLOOKUP($B284,'Institution Evaluation'!$A$55:$F$345,3,0),IFERROR(VLOOKUP($B284,'Privacy Analyst Evaluation'!$A$46:$F$120,3,0),""))&amp;""</f>
        <v/>
      </c>
      <c r="E284" s="199" t="str">
        <f>IFERROR(VLOOKUP($B284,'Institution Evaluation'!$A$55:$F$345,4,0),IFERROR(VLOOKUP($B284,'Privacy Analyst Evaluation'!$A$46:$F$120,4,0),""))&amp;""</f>
        <v/>
      </c>
      <c r="F284" s="199" t="str">
        <f>IFERROR(VLOOKUP($B284,'Institution Evaluation'!$A$55:$F$345,6,0),IFERROR(VLOOKUP($B284,'Privacy Analyst Evaluation'!$A$46:$F$120,6,0),""))&amp;""</f>
        <v/>
      </c>
      <c r="G284" s="200"/>
      <c r="H284" s="199" t="str">
        <f>IFERROR(IF($H283+1&gt;'(backend scoring)'!$Q$335,"",$H283+1),"")</f>
        <v/>
      </c>
      <c r="I284" s="199" t="str">
        <f>_xlfn.XLOOKUP($H284,'(backend scoring)'!$S$2:$S$333,'(backend scoring)'!$A$2:$A$333,"")</f>
        <v/>
      </c>
      <c r="J284" s="199" t="str">
        <f>IFERROR(VLOOKUP($I284,'Institution Evaluation'!$A$55:$F$345,2,0),IFERROR(VLOOKUP($I284,'Privacy Analyst Evaluation'!$A$46:$F$120,2,0),""))</f>
        <v/>
      </c>
      <c r="K284" s="199" t="str">
        <f>IFERROR(VLOOKUP($I284,'Institution Evaluation'!$A$55:$F$345,3,0),IFERROR(VLOOKUP($I284,'Privacy Analyst Evaluation'!$A$46:$F$120,3,0),""))&amp;""</f>
        <v/>
      </c>
      <c r="L284" s="199" t="str">
        <f>IFERROR(VLOOKUP($I284,'Institution Evaluation'!$A$55:$F$345,4,0),IFERROR(VLOOKUP($I284,'Privacy Analyst Evaluation'!$A$46:$F$120,4,0),""))&amp;""</f>
        <v/>
      </c>
      <c r="M284" s="199" t="str">
        <f>IFERROR(VLOOKUP($I284,'Institution Evaluation'!$A$55:$F$345,6,0),IFERROR(VLOOKUP($I284,'Privacy Analyst Evaluation'!$A$46:$F$120,6,0),""))&amp;""</f>
        <v/>
      </c>
      <c r="N284"/>
      <c r="O284"/>
      <c r="P284"/>
      <c r="Q284"/>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c r="GU284"/>
      <c r="GV284"/>
      <c r="GW284"/>
      <c r="GX284"/>
      <c r="GY284"/>
      <c r="GZ284"/>
      <c r="HA284"/>
      <c r="HB284"/>
      <c r="HC284"/>
      <c r="HD284"/>
      <c r="HE284"/>
      <c r="HF284"/>
      <c r="HG284"/>
      <c r="HH284"/>
      <c r="HI284"/>
      <c r="HJ284"/>
      <c r="HK284"/>
      <c r="HL284"/>
      <c r="HM284"/>
      <c r="HN284"/>
      <c r="HO284"/>
      <c r="HP284"/>
      <c r="HQ284"/>
      <c r="HR284"/>
      <c r="HS284"/>
      <c r="HT284"/>
      <c r="HU284"/>
      <c r="HV284"/>
      <c r="HW284"/>
      <c r="HX284"/>
      <c r="HY284"/>
      <c r="HZ284"/>
      <c r="IA284"/>
      <c r="IB284"/>
      <c r="IC284"/>
      <c r="ID284"/>
      <c r="IE284"/>
      <c r="IF284"/>
      <c r="IG284"/>
      <c r="IH284"/>
      <c r="II284"/>
      <c r="IJ284"/>
      <c r="IK284"/>
      <c r="IL284"/>
      <c r="IM284"/>
      <c r="IN284"/>
      <c r="IO284"/>
      <c r="IP284"/>
      <c r="IQ284"/>
      <c r="IR284"/>
      <c r="IS284"/>
      <c r="IT284"/>
      <c r="IU284"/>
      <c r="IV284"/>
      <c r="IW284"/>
      <c r="IX284"/>
      <c r="IY284"/>
      <c r="IZ284"/>
      <c r="JA284"/>
      <c r="JB284"/>
      <c r="JC284"/>
      <c r="JD284"/>
      <c r="JE284"/>
      <c r="JF284"/>
      <c r="JG284"/>
      <c r="JH284"/>
      <c r="JI284"/>
      <c r="JJ284"/>
      <c r="JK284"/>
      <c r="JL284"/>
      <c r="JM284"/>
      <c r="JN284"/>
      <c r="JO284"/>
      <c r="JP284"/>
      <c r="JQ284"/>
      <c r="JR284"/>
      <c r="JS284"/>
      <c r="JT284"/>
      <c r="JU284"/>
      <c r="JV284"/>
      <c r="JW284"/>
      <c r="JX284"/>
      <c r="JY284"/>
      <c r="JZ284"/>
      <c r="KA284"/>
      <c r="KB284"/>
      <c r="KC284"/>
      <c r="KD284"/>
      <c r="KE284"/>
      <c r="KF284"/>
      <c r="KG284"/>
      <c r="KH284"/>
      <c r="KI284"/>
      <c r="KJ284"/>
      <c r="KK284"/>
      <c r="KL284"/>
      <c r="KM284"/>
      <c r="KN284"/>
      <c r="KO284"/>
      <c r="KP284"/>
      <c r="KQ284"/>
      <c r="KR284"/>
      <c r="KS284"/>
      <c r="KT284"/>
      <c r="KU284"/>
      <c r="KV284"/>
      <c r="KW284"/>
      <c r="KX284"/>
      <c r="KY284"/>
      <c r="KZ284"/>
      <c r="LA284"/>
      <c r="LB284"/>
      <c r="LC284"/>
      <c r="LD284"/>
      <c r="LE284"/>
      <c r="LF284"/>
      <c r="LG284"/>
      <c r="LH284"/>
      <c r="LI284"/>
      <c r="LJ284"/>
      <c r="LK284"/>
      <c r="LL284"/>
      <c r="LM284"/>
      <c r="LN284"/>
      <c r="LO284"/>
      <c r="LP284"/>
      <c r="LQ284"/>
      <c r="LR284"/>
      <c r="LS284"/>
      <c r="LT284"/>
      <c r="LU284"/>
      <c r="LV284"/>
      <c r="LW284"/>
      <c r="LX284"/>
      <c r="LY284"/>
      <c r="LZ284"/>
    </row>
    <row r="285" spans="1:338" ht="17" x14ac:dyDescent="0.2">
      <c r="A285" s="199" t="str">
        <f>IFERROR(IF($A284+1&gt;'(backend scoring)'!$T$335,"",$A284+1),"")</f>
        <v/>
      </c>
      <c r="B285" s="199" t="str">
        <f>_xlfn.XLOOKUP($A285,'(backend scoring)'!$V$2:$V$333,'(backend scoring)'!$A$2:$A$333,"")</f>
        <v/>
      </c>
      <c r="C285" s="199" t="str">
        <f>IFERROR(VLOOKUP($B285,'Institution Evaluation'!$A$55:$F$345,2,0),IFERROR(VLOOKUP($B285,'Privacy Analyst Evaluation'!$A$46:$F$120,2,0),""))&amp;""</f>
        <v/>
      </c>
      <c r="D285" s="199" t="str">
        <f>IFERROR(VLOOKUP($B285,'Institution Evaluation'!$A$55:$F$345,3,0),IFERROR(VLOOKUP($B285,'Privacy Analyst Evaluation'!$A$46:$F$120,3,0),""))&amp;""</f>
        <v/>
      </c>
      <c r="E285" s="199" t="str">
        <f>IFERROR(VLOOKUP($B285,'Institution Evaluation'!$A$55:$F$345,4,0),IFERROR(VLOOKUP($B285,'Privacy Analyst Evaluation'!$A$46:$F$120,4,0),""))&amp;""</f>
        <v/>
      </c>
      <c r="F285" s="199" t="str">
        <f>IFERROR(VLOOKUP($B285,'Institution Evaluation'!$A$55:$F$345,6,0),IFERROR(VLOOKUP($B285,'Privacy Analyst Evaluation'!$A$46:$F$120,6,0),""))&amp;""</f>
        <v/>
      </c>
      <c r="G285" s="200"/>
      <c r="H285" s="199" t="str">
        <f>IFERROR(IF($H284+1&gt;'(backend scoring)'!$Q$335,"",$H284+1),"")</f>
        <v/>
      </c>
      <c r="I285" s="199" t="str">
        <f>_xlfn.XLOOKUP($H285,'(backend scoring)'!$S$2:$S$333,'(backend scoring)'!$A$2:$A$333,"")</f>
        <v/>
      </c>
      <c r="J285" s="199" t="str">
        <f>IFERROR(VLOOKUP($I285,'Institution Evaluation'!$A$55:$F$345,2,0),IFERROR(VLOOKUP($I285,'Privacy Analyst Evaluation'!$A$46:$F$120,2,0),""))</f>
        <v/>
      </c>
      <c r="K285" s="199" t="str">
        <f>IFERROR(VLOOKUP($I285,'Institution Evaluation'!$A$55:$F$345,3,0),IFERROR(VLOOKUP($I285,'Privacy Analyst Evaluation'!$A$46:$F$120,3,0),""))&amp;""</f>
        <v/>
      </c>
      <c r="L285" s="199" t="str">
        <f>IFERROR(VLOOKUP($I285,'Institution Evaluation'!$A$55:$F$345,4,0),IFERROR(VLOOKUP($I285,'Privacy Analyst Evaluation'!$A$46:$F$120,4,0),""))&amp;""</f>
        <v/>
      </c>
      <c r="M285" s="199" t="str">
        <f>IFERROR(VLOOKUP($I285,'Institution Evaluation'!$A$55:$F$345,6,0),IFERROR(VLOOKUP($I285,'Privacy Analyst Evaluation'!$A$46:$F$120,6,0),""))&amp;""</f>
        <v/>
      </c>
      <c r="N285"/>
      <c r="O285"/>
      <c r="P285"/>
      <c r="Q285"/>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c r="GU285"/>
      <c r="GV285"/>
      <c r="GW285"/>
      <c r="GX285"/>
      <c r="GY285"/>
      <c r="GZ285"/>
      <c r="HA285"/>
      <c r="HB285"/>
      <c r="HC285"/>
      <c r="HD285"/>
      <c r="HE285"/>
      <c r="HF285"/>
      <c r="HG285"/>
      <c r="HH285"/>
      <c r="HI285"/>
      <c r="HJ285"/>
      <c r="HK285"/>
      <c r="HL285"/>
      <c r="HM285"/>
      <c r="HN285"/>
      <c r="HO285"/>
      <c r="HP285"/>
      <c r="HQ285"/>
      <c r="HR285"/>
      <c r="HS285"/>
      <c r="HT285"/>
      <c r="HU285"/>
      <c r="HV285"/>
      <c r="HW285"/>
      <c r="HX285"/>
      <c r="HY285"/>
      <c r="HZ285"/>
      <c r="IA285"/>
      <c r="IB285"/>
      <c r="IC285"/>
      <c r="ID285"/>
      <c r="IE285"/>
      <c r="IF285"/>
      <c r="IG285"/>
      <c r="IH285"/>
      <c r="II285"/>
      <c r="IJ285"/>
      <c r="IK285"/>
      <c r="IL285"/>
      <c r="IM285"/>
      <c r="IN285"/>
      <c r="IO285"/>
      <c r="IP285"/>
      <c r="IQ285"/>
      <c r="IR285"/>
      <c r="IS285"/>
      <c r="IT285"/>
      <c r="IU285"/>
      <c r="IV285"/>
      <c r="IW285"/>
      <c r="IX285"/>
      <c r="IY285"/>
      <c r="IZ285"/>
      <c r="JA285"/>
      <c r="JB285"/>
      <c r="JC285"/>
      <c r="JD285"/>
      <c r="JE285"/>
      <c r="JF285"/>
      <c r="JG285"/>
      <c r="JH285"/>
      <c r="JI285"/>
      <c r="JJ285"/>
      <c r="JK285"/>
      <c r="JL285"/>
      <c r="JM285"/>
      <c r="JN285"/>
      <c r="JO285"/>
      <c r="JP285"/>
      <c r="JQ285"/>
      <c r="JR285"/>
      <c r="JS285"/>
      <c r="JT285"/>
      <c r="JU285"/>
      <c r="JV285"/>
      <c r="JW285"/>
      <c r="JX285"/>
      <c r="JY285"/>
      <c r="JZ285"/>
      <c r="KA285"/>
      <c r="KB285"/>
      <c r="KC285"/>
      <c r="KD285"/>
      <c r="KE285"/>
      <c r="KF285"/>
      <c r="KG285"/>
      <c r="KH285"/>
      <c r="KI285"/>
      <c r="KJ285"/>
      <c r="KK285"/>
      <c r="KL285"/>
      <c r="KM285"/>
      <c r="KN285"/>
      <c r="KO285"/>
      <c r="KP285"/>
      <c r="KQ285"/>
      <c r="KR285"/>
      <c r="KS285"/>
      <c r="KT285"/>
      <c r="KU285"/>
      <c r="KV285"/>
      <c r="KW285"/>
      <c r="KX285"/>
      <c r="KY285"/>
      <c r="KZ285"/>
      <c r="LA285"/>
      <c r="LB285"/>
      <c r="LC285"/>
      <c r="LD285"/>
      <c r="LE285"/>
      <c r="LF285"/>
      <c r="LG285"/>
      <c r="LH285"/>
      <c r="LI285"/>
      <c r="LJ285"/>
      <c r="LK285"/>
      <c r="LL285"/>
      <c r="LM285"/>
      <c r="LN285"/>
      <c r="LO285"/>
      <c r="LP285"/>
      <c r="LQ285"/>
      <c r="LR285"/>
      <c r="LS285"/>
      <c r="LT285"/>
      <c r="LU285"/>
      <c r="LV285"/>
      <c r="LW285"/>
      <c r="LX285"/>
      <c r="LY285"/>
      <c r="LZ285"/>
    </row>
    <row r="286" spans="1:338" ht="17" x14ac:dyDescent="0.2">
      <c r="A286" s="199" t="str">
        <f>IFERROR(IF($A285+1&gt;'(backend scoring)'!$T$335,"",$A285+1),"")</f>
        <v/>
      </c>
      <c r="B286" s="199" t="str">
        <f>_xlfn.XLOOKUP($A286,'(backend scoring)'!$V$2:$V$333,'(backend scoring)'!$A$2:$A$333,"")</f>
        <v/>
      </c>
      <c r="C286" s="199" t="str">
        <f>IFERROR(VLOOKUP($B286,'Institution Evaluation'!$A$55:$F$345,2,0),IFERROR(VLOOKUP($B286,'Privacy Analyst Evaluation'!$A$46:$F$120,2,0),""))&amp;""</f>
        <v/>
      </c>
      <c r="D286" s="199" t="str">
        <f>IFERROR(VLOOKUP($B286,'Institution Evaluation'!$A$55:$F$345,3,0),IFERROR(VLOOKUP($B286,'Privacy Analyst Evaluation'!$A$46:$F$120,3,0),""))&amp;""</f>
        <v/>
      </c>
      <c r="E286" s="199" t="str">
        <f>IFERROR(VLOOKUP($B286,'Institution Evaluation'!$A$55:$F$345,4,0),IFERROR(VLOOKUP($B286,'Privacy Analyst Evaluation'!$A$46:$F$120,4,0),""))&amp;""</f>
        <v/>
      </c>
      <c r="F286" s="199" t="str">
        <f>IFERROR(VLOOKUP($B286,'Institution Evaluation'!$A$55:$F$345,6,0),IFERROR(VLOOKUP($B286,'Privacy Analyst Evaluation'!$A$46:$F$120,6,0),""))&amp;""</f>
        <v/>
      </c>
      <c r="G286" s="200"/>
      <c r="H286" s="199" t="str">
        <f>IFERROR(IF($H285+1&gt;'(backend scoring)'!$Q$335,"",$H285+1),"")</f>
        <v/>
      </c>
      <c r="I286" s="199" t="str">
        <f>_xlfn.XLOOKUP($H286,'(backend scoring)'!$S$2:$S$333,'(backend scoring)'!$A$2:$A$333,"")</f>
        <v/>
      </c>
      <c r="J286" s="199" t="str">
        <f>IFERROR(VLOOKUP($I286,'Institution Evaluation'!$A$55:$F$345,2,0),IFERROR(VLOOKUP($I286,'Privacy Analyst Evaluation'!$A$46:$F$120,2,0),""))</f>
        <v/>
      </c>
      <c r="K286" s="199" t="str">
        <f>IFERROR(VLOOKUP($I286,'Institution Evaluation'!$A$55:$F$345,3,0),IFERROR(VLOOKUP($I286,'Privacy Analyst Evaluation'!$A$46:$F$120,3,0),""))&amp;""</f>
        <v/>
      </c>
      <c r="L286" s="199" t="str">
        <f>IFERROR(VLOOKUP($I286,'Institution Evaluation'!$A$55:$F$345,4,0),IFERROR(VLOOKUP($I286,'Privacy Analyst Evaluation'!$A$46:$F$120,4,0),""))&amp;""</f>
        <v/>
      </c>
      <c r="M286" s="199" t="str">
        <f>IFERROR(VLOOKUP($I286,'Institution Evaluation'!$A$55:$F$345,6,0),IFERROR(VLOOKUP($I286,'Privacy Analyst Evaluation'!$A$46:$F$120,6,0),""))&amp;""</f>
        <v/>
      </c>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row>
    <row r="287" spans="1:338" ht="17" x14ac:dyDescent="0.2">
      <c r="A287" s="199" t="str">
        <f>IFERROR(IF($A286+1&gt;'(backend scoring)'!$T$335,"",$A286+1),"")</f>
        <v/>
      </c>
      <c r="B287" s="199" t="str">
        <f>_xlfn.XLOOKUP($A287,'(backend scoring)'!$V$2:$V$333,'(backend scoring)'!$A$2:$A$333,"")</f>
        <v/>
      </c>
      <c r="C287" s="199" t="str">
        <f>IFERROR(VLOOKUP($B287,'Institution Evaluation'!$A$55:$F$345,2,0),IFERROR(VLOOKUP($B287,'Privacy Analyst Evaluation'!$A$46:$F$120,2,0),""))&amp;""</f>
        <v/>
      </c>
      <c r="D287" s="199" t="str">
        <f>IFERROR(VLOOKUP($B287,'Institution Evaluation'!$A$55:$F$345,3,0),IFERROR(VLOOKUP($B287,'Privacy Analyst Evaluation'!$A$46:$F$120,3,0),""))&amp;""</f>
        <v/>
      </c>
      <c r="E287" s="199" t="str">
        <f>IFERROR(VLOOKUP($B287,'Institution Evaluation'!$A$55:$F$345,4,0),IFERROR(VLOOKUP($B287,'Privacy Analyst Evaluation'!$A$46:$F$120,4,0),""))&amp;""</f>
        <v/>
      </c>
      <c r="F287" s="199" t="str">
        <f>IFERROR(VLOOKUP($B287,'Institution Evaluation'!$A$55:$F$345,6,0),IFERROR(VLOOKUP($B287,'Privacy Analyst Evaluation'!$A$46:$F$120,6,0),""))&amp;""</f>
        <v/>
      </c>
      <c r="G287" s="200"/>
      <c r="H287" s="199" t="str">
        <f>IFERROR(IF($H286+1&gt;'(backend scoring)'!$Q$335,"",$H286+1),"")</f>
        <v/>
      </c>
      <c r="I287" s="199" t="str">
        <f>_xlfn.XLOOKUP($H287,'(backend scoring)'!$S$2:$S$333,'(backend scoring)'!$A$2:$A$333,"")</f>
        <v/>
      </c>
      <c r="J287" s="199" t="str">
        <f>IFERROR(VLOOKUP($I287,'Institution Evaluation'!$A$55:$F$345,2,0),IFERROR(VLOOKUP($I287,'Privacy Analyst Evaluation'!$A$46:$F$120,2,0),""))</f>
        <v/>
      </c>
      <c r="K287" s="199" t="str">
        <f>IFERROR(VLOOKUP($I287,'Institution Evaluation'!$A$55:$F$345,3,0),IFERROR(VLOOKUP($I287,'Privacy Analyst Evaluation'!$A$46:$F$120,3,0),""))&amp;""</f>
        <v/>
      </c>
      <c r="L287" s="199" t="str">
        <f>IFERROR(VLOOKUP($I287,'Institution Evaluation'!$A$55:$F$345,4,0),IFERROR(VLOOKUP($I287,'Privacy Analyst Evaluation'!$A$46:$F$120,4,0),""))&amp;""</f>
        <v/>
      </c>
      <c r="M287" s="199" t="str">
        <f>IFERROR(VLOOKUP($I287,'Institution Evaluation'!$A$55:$F$345,6,0),IFERROR(VLOOKUP($I287,'Privacy Analyst Evaluation'!$A$46:$F$120,6,0),""))&amp;""</f>
        <v/>
      </c>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c r="GU287"/>
      <c r="GV287"/>
      <c r="GW287"/>
      <c r="GX287"/>
      <c r="GY287"/>
      <c r="GZ287"/>
      <c r="HA287"/>
      <c r="HB287"/>
      <c r="HC287"/>
      <c r="HD287"/>
      <c r="HE287"/>
      <c r="HF287"/>
      <c r="HG287"/>
      <c r="HH287"/>
      <c r="HI287"/>
      <c r="HJ287"/>
      <c r="HK287"/>
      <c r="HL287"/>
      <c r="HM287"/>
      <c r="HN287"/>
      <c r="HO287"/>
      <c r="HP287"/>
      <c r="HQ287"/>
      <c r="HR287"/>
      <c r="HS287"/>
      <c r="HT287"/>
      <c r="HU287"/>
      <c r="HV287"/>
      <c r="HW287"/>
      <c r="HX287"/>
      <c r="HY287"/>
      <c r="HZ287"/>
      <c r="IA287"/>
      <c r="IB287"/>
      <c r="IC287"/>
      <c r="ID287"/>
      <c r="IE287"/>
      <c r="IF287"/>
      <c r="IG287"/>
      <c r="IH287"/>
      <c r="II287"/>
      <c r="IJ287"/>
      <c r="IK287"/>
      <c r="IL287"/>
      <c r="IM287"/>
      <c r="IN287"/>
      <c r="IO287"/>
      <c r="IP287"/>
      <c r="IQ287"/>
      <c r="IR287"/>
      <c r="IS287"/>
      <c r="IT287"/>
      <c r="IU287"/>
      <c r="IV287"/>
      <c r="IW287"/>
      <c r="IX287"/>
      <c r="IY287"/>
      <c r="IZ287"/>
      <c r="JA287"/>
      <c r="JB287"/>
      <c r="JC287"/>
      <c r="JD287"/>
      <c r="JE287"/>
      <c r="JF287"/>
      <c r="JG287"/>
      <c r="JH287"/>
      <c r="JI287"/>
      <c r="JJ287"/>
      <c r="JK287"/>
      <c r="JL287"/>
      <c r="JM287"/>
      <c r="JN287"/>
      <c r="JO287"/>
      <c r="JP287"/>
      <c r="JQ287"/>
      <c r="JR287"/>
      <c r="JS287"/>
      <c r="JT287"/>
      <c r="JU287"/>
      <c r="JV287"/>
      <c r="JW287"/>
      <c r="JX287"/>
      <c r="JY287"/>
      <c r="JZ287"/>
      <c r="KA287"/>
      <c r="KB287"/>
      <c r="KC287"/>
      <c r="KD287"/>
      <c r="KE287"/>
      <c r="KF287"/>
      <c r="KG287"/>
      <c r="KH287"/>
      <c r="KI287"/>
      <c r="KJ287"/>
      <c r="KK287"/>
      <c r="KL287"/>
      <c r="KM287"/>
      <c r="KN287"/>
      <c r="KO287"/>
      <c r="KP287"/>
      <c r="KQ287"/>
      <c r="KR287"/>
      <c r="KS287"/>
      <c r="KT287"/>
      <c r="KU287"/>
      <c r="KV287"/>
      <c r="KW287"/>
      <c r="KX287"/>
      <c r="KY287"/>
      <c r="KZ287"/>
      <c r="LA287"/>
      <c r="LB287"/>
      <c r="LC287"/>
      <c r="LD287"/>
      <c r="LE287"/>
      <c r="LF287"/>
      <c r="LG287"/>
      <c r="LH287"/>
      <c r="LI287"/>
      <c r="LJ287"/>
      <c r="LK287"/>
      <c r="LL287"/>
      <c r="LM287"/>
      <c r="LN287"/>
      <c r="LO287"/>
      <c r="LP287"/>
      <c r="LQ287"/>
      <c r="LR287"/>
      <c r="LS287"/>
      <c r="LT287"/>
      <c r="LU287"/>
      <c r="LV287"/>
      <c r="LW287"/>
      <c r="LX287"/>
      <c r="LY287"/>
      <c r="LZ287"/>
    </row>
    <row r="288" spans="1:338" ht="17" x14ac:dyDescent="0.2">
      <c r="A288" s="199" t="str">
        <f>IFERROR(IF($A287+1&gt;'(backend scoring)'!$T$335,"",$A287+1),"")</f>
        <v/>
      </c>
      <c r="B288" s="199" t="str">
        <f>_xlfn.XLOOKUP($A288,'(backend scoring)'!$V$2:$V$333,'(backend scoring)'!$A$2:$A$333,"")</f>
        <v/>
      </c>
      <c r="C288" s="199" t="str">
        <f>IFERROR(VLOOKUP($B288,'Institution Evaluation'!$A$55:$F$345,2,0),IFERROR(VLOOKUP($B288,'Privacy Analyst Evaluation'!$A$46:$F$120,2,0),""))&amp;""</f>
        <v/>
      </c>
      <c r="D288" s="199" t="str">
        <f>IFERROR(VLOOKUP($B288,'Institution Evaluation'!$A$55:$F$345,3,0),IFERROR(VLOOKUP($B288,'Privacy Analyst Evaluation'!$A$46:$F$120,3,0),""))&amp;""</f>
        <v/>
      </c>
      <c r="E288" s="199" t="str">
        <f>IFERROR(VLOOKUP($B288,'Institution Evaluation'!$A$55:$F$345,4,0),IFERROR(VLOOKUP($B288,'Privacy Analyst Evaluation'!$A$46:$F$120,4,0),""))&amp;""</f>
        <v/>
      </c>
      <c r="F288" s="199" t="str">
        <f>IFERROR(VLOOKUP($B288,'Institution Evaluation'!$A$55:$F$345,6,0),IFERROR(VLOOKUP($B288,'Privacy Analyst Evaluation'!$A$46:$F$120,6,0),""))&amp;""</f>
        <v/>
      </c>
      <c r="G288" s="200"/>
      <c r="H288" s="199" t="str">
        <f>IFERROR(IF($H287+1&gt;'(backend scoring)'!$Q$335,"",$H287+1),"")</f>
        <v/>
      </c>
      <c r="I288" s="199" t="str">
        <f>_xlfn.XLOOKUP($H288,'(backend scoring)'!$S$2:$S$333,'(backend scoring)'!$A$2:$A$333,"")</f>
        <v/>
      </c>
      <c r="J288" s="199" t="str">
        <f>IFERROR(VLOOKUP($I288,'Institution Evaluation'!$A$55:$F$345,2,0),IFERROR(VLOOKUP($I288,'Privacy Analyst Evaluation'!$A$46:$F$120,2,0),""))</f>
        <v/>
      </c>
      <c r="K288" s="199" t="str">
        <f>IFERROR(VLOOKUP($I288,'Institution Evaluation'!$A$55:$F$345,3,0),IFERROR(VLOOKUP($I288,'Privacy Analyst Evaluation'!$A$46:$F$120,3,0),""))&amp;""</f>
        <v/>
      </c>
      <c r="L288" s="199" t="str">
        <f>IFERROR(VLOOKUP($I288,'Institution Evaluation'!$A$55:$F$345,4,0),IFERROR(VLOOKUP($I288,'Privacy Analyst Evaluation'!$A$46:$F$120,4,0),""))&amp;""</f>
        <v/>
      </c>
      <c r="M288" s="199" t="str">
        <f>IFERROR(VLOOKUP($I288,'Institution Evaluation'!$A$55:$F$345,6,0),IFERROR(VLOOKUP($I288,'Privacy Analyst Evaluation'!$A$46:$F$120,6,0),""))&amp;""</f>
        <v/>
      </c>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row>
    <row r="289" spans="1:338" ht="17" x14ac:dyDescent="0.2">
      <c r="A289" s="199" t="str">
        <f>IFERROR(IF($A288+1&gt;'(backend scoring)'!$T$335,"",$A288+1),"")</f>
        <v/>
      </c>
      <c r="B289" s="199" t="str">
        <f>_xlfn.XLOOKUP($A289,'(backend scoring)'!$V$2:$V$333,'(backend scoring)'!$A$2:$A$333,"")</f>
        <v/>
      </c>
      <c r="C289" s="199" t="str">
        <f>IFERROR(VLOOKUP($B289,'Institution Evaluation'!$A$55:$F$345,2,0),IFERROR(VLOOKUP($B289,'Privacy Analyst Evaluation'!$A$46:$F$120,2,0),""))&amp;""</f>
        <v/>
      </c>
      <c r="D289" s="199" t="str">
        <f>IFERROR(VLOOKUP($B289,'Institution Evaluation'!$A$55:$F$345,3,0),IFERROR(VLOOKUP($B289,'Privacy Analyst Evaluation'!$A$46:$F$120,3,0),""))&amp;""</f>
        <v/>
      </c>
      <c r="E289" s="199" t="str">
        <f>IFERROR(VLOOKUP($B289,'Institution Evaluation'!$A$55:$F$345,4,0),IFERROR(VLOOKUP($B289,'Privacy Analyst Evaluation'!$A$46:$F$120,4,0),""))&amp;""</f>
        <v/>
      </c>
      <c r="F289" s="199" t="str">
        <f>IFERROR(VLOOKUP($B289,'Institution Evaluation'!$A$55:$F$345,6,0),IFERROR(VLOOKUP($B289,'Privacy Analyst Evaluation'!$A$46:$F$120,6,0),""))&amp;""</f>
        <v/>
      </c>
      <c r="G289" s="200"/>
      <c r="H289" s="199" t="str">
        <f>IFERROR(IF($H288+1&gt;'(backend scoring)'!$Q$335,"",$H288+1),"")</f>
        <v/>
      </c>
      <c r="I289" s="199" t="str">
        <f>_xlfn.XLOOKUP($H289,'(backend scoring)'!$S$2:$S$333,'(backend scoring)'!$A$2:$A$333,"")</f>
        <v/>
      </c>
      <c r="J289" s="199" t="str">
        <f>IFERROR(VLOOKUP($I289,'Institution Evaluation'!$A$55:$F$345,2,0),IFERROR(VLOOKUP($I289,'Privacy Analyst Evaluation'!$A$46:$F$120,2,0),""))</f>
        <v/>
      </c>
      <c r="K289" s="199" t="str">
        <f>IFERROR(VLOOKUP($I289,'Institution Evaluation'!$A$55:$F$345,3,0),IFERROR(VLOOKUP($I289,'Privacy Analyst Evaluation'!$A$46:$F$120,3,0),""))&amp;""</f>
        <v/>
      </c>
      <c r="L289" s="199" t="str">
        <f>IFERROR(VLOOKUP($I289,'Institution Evaluation'!$A$55:$F$345,4,0),IFERROR(VLOOKUP($I289,'Privacy Analyst Evaluation'!$A$46:$F$120,4,0),""))&amp;""</f>
        <v/>
      </c>
      <c r="M289" s="199" t="str">
        <f>IFERROR(VLOOKUP($I289,'Institution Evaluation'!$A$55:$F$345,6,0),IFERROR(VLOOKUP($I289,'Privacy Analyst Evaluation'!$A$46:$F$120,6,0),""))&amp;""</f>
        <v/>
      </c>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row>
    <row r="290" spans="1:338" ht="17" x14ac:dyDescent="0.2">
      <c r="A290" s="199" t="str">
        <f>IFERROR(IF($A289+1&gt;'(backend scoring)'!$T$335,"",$A289+1),"")</f>
        <v/>
      </c>
      <c r="B290" s="199" t="str">
        <f>_xlfn.XLOOKUP($A290,'(backend scoring)'!$V$2:$V$333,'(backend scoring)'!$A$2:$A$333,"")</f>
        <v/>
      </c>
      <c r="C290" s="199" t="str">
        <f>IFERROR(VLOOKUP($B290,'Institution Evaluation'!$A$55:$F$345,2,0),IFERROR(VLOOKUP($B290,'Privacy Analyst Evaluation'!$A$46:$F$120,2,0),""))&amp;""</f>
        <v/>
      </c>
      <c r="D290" s="199" t="str">
        <f>IFERROR(VLOOKUP($B290,'Institution Evaluation'!$A$55:$F$345,3,0),IFERROR(VLOOKUP($B290,'Privacy Analyst Evaluation'!$A$46:$F$120,3,0),""))&amp;""</f>
        <v/>
      </c>
      <c r="E290" s="199" t="str">
        <f>IFERROR(VLOOKUP($B290,'Institution Evaluation'!$A$55:$F$345,4,0),IFERROR(VLOOKUP($B290,'Privacy Analyst Evaluation'!$A$46:$F$120,4,0),""))&amp;""</f>
        <v/>
      </c>
      <c r="F290" s="199" t="str">
        <f>IFERROR(VLOOKUP($B290,'Institution Evaluation'!$A$55:$F$345,6,0),IFERROR(VLOOKUP($B290,'Privacy Analyst Evaluation'!$A$46:$F$120,6,0),""))&amp;""</f>
        <v/>
      </c>
      <c r="G290" s="200"/>
      <c r="H290" s="199" t="str">
        <f>IFERROR(IF($H289+1&gt;'(backend scoring)'!$Q$335,"",$H289+1),"")</f>
        <v/>
      </c>
      <c r="I290" s="199" t="str">
        <f>_xlfn.XLOOKUP($H290,'(backend scoring)'!$S$2:$S$333,'(backend scoring)'!$A$2:$A$333,"")</f>
        <v/>
      </c>
      <c r="J290" s="199" t="str">
        <f>IFERROR(VLOOKUP($I290,'Institution Evaluation'!$A$55:$F$345,2,0),IFERROR(VLOOKUP($I290,'Privacy Analyst Evaluation'!$A$46:$F$120,2,0),""))</f>
        <v/>
      </c>
      <c r="K290" s="199" t="str">
        <f>IFERROR(VLOOKUP($I290,'Institution Evaluation'!$A$55:$F$345,3,0),IFERROR(VLOOKUP($I290,'Privacy Analyst Evaluation'!$A$46:$F$120,3,0),""))&amp;""</f>
        <v/>
      </c>
      <c r="L290" s="199" t="str">
        <f>IFERROR(VLOOKUP($I290,'Institution Evaluation'!$A$55:$F$345,4,0),IFERROR(VLOOKUP($I290,'Privacy Analyst Evaluation'!$A$46:$F$120,4,0),""))&amp;""</f>
        <v/>
      </c>
      <c r="M290" s="199" t="str">
        <f>IFERROR(VLOOKUP($I290,'Institution Evaluation'!$A$55:$F$345,6,0),IFERROR(VLOOKUP($I290,'Privacy Analyst Evaluation'!$A$46:$F$120,6,0),""))&amp;""</f>
        <v/>
      </c>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row>
    <row r="291" spans="1:338" ht="17" x14ac:dyDescent="0.2">
      <c r="A291" s="199" t="str">
        <f>IFERROR(IF($A290+1&gt;'(backend scoring)'!$T$335,"",$A290+1),"")</f>
        <v/>
      </c>
      <c r="B291" s="199" t="str">
        <f>_xlfn.XLOOKUP($A291,'(backend scoring)'!$V$2:$V$333,'(backend scoring)'!$A$2:$A$333,"")</f>
        <v/>
      </c>
      <c r="C291" s="199" t="str">
        <f>IFERROR(VLOOKUP($B291,'Institution Evaluation'!$A$55:$F$345,2,0),IFERROR(VLOOKUP($B291,'Privacy Analyst Evaluation'!$A$46:$F$120,2,0),""))&amp;""</f>
        <v/>
      </c>
      <c r="D291" s="199" t="str">
        <f>IFERROR(VLOOKUP($B291,'Institution Evaluation'!$A$55:$F$345,3,0),IFERROR(VLOOKUP($B291,'Privacy Analyst Evaluation'!$A$46:$F$120,3,0),""))&amp;""</f>
        <v/>
      </c>
      <c r="E291" s="199" t="str">
        <f>IFERROR(VLOOKUP($B291,'Institution Evaluation'!$A$55:$F$345,4,0),IFERROR(VLOOKUP($B291,'Privacy Analyst Evaluation'!$A$46:$F$120,4,0),""))&amp;""</f>
        <v/>
      </c>
      <c r="F291" s="199" t="str">
        <f>IFERROR(VLOOKUP($B291,'Institution Evaluation'!$A$55:$F$345,6,0),IFERROR(VLOOKUP($B291,'Privacy Analyst Evaluation'!$A$46:$F$120,6,0),""))&amp;""</f>
        <v/>
      </c>
      <c r="G291" s="200"/>
      <c r="H291" s="199" t="str">
        <f>IFERROR(IF($H290+1&gt;'(backend scoring)'!$Q$335,"",$H290+1),"")</f>
        <v/>
      </c>
      <c r="I291" s="199" t="str">
        <f>_xlfn.XLOOKUP($H291,'(backend scoring)'!$S$2:$S$333,'(backend scoring)'!$A$2:$A$333,"")</f>
        <v/>
      </c>
      <c r="J291" s="199" t="str">
        <f>IFERROR(VLOOKUP($I291,'Institution Evaluation'!$A$55:$F$345,2,0),IFERROR(VLOOKUP($I291,'Privacy Analyst Evaluation'!$A$46:$F$120,2,0),""))</f>
        <v/>
      </c>
      <c r="K291" s="199" t="str">
        <f>IFERROR(VLOOKUP($I291,'Institution Evaluation'!$A$55:$F$345,3,0),IFERROR(VLOOKUP($I291,'Privacy Analyst Evaluation'!$A$46:$F$120,3,0),""))&amp;""</f>
        <v/>
      </c>
      <c r="L291" s="199" t="str">
        <f>IFERROR(VLOOKUP($I291,'Institution Evaluation'!$A$55:$F$345,4,0),IFERROR(VLOOKUP($I291,'Privacy Analyst Evaluation'!$A$46:$F$120,4,0),""))&amp;""</f>
        <v/>
      </c>
      <c r="M291" s="199" t="str">
        <f>IFERROR(VLOOKUP($I291,'Institution Evaluation'!$A$55:$F$345,6,0),IFERROR(VLOOKUP($I291,'Privacy Analyst Evaluation'!$A$46:$F$120,6,0),""))&amp;""</f>
        <v/>
      </c>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c r="GU291"/>
      <c r="GV291"/>
      <c r="GW291"/>
      <c r="GX291"/>
      <c r="GY291"/>
      <c r="GZ291"/>
      <c r="HA291"/>
      <c r="HB291"/>
      <c r="HC291"/>
      <c r="HD291"/>
      <c r="HE291"/>
      <c r="HF291"/>
      <c r="HG291"/>
      <c r="HH291"/>
      <c r="HI291"/>
      <c r="HJ291"/>
      <c r="HK291"/>
      <c r="HL291"/>
      <c r="HM291"/>
      <c r="HN291"/>
      <c r="HO291"/>
      <c r="HP291"/>
      <c r="HQ291"/>
      <c r="HR291"/>
      <c r="HS291"/>
      <c r="HT291"/>
      <c r="HU291"/>
      <c r="HV291"/>
      <c r="HW291"/>
      <c r="HX291"/>
      <c r="HY291"/>
      <c r="HZ291"/>
      <c r="IA291"/>
      <c r="IB291"/>
      <c r="IC291"/>
      <c r="ID291"/>
      <c r="IE291"/>
      <c r="IF291"/>
      <c r="IG291"/>
      <c r="IH291"/>
      <c r="II291"/>
      <c r="IJ291"/>
      <c r="IK291"/>
      <c r="IL291"/>
      <c r="IM291"/>
      <c r="IN291"/>
      <c r="IO291"/>
      <c r="IP291"/>
      <c r="IQ291"/>
      <c r="IR291"/>
      <c r="IS291"/>
      <c r="IT291"/>
      <c r="IU291"/>
      <c r="IV291"/>
      <c r="IW291"/>
      <c r="IX291"/>
      <c r="IY291"/>
      <c r="IZ291"/>
      <c r="JA291"/>
      <c r="JB291"/>
      <c r="JC291"/>
      <c r="JD291"/>
      <c r="JE291"/>
      <c r="JF291"/>
      <c r="JG291"/>
      <c r="JH291"/>
      <c r="JI291"/>
      <c r="JJ291"/>
      <c r="JK291"/>
      <c r="JL291"/>
      <c r="JM291"/>
      <c r="JN291"/>
      <c r="JO291"/>
      <c r="JP291"/>
      <c r="JQ291"/>
      <c r="JR291"/>
      <c r="JS291"/>
      <c r="JT291"/>
      <c r="JU291"/>
      <c r="JV291"/>
      <c r="JW291"/>
      <c r="JX291"/>
      <c r="JY291"/>
      <c r="JZ291"/>
      <c r="KA291"/>
      <c r="KB291"/>
      <c r="KC291"/>
      <c r="KD291"/>
      <c r="KE291"/>
      <c r="KF291"/>
      <c r="KG291"/>
      <c r="KH291"/>
      <c r="KI291"/>
      <c r="KJ291"/>
      <c r="KK291"/>
      <c r="KL291"/>
      <c r="KM291"/>
      <c r="KN291"/>
      <c r="KO291"/>
      <c r="KP291"/>
      <c r="KQ291"/>
      <c r="KR291"/>
      <c r="KS291"/>
      <c r="KT291"/>
      <c r="KU291"/>
      <c r="KV291"/>
      <c r="KW291"/>
      <c r="KX291"/>
      <c r="KY291"/>
      <c r="KZ291"/>
      <c r="LA291"/>
      <c r="LB291"/>
      <c r="LC291"/>
      <c r="LD291"/>
      <c r="LE291"/>
      <c r="LF291"/>
      <c r="LG291"/>
      <c r="LH291"/>
      <c r="LI291"/>
      <c r="LJ291"/>
      <c r="LK291"/>
      <c r="LL291"/>
      <c r="LM291"/>
      <c r="LN291"/>
      <c r="LO291"/>
      <c r="LP291"/>
      <c r="LQ291"/>
      <c r="LR291"/>
      <c r="LS291"/>
      <c r="LT291"/>
      <c r="LU291"/>
      <c r="LV291"/>
      <c r="LW291"/>
      <c r="LX291"/>
      <c r="LY291"/>
      <c r="LZ291"/>
    </row>
    <row r="292" spans="1:338" ht="17" x14ac:dyDescent="0.2">
      <c r="A292" s="199" t="str">
        <f>IFERROR(IF($A291+1&gt;'(backend scoring)'!$T$335,"",$A291+1),"")</f>
        <v/>
      </c>
      <c r="B292" s="199" t="str">
        <f>_xlfn.XLOOKUP($A292,'(backend scoring)'!$V$2:$V$333,'(backend scoring)'!$A$2:$A$333,"")</f>
        <v/>
      </c>
      <c r="C292" s="199" t="str">
        <f>IFERROR(VLOOKUP($B292,'Institution Evaluation'!$A$55:$F$345,2,0),IFERROR(VLOOKUP($B292,'Privacy Analyst Evaluation'!$A$46:$F$120,2,0),""))&amp;""</f>
        <v/>
      </c>
      <c r="D292" s="199" t="str">
        <f>IFERROR(VLOOKUP($B292,'Institution Evaluation'!$A$55:$F$345,3,0),IFERROR(VLOOKUP($B292,'Privacy Analyst Evaluation'!$A$46:$F$120,3,0),""))&amp;""</f>
        <v/>
      </c>
      <c r="E292" s="199" t="str">
        <f>IFERROR(VLOOKUP($B292,'Institution Evaluation'!$A$55:$F$345,4,0),IFERROR(VLOOKUP($B292,'Privacy Analyst Evaluation'!$A$46:$F$120,4,0),""))&amp;""</f>
        <v/>
      </c>
      <c r="F292" s="199" t="str">
        <f>IFERROR(VLOOKUP($B292,'Institution Evaluation'!$A$55:$F$345,6,0),IFERROR(VLOOKUP($B292,'Privacy Analyst Evaluation'!$A$46:$F$120,6,0),""))&amp;""</f>
        <v/>
      </c>
      <c r="G292" s="200"/>
      <c r="H292" s="199" t="str">
        <f>IFERROR(IF($H291+1&gt;'(backend scoring)'!$Q$335,"",$H291+1),"")</f>
        <v/>
      </c>
      <c r="I292" s="199" t="str">
        <f>_xlfn.XLOOKUP($H292,'(backend scoring)'!$S$2:$S$333,'(backend scoring)'!$A$2:$A$333,"")</f>
        <v/>
      </c>
      <c r="J292" s="199" t="str">
        <f>IFERROR(VLOOKUP($I292,'Institution Evaluation'!$A$55:$F$345,2,0),IFERROR(VLOOKUP($I292,'Privacy Analyst Evaluation'!$A$46:$F$120,2,0),""))</f>
        <v/>
      </c>
      <c r="K292" s="199" t="str">
        <f>IFERROR(VLOOKUP($I292,'Institution Evaluation'!$A$55:$F$345,3,0),IFERROR(VLOOKUP($I292,'Privacy Analyst Evaluation'!$A$46:$F$120,3,0),""))&amp;""</f>
        <v/>
      </c>
      <c r="L292" s="199" t="str">
        <f>IFERROR(VLOOKUP($I292,'Institution Evaluation'!$A$55:$F$345,4,0),IFERROR(VLOOKUP($I292,'Privacy Analyst Evaluation'!$A$46:$F$120,4,0),""))&amp;""</f>
        <v/>
      </c>
      <c r="M292" s="199" t="str">
        <f>IFERROR(VLOOKUP($I292,'Institution Evaluation'!$A$55:$F$345,6,0),IFERROR(VLOOKUP($I292,'Privacy Analyst Evaluation'!$A$46:$F$120,6,0),""))&amp;""</f>
        <v/>
      </c>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row>
    <row r="293" spans="1:338" ht="17" x14ac:dyDescent="0.2">
      <c r="A293" s="199" t="str">
        <f>IFERROR(IF($A292+1&gt;'(backend scoring)'!$T$335,"",$A292+1),"")</f>
        <v/>
      </c>
      <c r="B293" s="199" t="str">
        <f>_xlfn.XLOOKUP($A293,'(backend scoring)'!$V$2:$V$333,'(backend scoring)'!$A$2:$A$333,"")</f>
        <v/>
      </c>
      <c r="C293" s="199" t="str">
        <f>IFERROR(VLOOKUP($B293,'Institution Evaluation'!$A$55:$F$345,2,0),IFERROR(VLOOKUP($B293,'Privacy Analyst Evaluation'!$A$46:$F$120,2,0),""))&amp;""</f>
        <v/>
      </c>
      <c r="D293" s="199" t="str">
        <f>IFERROR(VLOOKUP($B293,'Institution Evaluation'!$A$55:$F$345,3,0),IFERROR(VLOOKUP($B293,'Privacy Analyst Evaluation'!$A$46:$F$120,3,0),""))&amp;""</f>
        <v/>
      </c>
      <c r="E293" s="199" t="str">
        <f>IFERROR(VLOOKUP($B293,'Institution Evaluation'!$A$55:$F$345,4,0),IFERROR(VLOOKUP($B293,'Privacy Analyst Evaluation'!$A$46:$F$120,4,0),""))&amp;""</f>
        <v/>
      </c>
      <c r="F293" s="199" t="str">
        <f>IFERROR(VLOOKUP($B293,'Institution Evaluation'!$A$55:$F$345,6,0),IFERROR(VLOOKUP($B293,'Privacy Analyst Evaluation'!$A$46:$F$120,6,0),""))&amp;""</f>
        <v/>
      </c>
      <c r="G293" s="200"/>
      <c r="H293" s="199" t="str">
        <f>IFERROR(IF($H292+1&gt;'(backend scoring)'!$Q$335,"",$H292+1),"")</f>
        <v/>
      </c>
      <c r="I293" s="199" t="str">
        <f>_xlfn.XLOOKUP($H293,'(backend scoring)'!$S$2:$S$333,'(backend scoring)'!$A$2:$A$333,"")</f>
        <v/>
      </c>
      <c r="J293" s="199" t="str">
        <f>IFERROR(VLOOKUP($I293,'Institution Evaluation'!$A$55:$F$345,2,0),IFERROR(VLOOKUP($I293,'Privacy Analyst Evaluation'!$A$46:$F$120,2,0),""))</f>
        <v/>
      </c>
      <c r="K293" s="199" t="str">
        <f>IFERROR(VLOOKUP($I293,'Institution Evaluation'!$A$55:$F$345,3,0),IFERROR(VLOOKUP($I293,'Privacy Analyst Evaluation'!$A$46:$F$120,3,0),""))&amp;""</f>
        <v/>
      </c>
      <c r="L293" s="199" t="str">
        <f>IFERROR(VLOOKUP($I293,'Institution Evaluation'!$A$55:$F$345,4,0),IFERROR(VLOOKUP($I293,'Privacy Analyst Evaluation'!$A$46:$F$120,4,0),""))&amp;""</f>
        <v/>
      </c>
      <c r="M293" s="199" t="str">
        <f>IFERROR(VLOOKUP($I293,'Institution Evaluation'!$A$55:$F$345,6,0),IFERROR(VLOOKUP($I293,'Privacy Analyst Evaluation'!$A$46:$F$120,6,0),""))&amp;""</f>
        <v/>
      </c>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row>
    <row r="294" spans="1:338" ht="17" x14ac:dyDescent="0.2">
      <c r="A294" s="199" t="str">
        <f>IFERROR(IF($A293+1&gt;'(backend scoring)'!$T$335,"",$A293+1),"")</f>
        <v/>
      </c>
      <c r="B294" s="199" t="str">
        <f>_xlfn.XLOOKUP($A294,'(backend scoring)'!$V$2:$V$333,'(backend scoring)'!$A$2:$A$333,"")</f>
        <v/>
      </c>
      <c r="C294" s="199" t="str">
        <f>IFERROR(VLOOKUP($B294,'Institution Evaluation'!$A$55:$F$345,2,0),IFERROR(VLOOKUP($B294,'Privacy Analyst Evaluation'!$A$46:$F$120,2,0),""))&amp;""</f>
        <v/>
      </c>
      <c r="D294" s="199" t="str">
        <f>IFERROR(VLOOKUP($B294,'Institution Evaluation'!$A$55:$F$345,3,0),IFERROR(VLOOKUP($B294,'Privacy Analyst Evaluation'!$A$46:$F$120,3,0),""))&amp;""</f>
        <v/>
      </c>
      <c r="E294" s="199" t="str">
        <f>IFERROR(VLOOKUP($B294,'Institution Evaluation'!$A$55:$F$345,4,0),IFERROR(VLOOKUP($B294,'Privacy Analyst Evaluation'!$A$46:$F$120,4,0),""))&amp;""</f>
        <v/>
      </c>
      <c r="F294" s="199" t="str">
        <f>IFERROR(VLOOKUP($B294,'Institution Evaluation'!$A$55:$F$345,6,0),IFERROR(VLOOKUP($B294,'Privacy Analyst Evaluation'!$A$46:$F$120,6,0),""))&amp;""</f>
        <v/>
      </c>
      <c r="G294" s="200"/>
      <c r="H294" s="199" t="str">
        <f>IFERROR(IF($H293+1&gt;'(backend scoring)'!$Q$335,"",$H293+1),"")</f>
        <v/>
      </c>
      <c r="I294" s="199" t="str">
        <f>_xlfn.XLOOKUP($H294,'(backend scoring)'!$S$2:$S$333,'(backend scoring)'!$A$2:$A$333,"")</f>
        <v/>
      </c>
      <c r="J294" s="199" t="str">
        <f>IFERROR(VLOOKUP($I294,'Institution Evaluation'!$A$55:$F$345,2,0),IFERROR(VLOOKUP($I294,'Privacy Analyst Evaluation'!$A$46:$F$120,2,0),""))</f>
        <v/>
      </c>
      <c r="K294" s="199" t="str">
        <f>IFERROR(VLOOKUP($I294,'Institution Evaluation'!$A$55:$F$345,3,0),IFERROR(VLOOKUP($I294,'Privacy Analyst Evaluation'!$A$46:$F$120,3,0),""))&amp;""</f>
        <v/>
      </c>
      <c r="L294" s="199" t="str">
        <f>IFERROR(VLOOKUP($I294,'Institution Evaluation'!$A$55:$F$345,4,0),IFERROR(VLOOKUP($I294,'Privacy Analyst Evaluation'!$A$46:$F$120,4,0),""))&amp;""</f>
        <v/>
      </c>
      <c r="M294" s="199" t="str">
        <f>IFERROR(VLOOKUP($I294,'Institution Evaluation'!$A$55:$F$345,6,0),IFERROR(VLOOKUP($I294,'Privacy Analyst Evaluation'!$A$46:$F$120,6,0),""))&amp;""</f>
        <v/>
      </c>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c r="GU294"/>
      <c r="GV294"/>
      <c r="GW294"/>
      <c r="GX294"/>
      <c r="GY294"/>
      <c r="GZ294"/>
      <c r="HA294"/>
      <c r="HB294"/>
      <c r="HC294"/>
      <c r="HD294"/>
      <c r="HE294"/>
      <c r="HF294"/>
      <c r="HG294"/>
      <c r="HH294"/>
      <c r="HI294"/>
      <c r="HJ294"/>
      <c r="HK294"/>
      <c r="HL294"/>
      <c r="HM294"/>
      <c r="HN294"/>
      <c r="HO294"/>
      <c r="HP294"/>
      <c r="HQ294"/>
      <c r="HR294"/>
      <c r="HS294"/>
      <c r="HT294"/>
      <c r="HU294"/>
      <c r="HV294"/>
      <c r="HW294"/>
      <c r="HX294"/>
      <c r="HY294"/>
      <c r="HZ294"/>
      <c r="IA294"/>
      <c r="IB294"/>
      <c r="IC294"/>
      <c r="ID294"/>
      <c r="IE294"/>
      <c r="IF294"/>
      <c r="IG294"/>
      <c r="IH294"/>
      <c r="II294"/>
      <c r="IJ294"/>
      <c r="IK294"/>
      <c r="IL294"/>
      <c r="IM294"/>
      <c r="IN294"/>
      <c r="IO294"/>
      <c r="IP294"/>
      <c r="IQ294"/>
      <c r="IR294"/>
      <c r="IS294"/>
      <c r="IT294"/>
      <c r="IU294"/>
      <c r="IV294"/>
      <c r="IW294"/>
      <c r="IX294"/>
      <c r="IY294"/>
      <c r="IZ294"/>
      <c r="JA294"/>
      <c r="JB294"/>
      <c r="JC294"/>
      <c r="JD294"/>
      <c r="JE294"/>
      <c r="JF294"/>
      <c r="JG294"/>
      <c r="JH294"/>
      <c r="JI294"/>
      <c r="JJ294"/>
      <c r="JK294"/>
      <c r="JL294"/>
      <c r="JM294"/>
      <c r="JN294"/>
      <c r="JO294"/>
      <c r="JP294"/>
      <c r="JQ294"/>
      <c r="JR294"/>
      <c r="JS294"/>
      <c r="JT294"/>
      <c r="JU294"/>
      <c r="JV294"/>
      <c r="JW294"/>
      <c r="JX294"/>
      <c r="JY294"/>
      <c r="JZ294"/>
      <c r="KA294"/>
      <c r="KB294"/>
      <c r="KC294"/>
      <c r="KD294"/>
      <c r="KE294"/>
      <c r="KF294"/>
      <c r="KG294"/>
      <c r="KH294"/>
      <c r="KI294"/>
      <c r="KJ294"/>
      <c r="KK294"/>
      <c r="KL294"/>
      <c r="KM294"/>
      <c r="KN294"/>
      <c r="KO294"/>
      <c r="KP294"/>
      <c r="KQ294"/>
      <c r="KR294"/>
      <c r="KS294"/>
      <c r="KT294"/>
      <c r="KU294"/>
      <c r="KV294"/>
      <c r="KW294"/>
      <c r="KX294"/>
      <c r="KY294"/>
      <c r="KZ294"/>
      <c r="LA294"/>
      <c r="LB294"/>
      <c r="LC294"/>
      <c r="LD294"/>
      <c r="LE294"/>
      <c r="LF294"/>
      <c r="LG294"/>
      <c r="LH294"/>
      <c r="LI294"/>
      <c r="LJ294"/>
      <c r="LK294"/>
      <c r="LL294"/>
      <c r="LM294"/>
      <c r="LN294"/>
      <c r="LO294"/>
      <c r="LP294"/>
      <c r="LQ294"/>
      <c r="LR294"/>
      <c r="LS294"/>
      <c r="LT294"/>
      <c r="LU294"/>
      <c r="LV294"/>
      <c r="LW294"/>
      <c r="LX294"/>
      <c r="LY294"/>
      <c r="LZ294"/>
    </row>
    <row r="295" spans="1:338" ht="17" x14ac:dyDescent="0.2">
      <c r="A295" s="199" t="str">
        <f>IFERROR(IF($A294+1&gt;'(backend scoring)'!$T$335,"",$A294+1),"")</f>
        <v/>
      </c>
      <c r="B295" s="199" t="str">
        <f>_xlfn.XLOOKUP($A295,'(backend scoring)'!$V$2:$V$333,'(backend scoring)'!$A$2:$A$333,"")</f>
        <v/>
      </c>
      <c r="C295" s="199" t="str">
        <f>IFERROR(VLOOKUP($B295,'Institution Evaluation'!$A$55:$F$345,2,0),IFERROR(VLOOKUP($B295,'Privacy Analyst Evaluation'!$A$46:$F$120,2,0),""))&amp;""</f>
        <v/>
      </c>
      <c r="D295" s="199" t="str">
        <f>IFERROR(VLOOKUP($B295,'Institution Evaluation'!$A$55:$F$345,3,0),IFERROR(VLOOKUP($B295,'Privacy Analyst Evaluation'!$A$46:$F$120,3,0),""))&amp;""</f>
        <v/>
      </c>
      <c r="E295" s="199" t="str">
        <f>IFERROR(VLOOKUP($B295,'Institution Evaluation'!$A$55:$F$345,4,0),IFERROR(VLOOKUP($B295,'Privacy Analyst Evaluation'!$A$46:$F$120,4,0),""))&amp;""</f>
        <v/>
      </c>
      <c r="F295" s="199" t="str">
        <f>IFERROR(VLOOKUP($B295,'Institution Evaluation'!$A$55:$F$345,6,0),IFERROR(VLOOKUP($B295,'Privacy Analyst Evaluation'!$A$46:$F$120,6,0),""))&amp;""</f>
        <v/>
      </c>
      <c r="G295" s="200"/>
      <c r="H295" s="199" t="str">
        <f>IFERROR(IF($H294+1&gt;'(backend scoring)'!$Q$335,"",$H294+1),"")</f>
        <v/>
      </c>
      <c r="I295" s="199" t="str">
        <f>_xlfn.XLOOKUP($H295,'(backend scoring)'!$S$2:$S$333,'(backend scoring)'!$A$2:$A$333,"")</f>
        <v/>
      </c>
      <c r="J295" s="199" t="str">
        <f>IFERROR(VLOOKUP($I295,'Institution Evaluation'!$A$55:$F$345,2,0),IFERROR(VLOOKUP($I295,'Privacy Analyst Evaluation'!$A$46:$F$120,2,0),""))</f>
        <v/>
      </c>
      <c r="K295" s="199" t="str">
        <f>IFERROR(VLOOKUP($I295,'Institution Evaluation'!$A$55:$F$345,3,0),IFERROR(VLOOKUP($I295,'Privacy Analyst Evaluation'!$A$46:$F$120,3,0),""))&amp;""</f>
        <v/>
      </c>
      <c r="L295" s="199" t="str">
        <f>IFERROR(VLOOKUP($I295,'Institution Evaluation'!$A$55:$F$345,4,0),IFERROR(VLOOKUP($I295,'Privacy Analyst Evaluation'!$A$46:$F$120,4,0),""))&amp;""</f>
        <v/>
      </c>
      <c r="M295" s="199" t="str">
        <f>IFERROR(VLOOKUP($I295,'Institution Evaluation'!$A$55:$F$345,6,0),IFERROR(VLOOKUP($I295,'Privacy Analyst Evaluation'!$A$46:$F$120,6,0),""))&amp;""</f>
        <v/>
      </c>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row>
    <row r="296" spans="1:338" ht="17" x14ac:dyDescent="0.2">
      <c r="A296" s="199" t="str">
        <f>IFERROR(IF($A295+1&gt;'(backend scoring)'!$T$335,"",$A295+1),"")</f>
        <v/>
      </c>
      <c r="B296" s="199" t="str">
        <f>_xlfn.XLOOKUP($A296,'(backend scoring)'!$V$2:$V$333,'(backend scoring)'!$A$2:$A$333,"")</f>
        <v/>
      </c>
      <c r="C296" s="199" t="str">
        <f>IFERROR(VLOOKUP($B296,'Institution Evaluation'!$A$55:$F$345,2,0),IFERROR(VLOOKUP($B296,'Privacy Analyst Evaluation'!$A$46:$F$120,2,0),""))&amp;""</f>
        <v/>
      </c>
      <c r="D296" s="199" t="str">
        <f>IFERROR(VLOOKUP($B296,'Institution Evaluation'!$A$55:$F$345,3,0),IFERROR(VLOOKUP($B296,'Privacy Analyst Evaluation'!$A$46:$F$120,3,0),""))&amp;""</f>
        <v/>
      </c>
      <c r="E296" s="199" t="str">
        <f>IFERROR(VLOOKUP($B296,'Institution Evaluation'!$A$55:$F$345,4,0),IFERROR(VLOOKUP($B296,'Privacy Analyst Evaluation'!$A$46:$F$120,4,0),""))&amp;""</f>
        <v/>
      </c>
      <c r="F296" s="199" t="str">
        <f>IFERROR(VLOOKUP($B296,'Institution Evaluation'!$A$55:$F$345,6,0),IFERROR(VLOOKUP($B296,'Privacy Analyst Evaluation'!$A$46:$F$120,6,0),""))&amp;""</f>
        <v/>
      </c>
      <c r="G296" s="200"/>
      <c r="H296" s="199" t="str">
        <f>IFERROR(IF($H295+1&gt;'(backend scoring)'!$Q$335,"",$H295+1),"")</f>
        <v/>
      </c>
      <c r="I296" s="199" t="str">
        <f>_xlfn.XLOOKUP($H296,'(backend scoring)'!$S$2:$S$333,'(backend scoring)'!$A$2:$A$333,"")</f>
        <v/>
      </c>
      <c r="J296" s="199" t="str">
        <f>IFERROR(VLOOKUP($I296,'Institution Evaluation'!$A$55:$F$345,2,0),IFERROR(VLOOKUP($I296,'Privacy Analyst Evaluation'!$A$46:$F$120,2,0),""))</f>
        <v/>
      </c>
      <c r="K296" s="199" t="str">
        <f>IFERROR(VLOOKUP($I296,'Institution Evaluation'!$A$55:$F$345,3,0),IFERROR(VLOOKUP($I296,'Privacy Analyst Evaluation'!$A$46:$F$120,3,0),""))&amp;""</f>
        <v/>
      </c>
      <c r="L296" s="199" t="str">
        <f>IFERROR(VLOOKUP($I296,'Institution Evaluation'!$A$55:$F$345,4,0),IFERROR(VLOOKUP($I296,'Privacy Analyst Evaluation'!$A$46:$F$120,4,0),""))&amp;""</f>
        <v/>
      </c>
      <c r="M296" s="199" t="str">
        <f>IFERROR(VLOOKUP($I296,'Institution Evaluation'!$A$55:$F$345,6,0),IFERROR(VLOOKUP($I296,'Privacy Analyst Evaluation'!$A$46:$F$120,6,0),""))&amp;""</f>
        <v/>
      </c>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row>
    <row r="297" spans="1:338" ht="17" x14ac:dyDescent="0.2">
      <c r="A297" s="199" t="str">
        <f>IFERROR(IF($A296+1&gt;'(backend scoring)'!$T$335,"",$A296+1),"")</f>
        <v/>
      </c>
      <c r="B297" s="199" t="str">
        <f>_xlfn.XLOOKUP($A297,'(backend scoring)'!$V$2:$V$333,'(backend scoring)'!$A$2:$A$333,"")</f>
        <v/>
      </c>
      <c r="C297" s="199" t="str">
        <f>IFERROR(VLOOKUP($B297,'Institution Evaluation'!$A$55:$F$345,2,0),IFERROR(VLOOKUP($B297,'Privacy Analyst Evaluation'!$A$46:$F$120,2,0),""))&amp;""</f>
        <v/>
      </c>
      <c r="D297" s="199" t="str">
        <f>IFERROR(VLOOKUP($B297,'Institution Evaluation'!$A$55:$F$345,3,0),IFERROR(VLOOKUP($B297,'Privacy Analyst Evaluation'!$A$46:$F$120,3,0),""))&amp;""</f>
        <v/>
      </c>
      <c r="E297" s="199" t="str">
        <f>IFERROR(VLOOKUP($B297,'Institution Evaluation'!$A$55:$F$345,4,0),IFERROR(VLOOKUP($B297,'Privacy Analyst Evaluation'!$A$46:$F$120,4,0),""))&amp;""</f>
        <v/>
      </c>
      <c r="F297" s="199" t="str">
        <f>IFERROR(VLOOKUP($B297,'Institution Evaluation'!$A$55:$F$345,6,0),IFERROR(VLOOKUP($B297,'Privacy Analyst Evaluation'!$A$46:$F$120,6,0),""))&amp;""</f>
        <v/>
      </c>
      <c r="G297" s="200"/>
      <c r="H297" s="199" t="str">
        <f>IFERROR(IF($H296+1&gt;'(backend scoring)'!$Q$335,"",$H296+1),"")</f>
        <v/>
      </c>
      <c r="I297" s="199" t="str">
        <f>_xlfn.XLOOKUP($H297,'(backend scoring)'!$S$2:$S$333,'(backend scoring)'!$A$2:$A$333,"")</f>
        <v/>
      </c>
      <c r="J297" s="199" t="str">
        <f>IFERROR(VLOOKUP($I297,'Institution Evaluation'!$A$55:$F$345,2,0),IFERROR(VLOOKUP($I297,'Privacy Analyst Evaluation'!$A$46:$F$120,2,0),""))</f>
        <v/>
      </c>
      <c r="K297" s="199" t="str">
        <f>IFERROR(VLOOKUP($I297,'Institution Evaluation'!$A$55:$F$345,3,0),IFERROR(VLOOKUP($I297,'Privacy Analyst Evaluation'!$A$46:$F$120,3,0),""))&amp;""</f>
        <v/>
      </c>
      <c r="L297" s="199" t="str">
        <f>IFERROR(VLOOKUP($I297,'Institution Evaluation'!$A$55:$F$345,4,0),IFERROR(VLOOKUP($I297,'Privacy Analyst Evaluation'!$A$46:$F$120,4,0),""))&amp;""</f>
        <v/>
      </c>
      <c r="M297" s="199" t="str">
        <f>IFERROR(VLOOKUP($I297,'Institution Evaluation'!$A$55:$F$345,6,0),IFERROR(VLOOKUP($I297,'Privacy Analyst Evaluation'!$A$46:$F$120,6,0),""))&amp;""</f>
        <v/>
      </c>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c r="GU297"/>
      <c r="GV297"/>
      <c r="GW297"/>
      <c r="GX297"/>
      <c r="GY297"/>
      <c r="GZ297"/>
      <c r="HA297"/>
      <c r="HB297"/>
      <c r="HC297"/>
      <c r="HD297"/>
      <c r="HE297"/>
      <c r="HF297"/>
      <c r="HG297"/>
      <c r="HH297"/>
      <c r="HI297"/>
      <c r="HJ297"/>
      <c r="HK297"/>
      <c r="HL297"/>
      <c r="HM297"/>
      <c r="HN297"/>
      <c r="HO297"/>
      <c r="HP297"/>
      <c r="HQ297"/>
      <c r="HR297"/>
      <c r="HS297"/>
      <c r="HT297"/>
      <c r="HU297"/>
      <c r="HV297"/>
      <c r="HW297"/>
      <c r="HX297"/>
      <c r="HY297"/>
      <c r="HZ297"/>
      <c r="IA297"/>
      <c r="IB297"/>
      <c r="IC297"/>
      <c r="ID297"/>
      <c r="IE297"/>
      <c r="IF297"/>
      <c r="IG297"/>
      <c r="IH297"/>
      <c r="II297"/>
      <c r="IJ297"/>
      <c r="IK297"/>
      <c r="IL297"/>
      <c r="IM297"/>
      <c r="IN297"/>
      <c r="IO297"/>
      <c r="IP297"/>
      <c r="IQ297"/>
      <c r="IR297"/>
      <c r="IS297"/>
      <c r="IT297"/>
      <c r="IU297"/>
      <c r="IV297"/>
      <c r="IW297"/>
      <c r="IX297"/>
      <c r="IY297"/>
      <c r="IZ297"/>
      <c r="JA297"/>
      <c r="JB297"/>
      <c r="JC297"/>
      <c r="JD297"/>
      <c r="JE297"/>
      <c r="JF297"/>
      <c r="JG297"/>
      <c r="JH297"/>
      <c r="JI297"/>
      <c r="JJ297"/>
      <c r="JK297"/>
      <c r="JL297"/>
      <c r="JM297"/>
      <c r="JN297"/>
      <c r="JO297"/>
      <c r="JP297"/>
      <c r="JQ297"/>
      <c r="JR297"/>
      <c r="JS297"/>
      <c r="JT297"/>
      <c r="JU297"/>
      <c r="JV297"/>
      <c r="JW297"/>
      <c r="JX297"/>
      <c r="JY297"/>
      <c r="JZ297"/>
      <c r="KA297"/>
      <c r="KB297"/>
      <c r="KC297"/>
      <c r="KD297"/>
      <c r="KE297"/>
      <c r="KF297"/>
      <c r="KG297"/>
      <c r="KH297"/>
      <c r="KI297"/>
      <c r="KJ297"/>
      <c r="KK297"/>
      <c r="KL297"/>
      <c r="KM297"/>
      <c r="KN297"/>
      <c r="KO297"/>
      <c r="KP297"/>
      <c r="KQ297"/>
      <c r="KR297"/>
      <c r="KS297"/>
      <c r="KT297"/>
      <c r="KU297"/>
      <c r="KV297"/>
      <c r="KW297"/>
      <c r="KX297"/>
      <c r="KY297"/>
      <c r="KZ297"/>
      <c r="LA297"/>
      <c r="LB297"/>
      <c r="LC297"/>
      <c r="LD297"/>
      <c r="LE297"/>
      <c r="LF297"/>
      <c r="LG297"/>
      <c r="LH297"/>
      <c r="LI297"/>
      <c r="LJ297"/>
      <c r="LK297"/>
      <c r="LL297"/>
      <c r="LM297"/>
      <c r="LN297"/>
      <c r="LO297"/>
      <c r="LP297"/>
      <c r="LQ297"/>
      <c r="LR297"/>
      <c r="LS297"/>
      <c r="LT297"/>
      <c r="LU297"/>
      <c r="LV297"/>
      <c r="LW297"/>
      <c r="LX297"/>
      <c r="LY297"/>
      <c r="LZ297"/>
    </row>
    <row r="298" spans="1:338" ht="17" x14ac:dyDescent="0.2">
      <c r="A298" s="199" t="str">
        <f>IFERROR(IF($A297+1&gt;'(backend scoring)'!$T$335,"",$A297+1),"")</f>
        <v/>
      </c>
      <c r="B298" s="199" t="str">
        <f>_xlfn.XLOOKUP($A298,'(backend scoring)'!$V$2:$V$333,'(backend scoring)'!$A$2:$A$333,"")</f>
        <v/>
      </c>
      <c r="C298" s="199" t="str">
        <f>IFERROR(VLOOKUP($B298,'Institution Evaluation'!$A$55:$F$345,2,0),IFERROR(VLOOKUP($B298,'Privacy Analyst Evaluation'!$A$46:$F$120,2,0),""))&amp;""</f>
        <v/>
      </c>
      <c r="D298" s="199" t="str">
        <f>IFERROR(VLOOKUP($B298,'Institution Evaluation'!$A$55:$F$345,3,0),IFERROR(VLOOKUP($B298,'Privacy Analyst Evaluation'!$A$46:$F$120,3,0),""))&amp;""</f>
        <v/>
      </c>
      <c r="E298" s="199" t="str">
        <f>IFERROR(VLOOKUP($B298,'Institution Evaluation'!$A$55:$F$345,4,0),IFERROR(VLOOKUP($B298,'Privacy Analyst Evaluation'!$A$46:$F$120,4,0),""))&amp;""</f>
        <v/>
      </c>
      <c r="F298" s="199" t="str">
        <f>IFERROR(VLOOKUP($B298,'Institution Evaluation'!$A$55:$F$345,6,0),IFERROR(VLOOKUP($B298,'Privacy Analyst Evaluation'!$A$46:$F$120,6,0),""))&amp;""</f>
        <v/>
      </c>
      <c r="G298" s="200"/>
      <c r="H298" s="199" t="str">
        <f>IFERROR(IF($H297+1&gt;'(backend scoring)'!$Q$335,"",$H297+1),"")</f>
        <v/>
      </c>
      <c r="I298" s="199" t="str">
        <f>_xlfn.XLOOKUP($H298,'(backend scoring)'!$S$2:$S$333,'(backend scoring)'!$A$2:$A$333,"")</f>
        <v/>
      </c>
      <c r="J298" s="199" t="str">
        <f>IFERROR(VLOOKUP($I298,'Institution Evaluation'!$A$55:$F$345,2,0),IFERROR(VLOOKUP($I298,'Privacy Analyst Evaluation'!$A$46:$F$120,2,0),""))</f>
        <v/>
      </c>
      <c r="K298" s="199" t="str">
        <f>IFERROR(VLOOKUP($I298,'Institution Evaluation'!$A$55:$F$345,3,0),IFERROR(VLOOKUP($I298,'Privacy Analyst Evaluation'!$A$46:$F$120,3,0),""))&amp;""</f>
        <v/>
      </c>
      <c r="L298" s="199" t="str">
        <f>IFERROR(VLOOKUP($I298,'Institution Evaluation'!$A$55:$F$345,4,0),IFERROR(VLOOKUP($I298,'Privacy Analyst Evaluation'!$A$46:$F$120,4,0),""))&amp;""</f>
        <v/>
      </c>
      <c r="M298" s="199" t="str">
        <f>IFERROR(VLOOKUP($I298,'Institution Evaluation'!$A$55:$F$345,6,0),IFERROR(VLOOKUP($I298,'Privacy Analyst Evaluation'!$A$46:$F$120,6,0),""))&amp;""</f>
        <v/>
      </c>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row>
    <row r="299" spans="1:338" ht="17" x14ac:dyDescent="0.2">
      <c r="A299" s="199" t="str">
        <f>IFERROR(IF($A298+1&gt;'(backend scoring)'!$T$335,"",$A298+1),"")</f>
        <v/>
      </c>
      <c r="B299" s="199" t="str">
        <f>_xlfn.XLOOKUP($A299,'(backend scoring)'!$V$2:$V$333,'(backend scoring)'!$A$2:$A$333,"")</f>
        <v/>
      </c>
      <c r="C299" s="199" t="str">
        <f>IFERROR(VLOOKUP($B299,'Institution Evaluation'!$A$55:$F$345,2,0),IFERROR(VLOOKUP($B299,'Privacy Analyst Evaluation'!$A$46:$F$120,2,0),""))&amp;""</f>
        <v/>
      </c>
      <c r="D299" s="199" t="str">
        <f>IFERROR(VLOOKUP($B299,'Institution Evaluation'!$A$55:$F$345,3,0),IFERROR(VLOOKUP($B299,'Privacy Analyst Evaluation'!$A$46:$F$120,3,0),""))&amp;""</f>
        <v/>
      </c>
      <c r="E299" s="199" t="str">
        <f>IFERROR(VLOOKUP($B299,'Institution Evaluation'!$A$55:$F$345,4,0),IFERROR(VLOOKUP($B299,'Privacy Analyst Evaluation'!$A$46:$F$120,4,0),""))&amp;""</f>
        <v/>
      </c>
      <c r="F299" s="199" t="str">
        <f>IFERROR(VLOOKUP($B299,'Institution Evaluation'!$A$55:$F$345,6,0),IFERROR(VLOOKUP($B299,'Privacy Analyst Evaluation'!$A$46:$F$120,6,0),""))&amp;""</f>
        <v/>
      </c>
      <c r="G299" s="200"/>
      <c r="H299" s="199" t="str">
        <f>IFERROR(IF($H298+1&gt;'(backend scoring)'!$Q$335,"",$H298+1),"")</f>
        <v/>
      </c>
      <c r="I299" s="199" t="str">
        <f>_xlfn.XLOOKUP($H299,'(backend scoring)'!$S$2:$S$333,'(backend scoring)'!$A$2:$A$333,"")</f>
        <v/>
      </c>
      <c r="J299" s="199" t="str">
        <f>IFERROR(VLOOKUP($I299,'Institution Evaluation'!$A$55:$F$345,2,0),IFERROR(VLOOKUP($I299,'Privacy Analyst Evaluation'!$A$46:$F$120,2,0),""))</f>
        <v/>
      </c>
      <c r="K299" s="199" t="str">
        <f>IFERROR(VLOOKUP($I299,'Institution Evaluation'!$A$55:$F$345,3,0),IFERROR(VLOOKUP($I299,'Privacy Analyst Evaluation'!$A$46:$F$120,3,0),""))&amp;""</f>
        <v/>
      </c>
      <c r="L299" s="199" t="str">
        <f>IFERROR(VLOOKUP($I299,'Institution Evaluation'!$A$55:$F$345,4,0),IFERROR(VLOOKUP($I299,'Privacy Analyst Evaluation'!$A$46:$F$120,4,0),""))&amp;""</f>
        <v/>
      </c>
      <c r="M299" s="199" t="str">
        <f>IFERROR(VLOOKUP($I299,'Institution Evaluation'!$A$55:$F$345,6,0),IFERROR(VLOOKUP($I299,'Privacy Analyst Evaluation'!$A$46:$F$120,6,0),""))&amp;""</f>
        <v/>
      </c>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row>
    <row r="300" spans="1:338" ht="17" x14ac:dyDescent="0.2">
      <c r="A300" s="199" t="str">
        <f>IFERROR(IF($A299+1&gt;'(backend scoring)'!$T$335,"",$A299+1),"")</f>
        <v/>
      </c>
      <c r="B300" s="199" t="str">
        <f>_xlfn.XLOOKUP($A300,'(backend scoring)'!$V$2:$V$333,'(backend scoring)'!$A$2:$A$333,"")</f>
        <v/>
      </c>
      <c r="C300" s="199" t="str">
        <f>IFERROR(VLOOKUP($B300,'Institution Evaluation'!$A$55:$F$345,2,0),IFERROR(VLOOKUP($B300,'Privacy Analyst Evaluation'!$A$46:$F$120,2,0),""))&amp;""</f>
        <v/>
      </c>
      <c r="D300" s="199" t="str">
        <f>IFERROR(VLOOKUP($B300,'Institution Evaluation'!$A$55:$F$345,3,0),IFERROR(VLOOKUP($B300,'Privacy Analyst Evaluation'!$A$46:$F$120,3,0),""))&amp;""</f>
        <v/>
      </c>
      <c r="E300" s="199" t="str">
        <f>IFERROR(VLOOKUP($B300,'Institution Evaluation'!$A$55:$F$345,4,0),IFERROR(VLOOKUP($B300,'Privacy Analyst Evaluation'!$A$46:$F$120,4,0),""))&amp;""</f>
        <v/>
      </c>
      <c r="F300" s="199" t="str">
        <f>IFERROR(VLOOKUP($B300,'Institution Evaluation'!$A$55:$F$345,6,0),IFERROR(VLOOKUP($B300,'Privacy Analyst Evaluation'!$A$46:$F$120,6,0),""))&amp;""</f>
        <v/>
      </c>
      <c r="G300" s="200"/>
      <c r="H300" s="199" t="str">
        <f>IFERROR(IF($H299+1&gt;'(backend scoring)'!$Q$335,"",$H299+1),"")</f>
        <v/>
      </c>
      <c r="I300" s="199" t="str">
        <f>_xlfn.XLOOKUP($H300,'(backend scoring)'!$S$2:$S$333,'(backend scoring)'!$A$2:$A$333,"")</f>
        <v/>
      </c>
      <c r="J300" s="199" t="str">
        <f>IFERROR(VLOOKUP($I300,'Institution Evaluation'!$A$55:$F$345,2,0),IFERROR(VLOOKUP($I300,'Privacy Analyst Evaluation'!$A$46:$F$120,2,0),""))</f>
        <v/>
      </c>
      <c r="K300" s="199" t="str">
        <f>IFERROR(VLOOKUP($I300,'Institution Evaluation'!$A$55:$F$345,3,0),IFERROR(VLOOKUP($I300,'Privacy Analyst Evaluation'!$A$46:$F$120,3,0),""))&amp;""</f>
        <v/>
      </c>
      <c r="L300" s="199" t="str">
        <f>IFERROR(VLOOKUP($I300,'Institution Evaluation'!$A$55:$F$345,4,0),IFERROR(VLOOKUP($I300,'Privacy Analyst Evaluation'!$A$46:$F$120,4,0),""))&amp;""</f>
        <v/>
      </c>
      <c r="M300" s="199" t="str">
        <f>IFERROR(VLOOKUP($I300,'Institution Evaluation'!$A$55:$F$345,6,0),IFERROR(VLOOKUP($I300,'Privacy Analyst Evaluation'!$A$46:$F$120,6,0),""))&amp;""</f>
        <v/>
      </c>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row>
    <row r="301" spans="1:338" ht="17" x14ac:dyDescent="0.2">
      <c r="A301" s="199" t="str">
        <f>IFERROR(IF($A300+1&gt;'(backend scoring)'!$T$335,"",$A300+1),"")</f>
        <v/>
      </c>
      <c r="B301" s="199" t="str">
        <f>_xlfn.XLOOKUP($A301,'(backend scoring)'!$V$2:$V$333,'(backend scoring)'!$A$2:$A$333,"")</f>
        <v/>
      </c>
      <c r="C301" s="199" t="str">
        <f>IFERROR(VLOOKUP($B301,'Institution Evaluation'!$A$55:$F$345,2,0),IFERROR(VLOOKUP($B301,'Privacy Analyst Evaluation'!$A$46:$F$120,2,0),""))&amp;""</f>
        <v/>
      </c>
      <c r="D301" s="199" t="str">
        <f>IFERROR(VLOOKUP($B301,'Institution Evaluation'!$A$55:$F$345,3,0),IFERROR(VLOOKUP($B301,'Privacy Analyst Evaluation'!$A$46:$F$120,3,0),""))&amp;""</f>
        <v/>
      </c>
      <c r="E301" s="199" t="str">
        <f>IFERROR(VLOOKUP($B301,'Institution Evaluation'!$A$55:$F$345,4,0),IFERROR(VLOOKUP($B301,'Privacy Analyst Evaluation'!$A$46:$F$120,4,0),""))&amp;""</f>
        <v/>
      </c>
      <c r="F301" s="199" t="str">
        <f>IFERROR(VLOOKUP($B301,'Institution Evaluation'!$A$55:$F$345,6,0),IFERROR(VLOOKUP($B301,'Privacy Analyst Evaluation'!$A$46:$F$120,6,0),""))&amp;""</f>
        <v/>
      </c>
      <c r="G301" s="200"/>
      <c r="H301" s="199" t="str">
        <f>IFERROR(IF($H300+1&gt;'(backend scoring)'!$Q$335,"",$H300+1),"")</f>
        <v/>
      </c>
      <c r="I301" s="199" t="str">
        <f>_xlfn.XLOOKUP($H301,'(backend scoring)'!$S$2:$S$333,'(backend scoring)'!$A$2:$A$333,"")</f>
        <v/>
      </c>
      <c r="J301" s="199" t="str">
        <f>IFERROR(VLOOKUP($I301,'Institution Evaluation'!$A$55:$F$345,2,0),IFERROR(VLOOKUP($I301,'Privacy Analyst Evaluation'!$A$46:$F$120,2,0),""))</f>
        <v/>
      </c>
      <c r="K301" s="199" t="str">
        <f>IFERROR(VLOOKUP($I301,'Institution Evaluation'!$A$55:$F$345,3,0),IFERROR(VLOOKUP($I301,'Privacy Analyst Evaluation'!$A$46:$F$120,3,0),""))&amp;""</f>
        <v/>
      </c>
      <c r="L301" s="199" t="str">
        <f>IFERROR(VLOOKUP($I301,'Institution Evaluation'!$A$55:$F$345,4,0),IFERROR(VLOOKUP($I301,'Privacy Analyst Evaluation'!$A$46:$F$120,4,0),""))&amp;""</f>
        <v/>
      </c>
      <c r="M301" s="199" t="str">
        <f>IFERROR(VLOOKUP($I301,'Institution Evaluation'!$A$55:$F$345,6,0),IFERROR(VLOOKUP($I301,'Privacy Analyst Evaluation'!$A$46:$F$120,6,0),""))&amp;""</f>
        <v/>
      </c>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row>
    <row r="302" spans="1:338" ht="17" x14ac:dyDescent="0.2">
      <c r="A302" s="199" t="str">
        <f>IFERROR(IF($A301+1&gt;'(backend scoring)'!$T$335,"",$A301+1),"")</f>
        <v/>
      </c>
      <c r="B302" s="199" t="str">
        <f>_xlfn.XLOOKUP($A302,'(backend scoring)'!$V$2:$V$333,'(backend scoring)'!$A$2:$A$333,"")</f>
        <v/>
      </c>
      <c r="C302" s="199" t="str">
        <f>IFERROR(VLOOKUP($B302,'Institution Evaluation'!$A$55:$F$345,2,0),IFERROR(VLOOKUP($B302,'Privacy Analyst Evaluation'!$A$46:$F$120,2,0),""))&amp;""</f>
        <v/>
      </c>
      <c r="D302" s="199" t="str">
        <f>IFERROR(VLOOKUP($B302,'Institution Evaluation'!$A$55:$F$345,3,0),IFERROR(VLOOKUP($B302,'Privacy Analyst Evaluation'!$A$46:$F$120,3,0),""))&amp;""</f>
        <v/>
      </c>
      <c r="E302" s="199" t="str">
        <f>IFERROR(VLOOKUP($B302,'Institution Evaluation'!$A$55:$F$345,4,0),IFERROR(VLOOKUP($B302,'Privacy Analyst Evaluation'!$A$46:$F$120,4,0),""))&amp;""</f>
        <v/>
      </c>
      <c r="F302" s="199" t="str">
        <f>IFERROR(VLOOKUP($B302,'Institution Evaluation'!$A$55:$F$345,6,0),IFERROR(VLOOKUP($B302,'Privacy Analyst Evaluation'!$A$46:$F$120,6,0),""))&amp;""</f>
        <v/>
      </c>
      <c r="G302" s="200"/>
      <c r="H302" s="199" t="str">
        <f>IFERROR(IF($H301+1&gt;'(backend scoring)'!$Q$335,"",$H301+1),"")</f>
        <v/>
      </c>
      <c r="I302" s="199" t="str">
        <f>_xlfn.XLOOKUP($H302,'(backend scoring)'!$S$2:$S$333,'(backend scoring)'!$A$2:$A$333,"")</f>
        <v/>
      </c>
      <c r="J302" s="199" t="str">
        <f>IFERROR(VLOOKUP($I302,'Institution Evaluation'!$A$55:$F$345,2,0),IFERROR(VLOOKUP($I302,'Privacy Analyst Evaluation'!$A$46:$F$120,2,0),""))</f>
        <v/>
      </c>
      <c r="K302" s="199" t="str">
        <f>IFERROR(VLOOKUP($I302,'Institution Evaluation'!$A$55:$F$345,3,0),IFERROR(VLOOKUP($I302,'Privacy Analyst Evaluation'!$A$46:$F$120,3,0),""))&amp;""</f>
        <v/>
      </c>
      <c r="L302" s="199" t="str">
        <f>IFERROR(VLOOKUP($I302,'Institution Evaluation'!$A$55:$F$345,4,0),IFERROR(VLOOKUP($I302,'Privacy Analyst Evaluation'!$A$46:$F$120,4,0),""))&amp;""</f>
        <v/>
      </c>
      <c r="M302" s="199" t="str">
        <f>IFERROR(VLOOKUP($I302,'Institution Evaluation'!$A$55:$F$345,6,0),IFERROR(VLOOKUP($I302,'Privacy Analyst Evaluation'!$A$46:$F$120,6,0),""))&amp;""</f>
        <v/>
      </c>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row>
    <row r="303" spans="1:338" ht="17" x14ac:dyDescent="0.2">
      <c r="A303" s="199" t="str">
        <f>IFERROR(IF($A302+1&gt;'(backend scoring)'!$T$335,"",$A302+1),"")</f>
        <v/>
      </c>
      <c r="B303" s="199" t="str">
        <f>_xlfn.XLOOKUP($A303,'(backend scoring)'!$V$2:$V$333,'(backend scoring)'!$A$2:$A$333,"")</f>
        <v/>
      </c>
      <c r="C303" s="199" t="str">
        <f>IFERROR(VLOOKUP($B303,'Institution Evaluation'!$A$55:$F$345,2,0),IFERROR(VLOOKUP($B303,'Privacy Analyst Evaluation'!$A$46:$F$120,2,0),""))&amp;""</f>
        <v/>
      </c>
      <c r="D303" s="199" t="str">
        <f>IFERROR(VLOOKUP($B303,'Institution Evaluation'!$A$55:$F$345,3,0),IFERROR(VLOOKUP($B303,'Privacy Analyst Evaluation'!$A$46:$F$120,3,0),""))&amp;""</f>
        <v/>
      </c>
      <c r="E303" s="199" t="str">
        <f>IFERROR(VLOOKUP($B303,'Institution Evaluation'!$A$55:$F$345,4,0),IFERROR(VLOOKUP($B303,'Privacy Analyst Evaluation'!$A$46:$F$120,4,0),""))&amp;""</f>
        <v/>
      </c>
      <c r="F303" s="199" t="str">
        <f>IFERROR(VLOOKUP($B303,'Institution Evaluation'!$A$55:$F$345,6,0),IFERROR(VLOOKUP($B303,'Privacy Analyst Evaluation'!$A$46:$F$120,6,0),""))&amp;""</f>
        <v/>
      </c>
      <c r="G303" s="200"/>
      <c r="H303" s="199" t="str">
        <f>IFERROR(IF($H302+1&gt;'(backend scoring)'!$Q$335,"",$H302+1),"")</f>
        <v/>
      </c>
      <c r="I303" s="199" t="str">
        <f>_xlfn.XLOOKUP($H303,'(backend scoring)'!$S$2:$S$333,'(backend scoring)'!$A$2:$A$333,"")</f>
        <v/>
      </c>
      <c r="J303" s="199" t="str">
        <f>IFERROR(VLOOKUP($I303,'Institution Evaluation'!$A$55:$F$345,2,0),IFERROR(VLOOKUP($I303,'Privacy Analyst Evaluation'!$A$46:$F$120,2,0),""))</f>
        <v/>
      </c>
      <c r="K303" s="199" t="str">
        <f>IFERROR(VLOOKUP($I303,'Institution Evaluation'!$A$55:$F$345,3,0),IFERROR(VLOOKUP($I303,'Privacy Analyst Evaluation'!$A$46:$F$120,3,0),""))&amp;""</f>
        <v/>
      </c>
      <c r="L303" s="199" t="str">
        <f>IFERROR(VLOOKUP($I303,'Institution Evaluation'!$A$55:$F$345,4,0),IFERROR(VLOOKUP($I303,'Privacy Analyst Evaluation'!$A$46:$F$120,4,0),""))&amp;""</f>
        <v/>
      </c>
      <c r="M303" s="199" t="str">
        <f>IFERROR(VLOOKUP($I303,'Institution Evaluation'!$A$55:$F$345,6,0),IFERROR(VLOOKUP($I303,'Privacy Analyst Evaluation'!$A$46:$F$120,6,0),""))&amp;""</f>
        <v/>
      </c>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c r="GU303"/>
      <c r="GV303"/>
      <c r="GW303"/>
      <c r="GX303"/>
      <c r="GY303"/>
      <c r="GZ303"/>
      <c r="HA303"/>
      <c r="HB303"/>
      <c r="HC303"/>
      <c r="HD303"/>
      <c r="HE303"/>
      <c r="HF303"/>
      <c r="HG303"/>
      <c r="HH303"/>
      <c r="HI303"/>
      <c r="HJ303"/>
      <c r="HK303"/>
      <c r="HL303"/>
      <c r="HM303"/>
      <c r="HN303"/>
      <c r="HO303"/>
      <c r="HP303"/>
      <c r="HQ303"/>
      <c r="HR303"/>
      <c r="HS303"/>
      <c r="HT303"/>
      <c r="HU303"/>
      <c r="HV303"/>
      <c r="HW303"/>
      <c r="HX303"/>
      <c r="HY303"/>
      <c r="HZ303"/>
      <c r="IA303"/>
      <c r="IB303"/>
      <c r="IC303"/>
      <c r="ID303"/>
      <c r="IE303"/>
      <c r="IF303"/>
      <c r="IG303"/>
      <c r="IH303"/>
      <c r="II303"/>
      <c r="IJ303"/>
      <c r="IK303"/>
      <c r="IL303"/>
      <c r="IM303"/>
      <c r="IN303"/>
      <c r="IO303"/>
      <c r="IP303"/>
      <c r="IQ303"/>
      <c r="IR303"/>
      <c r="IS303"/>
      <c r="IT303"/>
      <c r="IU303"/>
      <c r="IV303"/>
      <c r="IW303"/>
      <c r="IX303"/>
      <c r="IY303"/>
      <c r="IZ303"/>
      <c r="JA303"/>
      <c r="JB303"/>
      <c r="JC303"/>
      <c r="JD303"/>
      <c r="JE303"/>
      <c r="JF303"/>
      <c r="JG303"/>
      <c r="JH303"/>
      <c r="JI303"/>
      <c r="JJ303"/>
      <c r="JK303"/>
      <c r="JL303"/>
      <c r="JM303"/>
      <c r="JN303"/>
      <c r="JO303"/>
      <c r="JP303"/>
      <c r="JQ303"/>
      <c r="JR303"/>
      <c r="JS303"/>
      <c r="JT303"/>
      <c r="JU303"/>
      <c r="JV303"/>
      <c r="JW303"/>
      <c r="JX303"/>
      <c r="JY303"/>
      <c r="JZ303"/>
      <c r="KA303"/>
      <c r="KB303"/>
      <c r="KC303"/>
      <c r="KD303"/>
      <c r="KE303"/>
      <c r="KF303"/>
      <c r="KG303"/>
      <c r="KH303"/>
      <c r="KI303"/>
      <c r="KJ303"/>
      <c r="KK303"/>
      <c r="KL303"/>
      <c r="KM303"/>
      <c r="KN303"/>
      <c r="KO303"/>
      <c r="KP303"/>
      <c r="KQ303"/>
      <c r="KR303"/>
      <c r="KS303"/>
      <c r="KT303"/>
      <c r="KU303"/>
      <c r="KV303"/>
      <c r="KW303"/>
      <c r="KX303"/>
      <c r="KY303"/>
      <c r="KZ303"/>
      <c r="LA303"/>
      <c r="LB303"/>
      <c r="LC303"/>
      <c r="LD303"/>
      <c r="LE303"/>
      <c r="LF303"/>
      <c r="LG303"/>
      <c r="LH303"/>
      <c r="LI303"/>
      <c r="LJ303"/>
      <c r="LK303"/>
      <c r="LL303"/>
      <c r="LM303"/>
      <c r="LN303"/>
      <c r="LO303"/>
      <c r="LP303"/>
      <c r="LQ303"/>
      <c r="LR303"/>
      <c r="LS303"/>
      <c r="LT303"/>
      <c r="LU303"/>
      <c r="LV303"/>
      <c r="LW303"/>
      <c r="LX303"/>
      <c r="LY303"/>
      <c r="LZ303"/>
    </row>
    <row r="304" spans="1:338" ht="17" x14ac:dyDescent="0.2">
      <c r="A304" s="199" t="str">
        <f>IFERROR(IF($A303+1&gt;'(backend scoring)'!$T$335,"",$A303+1),"")</f>
        <v/>
      </c>
      <c r="B304" s="199" t="str">
        <f>_xlfn.XLOOKUP($A304,'(backend scoring)'!$V$2:$V$333,'(backend scoring)'!$A$2:$A$333,"")</f>
        <v/>
      </c>
      <c r="C304" s="199" t="str">
        <f>IFERROR(VLOOKUP($B304,'Institution Evaluation'!$A$55:$F$345,2,0),IFERROR(VLOOKUP($B304,'Privacy Analyst Evaluation'!$A$46:$F$120,2,0),""))&amp;""</f>
        <v/>
      </c>
      <c r="D304" s="199" t="str">
        <f>IFERROR(VLOOKUP($B304,'Institution Evaluation'!$A$55:$F$345,3,0),IFERROR(VLOOKUP($B304,'Privacy Analyst Evaluation'!$A$46:$F$120,3,0),""))&amp;""</f>
        <v/>
      </c>
      <c r="E304" s="199" t="str">
        <f>IFERROR(VLOOKUP($B304,'Institution Evaluation'!$A$55:$F$345,4,0),IFERROR(VLOOKUP($B304,'Privacy Analyst Evaluation'!$A$46:$F$120,4,0),""))&amp;""</f>
        <v/>
      </c>
      <c r="F304" s="199" t="str">
        <f>IFERROR(VLOOKUP($B304,'Institution Evaluation'!$A$55:$F$345,6,0),IFERROR(VLOOKUP($B304,'Privacy Analyst Evaluation'!$A$46:$F$120,6,0),""))&amp;""</f>
        <v/>
      </c>
      <c r="G304" s="200"/>
      <c r="H304" s="199" t="str">
        <f>IFERROR(IF($H303+1&gt;'(backend scoring)'!$Q$335,"",$H303+1),"")</f>
        <v/>
      </c>
      <c r="I304" s="199" t="str">
        <f>_xlfn.XLOOKUP($H304,'(backend scoring)'!$S$2:$S$333,'(backend scoring)'!$A$2:$A$333,"")</f>
        <v/>
      </c>
      <c r="J304" s="199" t="str">
        <f>IFERROR(VLOOKUP($I304,'Institution Evaluation'!$A$55:$F$345,2,0),IFERROR(VLOOKUP($I304,'Privacy Analyst Evaluation'!$A$46:$F$120,2,0),""))</f>
        <v/>
      </c>
      <c r="K304" s="199" t="str">
        <f>IFERROR(VLOOKUP($I304,'Institution Evaluation'!$A$55:$F$345,3,0),IFERROR(VLOOKUP($I304,'Privacy Analyst Evaluation'!$A$46:$F$120,3,0),""))&amp;""</f>
        <v/>
      </c>
      <c r="L304" s="199" t="str">
        <f>IFERROR(VLOOKUP($I304,'Institution Evaluation'!$A$55:$F$345,4,0),IFERROR(VLOOKUP($I304,'Privacy Analyst Evaluation'!$A$46:$F$120,4,0),""))&amp;""</f>
        <v/>
      </c>
      <c r="M304" s="199" t="str">
        <f>IFERROR(VLOOKUP($I304,'Institution Evaluation'!$A$55:$F$345,6,0),IFERROR(VLOOKUP($I304,'Privacy Analyst Evaluation'!$A$46:$F$120,6,0),""))&amp;""</f>
        <v/>
      </c>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row>
    <row r="305" spans="1:338" ht="17" x14ac:dyDescent="0.2">
      <c r="A305" s="199" t="str">
        <f>IFERROR(IF($A304+1&gt;'(backend scoring)'!$T$335,"",$A304+1),"")</f>
        <v/>
      </c>
      <c r="B305" s="199" t="str">
        <f>_xlfn.XLOOKUP($A305,'(backend scoring)'!$V$2:$V$333,'(backend scoring)'!$A$2:$A$333,"")</f>
        <v/>
      </c>
      <c r="C305" s="199" t="str">
        <f>IFERROR(VLOOKUP($B305,'Institution Evaluation'!$A$55:$F$345,2,0),IFERROR(VLOOKUP($B305,'Privacy Analyst Evaluation'!$A$46:$F$120,2,0),""))&amp;""</f>
        <v/>
      </c>
      <c r="D305" s="199" t="str">
        <f>IFERROR(VLOOKUP($B305,'Institution Evaluation'!$A$55:$F$345,3,0),IFERROR(VLOOKUP($B305,'Privacy Analyst Evaluation'!$A$46:$F$120,3,0),""))&amp;""</f>
        <v/>
      </c>
      <c r="E305" s="199" t="str">
        <f>IFERROR(VLOOKUP($B305,'Institution Evaluation'!$A$55:$F$345,4,0),IFERROR(VLOOKUP($B305,'Privacy Analyst Evaluation'!$A$46:$F$120,4,0),""))&amp;""</f>
        <v/>
      </c>
      <c r="F305" s="199" t="str">
        <f>IFERROR(VLOOKUP($B305,'Institution Evaluation'!$A$55:$F$345,6,0),IFERROR(VLOOKUP($B305,'Privacy Analyst Evaluation'!$A$46:$F$120,6,0),""))&amp;""</f>
        <v/>
      </c>
      <c r="G305" s="200"/>
      <c r="H305" s="199" t="str">
        <f>IFERROR(IF($H304+1&gt;'(backend scoring)'!$Q$335,"",$H304+1),"")</f>
        <v/>
      </c>
      <c r="I305" s="199" t="str">
        <f>_xlfn.XLOOKUP($H305,'(backend scoring)'!$S$2:$S$333,'(backend scoring)'!$A$2:$A$333,"")</f>
        <v/>
      </c>
      <c r="J305" s="199" t="str">
        <f>IFERROR(VLOOKUP($I305,'Institution Evaluation'!$A$55:$F$345,2,0),IFERROR(VLOOKUP($I305,'Privacy Analyst Evaluation'!$A$46:$F$120,2,0),""))</f>
        <v/>
      </c>
      <c r="K305" s="199" t="str">
        <f>IFERROR(VLOOKUP($I305,'Institution Evaluation'!$A$55:$F$345,3,0),IFERROR(VLOOKUP($I305,'Privacy Analyst Evaluation'!$A$46:$F$120,3,0),""))&amp;""</f>
        <v/>
      </c>
      <c r="L305" s="199" t="str">
        <f>IFERROR(VLOOKUP($I305,'Institution Evaluation'!$A$55:$F$345,4,0),IFERROR(VLOOKUP($I305,'Privacy Analyst Evaluation'!$A$46:$F$120,4,0),""))&amp;""</f>
        <v/>
      </c>
      <c r="M305" s="199" t="str">
        <f>IFERROR(VLOOKUP($I305,'Institution Evaluation'!$A$55:$F$345,6,0),IFERROR(VLOOKUP($I305,'Privacy Analyst Evaluation'!$A$46:$F$120,6,0),""))&amp;""</f>
        <v/>
      </c>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c r="HL305"/>
      <c r="HM305"/>
      <c r="HN305"/>
      <c r="HO305"/>
      <c r="HP305"/>
      <c r="HQ305"/>
      <c r="HR305"/>
      <c r="HS305"/>
      <c r="HT305"/>
      <c r="HU305"/>
      <c r="HV305"/>
      <c r="HW305"/>
      <c r="HX305"/>
      <c r="HY305"/>
      <c r="HZ305"/>
      <c r="IA305"/>
      <c r="IB305"/>
      <c r="IC305"/>
      <c r="ID305"/>
      <c r="IE305"/>
      <c r="IF305"/>
      <c r="IG305"/>
      <c r="IH305"/>
      <c r="II305"/>
      <c r="IJ305"/>
      <c r="IK305"/>
      <c r="IL305"/>
      <c r="IM305"/>
      <c r="IN305"/>
      <c r="IO305"/>
      <c r="IP305"/>
      <c r="IQ305"/>
      <c r="IR305"/>
      <c r="IS305"/>
      <c r="IT305"/>
      <c r="IU305"/>
      <c r="IV305"/>
      <c r="IW305"/>
      <c r="IX305"/>
      <c r="IY305"/>
      <c r="IZ305"/>
      <c r="JA305"/>
      <c r="JB305"/>
      <c r="JC305"/>
      <c r="JD305"/>
      <c r="JE305"/>
      <c r="JF305"/>
      <c r="JG305"/>
      <c r="JH305"/>
      <c r="JI305"/>
      <c r="JJ305"/>
      <c r="JK305"/>
      <c r="JL305"/>
      <c r="JM305"/>
      <c r="JN305"/>
      <c r="JO305"/>
      <c r="JP305"/>
      <c r="JQ305"/>
      <c r="JR305"/>
      <c r="JS305"/>
      <c r="JT305"/>
      <c r="JU305"/>
      <c r="JV305"/>
      <c r="JW305"/>
      <c r="JX305"/>
      <c r="JY305"/>
      <c r="JZ305"/>
      <c r="KA305"/>
      <c r="KB305"/>
      <c r="KC305"/>
      <c r="KD305"/>
      <c r="KE305"/>
      <c r="KF305"/>
      <c r="KG305"/>
      <c r="KH305"/>
      <c r="KI305"/>
      <c r="KJ305"/>
      <c r="KK305"/>
      <c r="KL305"/>
      <c r="KM305"/>
      <c r="KN305"/>
      <c r="KO305"/>
      <c r="KP305"/>
      <c r="KQ305"/>
      <c r="KR305"/>
      <c r="KS305"/>
      <c r="KT305"/>
      <c r="KU305"/>
      <c r="KV305"/>
      <c r="KW305"/>
      <c r="KX305"/>
      <c r="KY305"/>
      <c r="KZ305"/>
      <c r="LA305"/>
      <c r="LB305"/>
      <c r="LC305"/>
      <c r="LD305"/>
      <c r="LE305"/>
      <c r="LF305"/>
      <c r="LG305"/>
      <c r="LH305"/>
      <c r="LI305"/>
      <c r="LJ305"/>
      <c r="LK305"/>
      <c r="LL305"/>
      <c r="LM305"/>
      <c r="LN305"/>
      <c r="LO305"/>
      <c r="LP305"/>
      <c r="LQ305"/>
      <c r="LR305"/>
      <c r="LS305"/>
      <c r="LT305"/>
      <c r="LU305"/>
      <c r="LV305"/>
      <c r="LW305"/>
      <c r="LX305"/>
      <c r="LY305"/>
      <c r="LZ305"/>
    </row>
    <row r="306" spans="1:338" ht="17" x14ac:dyDescent="0.2">
      <c r="A306" s="199" t="str">
        <f>IFERROR(IF($A305+1&gt;'(backend scoring)'!$T$335,"",$A305+1),"")</f>
        <v/>
      </c>
      <c r="B306" s="199" t="str">
        <f>_xlfn.XLOOKUP($A306,'(backend scoring)'!$V$2:$V$333,'(backend scoring)'!$A$2:$A$333,"")</f>
        <v/>
      </c>
      <c r="C306" s="199" t="str">
        <f>IFERROR(VLOOKUP($B306,'Institution Evaluation'!$A$55:$F$345,2,0),IFERROR(VLOOKUP($B306,'Privacy Analyst Evaluation'!$A$46:$F$120,2,0),""))&amp;""</f>
        <v/>
      </c>
      <c r="D306" s="199" t="str">
        <f>IFERROR(VLOOKUP($B306,'Institution Evaluation'!$A$55:$F$345,3,0),IFERROR(VLOOKUP($B306,'Privacy Analyst Evaluation'!$A$46:$F$120,3,0),""))&amp;""</f>
        <v/>
      </c>
      <c r="E306" s="199" t="str">
        <f>IFERROR(VLOOKUP($B306,'Institution Evaluation'!$A$55:$F$345,4,0),IFERROR(VLOOKUP($B306,'Privacy Analyst Evaluation'!$A$46:$F$120,4,0),""))&amp;""</f>
        <v/>
      </c>
      <c r="F306" s="199" t="str">
        <f>IFERROR(VLOOKUP($B306,'Institution Evaluation'!$A$55:$F$345,6,0),IFERROR(VLOOKUP($B306,'Privacy Analyst Evaluation'!$A$46:$F$120,6,0),""))&amp;""</f>
        <v/>
      </c>
      <c r="G306" s="200"/>
      <c r="H306" s="199" t="str">
        <f>IFERROR(IF($H305+1&gt;'(backend scoring)'!$Q$335,"",$H305+1),"")</f>
        <v/>
      </c>
      <c r="I306" s="199" t="str">
        <f>_xlfn.XLOOKUP($H306,'(backend scoring)'!$S$2:$S$333,'(backend scoring)'!$A$2:$A$333,"")</f>
        <v/>
      </c>
      <c r="J306" s="199" t="str">
        <f>IFERROR(VLOOKUP($I306,'Institution Evaluation'!$A$55:$F$345,2,0),IFERROR(VLOOKUP($I306,'Privacy Analyst Evaluation'!$A$46:$F$120,2,0),""))</f>
        <v/>
      </c>
      <c r="K306" s="199" t="str">
        <f>IFERROR(VLOOKUP($I306,'Institution Evaluation'!$A$55:$F$345,3,0),IFERROR(VLOOKUP($I306,'Privacy Analyst Evaluation'!$A$46:$F$120,3,0),""))&amp;""</f>
        <v/>
      </c>
      <c r="L306" s="199" t="str">
        <f>IFERROR(VLOOKUP($I306,'Institution Evaluation'!$A$55:$F$345,4,0),IFERROR(VLOOKUP($I306,'Privacy Analyst Evaluation'!$A$46:$F$120,4,0),""))&amp;""</f>
        <v/>
      </c>
      <c r="M306" s="199" t="str">
        <f>IFERROR(VLOOKUP($I306,'Institution Evaluation'!$A$55:$F$345,6,0),IFERROR(VLOOKUP($I306,'Privacy Analyst Evaluation'!$A$46:$F$120,6,0),""))&amp;""</f>
        <v/>
      </c>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row>
    <row r="307" spans="1:338" ht="17" x14ac:dyDescent="0.2">
      <c r="A307" s="199" t="str">
        <f>IFERROR(IF($A306+1&gt;'(backend scoring)'!$T$335,"",$A306+1),"")</f>
        <v/>
      </c>
      <c r="B307" s="199" t="str">
        <f>_xlfn.XLOOKUP($A307,'(backend scoring)'!$V$2:$V$333,'(backend scoring)'!$A$2:$A$333,"")</f>
        <v/>
      </c>
      <c r="C307" s="199" t="str">
        <f>IFERROR(VLOOKUP($B307,'Institution Evaluation'!$A$55:$F$345,2,0),IFERROR(VLOOKUP($B307,'Privacy Analyst Evaluation'!$A$46:$F$120,2,0),""))&amp;""</f>
        <v/>
      </c>
      <c r="D307" s="199" t="str">
        <f>IFERROR(VLOOKUP($B307,'Institution Evaluation'!$A$55:$F$345,3,0),IFERROR(VLOOKUP($B307,'Privacy Analyst Evaluation'!$A$46:$F$120,3,0),""))&amp;""</f>
        <v/>
      </c>
      <c r="E307" s="199" t="str">
        <f>IFERROR(VLOOKUP($B307,'Institution Evaluation'!$A$55:$F$345,4,0),IFERROR(VLOOKUP($B307,'Privacy Analyst Evaluation'!$A$46:$F$120,4,0),""))&amp;""</f>
        <v/>
      </c>
      <c r="F307" s="199" t="str">
        <f>IFERROR(VLOOKUP($B307,'Institution Evaluation'!$A$55:$F$345,6,0),IFERROR(VLOOKUP($B307,'Privacy Analyst Evaluation'!$A$46:$F$120,6,0),""))&amp;""</f>
        <v/>
      </c>
      <c r="G307" s="200"/>
      <c r="H307" s="199" t="str">
        <f>IFERROR(IF($H306+1&gt;'(backend scoring)'!$Q$335,"",$H306+1),"")</f>
        <v/>
      </c>
      <c r="I307" s="199" t="str">
        <f>_xlfn.XLOOKUP($H307,'(backend scoring)'!$S$2:$S$333,'(backend scoring)'!$A$2:$A$333,"")</f>
        <v/>
      </c>
      <c r="J307" s="199" t="str">
        <f>IFERROR(VLOOKUP($I307,'Institution Evaluation'!$A$55:$F$345,2,0),IFERROR(VLOOKUP($I307,'Privacy Analyst Evaluation'!$A$46:$F$120,2,0),""))</f>
        <v/>
      </c>
      <c r="K307" s="199" t="str">
        <f>IFERROR(VLOOKUP($I307,'Institution Evaluation'!$A$55:$F$345,3,0),IFERROR(VLOOKUP($I307,'Privacy Analyst Evaluation'!$A$46:$F$120,3,0),""))&amp;""</f>
        <v/>
      </c>
      <c r="L307" s="199" t="str">
        <f>IFERROR(VLOOKUP($I307,'Institution Evaluation'!$A$55:$F$345,4,0),IFERROR(VLOOKUP($I307,'Privacy Analyst Evaluation'!$A$46:$F$120,4,0),""))&amp;""</f>
        <v/>
      </c>
      <c r="M307" s="199" t="str">
        <f>IFERROR(VLOOKUP($I307,'Institution Evaluation'!$A$55:$F$345,6,0),IFERROR(VLOOKUP($I307,'Privacy Analyst Evaluation'!$A$46:$F$120,6,0),""))&amp;""</f>
        <v/>
      </c>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row>
    <row r="308" spans="1:338" ht="17" x14ac:dyDescent="0.2">
      <c r="A308" s="199" t="str">
        <f>IFERROR(IF($A307+1&gt;'(backend scoring)'!$T$335,"",$A307+1),"")</f>
        <v/>
      </c>
      <c r="B308" s="199" t="str">
        <f>_xlfn.XLOOKUP($A308,'(backend scoring)'!$V$2:$V$333,'(backend scoring)'!$A$2:$A$333,"")</f>
        <v/>
      </c>
      <c r="C308" s="199" t="str">
        <f>IFERROR(VLOOKUP($B308,'Institution Evaluation'!$A$55:$F$345,2,0),IFERROR(VLOOKUP($B308,'Privacy Analyst Evaluation'!$A$46:$F$120,2,0),""))&amp;""</f>
        <v/>
      </c>
      <c r="D308" s="199" t="str">
        <f>IFERROR(VLOOKUP($B308,'Institution Evaluation'!$A$55:$F$345,3,0),IFERROR(VLOOKUP($B308,'Privacy Analyst Evaluation'!$A$46:$F$120,3,0),""))&amp;""</f>
        <v/>
      </c>
      <c r="E308" s="199" t="str">
        <f>IFERROR(VLOOKUP($B308,'Institution Evaluation'!$A$55:$F$345,4,0),IFERROR(VLOOKUP($B308,'Privacy Analyst Evaluation'!$A$46:$F$120,4,0),""))&amp;""</f>
        <v/>
      </c>
      <c r="F308" s="199" t="str">
        <f>IFERROR(VLOOKUP($B308,'Institution Evaluation'!$A$55:$F$345,6,0),IFERROR(VLOOKUP($B308,'Privacy Analyst Evaluation'!$A$46:$F$120,6,0),""))&amp;""</f>
        <v/>
      </c>
      <c r="G308" s="200"/>
      <c r="H308" s="199" t="str">
        <f>IFERROR(IF($H307+1&gt;'(backend scoring)'!$Q$335,"",$H307+1),"")</f>
        <v/>
      </c>
      <c r="I308" s="199" t="str">
        <f>_xlfn.XLOOKUP($H308,'(backend scoring)'!$S$2:$S$333,'(backend scoring)'!$A$2:$A$333,"")</f>
        <v/>
      </c>
      <c r="J308" s="199" t="str">
        <f>IFERROR(VLOOKUP($I308,'Institution Evaluation'!$A$55:$F$345,2,0),IFERROR(VLOOKUP($I308,'Privacy Analyst Evaluation'!$A$46:$F$120,2,0),""))</f>
        <v/>
      </c>
      <c r="K308" s="199" t="str">
        <f>IFERROR(VLOOKUP($I308,'Institution Evaluation'!$A$55:$F$345,3,0),IFERROR(VLOOKUP($I308,'Privacy Analyst Evaluation'!$A$46:$F$120,3,0),""))&amp;""</f>
        <v/>
      </c>
      <c r="L308" s="199" t="str">
        <f>IFERROR(VLOOKUP($I308,'Institution Evaluation'!$A$55:$F$345,4,0),IFERROR(VLOOKUP($I308,'Privacy Analyst Evaluation'!$A$46:$F$120,4,0),""))&amp;""</f>
        <v/>
      </c>
      <c r="M308" s="199" t="str">
        <f>IFERROR(VLOOKUP($I308,'Institution Evaluation'!$A$55:$F$345,6,0),IFERROR(VLOOKUP($I308,'Privacy Analyst Evaluation'!$A$46:$F$120,6,0),""))&amp;""</f>
        <v/>
      </c>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row>
    <row r="309" spans="1:338" ht="17" x14ac:dyDescent="0.2">
      <c r="A309" s="199" t="str">
        <f>IFERROR(IF($A308+1&gt;'(backend scoring)'!$T$335,"",$A308+1),"")</f>
        <v/>
      </c>
      <c r="B309" s="199" t="str">
        <f>_xlfn.XLOOKUP($A309,'(backend scoring)'!$V$2:$V$333,'(backend scoring)'!$A$2:$A$333,"")</f>
        <v/>
      </c>
      <c r="C309" s="199" t="str">
        <f>IFERROR(VLOOKUP($B309,'Institution Evaluation'!$A$55:$F$345,2,0),IFERROR(VLOOKUP($B309,'Privacy Analyst Evaluation'!$A$46:$F$120,2,0),""))&amp;""</f>
        <v/>
      </c>
      <c r="D309" s="199" t="str">
        <f>IFERROR(VLOOKUP($B309,'Institution Evaluation'!$A$55:$F$345,3,0),IFERROR(VLOOKUP($B309,'Privacy Analyst Evaluation'!$A$46:$F$120,3,0),""))&amp;""</f>
        <v/>
      </c>
      <c r="E309" s="199" t="str">
        <f>IFERROR(VLOOKUP($B309,'Institution Evaluation'!$A$55:$F$345,4,0),IFERROR(VLOOKUP($B309,'Privacy Analyst Evaluation'!$A$46:$F$120,4,0),""))&amp;""</f>
        <v/>
      </c>
      <c r="F309" s="199" t="str">
        <f>IFERROR(VLOOKUP($B309,'Institution Evaluation'!$A$55:$F$345,6,0),IFERROR(VLOOKUP($B309,'Privacy Analyst Evaluation'!$A$46:$F$120,6,0),""))&amp;""</f>
        <v/>
      </c>
      <c r="G309" s="200"/>
      <c r="H309" s="199" t="str">
        <f>IFERROR(IF($H308+1&gt;'(backend scoring)'!$Q$335,"",$H308+1),"")</f>
        <v/>
      </c>
      <c r="I309" s="199" t="str">
        <f>_xlfn.XLOOKUP($H309,'(backend scoring)'!$S$2:$S$333,'(backend scoring)'!$A$2:$A$333,"")</f>
        <v/>
      </c>
      <c r="J309" s="199" t="str">
        <f>IFERROR(VLOOKUP($I309,'Institution Evaluation'!$A$55:$F$345,2,0),IFERROR(VLOOKUP($I309,'Privacy Analyst Evaluation'!$A$46:$F$120,2,0),""))</f>
        <v/>
      </c>
      <c r="K309" s="199" t="str">
        <f>IFERROR(VLOOKUP($I309,'Institution Evaluation'!$A$55:$F$345,3,0),IFERROR(VLOOKUP($I309,'Privacy Analyst Evaluation'!$A$46:$F$120,3,0),""))&amp;""</f>
        <v/>
      </c>
      <c r="L309" s="199" t="str">
        <f>IFERROR(VLOOKUP($I309,'Institution Evaluation'!$A$55:$F$345,4,0),IFERROR(VLOOKUP($I309,'Privacy Analyst Evaluation'!$A$46:$F$120,4,0),""))&amp;""</f>
        <v/>
      </c>
      <c r="M309" s="199" t="str">
        <f>IFERROR(VLOOKUP($I309,'Institution Evaluation'!$A$55:$F$345,6,0),IFERROR(VLOOKUP($I309,'Privacy Analyst Evaluation'!$A$46:$F$120,6,0),""))&amp;""</f>
        <v/>
      </c>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row>
    <row r="310" spans="1:338" ht="17" x14ac:dyDescent="0.2">
      <c r="A310" s="199" t="str">
        <f>IFERROR(IF($A309+1&gt;'(backend scoring)'!$T$335,"",$A309+1),"")</f>
        <v/>
      </c>
      <c r="B310" s="199" t="str">
        <f>_xlfn.XLOOKUP($A310,'(backend scoring)'!$V$2:$V$333,'(backend scoring)'!$A$2:$A$333,"")</f>
        <v/>
      </c>
      <c r="C310" s="199" t="str">
        <f>IFERROR(VLOOKUP($B310,'Institution Evaluation'!$A$55:$F$345,2,0),IFERROR(VLOOKUP($B310,'Privacy Analyst Evaluation'!$A$46:$F$120,2,0),""))&amp;""</f>
        <v/>
      </c>
      <c r="D310" s="199" t="str">
        <f>IFERROR(VLOOKUP($B310,'Institution Evaluation'!$A$55:$F$345,3,0),IFERROR(VLOOKUP($B310,'Privacy Analyst Evaluation'!$A$46:$F$120,3,0),""))&amp;""</f>
        <v/>
      </c>
      <c r="E310" s="199" t="str">
        <f>IFERROR(VLOOKUP($B310,'Institution Evaluation'!$A$55:$F$345,4,0),IFERROR(VLOOKUP($B310,'Privacy Analyst Evaluation'!$A$46:$F$120,4,0),""))&amp;""</f>
        <v/>
      </c>
      <c r="F310" s="199" t="str">
        <f>IFERROR(VLOOKUP($B310,'Institution Evaluation'!$A$55:$F$345,6,0),IFERROR(VLOOKUP($B310,'Privacy Analyst Evaluation'!$A$46:$F$120,6,0),""))&amp;""</f>
        <v/>
      </c>
      <c r="G310" s="200"/>
      <c r="H310" s="199" t="str">
        <f>IFERROR(IF($H309+1&gt;'(backend scoring)'!$Q$335,"",$H309+1),"")</f>
        <v/>
      </c>
      <c r="I310" s="199" t="str">
        <f>_xlfn.XLOOKUP($H310,'(backend scoring)'!$S$2:$S$333,'(backend scoring)'!$A$2:$A$333,"")</f>
        <v/>
      </c>
      <c r="J310" s="199" t="str">
        <f>IFERROR(VLOOKUP($I310,'Institution Evaluation'!$A$55:$F$345,2,0),IFERROR(VLOOKUP($I310,'Privacy Analyst Evaluation'!$A$46:$F$120,2,0),""))</f>
        <v/>
      </c>
      <c r="K310" s="199" t="str">
        <f>IFERROR(VLOOKUP($I310,'Institution Evaluation'!$A$55:$F$345,3,0),IFERROR(VLOOKUP($I310,'Privacy Analyst Evaluation'!$A$46:$F$120,3,0),""))&amp;""</f>
        <v/>
      </c>
      <c r="L310" s="199" t="str">
        <f>IFERROR(VLOOKUP($I310,'Institution Evaluation'!$A$55:$F$345,4,0),IFERROR(VLOOKUP($I310,'Privacy Analyst Evaluation'!$A$46:$F$120,4,0),""))&amp;""</f>
        <v/>
      </c>
      <c r="M310" s="199" t="str">
        <f>IFERROR(VLOOKUP($I310,'Institution Evaluation'!$A$55:$F$345,6,0),IFERROR(VLOOKUP($I310,'Privacy Analyst Evaluation'!$A$46:$F$120,6,0),""))&amp;""</f>
        <v/>
      </c>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row>
    <row r="311" spans="1:338" ht="17" x14ac:dyDescent="0.2">
      <c r="A311" s="199" t="str">
        <f>IFERROR(IF($A310+1&gt;'(backend scoring)'!$T$335,"",$A310+1),"")</f>
        <v/>
      </c>
      <c r="B311" s="199" t="str">
        <f>_xlfn.XLOOKUP($A311,'(backend scoring)'!$V$2:$V$333,'(backend scoring)'!$A$2:$A$333,"")</f>
        <v/>
      </c>
      <c r="C311" s="199" t="str">
        <f>IFERROR(VLOOKUP($B311,'Institution Evaluation'!$A$55:$F$345,2,0),IFERROR(VLOOKUP($B311,'Privacy Analyst Evaluation'!$A$46:$F$120,2,0),""))&amp;""</f>
        <v/>
      </c>
      <c r="D311" s="199" t="str">
        <f>IFERROR(VLOOKUP($B311,'Institution Evaluation'!$A$55:$F$345,3,0),IFERROR(VLOOKUP($B311,'Privacy Analyst Evaluation'!$A$46:$F$120,3,0),""))&amp;""</f>
        <v/>
      </c>
      <c r="E311" s="199" t="str">
        <f>IFERROR(VLOOKUP($B311,'Institution Evaluation'!$A$55:$F$345,4,0),IFERROR(VLOOKUP($B311,'Privacy Analyst Evaluation'!$A$46:$F$120,4,0),""))&amp;""</f>
        <v/>
      </c>
      <c r="F311" s="199" t="str">
        <f>IFERROR(VLOOKUP($B311,'Institution Evaluation'!$A$55:$F$345,6,0),IFERROR(VLOOKUP($B311,'Privacy Analyst Evaluation'!$A$46:$F$120,6,0),""))&amp;""</f>
        <v/>
      </c>
      <c r="G311" s="200"/>
      <c r="H311" s="199" t="str">
        <f>IFERROR(IF($H310+1&gt;'(backend scoring)'!$Q$335,"",$H310+1),"")</f>
        <v/>
      </c>
      <c r="I311" s="199" t="str">
        <f>_xlfn.XLOOKUP($H311,'(backend scoring)'!$S$2:$S$333,'(backend scoring)'!$A$2:$A$333,"")</f>
        <v/>
      </c>
      <c r="J311" s="199" t="str">
        <f>IFERROR(VLOOKUP($I311,'Institution Evaluation'!$A$55:$F$345,2,0),IFERROR(VLOOKUP($I311,'Privacy Analyst Evaluation'!$A$46:$F$120,2,0),""))</f>
        <v/>
      </c>
      <c r="K311" s="199" t="str">
        <f>IFERROR(VLOOKUP($I311,'Institution Evaluation'!$A$55:$F$345,3,0),IFERROR(VLOOKUP($I311,'Privacy Analyst Evaluation'!$A$46:$F$120,3,0),""))&amp;""</f>
        <v/>
      </c>
      <c r="L311" s="199" t="str">
        <f>IFERROR(VLOOKUP($I311,'Institution Evaluation'!$A$55:$F$345,4,0),IFERROR(VLOOKUP($I311,'Privacy Analyst Evaluation'!$A$46:$F$120,4,0),""))&amp;""</f>
        <v/>
      </c>
      <c r="M311" s="199" t="str">
        <f>IFERROR(VLOOKUP($I311,'Institution Evaluation'!$A$55:$F$345,6,0),IFERROR(VLOOKUP($I311,'Privacy Analyst Evaluation'!$A$46:$F$120,6,0),""))&amp;""</f>
        <v/>
      </c>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row>
    <row r="312" spans="1:338" ht="17" x14ac:dyDescent="0.2">
      <c r="A312" s="199" t="str">
        <f>IFERROR(IF($A311+1&gt;'(backend scoring)'!$T$335,"",$A311+1),"")</f>
        <v/>
      </c>
      <c r="B312" s="199" t="str">
        <f>_xlfn.XLOOKUP($A312,'(backend scoring)'!$V$2:$V$333,'(backend scoring)'!$A$2:$A$333,"")</f>
        <v/>
      </c>
      <c r="C312" s="199" t="str">
        <f>IFERROR(VLOOKUP($B312,'Institution Evaluation'!$A$55:$F$345,2,0),IFERROR(VLOOKUP($B312,'Privacy Analyst Evaluation'!$A$46:$F$120,2,0),""))&amp;""</f>
        <v/>
      </c>
      <c r="D312" s="199" t="str">
        <f>IFERROR(VLOOKUP($B312,'Institution Evaluation'!$A$55:$F$345,3,0),IFERROR(VLOOKUP($B312,'Privacy Analyst Evaluation'!$A$46:$F$120,3,0),""))&amp;""</f>
        <v/>
      </c>
      <c r="E312" s="199" t="str">
        <f>IFERROR(VLOOKUP($B312,'Institution Evaluation'!$A$55:$F$345,4,0),IFERROR(VLOOKUP($B312,'Privacy Analyst Evaluation'!$A$46:$F$120,4,0),""))&amp;""</f>
        <v/>
      </c>
      <c r="F312" s="199" t="str">
        <f>IFERROR(VLOOKUP($B312,'Institution Evaluation'!$A$55:$F$345,6,0),IFERROR(VLOOKUP($B312,'Privacy Analyst Evaluation'!$A$46:$F$120,6,0),""))&amp;""</f>
        <v/>
      </c>
      <c r="G312" s="200"/>
      <c r="H312" s="199" t="str">
        <f>IFERROR(IF($H311+1&gt;'(backend scoring)'!$Q$335,"",$H311+1),"")</f>
        <v/>
      </c>
      <c r="I312" s="199" t="str">
        <f>_xlfn.XLOOKUP($H312,'(backend scoring)'!$S$2:$S$333,'(backend scoring)'!$A$2:$A$333,"")</f>
        <v/>
      </c>
      <c r="J312" s="199" t="str">
        <f>IFERROR(VLOOKUP($I312,'Institution Evaluation'!$A$55:$F$345,2,0),IFERROR(VLOOKUP($I312,'Privacy Analyst Evaluation'!$A$46:$F$120,2,0),""))</f>
        <v/>
      </c>
      <c r="K312" s="199" t="str">
        <f>IFERROR(VLOOKUP($I312,'Institution Evaluation'!$A$55:$F$345,3,0),IFERROR(VLOOKUP($I312,'Privacy Analyst Evaluation'!$A$46:$F$120,3,0),""))&amp;""</f>
        <v/>
      </c>
      <c r="L312" s="199" t="str">
        <f>IFERROR(VLOOKUP($I312,'Institution Evaluation'!$A$55:$F$345,4,0),IFERROR(VLOOKUP($I312,'Privacy Analyst Evaluation'!$A$46:$F$120,4,0),""))&amp;""</f>
        <v/>
      </c>
      <c r="M312" s="199" t="str">
        <f>IFERROR(VLOOKUP($I312,'Institution Evaluation'!$A$55:$F$345,6,0),IFERROR(VLOOKUP($I312,'Privacy Analyst Evaluation'!$A$46:$F$120,6,0),""))&amp;""</f>
        <v/>
      </c>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row>
    <row r="313" spans="1:338" ht="17" x14ac:dyDescent="0.2">
      <c r="A313" s="199" t="str">
        <f>IFERROR(IF($A312+1&gt;'(backend scoring)'!$T$335,"",$A312+1),"")</f>
        <v/>
      </c>
      <c r="B313" s="199" t="str">
        <f>_xlfn.XLOOKUP($A313,'(backend scoring)'!$V$2:$V$333,'(backend scoring)'!$A$2:$A$333,"")</f>
        <v/>
      </c>
      <c r="C313" s="199" t="str">
        <f>IFERROR(VLOOKUP($B313,'Institution Evaluation'!$A$55:$F$345,2,0),IFERROR(VLOOKUP($B313,'Privacy Analyst Evaluation'!$A$46:$F$120,2,0),""))&amp;""</f>
        <v/>
      </c>
      <c r="D313" s="199" t="str">
        <f>IFERROR(VLOOKUP($B313,'Institution Evaluation'!$A$55:$F$345,3,0),IFERROR(VLOOKUP($B313,'Privacy Analyst Evaluation'!$A$46:$F$120,3,0),""))&amp;""</f>
        <v/>
      </c>
      <c r="E313" s="199" t="str">
        <f>IFERROR(VLOOKUP($B313,'Institution Evaluation'!$A$55:$F$345,4,0),IFERROR(VLOOKUP($B313,'Privacy Analyst Evaluation'!$A$46:$F$120,4,0),""))&amp;""</f>
        <v/>
      </c>
      <c r="F313" s="199" t="str">
        <f>IFERROR(VLOOKUP($B313,'Institution Evaluation'!$A$55:$F$345,6,0),IFERROR(VLOOKUP($B313,'Privacy Analyst Evaluation'!$A$46:$F$120,6,0),""))&amp;""</f>
        <v/>
      </c>
      <c r="G313" s="200"/>
      <c r="H313" s="199" t="str">
        <f>IFERROR(IF($H312+1&gt;'(backend scoring)'!$Q$335,"",$H312+1),"")</f>
        <v/>
      </c>
      <c r="I313" s="199" t="str">
        <f>_xlfn.XLOOKUP($H313,'(backend scoring)'!$S$2:$S$333,'(backend scoring)'!$A$2:$A$333,"")</f>
        <v/>
      </c>
      <c r="J313" s="199" t="str">
        <f>IFERROR(VLOOKUP($I313,'Institution Evaluation'!$A$55:$F$345,2,0),IFERROR(VLOOKUP($I313,'Privacy Analyst Evaluation'!$A$46:$F$120,2,0),""))</f>
        <v/>
      </c>
      <c r="K313" s="199" t="str">
        <f>IFERROR(VLOOKUP($I313,'Institution Evaluation'!$A$55:$F$345,3,0),IFERROR(VLOOKUP($I313,'Privacy Analyst Evaluation'!$A$46:$F$120,3,0),""))&amp;""</f>
        <v/>
      </c>
      <c r="L313" s="199" t="str">
        <f>IFERROR(VLOOKUP($I313,'Institution Evaluation'!$A$55:$F$345,4,0),IFERROR(VLOOKUP($I313,'Privacy Analyst Evaluation'!$A$46:$F$120,4,0),""))&amp;""</f>
        <v/>
      </c>
      <c r="M313" s="199" t="str">
        <f>IFERROR(VLOOKUP($I313,'Institution Evaluation'!$A$55:$F$345,6,0),IFERROR(VLOOKUP($I313,'Privacy Analyst Evaluation'!$A$46:$F$120,6,0),""))&amp;""</f>
        <v/>
      </c>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row>
    <row r="314" spans="1:338" ht="17" x14ac:dyDescent="0.2">
      <c r="A314" s="199" t="str">
        <f>IFERROR(IF($A313+1&gt;'(backend scoring)'!$T$335,"",$A313+1),"")</f>
        <v/>
      </c>
      <c r="B314" s="199" t="str">
        <f>_xlfn.XLOOKUP($A314,'(backend scoring)'!$V$2:$V$333,'(backend scoring)'!$A$2:$A$333,"")</f>
        <v/>
      </c>
      <c r="C314" s="199" t="str">
        <f>IFERROR(VLOOKUP($B314,'Institution Evaluation'!$A$55:$F$345,2,0),IFERROR(VLOOKUP($B314,'Privacy Analyst Evaluation'!$A$46:$F$120,2,0),""))&amp;""</f>
        <v/>
      </c>
      <c r="D314" s="199" t="str">
        <f>IFERROR(VLOOKUP($B314,'Institution Evaluation'!$A$55:$F$345,3,0),IFERROR(VLOOKUP($B314,'Privacy Analyst Evaluation'!$A$46:$F$120,3,0),""))&amp;""</f>
        <v/>
      </c>
      <c r="E314" s="199" t="str">
        <f>IFERROR(VLOOKUP($B314,'Institution Evaluation'!$A$55:$F$345,4,0),IFERROR(VLOOKUP($B314,'Privacy Analyst Evaluation'!$A$46:$F$120,4,0),""))&amp;""</f>
        <v/>
      </c>
      <c r="F314" s="199" t="str">
        <f>IFERROR(VLOOKUP($B314,'Institution Evaluation'!$A$55:$F$345,6,0),IFERROR(VLOOKUP($B314,'Privacy Analyst Evaluation'!$A$46:$F$120,6,0),""))&amp;""</f>
        <v/>
      </c>
      <c r="G314" s="200"/>
      <c r="H314" s="199" t="str">
        <f>IFERROR(IF($H313+1&gt;'(backend scoring)'!$Q$335,"",$H313+1),"")</f>
        <v/>
      </c>
      <c r="I314" s="199" t="str">
        <f>_xlfn.XLOOKUP($H314,'(backend scoring)'!$S$2:$S$333,'(backend scoring)'!$A$2:$A$333,"")</f>
        <v/>
      </c>
      <c r="J314" s="199" t="str">
        <f>IFERROR(VLOOKUP($I314,'Institution Evaluation'!$A$55:$F$345,2,0),IFERROR(VLOOKUP($I314,'Privacy Analyst Evaluation'!$A$46:$F$120,2,0),""))</f>
        <v/>
      </c>
      <c r="K314" s="199" t="str">
        <f>IFERROR(VLOOKUP($I314,'Institution Evaluation'!$A$55:$F$345,3,0),IFERROR(VLOOKUP($I314,'Privacy Analyst Evaluation'!$A$46:$F$120,3,0),""))&amp;""</f>
        <v/>
      </c>
      <c r="L314" s="199" t="str">
        <f>IFERROR(VLOOKUP($I314,'Institution Evaluation'!$A$55:$F$345,4,0),IFERROR(VLOOKUP($I314,'Privacy Analyst Evaluation'!$A$46:$F$120,4,0),""))&amp;""</f>
        <v/>
      </c>
      <c r="M314" s="199" t="str">
        <f>IFERROR(VLOOKUP($I314,'Institution Evaluation'!$A$55:$F$345,6,0),IFERROR(VLOOKUP($I314,'Privacy Analyst Evaluation'!$A$46:$F$120,6,0),""))&amp;""</f>
        <v/>
      </c>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row>
    <row r="315" spans="1:338" ht="17" x14ac:dyDescent="0.2">
      <c r="A315" s="199" t="str">
        <f>IFERROR(IF($A314+1&gt;'(backend scoring)'!$T$335,"",$A314+1),"")</f>
        <v/>
      </c>
      <c r="B315" s="199" t="str">
        <f>_xlfn.XLOOKUP($A315,'(backend scoring)'!$V$2:$V$333,'(backend scoring)'!$A$2:$A$333,"")</f>
        <v/>
      </c>
      <c r="C315" s="199" t="str">
        <f>IFERROR(VLOOKUP($B315,'Institution Evaluation'!$A$55:$F$345,2,0),IFERROR(VLOOKUP($B315,'Privacy Analyst Evaluation'!$A$46:$F$120,2,0),""))&amp;""</f>
        <v/>
      </c>
      <c r="D315" s="199" t="str">
        <f>IFERROR(VLOOKUP($B315,'Institution Evaluation'!$A$55:$F$345,3,0),IFERROR(VLOOKUP($B315,'Privacy Analyst Evaluation'!$A$46:$F$120,3,0),""))&amp;""</f>
        <v/>
      </c>
      <c r="E315" s="199" t="str">
        <f>IFERROR(VLOOKUP($B315,'Institution Evaluation'!$A$55:$F$345,4,0),IFERROR(VLOOKUP($B315,'Privacy Analyst Evaluation'!$A$46:$F$120,4,0),""))&amp;""</f>
        <v/>
      </c>
      <c r="F315" s="199" t="str">
        <f>IFERROR(VLOOKUP($B315,'Institution Evaluation'!$A$55:$F$345,6,0),IFERROR(VLOOKUP($B315,'Privacy Analyst Evaluation'!$A$46:$F$120,6,0),""))&amp;""</f>
        <v/>
      </c>
      <c r="G315" s="200"/>
      <c r="H315" s="199" t="str">
        <f>IFERROR(IF($H314+1&gt;'(backend scoring)'!$Q$335,"",$H314+1),"")</f>
        <v/>
      </c>
      <c r="I315" s="199" t="str">
        <f>_xlfn.XLOOKUP($H315,'(backend scoring)'!$S$2:$S$333,'(backend scoring)'!$A$2:$A$333,"")</f>
        <v/>
      </c>
      <c r="J315" s="199" t="str">
        <f>IFERROR(VLOOKUP($I315,'Institution Evaluation'!$A$55:$F$345,2,0),IFERROR(VLOOKUP($I315,'Privacy Analyst Evaluation'!$A$46:$F$120,2,0),""))</f>
        <v/>
      </c>
      <c r="K315" s="199" t="str">
        <f>IFERROR(VLOOKUP($I315,'Institution Evaluation'!$A$55:$F$345,3,0),IFERROR(VLOOKUP($I315,'Privacy Analyst Evaluation'!$A$46:$F$120,3,0),""))&amp;""</f>
        <v/>
      </c>
      <c r="L315" s="199" t="str">
        <f>IFERROR(VLOOKUP($I315,'Institution Evaluation'!$A$55:$F$345,4,0),IFERROR(VLOOKUP($I315,'Privacy Analyst Evaluation'!$A$46:$F$120,4,0),""))&amp;""</f>
        <v/>
      </c>
      <c r="M315" s="199" t="str">
        <f>IFERROR(VLOOKUP($I315,'Institution Evaluation'!$A$55:$F$345,6,0),IFERROR(VLOOKUP($I315,'Privacy Analyst Evaluation'!$A$46:$F$120,6,0),""))&amp;""</f>
        <v/>
      </c>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row>
    <row r="316" spans="1:338" ht="17" x14ac:dyDescent="0.2">
      <c r="A316" s="199" t="str">
        <f>IFERROR(IF($A315+1&gt;'(backend scoring)'!$T$335,"",$A315+1),"")</f>
        <v/>
      </c>
      <c r="B316" s="199" t="str">
        <f>_xlfn.XLOOKUP($A316,'(backend scoring)'!$V$2:$V$333,'(backend scoring)'!$A$2:$A$333,"")</f>
        <v/>
      </c>
      <c r="C316" s="199" t="str">
        <f>IFERROR(VLOOKUP($B316,'Institution Evaluation'!$A$55:$F$345,2,0),IFERROR(VLOOKUP($B316,'Privacy Analyst Evaluation'!$A$46:$F$120,2,0),""))&amp;""</f>
        <v/>
      </c>
      <c r="D316" s="199" t="str">
        <f>IFERROR(VLOOKUP($B316,'Institution Evaluation'!$A$55:$F$345,3,0),IFERROR(VLOOKUP($B316,'Privacy Analyst Evaluation'!$A$46:$F$120,3,0),""))&amp;""</f>
        <v/>
      </c>
      <c r="E316" s="199" t="str">
        <f>IFERROR(VLOOKUP($B316,'Institution Evaluation'!$A$55:$F$345,4,0),IFERROR(VLOOKUP($B316,'Privacy Analyst Evaluation'!$A$46:$F$120,4,0),""))&amp;""</f>
        <v/>
      </c>
      <c r="F316" s="199" t="str">
        <f>IFERROR(VLOOKUP($B316,'Institution Evaluation'!$A$55:$F$345,6,0),IFERROR(VLOOKUP($B316,'Privacy Analyst Evaluation'!$A$46:$F$120,6,0),""))&amp;""</f>
        <v/>
      </c>
      <c r="G316" s="200"/>
      <c r="H316" s="199" t="str">
        <f>IFERROR(IF($H315+1&gt;'(backend scoring)'!$Q$335,"",$H315+1),"")</f>
        <v/>
      </c>
      <c r="I316" s="199" t="str">
        <f>_xlfn.XLOOKUP($H316,'(backend scoring)'!$S$2:$S$333,'(backend scoring)'!$A$2:$A$333,"")</f>
        <v/>
      </c>
      <c r="J316" s="199" t="str">
        <f>IFERROR(VLOOKUP($I316,'Institution Evaluation'!$A$55:$F$345,2,0),IFERROR(VLOOKUP($I316,'Privacy Analyst Evaluation'!$A$46:$F$120,2,0),""))</f>
        <v/>
      </c>
      <c r="K316" s="199" t="str">
        <f>IFERROR(VLOOKUP($I316,'Institution Evaluation'!$A$55:$F$345,3,0),IFERROR(VLOOKUP($I316,'Privacy Analyst Evaluation'!$A$46:$F$120,3,0),""))&amp;""</f>
        <v/>
      </c>
      <c r="L316" s="199" t="str">
        <f>IFERROR(VLOOKUP($I316,'Institution Evaluation'!$A$55:$F$345,4,0),IFERROR(VLOOKUP($I316,'Privacy Analyst Evaluation'!$A$46:$F$120,4,0),""))&amp;""</f>
        <v/>
      </c>
      <c r="M316" s="199" t="str">
        <f>IFERROR(VLOOKUP($I316,'Institution Evaluation'!$A$55:$F$345,6,0),IFERROR(VLOOKUP($I316,'Privacy Analyst Evaluation'!$A$46:$F$120,6,0),""))&amp;""</f>
        <v/>
      </c>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row>
    <row r="317" spans="1:338" ht="17" x14ac:dyDescent="0.2">
      <c r="A317" s="199" t="str">
        <f>IFERROR(IF($A316+1&gt;'(backend scoring)'!$T$335,"",$A316+1),"")</f>
        <v/>
      </c>
      <c r="B317" s="199" t="str">
        <f>_xlfn.XLOOKUP($A317,'(backend scoring)'!$V$2:$V$333,'(backend scoring)'!$A$2:$A$333,"")</f>
        <v/>
      </c>
      <c r="C317" s="199" t="str">
        <f>IFERROR(VLOOKUP($B317,'Institution Evaluation'!$A$55:$F$345,2,0),IFERROR(VLOOKUP($B317,'Privacy Analyst Evaluation'!$A$46:$F$120,2,0),""))&amp;""</f>
        <v/>
      </c>
      <c r="D317" s="199" t="str">
        <f>IFERROR(VLOOKUP($B317,'Institution Evaluation'!$A$55:$F$345,3,0),IFERROR(VLOOKUP($B317,'Privacy Analyst Evaluation'!$A$46:$F$120,3,0),""))&amp;""</f>
        <v/>
      </c>
      <c r="E317" s="199" t="str">
        <f>IFERROR(VLOOKUP($B317,'Institution Evaluation'!$A$55:$F$345,4,0),IFERROR(VLOOKUP($B317,'Privacy Analyst Evaluation'!$A$46:$F$120,4,0),""))&amp;""</f>
        <v/>
      </c>
      <c r="F317" s="199" t="str">
        <f>IFERROR(VLOOKUP($B317,'Institution Evaluation'!$A$55:$F$345,6,0),IFERROR(VLOOKUP($B317,'Privacy Analyst Evaluation'!$A$46:$F$120,6,0),""))&amp;""</f>
        <v/>
      </c>
      <c r="G317" s="200"/>
      <c r="H317" s="199" t="str">
        <f>IFERROR(IF($H316+1&gt;'(backend scoring)'!$Q$335,"",$H316+1),"")</f>
        <v/>
      </c>
      <c r="I317" s="199" t="str">
        <f>_xlfn.XLOOKUP($H317,'(backend scoring)'!$S$2:$S$333,'(backend scoring)'!$A$2:$A$333,"")</f>
        <v/>
      </c>
      <c r="J317" s="199" t="str">
        <f>IFERROR(VLOOKUP($I317,'Institution Evaluation'!$A$55:$F$345,2,0),IFERROR(VLOOKUP($I317,'Privacy Analyst Evaluation'!$A$46:$F$120,2,0),""))</f>
        <v/>
      </c>
      <c r="K317" s="199" t="str">
        <f>IFERROR(VLOOKUP($I317,'Institution Evaluation'!$A$55:$F$345,3,0),IFERROR(VLOOKUP($I317,'Privacy Analyst Evaluation'!$A$46:$F$120,3,0),""))&amp;""</f>
        <v/>
      </c>
      <c r="L317" s="199" t="str">
        <f>IFERROR(VLOOKUP($I317,'Institution Evaluation'!$A$55:$F$345,4,0),IFERROR(VLOOKUP($I317,'Privacy Analyst Evaluation'!$A$46:$F$120,4,0),""))&amp;""</f>
        <v/>
      </c>
      <c r="M317" s="199" t="str">
        <f>IFERROR(VLOOKUP($I317,'Institution Evaluation'!$A$55:$F$345,6,0),IFERROR(VLOOKUP($I317,'Privacy Analyst Evaluation'!$A$46:$F$120,6,0),""))&amp;""</f>
        <v/>
      </c>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row>
    <row r="318" spans="1:338" ht="17" x14ac:dyDescent="0.2">
      <c r="A318" s="199" t="str">
        <f>IFERROR(IF($A317+1&gt;'(backend scoring)'!$T$335,"",$A317+1),"")</f>
        <v/>
      </c>
      <c r="B318" s="199" t="str">
        <f>_xlfn.XLOOKUP($A318,'(backend scoring)'!$V$2:$V$333,'(backend scoring)'!$A$2:$A$333,"")</f>
        <v/>
      </c>
      <c r="C318" s="199" t="str">
        <f>IFERROR(VLOOKUP($B318,'Institution Evaluation'!$A$55:$F$345,2,0),IFERROR(VLOOKUP($B318,'Privacy Analyst Evaluation'!$A$46:$F$120,2,0),""))&amp;""</f>
        <v/>
      </c>
      <c r="D318" s="199" t="str">
        <f>IFERROR(VLOOKUP($B318,'Institution Evaluation'!$A$55:$F$345,3,0),IFERROR(VLOOKUP($B318,'Privacy Analyst Evaluation'!$A$46:$F$120,3,0),""))&amp;""</f>
        <v/>
      </c>
      <c r="E318" s="199" t="str">
        <f>IFERROR(VLOOKUP($B318,'Institution Evaluation'!$A$55:$F$345,4,0),IFERROR(VLOOKUP($B318,'Privacy Analyst Evaluation'!$A$46:$F$120,4,0),""))&amp;""</f>
        <v/>
      </c>
      <c r="F318" s="199" t="str">
        <f>IFERROR(VLOOKUP($B318,'Institution Evaluation'!$A$55:$F$345,6,0),IFERROR(VLOOKUP($B318,'Privacy Analyst Evaluation'!$A$46:$F$120,6,0),""))&amp;""</f>
        <v/>
      </c>
      <c r="G318" s="200"/>
      <c r="H318" s="199" t="str">
        <f>IFERROR(IF($H317+1&gt;'(backend scoring)'!$Q$335,"",$H317+1),"")</f>
        <v/>
      </c>
      <c r="I318" s="199" t="str">
        <f>_xlfn.XLOOKUP($H318,'(backend scoring)'!$S$2:$S$333,'(backend scoring)'!$A$2:$A$333,"")</f>
        <v/>
      </c>
      <c r="J318" s="199" t="str">
        <f>IFERROR(VLOOKUP($I318,'Institution Evaluation'!$A$55:$F$345,2,0),IFERROR(VLOOKUP($I318,'Privacy Analyst Evaluation'!$A$46:$F$120,2,0),""))</f>
        <v/>
      </c>
      <c r="K318" s="199" t="str">
        <f>IFERROR(VLOOKUP($I318,'Institution Evaluation'!$A$55:$F$345,3,0),IFERROR(VLOOKUP($I318,'Privacy Analyst Evaluation'!$A$46:$F$120,3,0),""))&amp;""</f>
        <v/>
      </c>
      <c r="L318" s="199" t="str">
        <f>IFERROR(VLOOKUP($I318,'Institution Evaluation'!$A$55:$F$345,4,0),IFERROR(VLOOKUP($I318,'Privacy Analyst Evaluation'!$A$46:$F$120,4,0),""))&amp;""</f>
        <v/>
      </c>
      <c r="M318" s="199" t="str">
        <f>IFERROR(VLOOKUP($I318,'Institution Evaluation'!$A$55:$F$345,6,0),IFERROR(VLOOKUP($I318,'Privacy Analyst Evaluation'!$A$46:$F$120,6,0),""))&amp;""</f>
        <v/>
      </c>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row>
    <row r="319" spans="1:338" ht="17" x14ac:dyDescent="0.2">
      <c r="A319" s="199" t="str">
        <f>IFERROR(IF($A318+1&gt;'(backend scoring)'!$T$335,"",$A318+1),"")</f>
        <v/>
      </c>
      <c r="B319" s="199" t="str">
        <f>_xlfn.XLOOKUP($A319,'(backend scoring)'!$V$2:$V$333,'(backend scoring)'!$A$2:$A$333,"")</f>
        <v/>
      </c>
      <c r="C319" s="199" t="str">
        <f>IFERROR(VLOOKUP($B319,'Institution Evaluation'!$A$55:$F$345,2,0),IFERROR(VLOOKUP($B319,'Privacy Analyst Evaluation'!$A$46:$F$120,2,0),""))&amp;""</f>
        <v/>
      </c>
      <c r="D319" s="199" t="str">
        <f>IFERROR(VLOOKUP($B319,'Institution Evaluation'!$A$55:$F$345,3,0),IFERROR(VLOOKUP($B319,'Privacy Analyst Evaluation'!$A$46:$F$120,3,0),""))&amp;""</f>
        <v/>
      </c>
      <c r="E319" s="199" t="str">
        <f>IFERROR(VLOOKUP($B319,'Institution Evaluation'!$A$55:$F$345,4,0),IFERROR(VLOOKUP($B319,'Privacy Analyst Evaluation'!$A$46:$F$120,4,0),""))&amp;""</f>
        <v/>
      </c>
      <c r="F319" s="199" t="str">
        <f>IFERROR(VLOOKUP($B319,'Institution Evaluation'!$A$55:$F$345,6,0),IFERROR(VLOOKUP($B319,'Privacy Analyst Evaluation'!$A$46:$F$120,6,0),""))&amp;""</f>
        <v/>
      </c>
      <c r="G319" s="200"/>
      <c r="H319" s="199" t="str">
        <f>IFERROR(IF($H318+1&gt;'(backend scoring)'!$Q$335,"",$H318+1),"")</f>
        <v/>
      </c>
      <c r="I319" s="199" t="str">
        <f>_xlfn.XLOOKUP($H319,'(backend scoring)'!$S$2:$S$333,'(backend scoring)'!$A$2:$A$333,"")</f>
        <v/>
      </c>
      <c r="J319" s="199" t="str">
        <f>IFERROR(VLOOKUP($I319,'Institution Evaluation'!$A$55:$F$345,2,0),IFERROR(VLOOKUP($I319,'Privacy Analyst Evaluation'!$A$46:$F$120,2,0),""))</f>
        <v/>
      </c>
      <c r="K319" s="199" t="str">
        <f>IFERROR(VLOOKUP($I319,'Institution Evaluation'!$A$55:$F$345,3,0),IFERROR(VLOOKUP($I319,'Privacy Analyst Evaluation'!$A$46:$F$120,3,0),""))&amp;""</f>
        <v/>
      </c>
      <c r="L319" s="199" t="str">
        <f>IFERROR(VLOOKUP($I319,'Institution Evaluation'!$A$55:$F$345,4,0),IFERROR(VLOOKUP($I319,'Privacy Analyst Evaluation'!$A$46:$F$120,4,0),""))&amp;""</f>
        <v/>
      </c>
      <c r="M319" s="199" t="str">
        <f>IFERROR(VLOOKUP($I319,'Institution Evaluation'!$A$55:$F$345,6,0),IFERROR(VLOOKUP($I319,'Privacy Analyst Evaluation'!$A$46:$F$120,6,0),""))&amp;""</f>
        <v/>
      </c>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row>
    <row r="320" spans="1:338" ht="17" x14ac:dyDescent="0.2">
      <c r="A320" s="199" t="str">
        <f>IFERROR(IF($A319+1&gt;'(backend scoring)'!$T$335,"",$A319+1),"")</f>
        <v/>
      </c>
      <c r="B320" s="199" t="str">
        <f>_xlfn.XLOOKUP($A320,'(backend scoring)'!$V$2:$V$333,'(backend scoring)'!$A$2:$A$333,"")</f>
        <v/>
      </c>
      <c r="C320" s="199" t="str">
        <f>IFERROR(VLOOKUP($B320,'Institution Evaluation'!$A$55:$F$345,2,0),IFERROR(VLOOKUP($B320,'Privacy Analyst Evaluation'!$A$46:$F$120,2,0),""))&amp;""</f>
        <v/>
      </c>
      <c r="D320" s="199" t="str">
        <f>IFERROR(VLOOKUP($B320,'Institution Evaluation'!$A$55:$F$345,3,0),IFERROR(VLOOKUP($B320,'Privacy Analyst Evaluation'!$A$46:$F$120,3,0),""))&amp;""</f>
        <v/>
      </c>
      <c r="E320" s="199" t="str">
        <f>IFERROR(VLOOKUP($B320,'Institution Evaluation'!$A$55:$F$345,4,0),IFERROR(VLOOKUP($B320,'Privacy Analyst Evaluation'!$A$46:$F$120,4,0),""))&amp;""</f>
        <v/>
      </c>
      <c r="F320" s="199" t="str">
        <f>IFERROR(VLOOKUP($B320,'Institution Evaluation'!$A$55:$F$345,6,0),IFERROR(VLOOKUP($B320,'Privacy Analyst Evaluation'!$A$46:$F$120,6,0),""))&amp;""</f>
        <v/>
      </c>
      <c r="G320" s="200"/>
      <c r="H320" s="199" t="str">
        <f>IFERROR(IF($H319+1&gt;'(backend scoring)'!$Q$335,"",$H319+1),"")</f>
        <v/>
      </c>
      <c r="I320" s="199" t="str">
        <f>_xlfn.XLOOKUP($H320,'(backend scoring)'!$S$2:$S$333,'(backend scoring)'!$A$2:$A$333,"")</f>
        <v/>
      </c>
      <c r="J320" s="199" t="str">
        <f>IFERROR(VLOOKUP($I320,'Institution Evaluation'!$A$55:$F$345,2,0),IFERROR(VLOOKUP($I320,'Privacy Analyst Evaluation'!$A$46:$F$120,2,0),""))</f>
        <v/>
      </c>
      <c r="K320" s="199" t="str">
        <f>IFERROR(VLOOKUP($I320,'Institution Evaluation'!$A$55:$F$345,3,0),IFERROR(VLOOKUP($I320,'Privacy Analyst Evaluation'!$A$46:$F$120,3,0),""))&amp;""</f>
        <v/>
      </c>
      <c r="L320" s="199" t="str">
        <f>IFERROR(VLOOKUP($I320,'Institution Evaluation'!$A$55:$F$345,4,0),IFERROR(VLOOKUP($I320,'Privacy Analyst Evaluation'!$A$46:$F$120,4,0),""))&amp;""</f>
        <v/>
      </c>
      <c r="M320" s="199" t="str">
        <f>IFERROR(VLOOKUP($I320,'Institution Evaluation'!$A$55:$F$345,6,0),IFERROR(VLOOKUP($I320,'Privacy Analyst Evaluation'!$A$46:$F$120,6,0),""))&amp;""</f>
        <v/>
      </c>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row>
    <row r="321" spans="1:338" ht="17" x14ac:dyDescent="0.2">
      <c r="A321" s="199" t="str">
        <f>IFERROR(IF($A320+1&gt;'(backend scoring)'!$T$335,"",$A320+1),"")</f>
        <v/>
      </c>
      <c r="B321" s="199" t="str">
        <f>_xlfn.XLOOKUP($A321,'(backend scoring)'!$V$2:$V$333,'(backend scoring)'!$A$2:$A$333,"")</f>
        <v/>
      </c>
      <c r="C321" s="199" t="str">
        <f>IFERROR(VLOOKUP($B321,'Institution Evaluation'!$A$55:$F$345,2,0),IFERROR(VLOOKUP($B321,'Privacy Analyst Evaluation'!$A$46:$F$120,2,0),""))&amp;""</f>
        <v/>
      </c>
      <c r="D321" s="199" t="str">
        <f>IFERROR(VLOOKUP($B321,'Institution Evaluation'!$A$55:$F$345,3,0),IFERROR(VLOOKUP($B321,'Privacy Analyst Evaluation'!$A$46:$F$120,3,0),""))&amp;""</f>
        <v/>
      </c>
      <c r="E321" s="199" t="str">
        <f>IFERROR(VLOOKUP($B321,'Institution Evaluation'!$A$55:$F$345,4,0),IFERROR(VLOOKUP($B321,'Privacy Analyst Evaluation'!$A$46:$F$120,4,0),""))&amp;""</f>
        <v/>
      </c>
      <c r="F321" s="199" t="str">
        <f>IFERROR(VLOOKUP($B321,'Institution Evaluation'!$A$55:$F$345,6,0),IFERROR(VLOOKUP($B321,'Privacy Analyst Evaluation'!$A$46:$F$120,6,0),""))&amp;""</f>
        <v/>
      </c>
      <c r="G321" s="200"/>
      <c r="H321" s="199" t="str">
        <f>IFERROR(IF($H320+1&gt;'(backend scoring)'!$Q$335,"",$H320+1),"")</f>
        <v/>
      </c>
      <c r="I321" s="199" t="str">
        <f>_xlfn.XLOOKUP($H321,'(backend scoring)'!$S$2:$S$333,'(backend scoring)'!$A$2:$A$333,"")</f>
        <v/>
      </c>
      <c r="J321" s="199" t="str">
        <f>IFERROR(VLOOKUP($I321,'Institution Evaluation'!$A$55:$F$345,2,0),IFERROR(VLOOKUP($I321,'Privacy Analyst Evaluation'!$A$46:$F$120,2,0),""))</f>
        <v/>
      </c>
      <c r="K321" s="199" t="str">
        <f>IFERROR(VLOOKUP($I321,'Institution Evaluation'!$A$55:$F$345,3,0),IFERROR(VLOOKUP($I321,'Privacy Analyst Evaluation'!$A$46:$F$120,3,0),""))&amp;""</f>
        <v/>
      </c>
      <c r="L321" s="199" t="str">
        <f>IFERROR(VLOOKUP($I321,'Institution Evaluation'!$A$55:$F$345,4,0),IFERROR(VLOOKUP($I321,'Privacy Analyst Evaluation'!$A$46:$F$120,4,0),""))&amp;""</f>
        <v/>
      </c>
      <c r="M321" s="199" t="str">
        <f>IFERROR(VLOOKUP($I321,'Institution Evaluation'!$A$55:$F$345,6,0),IFERROR(VLOOKUP($I321,'Privacy Analyst Evaluation'!$A$46:$F$120,6,0),""))&amp;""</f>
        <v/>
      </c>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row>
    <row r="322" spans="1:338" ht="17" x14ac:dyDescent="0.2">
      <c r="A322" s="199" t="str">
        <f>IFERROR(IF($A321+1&gt;'(backend scoring)'!$T$335,"",$A321+1),"")</f>
        <v/>
      </c>
      <c r="B322" s="199" t="str">
        <f>_xlfn.XLOOKUP($A322,'(backend scoring)'!$V$2:$V$333,'(backend scoring)'!$A$2:$A$333,"")</f>
        <v/>
      </c>
      <c r="C322" s="199" t="str">
        <f>IFERROR(VLOOKUP($B322,'Institution Evaluation'!$A$55:$F$345,2,0),IFERROR(VLOOKUP($B322,'Privacy Analyst Evaluation'!$A$46:$F$120,2,0),""))&amp;""</f>
        <v/>
      </c>
      <c r="D322" s="199" t="str">
        <f>IFERROR(VLOOKUP($B322,'Institution Evaluation'!$A$55:$F$345,3,0),IFERROR(VLOOKUP($B322,'Privacy Analyst Evaluation'!$A$46:$F$120,3,0),""))&amp;""</f>
        <v/>
      </c>
      <c r="E322" s="199" t="str">
        <f>IFERROR(VLOOKUP($B322,'Institution Evaluation'!$A$55:$F$345,4,0),IFERROR(VLOOKUP($B322,'Privacy Analyst Evaluation'!$A$46:$F$120,4,0),""))&amp;""</f>
        <v/>
      </c>
      <c r="F322" s="199" t="str">
        <f>IFERROR(VLOOKUP($B322,'Institution Evaluation'!$A$55:$F$345,6,0),IFERROR(VLOOKUP($B322,'Privacy Analyst Evaluation'!$A$46:$F$120,6,0),""))&amp;""</f>
        <v/>
      </c>
      <c r="G322" s="200"/>
      <c r="H322" s="199" t="str">
        <f>IFERROR(IF($H321+1&gt;'(backend scoring)'!$Q$335,"",$H321+1),"")</f>
        <v/>
      </c>
      <c r="I322" s="199" t="str">
        <f>_xlfn.XLOOKUP($H322,'(backend scoring)'!$S$2:$S$333,'(backend scoring)'!$A$2:$A$333,"")</f>
        <v/>
      </c>
      <c r="J322" s="199" t="str">
        <f>IFERROR(VLOOKUP($I322,'Institution Evaluation'!$A$55:$F$345,2,0),IFERROR(VLOOKUP($I322,'Privacy Analyst Evaluation'!$A$46:$F$120,2,0),""))</f>
        <v/>
      </c>
      <c r="K322" s="199" t="str">
        <f>IFERROR(VLOOKUP($I322,'Institution Evaluation'!$A$55:$F$345,3,0),IFERROR(VLOOKUP($I322,'Privacy Analyst Evaluation'!$A$46:$F$120,3,0),""))&amp;""</f>
        <v/>
      </c>
      <c r="L322" s="199" t="str">
        <f>IFERROR(VLOOKUP($I322,'Institution Evaluation'!$A$55:$F$345,4,0),IFERROR(VLOOKUP($I322,'Privacy Analyst Evaluation'!$A$46:$F$120,4,0),""))&amp;""</f>
        <v/>
      </c>
      <c r="M322" s="199" t="str">
        <f>IFERROR(VLOOKUP($I322,'Institution Evaluation'!$A$55:$F$345,6,0),IFERROR(VLOOKUP($I322,'Privacy Analyst Evaluation'!$A$46:$F$120,6,0),""))&amp;""</f>
        <v/>
      </c>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row>
    <row r="323" spans="1:338" ht="17" x14ac:dyDescent="0.2">
      <c r="A323" s="199" t="str">
        <f>IFERROR(IF($A322+1&gt;'(backend scoring)'!$T$335,"",$A322+1),"")</f>
        <v/>
      </c>
      <c r="B323" s="199" t="str">
        <f>_xlfn.XLOOKUP($A323,'(backend scoring)'!$V$2:$V$333,'(backend scoring)'!$A$2:$A$333,"")</f>
        <v/>
      </c>
      <c r="C323" s="199" t="str">
        <f>IFERROR(VLOOKUP($B323,'Institution Evaluation'!$A$55:$F$345,2,0),IFERROR(VLOOKUP($B323,'Privacy Analyst Evaluation'!$A$46:$F$120,2,0),""))&amp;""</f>
        <v/>
      </c>
      <c r="D323" s="199" t="str">
        <f>IFERROR(VLOOKUP($B323,'Institution Evaluation'!$A$55:$F$345,3,0),IFERROR(VLOOKUP($B323,'Privacy Analyst Evaluation'!$A$46:$F$120,3,0),""))&amp;""</f>
        <v/>
      </c>
      <c r="E323" s="199" t="str">
        <f>IFERROR(VLOOKUP($B323,'Institution Evaluation'!$A$55:$F$345,4,0),IFERROR(VLOOKUP($B323,'Privacy Analyst Evaluation'!$A$46:$F$120,4,0),""))&amp;""</f>
        <v/>
      </c>
      <c r="F323" s="199" t="str">
        <f>IFERROR(VLOOKUP($B323,'Institution Evaluation'!$A$55:$F$345,6,0),IFERROR(VLOOKUP($B323,'Privacy Analyst Evaluation'!$A$46:$F$120,6,0),""))&amp;""</f>
        <v/>
      </c>
      <c r="G323" s="200"/>
      <c r="H323" s="199" t="str">
        <f>IFERROR(IF($H322+1&gt;'(backend scoring)'!$Q$335,"",$H322+1),"")</f>
        <v/>
      </c>
      <c r="I323" s="199" t="str">
        <f>_xlfn.XLOOKUP($H323,'(backend scoring)'!$S$2:$S$333,'(backend scoring)'!$A$2:$A$333,"")</f>
        <v/>
      </c>
      <c r="J323" s="199" t="str">
        <f>IFERROR(VLOOKUP($I323,'Institution Evaluation'!$A$55:$F$345,2,0),IFERROR(VLOOKUP($I323,'Privacy Analyst Evaluation'!$A$46:$F$120,2,0),""))</f>
        <v/>
      </c>
      <c r="K323" s="199" t="str">
        <f>IFERROR(VLOOKUP($I323,'Institution Evaluation'!$A$55:$F$345,3,0),IFERROR(VLOOKUP($I323,'Privacy Analyst Evaluation'!$A$46:$F$120,3,0),""))&amp;""</f>
        <v/>
      </c>
      <c r="L323" s="199" t="str">
        <f>IFERROR(VLOOKUP($I323,'Institution Evaluation'!$A$55:$F$345,4,0),IFERROR(VLOOKUP($I323,'Privacy Analyst Evaluation'!$A$46:$F$120,4,0),""))&amp;""</f>
        <v/>
      </c>
      <c r="M323" s="199" t="str">
        <f>IFERROR(VLOOKUP($I323,'Institution Evaluation'!$A$55:$F$345,6,0),IFERROR(VLOOKUP($I323,'Privacy Analyst Evaluation'!$A$46:$F$120,6,0),""))&amp;""</f>
        <v/>
      </c>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row>
    <row r="324" spans="1:338" ht="17" x14ac:dyDescent="0.2">
      <c r="A324" s="199" t="str">
        <f>IFERROR(IF($A323+1&gt;'(backend scoring)'!$T$335,"",$A323+1),"")</f>
        <v/>
      </c>
      <c r="B324" s="199" t="str">
        <f>_xlfn.XLOOKUP($A324,'(backend scoring)'!$V$2:$V$333,'(backend scoring)'!$A$2:$A$333,"")</f>
        <v/>
      </c>
      <c r="C324" s="199" t="str">
        <f>IFERROR(VLOOKUP($B324,'Institution Evaluation'!$A$55:$F$345,2,0),IFERROR(VLOOKUP($B324,'Privacy Analyst Evaluation'!$A$46:$F$120,2,0),""))&amp;""</f>
        <v/>
      </c>
      <c r="D324" s="199" t="str">
        <f>IFERROR(VLOOKUP($B324,'Institution Evaluation'!$A$55:$F$345,3,0),IFERROR(VLOOKUP($B324,'Privacy Analyst Evaluation'!$A$46:$F$120,3,0),""))&amp;""</f>
        <v/>
      </c>
      <c r="E324" s="199" t="str">
        <f>IFERROR(VLOOKUP($B324,'Institution Evaluation'!$A$55:$F$345,4,0),IFERROR(VLOOKUP($B324,'Privacy Analyst Evaluation'!$A$46:$F$120,4,0),""))&amp;""</f>
        <v/>
      </c>
      <c r="F324" s="199" t="str">
        <f>IFERROR(VLOOKUP($B324,'Institution Evaluation'!$A$55:$F$345,6,0),IFERROR(VLOOKUP($B324,'Privacy Analyst Evaluation'!$A$46:$F$120,6,0),""))&amp;""</f>
        <v/>
      </c>
      <c r="G324" s="200"/>
      <c r="H324" s="199" t="str">
        <f>IFERROR(IF($H323+1&gt;'(backend scoring)'!$Q$335,"",$H323+1),"")</f>
        <v/>
      </c>
      <c r="I324" s="199" t="str">
        <f>_xlfn.XLOOKUP($H324,'(backend scoring)'!$S$2:$S$333,'(backend scoring)'!$A$2:$A$333,"")</f>
        <v/>
      </c>
      <c r="J324" s="199" t="str">
        <f>IFERROR(VLOOKUP($I324,'Institution Evaluation'!$A$55:$F$345,2,0),IFERROR(VLOOKUP($I324,'Privacy Analyst Evaluation'!$A$46:$F$120,2,0),""))</f>
        <v/>
      </c>
      <c r="K324" s="199" t="str">
        <f>IFERROR(VLOOKUP($I324,'Institution Evaluation'!$A$55:$F$345,3,0),IFERROR(VLOOKUP($I324,'Privacy Analyst Evaluation'!$A$46:$F$120,3,0),""))&amp;""</f>
        <v/>
      </c>
      <c r="L324" s="199" t="str">
        <f>IFERROR(VLOOKUP($I324,'Institution Evaluation'!$A$55:$F$345,4,0),IFERROR(VLOOKUP($I324,'Privacy Analyst Evaluation'!$A$46:$F$120,4,0),""))&amp;""</f>
        <v/>
      </c>
      <c r="M324" s="199" t="str">
        <f>IFERROR(VLOOKUP($I324,'Institution Evaluation'!$A$55:$F$345,6,0),IFERROR(VLOOKUP($I324,'Privacy Analyst Evaluation'!$A$46:$F$120,6,0),""))&amp;""</f>
        <v/>
      </c>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row>
    <row r="325" spans="1:338" ht="17" x14ac:dyDescent="0.2">
      <c r="A325" s="199" t="str">
        <f>IFERROR(IF($A324+1&gt;'(backend scoring)'!$T$335,"",$A324+1),"")</f>
        <v/>
      </c>
      <c r="B325" s="199" t="str">
        <f>_xlfn.XLOOKUP($A325,'(backend scoring)'!$V$2:$V$333,'(backend scoring)'!$A$2:$A$333,"")</f>
        <v/>
      </c>
      <c r="C325" s="199" t="str">
        <f>IFERROR(VLOOKUP($B325,'Institution Evaluation'!$A$55:$F$345,2,0),IFERROR(VLOOKUP($B325,'Privacy Analyst Evaluation'!$A$46:$F$120,2,0),""))&amp;""</f>
        <v/>
      </c>
      <c r="D325" s="199" t="str">
        <f>IFERROR(VLOOKUP($B325,'Institution Evaluation'!$A$55:$F$345,3,0),IFERROR(VLOOKUP($B325,'Privacy Analyst Evaluation'!$A$46:$F$120,3,0),""))&amp;""</f>
        <v/>
      </c>
      <c r="E325" s="199" t="str">
        <f>IFERROR(VLOOKUP($B325,'Institution Evaluation'!$A$55:$F$345,4,0),IFERROR(VLOOKUP($B325,'Privacy Analyst Evaluation'!$A$46:$F$120,4,0),""))&amp;""</f>
        <v/>
      </c>
      <c r="F325" s="199" t="str">
        <f>IFERROR(VLOOKUP($B325,'Institution Evaluation'!$A$55:$F$345,6,0),IFERROR(VLOOKUP($B325,'Privacy Analyst Evaluation'!$A$46:$F$120,6,0),""))&amp;""</f>
        <v/>
      </c>
      <c r="G325" s="200"/>
      <c r="H325" s="199" t="str">
        <f>IFERROR(IF($H324+1&gt;'(backend scoring)'!$Q$335,"",$H324+1),"")</f>
        <v/>
      </c>
      <c r="I325" s="199" t="str">
        <f>_xlfn.XLOOKUP($H325,'(backend scoring)'!$S$2:$S$333,'(backend scoring)'!$A$2:$A$333,"")</f>
        <v/>
      </c>
      <c r="J325" s="199" t="str">
        <f>IFERROR(VLOOKUP($I325,'Institution Evaluation'!$A$55:$F$345,2,0),IFERROR(VLOOKUP($I325,'Privacy Analyst Evaluation'!$A$46:$F$120,2,0),""))</f>
        <v/>
      </c>
      <c r="K325" s="199" t="str">
        <f>IFERROR(VLOOKUP($I325,'Institution Evaluation'!$A$55:$F$345,3,0),IFERROR(VLOOKUP($I325,'Privacy Analyst Evaluation'!$A$46:$F$120,3,0),""))&amp;""</f>
        <v/>
      </c>
      <c r="L325" s="199" t="str">
        <f>IFERROR(VLOOKUP($I325,'Institution Evaluation'!$A$55:$F$345,4,0),IFERROR(VLOOKUP($I325,'Privacy Analyst Evaluation'!$A$46:$F$120,4,0),""))&amp;""</f>
        <v/>
      </c>
      <c r="M325" s="199" t="str">
        <f>IFERROR(VLOOKUP($I325,'Institution Evaluation'!$A$55:$F$345,6,0),IFERROR(VLOOKUP($I325,'Privacy Analyst Evaluation'!$A$46:$F$120,6,0),""))&amp;""</f>
        <v/>
      </c>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row>
    <row r="326" spans="1:338" ht="17" x14ac:dyDescent="0.2">
      <c r="A326" s="199" t="str">
        <f>IFERROR(IF($A325+1&gt;'(backend scoring)'!$T$335,"",$A325+1),"")</f>
        <v/>
      </c>
      <c r="B326" s="199" t="str">
        <f>_xlfn.XLOOKUP($A326,'(backend scoring)'!$V$2:$V$333,'(backend scoring)'!$A$2:$A$333,"")</f>
        <v/>
      </c>
      <c r="C326" s="199" t="str">
        <f>IFERROR(VLOOKUP($B326,'Institution Evaluation'!$A$55:$F$345,2,0),IFERROR(VLOOKUP($B326,'Privacy Analyst Evaluation'!$A$46:$F$120,2,0),""))&amp;""</f>
        <v/>
      </c>
      <c r="D326" s="199" t="str">
        <f>IFERROR(VLOOKUP($B326,'Institution Evaluation'!$A$55:$F$345,3,0),IFERROR(VLOOKUP($B326,'Privacy Analyst Evaluation'!$A$46:$F$120,3,0),""))&amp;""</f>
        <v/>
      </c>
      <c r="E326" s="199" t="str">
        <f>IFERROR(VLOOKUP($B326,'Institution Evaluation'!$A$55:$F$345,4,0),IFERROR(VLOOKUP($B326,'Privacy Analyst Evaluation'!$A$46:$F$120,4,0),""))&amp;""</f>
        <v/>
      </c>
      <c r="F326" s="199" t="str">
        <f>IFERROR(VLOOKUP($B326,'Institution Evaluation'!$A$55:$F$345,6,0),IFERROR(VLOOKUP($B326,'Privacy Analyst Evaluation'!$A$46:$F$120,6,0),""))&amp;""</f>
        <v/>
      </c>
      <c r="G326" s="200"/>
      <c r="H326" s="199" t="str">
        <f>IFERROR(IF($H325+1&gt;'(backend scoring)'!$Q$335,"",$H325+1),"")</f>
        <v/>
      </c>
      <c r="I326" s="199" t="str">
        <f>_xlfn.XLOOKUP($H326,'(backend scoring)'!$S$2:$S$333,'(backend scoring)'!$A$2:$A$333,"")</f>
        <v/>
      </c>
      <c r="J326" s="199" t="str">
        <f>IFERROR(VLOOKUP($I326,'Institution Evaluation'!$A$55:$F$345,2,0),IFERROR(VLOOKUP($I326,'Privacy Analyst Evaluation'!$A$46:$F$120,2,0),""))</f>
        <v/>
      </c>
      <c r="K326" s="199" t="str">
        <f>IFERROR(VLOOKUP($I326,'Institution Evaluation'!$A$55:$F$345,3,0),IFERROR(VLOOKUP($I326,'Privacy Analyst Evaluation'!$A$46:$F$120,3,0),""))&amp;""</f>
        <v/>
      </c>
      <c r="L326" s="199" t="str">
        <f>IFERROR(VLOOKUP($I326,'Institution Evaluation'!$A$55:$F$345,4,0),IFERROR(VLOOKUP($I326,'Privacy Analyst Evaluation'!$A$46:$F$120,4,0),""))&amp;""</f>
        <v/>
      </c>
      <c r="M326" s="199" t="str">
        <f>IFERROR(VLOOKUP($I326,'Institution Evaluation'!$A$55:$F$345,6,0),IFERROR(VLOOKUP($I326,'Privacy Analyst Evaluation'!$A$46:$F$120,6,0),""))&amp;""</f>
        <v/>
      </c>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row>
    <row r="327" spans="1:338" ht="17" x14ac:dyDescent="0.2">
      <c r="A327" s="199" t="str">
        <f>IFERROR(IF($A326+1&gt;'(backend scoring)'!$T$335,"",$A326+1),"")</f>
        <v/>
      </c>
      <c r="B327" s="199" t="str">
        <f>_xlfn.XLOOKUP($A327,'(backend scoring)'!$V$2:$V$333,'(backend scoring)'!$A$2:$A$333,"")</f>
        <v/>
      </c>
      <c r="C327" s="199" t="str">
        <f>IFERROR(VLOOKUP($B327,'Institution Evaluation'!$A$55:$F$345,2,0),IFERROR(VLOOKUP($B327,'Privacy Analyst Evaluation'!$A$46:$F$120,2,0),""))&amp;""</f>
        <v/>
      </c>
      <c r="D327" s="199" t="str">
        <f>IFERROR(VLOOKUP($B327,'Institution Evaluation'!$A$55:$F$345,3,0),IFERROR(VLOOKUP($B327,'Privacy Analyst Evaluation'!$A$46:$F$120,3,0),""))&amp;""</f>
        <v/>
      </c>
      <c r="E327" s="199" t="str">
        <f>IFERROR(VLOOKUP($B327,'Institution Evaluation'!$A$55:$F$345,4,0),IFERROR(VLOOKUP($B327,'Privacy Analyst Evaluation'!$A$46:$F$120,4,0),""))&amp;""</f>
        <v/>
      </c>
      <c r="F327" s="199" t="str">
        <f>IFERROR(VLOOKUP($B327,'Institution Evaluation'!$A$55:$F$345,6,0),IFERROR(VLOOKUP($B327,'Privacy Analyst Evaluation'!$A$46:$F$120,6,0),""))&amp;""</f>
        <v/>
      </c>
      <c r="G327" s="200"/>
      <c r="H327" s="199" t="str">
        <f>IFERROR(IF($H326+1&gt;'(backend scoring)'!$Q$335,"",$H326+1),"")</f>
        <v/>
      </c>
      <c r="I327" s="199" t="str">
        <f>_xlfn.XLOOKUP($H327,'(backend scoring)'!$S$2:$S$333,'(backend scoring)'!$A$2:$A$333,"")</f>
        <v/>
      </c>
      <c r="J327" s="199" t="str">
        <f>IFERROR(VLOOKUP($I327,'Institution Evaluation'!$A$55:$F$345,2,0),IFERROR(VLOOKUP($I327,'Privacy Analyst Evaluation'!$A$46:$F$120,2,0),""))</f>
        <v/>
      </c>
      <c r="K327" s="199" t="str">
        <f>IFERROR(VLOOKUP($I327,'Institution Evaluation'!$A$55:$F$345,3,0),IFERROR(VLOOKUP($I327,'Privacy Analyst Evaluation'!$A$46:$F$120,3,0),""))&amp;""</f>
        <v/>
      </c>
      <c r="L327" s="199" t="str">
        <f>IFERROR(VLOOKUP($I327,'Institution Evaluation'!$A$55:$F$345,4,0),IFERROR(VLOOKUP($I327,'Privacy Analyst Evaluation'!$A$46:$F$120,4,0),""))&amp;""</f>
        <v/>
      </c>
      <c r="M327" s="199" t="str">
        <f>IFERROR(VLOOKUP($I327,'Institution Evaluation'!$A$55:$F$345,6,0),IFERROR(VLOOKUP($I327,'Privacy Analyst Evaluation'!$A$46:$F$120,6,0),""))&amp;""</f>
        <v/>
      </c>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row>
    <row r="328" spans="1:338" ht="17" x14ac:dyDescent="0.2">
      <c r="A328" s="199" t="str">
        <f>IFERROR(IF($A327+1&gt;'(backend scoring)'!$T$335,"",$A327+1),"")</f>
        <v/>
      </c>
      <c r="B328" s="199" t="str">
        <f>_xlfn.XLOOKUP($A328,'(backend scoring)'!$V$2:$V$333,'(backend scoring)'!$A$2:$A$333,"")</f>
        <v/>
      </c>
      <c r="C328" s="199" t="str">
        <f>IFERROR(VLOOKUP($B328,'Institution Evaluation'!$A$55:$F$345,2,0),IFERROR(VLOOKUP($B328,'Privacy Analyst Evaluation'!$A$46:$F$120,2,0),""))&amp;""</f>
        <v/>
      </c>
      <c r="D328" s="199" t="str">
        <f>IFERROR(VLOOKUP($B328,'Institution Evaluation'!$A$55:$F$345,3,0),IFERROR(VLOOKUP($B328,'Privacy Analyst Evaluation'!$A$46:$F$120,3,0),""))&amp;""</f>
        <v/>
      </c>
      <c r="E328" s="199" t="str">
        <f>IFERROR(VLOOKUP($B328,'Institution Evaluation'!$A$55:$F$345,4,0),IFERROR(VLOOKUP($B328,'Privacy Analyst Evaluation'!$A$46:$F$120,4,0),""))&amp;""</f>
        <v/>
      </c>
      <c r="F328" s="199" t="str">
        <f>IFERROR(VLOOKUP($B328,'Institution Evaluation'!$A$55:$F$345,6,0),IFERROR(VLOOKUP($B328,'Privacy Analyst Evaluation'!$A$46:$F$120,6,0),""))&amp;""</f>
        <v/>
      </c>
      <c r="G328" s="200"/>
      <c r="H328" s="199" t="str">
        <f>IFERROR(IF($H327+1&gt;'(backend scoring)'!$Q$335,"",$H327+1),"")</f>
        <v/>
      </c>
      <c r="I328" s="199" t="str">
        <f>_xlfn.XLOOKUP($H328,'(backend scoring)'!$S$2:$S$333,'(backend scoring)'!$A$2:$A$333,"")</f>
        <v/>
      </c>
      <c r="J328" s="199" t="str">
        <f>IFERROR(VLOOKUP($I328,'Institution Evaluation'!$A$55:$F$345,2,0),IFERROR(VLOOKUP($I328,'Privacy Analyst Evaluation'!$A$46:$F$120,2,0),""))</f>
        <v/>
      </c>
      <c r="K328" s="199" t="str">
        <f>IFERROR(VLOOKUP($I328,'Institution Evaluation'!$A$55:$F$345,3,0),IFERROR(VLOOKUP($I328,'Privacy Analyst Evaluation'!$A$46:$F$120,3,0),""))&amp;""</f>
        <v/>
      </c>
      <c r="L328" s="199" t="str">
        <f>IFERROR(VLOOKUP($I328,'Institution Evaluation'!$A$55:$F$345,4,0),IFERROR(VLOOKUP($I328,'Privacy Analyst Evaluation'!$A$46:$F$120,4,0),""))&amp;""</f>
        <v/>
      </c>
      <c r="M328" s="199" t="str">
        <f>IFERROR(VLOOKUP($I328,'Institution Evaluation'!$A$55:$F$345,6,0),IFERROR(VLOOKUP($I328,'Privacy Analyst Evaluation'!$A$46:$F$120,6,0),""))&amp;""</f>
        <v/>
      </c>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row>
    <row r="329" spans="1:338" ht="17" x14ac:dyDescent="0.2">
      <c r="A329" s="199" t="str">
        <f>IFERROR(IF($A328+1&gt;'(backend scoring)'!$T$335,"",$A328+1),"")</f>
        <v/>
      </c>
      <c r="B329" s="199" t="str">
        <f>_xlfn.XLOOKUP($A329,'(backend scoring)'!$V$2:$V$333,'(backend scoring)'!$A$2:$A$333,"")</f>
        <v/>
      </c>
      <c r="C329" s="199" t="str">
        <f>IFERROR(VLOOKUP($B329,'Institution Evaluation'!$A$55:$F$345,2,0),IFERROR(VLOOKUP($B329,'Privacy Analyst Evaluation'!$A$46:$F$120,2,0),""))&amp;""</f>
        <v/>
      </c>
      <c r="D329" s="199" t="str">
        <f>IFERROR(VLOOKUP($B329,'Institution Evaluation'!$A$55:$F$345,3,0),IFERROR(VLOOKUP($B329,'Privacy Analyst Evaluation'!$A$46:$F$120,3,0),""))&amp;""</f>
        <v/>
      </c>
      <c r="E329" s="199" t="str">
        <f>IFERROR(VLOOKUP($B329,'Institution Evaluation'!$A$55:$F$345,4,0),IFERROR(VLOOKUP($B329,'Privacy Analyst Evaluation'!$A$46:$F$120,4,0),""))&amp;""</f>
        <v/>
      </c>
      <c r="F329" s="199" t="str">
        <f>IFERROR(VLOOKUP($B329,'Institution Evaluation'!$A$55:$F$345,6,0),IFERROR(VLOOKUP($B329,'Privacy Analyst Evaluation'!$A$46:$F$120,6,0),""))&amp;""</f>
        <v/>
      </c>
      <c r="G329" s="200"/>
      <c r="H329" s="199" t="str">
        <f>IFERROR(IF($H328+1&gt;'(backend scoring)'!$Q$335,"",$H328+1),"")</f>
        <v/>
      </c>
      <c r="I329" s="199" t="str">
        <f>_xlfn.XLOOKUP($H329,'(backend scoring)'!$S$2:$S$333,'(backend scoring)'!$A$2:$A$333,"")</f>
        <v/>
      </c>
      <c r="J329" s="199" t="str">
        <f>IFERROR(VLOOKUP($I329,'Institution Evaluation'!$A$55:$F$345,2,0),IFERROR(VLOOKUP($I329,'Privacy Analyst Evaluation'!$A$46:$F$120,2,0),""))</f>
        <v/>
      </c>
      <c r="K329" s="199" t="str">
        <f>IFERROR(VLOOKUP($I329,'Institution Evaluation'!$A$55:$F$345,3,0),IFERROR(VLOOKUP($I329,'Privacy Analyst Evaluation'!$A$46:$F$120,3,0),""))&amp;""</f>
        <v/>
      </c>
      <c r="L329" s="199" t="str">
        <f>IFERROR(VLOOKUP($I329,'Institution Evaluation'!$A$55:$F$345,4,0),IFERROR(VLOOKUP($I329,'Privacy Analyst Evaluation'!$A$46:$F$120,4,0),""))&amp;""</f>
        <v/>
      </c>
      <c r="M329" s="199" t="str">
        <f>IFERROR(VLOOKUP($I329,'Institution Evaluation'!$A$55:$F$345,6,0),IFERROR(VLOOKUP($I329,'Privacy Analyst Evaluation'!$A$46:$F$120,6,0),""))&amp;""</f>
        <v/>
      </c>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row>
    <row r="330" spans="1:338" ht="17" x14ac:dyDescent="0.2">
      <c r="A330" s="199" t="str">
        <f>IFERROR(IF($A329+1&gt;'(backend scoring)'!$T$335,"",$A329+1),"")</f>
        <v/>
      </c>
      <c r="B330" s="199" t="str">
        <f>_xlfn.XLOOKUP($A330,'(backend scoring)'!$V$2:$V$333,'(backend scoring)'!$A$2:$A$333,"")</f>
        <v/>
      </c>
      <c r="C330" s="199" t="str">
        <f>IFERROR(VLOOKUP($B330,'Institution Evaluation'!$A$55:$F$345,2,0),IFERROR(VLOOKUP($B330,'Privacy Analyst Evaluation'!$A$46:$F$120,2,0),""))&amp;""</f>
        <v/>
      </c>
      <c r="D330" s="199" t="str">
        <f>IFERROR(VLOOKUP($B330,'Institution Evaluation'!$A$55:$F$345,3,0),IFERROR(VLOOKUP($B330,'Privacy Analyst Evaluation'!$A$46:$F$120,3,0),""))&amp;""</f>
        <v/>
      </c>
      <c r="E330" s="199" t="str">
        <f>IFERROR(VLOOKUP($B330,'Institution Evaluation'!$A$55:$F$345,4,0),IFERROR(VLOOKUP($B330,'Privacy Analyst Evaluation'!$A$46:$F$120,4,0),""))&amp;""</f>
        <v/>
      </c>
      <c r="F330" s="199" t="str">
        <f>IFERROR(VLOOKUP($B330,'Institution Evaluation'!$A$55:$F$345,6,0),IFERROR(VLOOKUP($B330,'Privacy Analyst Evaluation'!$A$46:$F$120,6,0),""))&amp;""</f>
        <v/>
      </c>
      <c r="G330" s="200"/>
      <c r="H330" s="199" t="str">
        <f>IFERROR(IF($H329+1&gt;'(backend scoring)'!$Q$335,"",$H329+1),"")</f>
        <v/>
      </c>
      <c r="I330" s="199" t="str">
        <f>_xlfn.XLOOKUP($H330,'(backend scoring)'!$S$2:$S$333,'(backend scoring)'!$A$2:$A$333,"")</f>
        <v/>
      </c>
      <c r="J330" s="199" t="str">
        <f>IFERROR(VLOOKUP($I330,'Institution Evaluation'!$A$55:$F$345,2,0),IFERROR(VLOOKUP($I330,'Privacy Analyst Evaluation'!$A$46:$F$120,2,0),""))</f>
        <v/>
      </c>
      <c r="K330" s="199" t="str">
        <f>IFERROR(VLOOKUP($I330,'Institution Evaluation'!$A$55:$F$345,3,0),IFERROR(VLOOKUP($I330,'Privacy Analyst Evaluation'!$A$46:$F$120,3,0),""))&amp;""</f>
        <v/>
      </c>
      <c r="L330" s="199" t="str">
        <f>IFERROR(VLOOKUP($I330,'Institution Evaluation'!$A$55:$F$345,4,0),IFERROR(VLOOKUP($I330,'Privacy Analyst Evaluation'!$A$46:$F$120,4,0),""))&amp;""</f>
        <v/>
      </c>
      <c r="M330" s="199" t="str">
        <f>IFERROR(VLOOKUP($I330,'Institution Evaluation'!$A$55:$F$345,6,0),IFERROR(VLOOKUP($I330,'Privacy Analyst Evaluation'!$A$46:$F$120,6,0),""))&amp;""</f>
        <v/>
      </c>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row>
    <row r="331" spans="1:338" ht="17" x14ac:dyDescent="0.2">
      <c r="A331" s="199" t="str">
        <f>IFERROR(IF($A330+1&gt;'(backend scoring)'!$T$335,"",$A330+1),"")</f>
        <v/>
      </c>
      <c r="B331" s="199" t="str">
        <f>_xlfn.XLOOKUP($A331,'(backend scoring)'!$V$2:$V$333,'(backend scoring)'!$A$2:$A$333,"")</f>
        <v/>
      </c>
      <c r="C331" s="199" t="str">
        <f>IFERROR(VLOOKUP($B331,'Institution Evaluation'!$A$55:$F$345,2,0),IFERROR(VLOOKUP($B331,'Privacy Analyst Evaluation'!$A$46:$F$120,2,0),""))&amp;""</f>
        <v/>
      </c>
      <c r="D331" s="199" t="str">
        <f>IFERROR(VLOOKUP($B331,'Institution Evaluation'!$A$55:$F$345,3,0),IFERROR(VLOOKUP($B331,'Privacy Analyst Evaluation'!$A$46:$F$120,3,0),""))&amp;""</f>
        <v/>
      </c>
      <c r="E331" s="199" t="str">
        <f>IFERROR(VLOOKUP($B331,'Institution Evaluation'!$A$55:$F$345,4,0),IFERROR(VLOOKUP($B331,'Privacy Analyst Evaluation'!$A$46:$F$120,4,0),""))&amp;""</f>
        <v/>
      </c>
      <c r="F331" s="199" t="str">
        <f>IFERROR(VLOOKUP($B331,'Institution Evaluation'!$A$55:$F$345,6,0),IFERROR(VLOOKUP($B331,'Privacy Analyst Evaluation'!$A$46:$F$120,6,0),""))&amp;""</f>
        <v/>
      </c>
      <c r="G331" s="200"/>
      <c r="H331" s="199" t="str">
        <f>IFERROR(IF($H330+1&gt;'(backend scoring)'!$Q$335,"",$H330+1),"")</f>
        <v/>
      </c>
      <c r="I331" s="199" t="str">
        <f>_xlfn.XLOOKUP($H331,'(backend scoring)'!$S$2:$S$333,'(backend scoring)'!$A$2:$A$333,"")</f>
        <v/>
      </c>
      <c r="J331" s="199" t="str">
        <f>IFERROR(VLOOKUP($I331,'Institution Evaluation'!$A$55:$F$345,2,0),IFERROR(VLOOKUP($I331,'Privacy Analyst Evaluation'!$A$46:$F$120,2,0),""))</f>
        <v/>
      </c>
      <c r="K331" s="199" t="str">
        <f>IFERROR(VLOOKUP($I331,'Institution Evaluation'!$A$55:$F$345,3,0),IFERROR(VLOOKUP($I331,'Privacy Analyst Evaluation'!$A$46:$F$120,3,0),""))&amp;""</f>
        <v/>
      </c>
      <c r="L331" s="199" t="str">
        <f>IFERROR(VLOOKUP($I331,'Institution Evaluation'!$A$55:$F$345,4,0),IFERROR(VLOOKUP($I331,'Privacy Analyst Evaluation'!$A$46:$F$120,4,0),""))&amp;""</f>
        <v/>
      </c>
      <c r="M331" s="199" t="str">
        <f>IFERROR(VLOOKUP($I331,'Institution Evaluation'!$A$55:$F$345,6,0),IFERROR(VLOOKUP($I331,'Privacy Analyst Evaluation'!$A$46:$F$120,6,0),""))&amp;""</f>
        <v/>
      </c>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row>
    <row r="332" spans="1:338" ht="17" x14ac:dyDescent="0.2">
      <c r="A332" s="199" t="str">
        <f>IFERROR(IF($A331+1&gt;'(backend scoring)'!$T$335,"",$A331+1),"")</f>
        <v/>
      </c>
      <c r="B332" s="199" t="str">
        <f>_xlfn.XLOOKUP($A332,'(backend scoring)'!$V$2:$V$333,'(backend scoring)'!$A$2:$A$333,"")</f>
        <v/>
      </c>
      <c r="C332" s="199" t="str">
        <f>IFERROR(VLOOKUP($B332,'Institution Evaluation'!$A$55:$F$345,2,0),IFERROR(VLOOKUP($B332,'Privacy Analyst Evaluation'!$A$46:$F$120,2,0),""))&amp;""</f>
        <v/>
      </c>
      <c r="D332" s="199" t="str">
        <f>IFERROR(VLOOKUP($B332,'Institution Evaluation'!$A$55:$F$345,3,0),IFERROR(VLOOKUP($B332,'Privacy Analyst Evaluation'!$A$46:$F$120,3,0),""))&amp;""</f>
        <v/>
      </c>
      <c r="E332" s="199" t="str">
        <f>IFERROR(VLOOKUP($B332,'Institution Evaluation'!$A$55:$F$345,4,0),IFERROR(VLOOKUP($B332,'Privacy Analyst Evaluation'!$A$46:$F$120,4,0),""))&amp;""</f>
        <v/>
      </c>
      <c r="F332" s="199" t="str">
        <f>IFERROR(VLOOKUP($B332,'Institution Evaluation'!$A$55:$F$345,6,0),IFERROR(VLOOKUP($B332,'Privacy Analyst Evaluation'!$A$46:$F$120,6,0),""))&amp;""</f>
        <v/>
      </c>
      <c r="G332" s="200"/>
      <c r="H332" s="199" t="str">
        <f>IFERROR(IF($H331+1&gt;'(backend scoring)'!$Q$335,"",$H331+1),"")</f>
        <v/>
      </c>
      <c r="I332" s="199" t="str">
        <f>_xlfn.XLOOKUP($H332,'(backend scoring)'!$S$2:$S$333,'(backend scoring)'!$A$2:$A$333,"")</f>
        <v/>
      </c>
      <c r="J332" s="199" t="str">
        <f>IFERROR(VLOOKUP($I332,'Institution Evaluation'!$A$55:$F$345,2,0),IFERROR(VLOOKUP($I332,'Privacy Analyst Evaluation'!$A$46:$F$120,2,0),""))</f>
        <v/>
      </c>
      <c r="K332" s="199" t="str">
        <f>IFERROR(VLOOKUP($I332,'Institution Evaluation'!$A$55:$F$345,3,0),IFERROR(VLOOKUP($I332,'Privacy Analyst Evaluation'!$A$46:$F$120,3,0),""))&amp;""</f>
        <v/>
      </c>
      <c r="L332" s="199" t="str">
        <f>IFERROR(VLOOKUP($I332,'Institution Evaluation'!$A$55:$F$345,4,0),IFERROR(VLOOKUP($I332,'Privacy Analyst Evaluation'!$A$46:$F$120,4,0),""))&amp;""</f>
        <v/>
      </c>
      <c r="M332" s="199" t="str">
        <f>IFERROR(VLOOKUP($I332,'Institution Evaluation'!$A$55:$F$345,6,0),IFERROR(VLOOKUP($I332,'Privacy Analyst Evaluation'!$A$46:$F$120,6,0),""))&amp;""</f>
        <v/>
      </c>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row>
    <row r="333" spans="1:338" ht="17" x14ac:dyDescent="0.2">
      <c r="A333" s="199" t="str">
        <f>IFERROR(IF($A332+1&gt;'(backend scoring)'!$T$335,"",$A332+1),"")</f>
        <v/>
      </c>
      <c r="B333" s="199" t="str">
        <f>_xlfn.XLOOKUP($A333,'(backend scoring)'!$V$2:$V$333,'(backend scoring)'!$A$2:$A$333,"")</f>
        <v/>
      </c>
      <c r="C333" s="199" t="str">
        <f>IFERROR(VLOOKUP($B333,'Institution Evaluation'!$A$55:$F$345,2,0),IFERROR(VLOOKUP($B333,'Privacy Analyst Evaluation'!$A$46:$F$120,2,0),""))&amp;""</f>
        <v/>
      </c>
      <c r="D333" s="199" t="str">
        <f>IFERROR(VLOOKUP($B333,'Institution Evaluation'!$A$55:$F$345,3,0),IFERROR(VLOOKUP($B333,'Privacy Analyst Evaluation'!$A$46:$F$120,3,0),""))&amp;""</f>
        <v/>
      </c>
      <c r="E333" s="199" t="str">
        <f>IFERROR(VLOOKUP($B333,'Institution Evaluation'!$A$55:$F$345,4,0),IFERROR(VLOOKUP($B333,'Privacy Analyst Evaluation'!$A$46:$F$120,4,0),""))&amp;""</f>
        <v/>
      </c>
      <c r="F333" s="199" t="str">
        <f>IFERROR(VLOOKUP($B333,'Institution Evaluation'!$A$55:$F$345,6,0),IFERROR(VLOOKUP($B333,'Privacy Analyst Evaluation'!$A$46:$F$120,6,0),""))&amp;""</f>
        <v/>
      </c>
      <c r="G333" s="200"/>
      <c r="H333" s="199" t="str">
        <f>IFERROR(IF($H332+1&gt;'(backend scoring)'!$Q$335,"",$H332+1),"")</f>
        <v/>
      </c>
      <c r="I333" s="199" t="str">
        <f>_xlfn.XLOOKUP($H333,'(backend scoring)'!$S$2:$S$333,'(backend scoring)'!$A$2:$A$333,"")</f>
        <v/>
      </c>
      <c r="J333" s="199" t="str">
        <f>IFERROR(VLOOKUP($I333,'Institution Evaluation'!$A$55:$F$345,2,0),IFERROR(VLOOKUP($I333,'Privacy Analyst Evaluation'!$A$46:$F$120,2,0),""))</f>
        <v/>
      </c>
      <c r="K333" s="199" t="str">
        <f>IFERROR(VLOOKUP($I333,'Institution Evaluation'!$A$55:$F$345,3,0),IFERROR(VLOOKUP($I333,'Privacy Analyst Evaluation'!$A$46:$F$120,3,0),""))&amp;""</f>
        <v/>
      </c>
      <c r="L333" s="199" t="str">
        <f>IFERROR(VLOOKUP($I333,'Institution Evaluation'!$A$55:$F$345,4,0),IFERROR(VLOOKUP($I333,'Privacy Analyst Evaluation'!$A$46:$F$120,4,0),""))&amp;""</f>
        <v/>
      </c>
      <c r="M333" s="199" t="str">
        <f>IFERROR(VLOOKUP($I333,'Institution Evaluation'!$A$55:$F$345,6,0),IFERROR(VLOOKUP($I333,'Privacy Analyst Evaluation'!$A$46:$F$120,6,0),""))&amp;""</f>
        <v/>
      </c>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row>
    <row r="334" spans="1:338" ht="17" x14ac:dyDescent="0.2">
      <c r="A334" s="199" t="str">
        <f>IFERROR(IF($A333+1&gt;'(backend scoring)'!$T$335,"",$A333+1),"")</f>
        <v/>
      </c>
      <c r="B334" s="199" t="str">
        <f>_xlfn.XLOOKUP($A334,'(backend scoring)'!$V$2:$V$333,'(backend scoring)'!$A$2:$A$333,"")</f>
        <v/>
      </c>
      <c r="C334" s="199" t="str">
        <f>IFERROR(VLOOKUP($B334,'Institution Evaluation'!$A$55:$F$345,2,0),IFERROR(VLOOKUP($B334,'Privacy Analyst Evaluation'!$A$46:$F$120,2,0),""))&amp;""</f>
        <v/>
      </c>
      <c r="D334" s="199" t="str">
        <f>IFERROR(VLOOKUP($B334,'Institution Evaluation'!$A$55:$F$345,3,0),IFERROR(VLOOKUP($B334,'Privacy Analyst Evaluation'!$A$46:$F$120,3,0),""))&amp;""</f>
        <v/>
      </c>
      <c r="E334" s="199" t="str">
        <f>IFERROR(VLOOKUP($B334,'Institution Evaluation'!$A$55:$F$345,4,0),IFERROR(VLOOKUP($B334,'Privacy Analyst Evaluation'!$A$46:$F$120,4,0),""))&amp;""</f>
        <v/>
      </c>
      <c r="F334" s="199" t="str">
        <f>IFERROR(VLOOKUP($B334,'Institution Evaluation'!$A$55:$F$345,6,0),IFERROR(VLOOKUP($B334,'Privacy Analyst Evaluation'!$A$46:$F$120,6,0),""))&amp;""</f>
        <v/>
      </c>
      <c r="G334" s="200"/>
      <c r="H334" s="199" t="str">
        <f>IFERROR(IF($H333+1&gt;'(backend scoring)'!$Q$335,"",$H333+1),"")</f>
        <v/>
      </c>
      <c r="I334" s="199" t="str">
        <f>_xlfn.XLOOKUP($H334,'(backend scoring)'!$S$2:$S$333,'(backend scoring)'!$A$2:$A$333,"")</f>
        <v/>
      </c>
      <c r="J334" s="199" t="str">
        <f>IFERROR(VLOOKUP($I334,'Institution Evaluation'!$A$55:$F$345,2,0),IFERROR(VLOOKUP($I334,'Privacy Analyst Evaluation'!$A$46:$F$120,2,0),""))</f>
        <v/>
      </c>
      <c r="K334" s="199" t="str">
        <f>IFERROR(VLOOKUP($I334,'Institution Evaluation'!$A$55:$F$345,3,0),IFERROR(VLOOKUP($I334,'Privacy Analyst Evaluation'!$A$46:$F$120,3,0),""))&amp;""</f>
        <v/>
      </c>
      <c r="L334" s="199" t="str">
        <f>IFERROR(VLOOKUP($I334,'Institution Evaluation'!$A$55:$F$345,4,0),IFERROR(VLOOKUP($I334,'Privacy Analyst Evaluation'!$A$46:$F$120,4,0),""))&amp;""</f>
        <v/>
      </c>
      <c r="M334" s="199" t="str">
        <f>IFERROR(VLOOKUP($I334,'Institution Evaluation'!$A$55:$F$345,6,0),IFERROR(VLOOKUP($I334,'Privacy Analyst Evaluation'!$A$46:$F$120,6,0),""))&amp;""</f>
        <v/>
      </c>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row>
    <row r="335" spans="1:338" ht="17" x14ac:dyDescent="0.2">
      <c r="A335" s="199" t="str">
        <f>IFERROR(IF($A334+1&gt;'(backend scoring)'!$T$335,"",$A334+1),"")</f>
        <v/>
      </c>
      <c r="B335" s="199" t="str">
        <f>_xlfn.XLOOKUP($A335,'(backend scoring)'!$V$2:$V$333,'(backend scoring)'!$A$2:$A$333,"")</f>
        <v/>
      </c>
      <c r="C335" s="199" t="str">
        <f>IFERROR(VLOOKUP($B335,'Institution Evaluation'!$A$55:$F$345,2,0),IFERROR(VLOOKUP($B335,'Privacy Analyst Evaluation'!$A$46:$F$120,2,0),""))&amp;""</f>
        <v/>
      </c>
      <c r="D335" s="199" t="str">
        <f>IFERROR(VLOOKUP($B335,'Institution Evaluation'!$A$55:$F$345,3,0),IFERROR(VLOOKUP($B335,'Privacy Analyst Evaluation'!$A$46:$F$120,3,0),""))&amp;""</f>
        <v/>
      </c>
      <c r="E335" s="199" t="str">
        <f>IFERROR(VLOOKUP($B335,'Institution Evaluation'!$A$55:$F$345,4,0),IFERROR(VLOOKUP($B335,'Privacy Analyst Evaluation'!$A$46:$F$120,4,0),""))&amp;""</f>
        <v/>
      </c>
      <c r="F335" s="199" t="str">
        <f>IFERROR(VLOOKUP($B335,'Institution Evaluation'!$A$55:$F$345,6,0),IFERROR(VLOOKUP($B335,'Privacy Analyst Evaluation'!$A$46:$F$120,6,0),""))&amp;""</f>
        <v/>
      </c>
      <c r="G335" s="200"/>
      <c r="H335" s="199" t="str">
        <f>IFERROR(IF($H334+1&gt;'(backend scoring)'!$Q$335,"",$H334+1),"")</f>
        <v/>
      </c>
      <c r="I335" s="199" t="str">
        <f>_xlfn.XLOOKUP($H335,'(backend scoring)'!$S$2:$S$333,'(backend scoring)'!$A$2:$A$333,"")</f>
        <v/>
      </c>
      <c r="J335" s="199" t="str">
        <f>IFERROR(VLOOKUP($I335,'Institution Evaluation'!$A$55:$F$345,2,0),IFERROR(VLOOKUP($I335,'Privacy Analyst Evaluation'!$A$46:$F$120,2,0),""))</f>
        <v/>
      </c>
      <c r="K335" s="199" t="str">
        <f>IFERROR(VLOOKUP($I335,'Institution Evaluation'!$A$55:$F$345,3,0),IFERROR(VLOOKUP($I335,'Privacy Analyst Evaluation'!$A$46:$F$120,3,0),""))&amp;""</f>
        <v/>
      </c>
      <c r="L335" s="199" t="str">
        <f>IFERROR(VLOOKUP($I335,'Institution Evaluation'!$A$55:$F$345,4,0),IFERROR(VLOOKUP($I335,'Privacy Analyst Evaluation'!$A$46:$F$120,4,0),""))&amp;""</f>
        <v/>
      </c>
      <c r="M335" s="199" t="str">
        <f>IFERROR(VLOOKUP($I335,'Institution Evaluation'!$A$55:$F$345,6,0),IFERROR(VLOOKUP($I335,'Privacy Analyst Evaluation'!$A$46:$F$120,6,0),""))&amp;""</f>
        <v/>
      </c>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row>
    <row r="336" spans="1:338" ht="17" x14ac:dyDescent="0.2">
      <c r="A336" s="199" t="str">
        <f>IFERROR(IF($A335+1&gt;'(backend scoring)'!$T$335,"",$A335+1),"")</f>
        <v/>
      </c>
      <c r="B336" s="199" t="str">
        <f>_xlfn.XLOOKUP($A336,'(backend scoring)'!$V$2:$V$333,'(backend scoring)'!$A$2:$A$333,"")</f>
        <v/>
      </c>
      <c r="C336" s="199" t="str">
        <f>IFERROR(VLOOKUP($B336,'Institution Evaluation'!$A$55:$F$345,2,0),IFERROR(VLOOKUP($B336,'Privacy Analyst Evaluation'!$A$46:$F$120,2,0),""))&amp;""</f>
        <v/>
      </c>
      <c r="D336" s="199" t="str">
        <f>IFERROR(VLOOKUP($B336,'Institution Evaluation'!$A$55:$F$345,3,0),IFERROR(VLOOKUP($B336,'Privacy Analyst Evaluation'!$A$46:$F$120,3,0),""))&amp;""</f>
        <v/>
      </c>
      <c r="E336" s="199" t="str">
        <f>IFERROR(VLOOKUP($B336,'Institution Evaluation'!$A$55:$F$345,4,0),IFERROR(VLOOKUP($B336,'Privacy Analyst Evaluation'!$A$46:$F$120,4,0),""))&amp;""</f>
        <v/>
      </c>
      <c r="F336" s="199" t="str">
        <f>IFERROR(VLOOKUP($B336,'Institution Evaluation'!$A$55:$F$345,6,0),IFERROR(VLOOKUP($B336,'Privacy Analyst Evaluation'!$A$46:$F$120,6,0),""))&amp;""</f>
        <v/>
      </c>
      <c r="G336" s="200"/>
      <c r="H336" s="199" t="str">
        <f>IFERROR(IF($H335+1&gt;'(backend scoring)'!$Q$335,"",$H335+1),"")</f>
        <v/>
      </c>
      <c r="I336" s="199" t="str">
        <f>_xlfn.XLOOKUP($H336,'(backend scoring)'!$S$2:$S$333,'(backend scoring)'!$A$2:$A$333,"")</f>
        <v/>
      </c>
      <c r="J336" s="199" t="str">
        <f>IFERROR(VLOOKUP($I336,'Institution Evaluation'!$A$55:$F$345,2,0),IFERROR(VLOOKUP($I336,'Privacy Analyst Evaluation'!$A$46:$F$120,2,0),""))</f>
        <v/>
      </c>
      <c r="K336" s="199" t="str">
        <f>IFERROR(VLOOKUP($I336,'Institution Evaluation'!$A$55:$F$345,3,0),IFERROR(VLOOKUP($I336,'Privacy Analyst Evaluation'!$A$46:$F$120,3,0),""))&amp;""</f>
        <v/>
      </c>
      <c r="L336" s="199" t="str">
        <f>IFERROR(VLOOKUP($I336,'Institution Evaluation'!$A$55:$F$345,4,0),IFERROR(VLOOKUP($I336,'Privacy Analyst Evaluation'!$A$46:$F$120,4,0),""))&amp;""</f>
        <v/>
      </c>
      <c r="M336" s="199" t="str">
        <f>IFERROR(VLOOKUP($I336,'Institution Evaluation'!$A$55:$F$345,6,0),IFERROR(VLOOKUP($I336,'Privacy Analyst Evaluation'!$A$46:$F$120,6,0),""))&amp;""</f>
        <v/>
      </c>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row>
    <row r="337" spans="1:338" ht="17" x14ac:dyDescent="0.2">
      <c r="A337" s="199" t="str">
        <f>IFERROR(IF($A336+1&gt;'(backend scoring)'!$T$335,"",$A336+1),"")</f>
        <v/>
      </c>
      <c r="B337" s="199" t="str">
        <f>_xlfn.XLOOKUP($A337,'(backend scoring)'!$V$2:$V$333,'(backend scoring)'!$A$2:$A$333,"")</f>
        <v/>
      </c>
      <c r="C337" s="199" t="str">
        <f>IFERROR(VLOOKUP($B337,'Institution Evaluation'!$A$55:$F$345,2,0),IFERROR(VLOOKUP($B337,'Privacy Analyst Evaluation'!$A$46:$F$120,2,0),""))&amp;""</f>
        <v/>
      </c>
      <c r="D337" s="199" t="str">
        <f>IFERROR(VLOOKUP($B337,'Institution Evaluation'!$A$55:$F$345,3,0),IFERROR(VLOOKUP($B337,'Privacy Analyst Evaluation'!$A$46:$F$120,3,0),""))&amp;""</f>
        <v/>
      </c>
      <c r="E337" s="199" t="str">
        <f>IFERROR(VLOOKUP($B337,'Institution Evaluation'!$A$55:$F$345,4,0),IFERROR(VLOOKUP($B337,'Privacy Analyst Evaluation'!$A$46:$F$120,4,0),""))&amp;""</f>
        <v/>
      </c>
      <c r="F337" s="199" t="str">
        <f>IFERROR(VLOOKUP($B337,'Institution Evaluation'!$A$55:$F$345,6,0),IFERROR(VLOOKUP($B337,'Privacy Analyst Evaluation'!$A$46:$F$120,6,0),""))&amp;""</f>
        <v/>
      </c>
      <c r="G337" s="200"/>
      <c r="H337" s="199" t="str">
        <f>IFERROR(IF($H336+1&gt;'(backend scoring)'!$Q$335,"",$H336+1),"")</f>
        <v/>
      </c>
      <c r="I337" s="199" t="str">
        <f>_xlfn.XLOOKUP($H337,'(backend scoring)'!$S$2:$S$333,'(backend scoring)'!$A$2:$A$333,"")</f>
        <v/>
      </c>
      <c r="J337" s="199" t="str">
        <f>IFERROR(VLOOKUP($I337,'Institution Evaluation'!$A$55:$F$345,2,0),IFERROR(VLOOKUP($I337,'Privacy Analyst Evaluation'!$A$46:$F$120,2,0),""))</f>
        <v/>
      </c>
      <c r="K337" s="199" t="str">
        <f>IFERROR(VLOOKUP($I337,'Institution Evaluation'!$A$55:$F$345,3,0),IFERROR(VLOOKUP($I337,'Privacy Analyst Evaluation'!$A$46:$F$120,3,0),""))&amp;""</f>
        <v/>
      </c>
      <c r="L337" s="199" t="str">
        <f>IFERROR(VLOOKUP($I337,'Institution Evaluation'!$A$55:$F$345,4,0),IFERROR(VLOOKUP($I337,'Privacy Analyst Evaluation'!$A$46:$F$120,4,0),""))&amp;""</f>
        <v/>
      </c>
      <c r="M337" s="199" t="str">
        <f>IFERROR(VLOOKUP($I337,'Institution Evaluation'!$A$55:$F$345,6,0),IFERROR(VLOOKUP($I337,'Privacy Analyst Evaluation'!$A$46:$F$120,6,0),""))&amp;""</f>
        <v/>
      </c>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row>
    <row r="338" spans="1:338" ht="17" x14ac:dyDescent="0.2">
      <c r="A338" s="199" t="str">
        <f>IFERROR(IF($A337+1&gt;'(backend scoring)'!$T$335,"",$A337+1),"")</f>
        <v/>
      </c>
      <c r="B338" s="199" t="str">
        <f>_xlfn.XLOOKUP($A338,'(backend scoring)'!$V$2:$V$333,'(backend scoring)'!$A$2:$A$333,"")</f>
        <v/>
      </c>
      <c r="C338" s="199" t="str">
        <f>IFERROR(VLOOKUP($B338,'Institution Evaluation'!$A$55:$F$345,2,0),IFERROR(VLOOKUP($B338,'Privacy Analyst Evaluation'!$A$46:$F$120,2,0),""))&amp;""</f>
        <v/>
      </c>
      <c r="D338" s="199" t="str">
        <f>IFERROR(VLOOKUP($B338,'Institution Evaluation'!$A$55:$F$345,3,0),IFERROR(VLOOKUP($B338,'Privacy Analyst Evaluation'!$A$46:$F$120,3,0),""))&amp;""</f>
        <v/>
      </c>
      <c r="E338" s="199" t="str">
        <f>IFERROR(VLOOKUP($B338,'Institution Evaluation'!$A$55:$F$345,4,0),IFERROR(VLOOKUP($B338,'Privacy Analyst Evaluation'!$A$46:$F$120,4,0),""))&amp;""</f>
        <v/>
      </c>
      <c r="F338" s="199" t="str">
        <f>IFERROR(VLOOKUP($B338,'Institution Evaluation'!$A$55:$F$345,6,0),IFERROR(VLOOKUP($B338,'Privacy Analyst Evaluation'!$A$46:$F$120,6,0),""))&amp;""</f>
        <v/>
      </c>
      <c r="G338" s="200"/>
      <c r="H338" s="199" t="str">
        <f>IFERROR(IF($H337+1&gt;'(backend scoring)'!$Q$335,"",$H337+1),"")</f>
        <v/>
      </c>
      <c r="I338" s="199" t="str">
        <f>_xlfn.XLOOKUP($H338,'(backend scoring)'!$S$2:$S$333,'(backend scoring)'!$A$2:$A$333,"")</f>
        <v/>
      </c>
      <c r="J338" s="199" t="str">
        <f>IFERROR(VLOOKUP($I338,'Institution Evaluation'!$A$55:$F$345,2,0),IFERROR(VLOOKUP($I338,'Privacy Analyst Evaluation'!$A$46:$F$120,2,0),""))</f>
        <v/>
      </c>
      <c r="K338" s="199" t="str">
        <f>IFERROR(VLOOKUP($I338,'Institution Evaluation'!$A$55:$F$345,3,0),IFERROR(VLOOKUP($I338,'Privacy Analyst Evaluation'!$A$46:$F$120,3,0),""))&amp;""</f>
        <v/>
      </c>
      <c r="L338" s="199" t="str">
        <f>IFERROR(VLOOKUP($I338,'Institution Evaluation'!$A$55:$F$345,4,0),IFERROR(VLOOKUP($I338,'Privacy Analyst Evaluation'!$A$46:$F$120,4,0),""))&amp;""</f>
        <v/>
      </c>
      <c r="M338" s="199" t="str">
        <f>IFERROR(VLOOKUP($I338,'Institution Evaluation'!$A$55:$F$345,6,0),IFERROR(VLOOKUP($I338,'Privacy Analyst Evaluation'!$A$46:$F$120,6,0),""))&amp;""</f>
        <v/>
      </c>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row>
    <row r="339" spans="1:338" ht="17" x14ac:dyDescent="0.2">
      <c r="A339" s="199" t="str">
        <f>IFERROR(IF($A338+1&gt;'(backend scoring)'!$T$335,"",$A338+1),"")</f>
        <v/>
      </c>
      <c r="B339" s="199" t="str">
        <f>_xlfn.XLOOKUP($A339,'(backend scoring)'!$V$2:$V$333,'(backend scoring)'!$A$2:$A$333,"")</f>
        <v/>
      </c>
      <c r="C339" s="199" t="str">
        <f>IFERROR(VLOOKUP($B339,'Institution Evaluation'!$A$55:$F$345,2,0),IFERROR(VLOOKUP($B339,'Privacy Analyst Evaluation'!$A$46:$F$120,2,0),""))&amp;""</f>
        <v/>
      </c>
      <c r="D339" s="199" t="str">
        <f>IFERROR(VLOOKUP($B339,'Institution Evaluation'!$A$55:$F$345,3,0),IFERROR(VLOOKUP($B339,'Privacy Analyst Evaluation'!$A$46:$F$120,3,0),""))&amp;""</f>
        <v/>
      </c>
      <c r="E339" s="199" t="str">
        <f>IFERROR(VLOOKUP($B339,'Institution Evaluation'!$A$55:$F$345,4,0),IFERROR(VLOOKUP($B339,'Privacy Analyst Evaluation'!$A$46:$F$120,4,0),""))&amp;""</f>
        <v/>
      </c>
      <c r="F339" s="199" t="str">
        <f>IFERROR(VLOOKUP($B339,'Institution Evaluation'!$A$55:$F$345,6,0),IFERROR(VLOOKUP($B339,'Privacy Analyst Evaluation'!$A$46:$F$120,6,0),""))&amp;""</f>
        <v/>
      </c>
      <c r="G339" s="200"/>
      <c r="H339" s="199" t="str">
        <f>IFERROR(IF($H338+1&gt;'(backend scoring)'!$Q$335,"",$H338+1),"")</f>
        <v/>
      </c>
      <c r="I339" s="199" t="str">
        <f>_xlfn.XLOOKUP($H339,'(backend scoring)'!$S$2:$S$333,'(backend scoring)'!$A$2:$A$333,"")</f>
        <v/>
      </c>
      <c r="J339" s="199" t="str">
        <f>IFERROR(VLOOKUP($I339,'Institution Evaluation'!$A$55:$F$345,2,0),IFERROR(VLOOKUP($I339,'Privacy Analyst Evaluation'!$A$46:$F$120,2,0),""))</f>
        <v/>
      </c>
      <c r="K339" s="199" t="str">
        <f>IFERROR(VLOOKUP($I339,'Institution Evaluation'!$A$55:$F$345,3,0),IFERROR(VLOOKUP($I339,'Privacy Analyst Evaluation'!$A$46:$F$120,3,0),""))&amp;""</f>
        <v/>
      </c>
      <c r="L339" s="199" t="str">
        <f>IFERROR(VLOOKUP($I339,'Institution Evaluation'!$A$55:$F$345,4,0),IFERROR(VLOOKUP($I339,'Privacy Analyst Evaluation'!$A$46:$F$120,4,0),""))&amp;""</f>
        <v/>
      </c>
      <c r="M339" s="199" t="str">
        <f>IFERROR(VLOOKUP($I339,'Institution Evaluation'!$A$55:$F$345,6,0),IFERROR(VLOOKUP($I339,'Privacy Analyst Evaluation'!$A$46:$F$120,6,0),""))&amp;""</f>
        <v/>
      </c>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row>
    <row r="340" spans="1:338" ht="17" x14ac:dyDescent="0.2">
      <c r="A340" s="199" t="str">
        <f>IFERROR(IF($A339+1&gt;'(backend scoring)'!$T$335,"",$A339+1),"")</f>
        <v/>
      </c>
      <c r="B340" s="199" t="str">
        <f>_xlfn.XLOOKUP($A340,'(backend scoring)'!$V$2:$V$333,'(backend scoring)'!$A$2:$A$333,"")</f>
        <v/>
      </c>
      <c r="C340" s="199" t="str">
        <f>IFERROR(VLOOKUP($B340,'Institution Evaluation'!$A$55:$F$345,2,0),IFERROR(VLOOKUP($B340,'Privacy Analyst Evaluation'!$A$46:$F$120,2,0),""))&amp;""</f>
        <v/>
      </c>
      <c r="D340" s="199" t="str">
        <f>IFERROR(VLOOKUP($B340,'Institution Evaluation'!$A$55:$F$345,3,0),IFERROR(VLOOKUP($B340,'Privacy Analyst Evaluation'!$A$46:$F$120,3,0),""))&amp;""</f>
        <v/>
      </c>
      <c r="E340" s="199" t="str">
        <f>IFERROR(VLOOKUP($B340,'Institution Evaluation'!$A$55:$F$345,4,0),IFERROR(VLOOKUP($B340,'Privacy Analyst Evaluation'!$A$46:$F$120,4,0),""))&amp;""</f>
        <v/>
      </c>
      <c r="F340" s="199" t="str">
        <f>IFERROR(VLOOKUP($B340,'Institution Evaluation'!$A$55:$F$345,6,0),IFERROR(VLOOKUP($B340,'Privacy Analyst Evaluation'!$A$46:$F$120,6,0),""))&amp;""</f>
        <v/>
      </c>
      <c r="G340" s="200"/>
      <c r="H340" s="199" t="str">
        <f>IFERROR(IF($H339+1&gt;'(backend scoring)'!$Q$335,"",$H339+1),"")</f>
        <v/>
      </c>
      <c r="I340" s="199" t="str">
        <f>_xlfn.XLOOKUP($H340,'(backend scoring)'!$S$2:$S$333,'(backend scoring)'!$A$2:$A$333,"")</f>
        <v/>
      </c>
      <c r="J340" s="199" t="str">
        <f>IFERROR(VLOOKUP($I340,'Institution Evaluation'!$A$55:$F$345,2,0),IFERROR(VLOOKUP($I340,'Privacy Analyst Evaluation'!$A$46:$F$120,2,0),""))</f>
        <v/>
      </c>
      <c r="K340" s="199" t="str">
        <f>IFERROR(VLOOKUP($I340,'Institution Evaluation'!$A$55:$F$345,3,0),IFERROR(VLOOKUP($I340,'Privacy Analyst Evaluation'!$A$46:$F$120,3,0),""))&amp;""</f>
        <v/>
      </c>
      <c r="L340" s="199" t="str">
        <f>IFERROR(VLOOKUP($I340,'Institution Evaluation'!$A$55:$F$345,4,0),IFERROR(VLOOKUP($I340,'Privacy Analyst Evaluation'!$A$46:$F$120,4,0),""))&amp;""</f>
        <v/>
      </c>
      <c r="M340" s="199" t="str">
        <f>IFERROR(VLOOKUP($I340,'Institution Evaluation'!$A$55:$F$345,6,0),IFERROR(VLOOKUP($I340,'Privacy Analyst Evaluation'!$A$46:$F$120,6,0),""))&amp;""</f>
        <v/>
      </c>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row>
    <row r="341" spans="1:338" ht="17" x14ac:dyDescent="0.2">
      <c r="A341" s="199" t="str">
        <f>IFERROR(IF($A340+1&gt;'(backend scoring)'!$T$335,"",$A340+1),"")</f>
        <v/>
      </c>
      <c r="B341" s="199" t="str">
        <f>_xlfn.XLOOKUP($A341,'(backend scoring)'!$V$2:$V$333,'(backend scoring)'!$A$2:$A$333,"")</f>
        <v/>
      </c>
      <c r="C341" s="199" t="str">
        <f>IFERROR(VLOOKUP($B341,'Institution Evaluation'!$A$55:$F$345,2,0),IFERROR(VLOOKUP($B341,'Privacy Analyst Evaluation'!$A$46:$F$120,2,0),""))&amp;""</f>
        <v/>
      </c>
      <c r="D341" s="199" t="str">
        <f>IFERROR(VLOOKUP($B341,'Institution Evaluation'!$A$55:$F$345,3,0),IFERROR(VLOOKUP($B341,'Privacy Analyst Evaluation'!$A$46:$F$120,3,0),""))&amp;""</f>
        <v/>
      </c>
      <c r="E341" s="199" t="str">
        <f>IFERROR(VLOOKUP($B341,'Institution Evaluation'!$A$55:$F$345,4,0),IFERROR(VLOOKUP($B341,'Privacy Analyst Evaluation'!$A$46:$F$120,4,0),""))&amp;""</f>
        <v/>
      </c>
      <c r="F341" s="199" t="str">
        <f>IFERROR(VLOOKUP($B341,'Institution Evaluation'!$A$55:$F$345,6,0),IFERROR(VLOOKUP($B341,'Privacy Analyst Evaluation'!$A$46:$F$120,6,0),""))&amp;""</f>
        <v/>
      </c>
      <c r="G341" s="200"/>
      <c r="H341" s="199" t="str">
        <f>IFERROR(IF($H340+1&gt;'(backend scoring)'!$Q$335,"",$H340+1),"")</f>
        <v/>
      </c>
      <c r="I341" s="199" t="str">
        <f>_xlfn.XLOOKUP($H341,'(backend scoring)'!$S$2:$S$333,'(backend scoring)'!$A$2:$A$333,"")</f>
        <v/>
      </c>
      <c r="J341" s="199" t="str">
        <f>IFERROR(VLOOKUP($I341,'Institution Evaluation'!$A$55:$F$345,2,0),IFERROR(VLOOKUP($I341,'Privacy Analyst Evaluation'!$A$46:$F$120,2,0),""))</f>
        <v/>
      </c>
      <c r="K341" s="199" t="str">
        <f>IFERROR(VLOOKUP($I341,'Institution Evaluation'!$A$55:$F$345,3,0),IFERROR(VLOOKUP($I341,'Privacy Analyst Evaluation'!$A$46:$F$120,3,0),""))&amp;""</f>
        <v/>
      </c>
      <c r="L341" s="199" t="str">
        <f>IFERROR(VLOOKUP($I341,'Institution Evaluation'!$A$55:$F$345,4,0),IFERROR(VLOOKUP($I341,'Privacy Analyst Evaluation'!$A$46:$F$120,4,0),""))&amp;""</f>
        <v/>
      </c>
      <c r="M341" s="199" t="str">
        <f>IFERROR(VLOOKUP($I341,'Institution Evaluation'!$A$55:$F$345,6,0),IFERROR(VLOOKUP($I341,'Privacy Analyst Evaluation'!$A$46:$F$120,6,0),""))&amp;""</f>
        <v/>
      </c>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row>
    <row r="342" spans="1:338" ht="17" x14ac:dyDescent="0.2">
      <c r="A342" s="199" t="str">
        <f>IFERROR(IF($A341+1&gt;'(backend scoring)'!$T$335,"",$A341+1),"")</f>
        <v/>
      </c>
      <c r="B342" s="199" t="str">
        <f>_xlfn.XLOOKUP($A342,'(backend scoring)'!$V$2:$V$333,'(backend scoring)'!$A$2:$A$333,"")</f>
        <v/>
      </c>
      <c r="C342" s="199" t="str">
        <f>IFERROR(VLOOKUP($B342,'Institution Evaluation'!$A$55:$F$345,2,0),IFERROR(VLOOKUP($B342,'Privacy Analyst Evaluation'!$A$46:$F$120,2,0),""))&amp;""</f>
        <v/>
      </c>
      <c r="D342" s="199" t="str">
        <f>IFERROR(VLOOKUP($B342,'Institution Evaluation'!$A$55:$F$345,3,0),IFERROR(VLOOKUP($B342,'Privacy Analyst Evaluation'!$A$46:$F$120,3,0),""))&amp;""</f>
        <v/>
      </c>
      <c r="E342" s="199" t="str">
        <f>IFERROR(VLOOKUP($B342,'Institution Evaluation'!$A$55:$F$345,4,0),IFERROR(VLOOKUP($B342,'Privacy Analyst Evaluation'!$A$46:$F$120,4,0),""))&amp;""</f>
        <v/>
      </c>
      <c r="F342" s="199" t="str">
        <f>IFERROR(VLOOKUP($B342,'Institution Evaluation'!$A$55:$F$345,6,0),IFERROR(VLOOKUP($B342,'Privacy Analyst Evaluation'!$A$46:$F$120,6,0),""))&amp;""</f>
        <v/>
      </c>
      <c r="G342" s="200"/>
      <c r="H342" s="199" t="str">
        <f>IFERROR(IF($H341+1&gt;'(backend scoring)'!$Q$335,"",$H341+1),"")</f>
        <v/>
      </c>
      <c r="I342" s="199" t="str">
        <f>_xlfn.XLOOKUP($H342,'(backend scoring)'!$S$2:$S$333,'(backend scoring)'!$A$2:$A$333,"")</f>
        <v/>
      </c>
      <c r="J342" s="199" t="str">
        <f>IFERROR(VLOOKUP($I342,'Institution Evaluation'!$A$55:$F$345,2,0),IFERROR(VLOOKUP($I342,'Privacy Analyst Evaluation'!$A$46:$F$120,2,0),""))</f>
        <v/>
      </c>
      <c r="K342" s="199" t="str">
        <f>IFERROR(VLOOKUP($I342,'Institution Evaluation'!$A$55:$F$345,3,0),IFERROR(VLOOKUP($I342,'Privacy Analyst Evaluation'!$A$46:$F$120,3,0),""))&amp;""</f>
        <v/>
      </c>
      <c r="L342" s="199" t="str">
        <f>IFERROR(VLOOKUP($I342,'Institution Evaluation'!$A$55:$F$345,4,0),IFERROR(VLOOKUP($I342,'Privacy Analyst Evaluation'!$A$46:$F$120,4,0),""))&amp;""</f>
        <v/>
      </c>
      <c r="M342" s="199" t="str">
        <f>IFERROR(VLOOKUP($I342,'Institution Evaluation'!$A$55:$F$345,6,0),IFERROR(VLOOKUP($I342,'Privacy Analyst Evaluation'!$A$46:$F$120,6,0),""))&amp;""</f>
        <v/>
      </c>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row>
    <row r="343" spans="1:338" ht="17" x14ac:dyDescent="0.2">
      <c r="A343" s="199" t="str">
        <f>IFERROR(IF($A342+1&gt;'(backend scoring)'!$T$335,"",$A342+1),"")</f>
        <v/>
      </c>
      <c r="B343" s="199" t="str">
        <f>_xlfn.XLOOKUP($A343,'(backend scoring)'!$V$2:$V$333,'(backend scoring)'!$A$2:$A$333,"")</f>
        <v/>
      </c>
      <c r="C343" s="199" t="str">
        <f>IFERROR(VLOOKUP($B343,'Institution Evaluation'!$A$55:$F$345,2,0),IFERROR(VLOOKUP($B343,'Privacy Analyst Evaluation'!$A$46:$F$120,2,0),""))&amp;""</f>
        <v/>
      </c>
      <c r="D343" s="199" t="str">
        <f>IFERROR(VLOOKUP($B343,'Institution Evaluation'!$A$55:$F$345,3,0),IFERROR(VLOOKUP($B343,'Privacy Analyst Evaluation'!$A$46:$F$120,3,0),""))&amp;""</f>
        <v/>
      </c>
      <c r="E343" s="199" t="str">
        <f>IFERROR(VLOOKUP($B343,'Institution Evaluation'!$A$55:$F$345,4,0),IFERROR(VLOOKUP($B343,'Privacy Analyst Evaluation'!$A$46:$F$120,4,0),""))&amp;""</f>
        <v/>
      </c>
      <c r="F343" s="199" t="str">
        <f>IFERROR(VLOOKUP($B343,'Institution Evaluation'!$A$55:$F$345,6,0),IFERROR(VLOOKUP($B343,'Privacy Analyst Evaluation'!$A$46:$F$120,6,0),""))&amp;""</f>
        <v/>
      </c>
      <c r="G343" s="200"/>
      <c r="H343" s="199" t="str">
        <f>IFERROR(IF($H342+1&gt;'(backend scoring)'!$Q$335,"",$H342+1),"")</f>
        <v/>
      </c>
      <c r="I343" s="199" t="str">
        <f>_xlfn.XLOOKUP($H343,'(backend scoring)'!$S$2:$S$333,'(backend scoring)'!$A$2:$A$333,"")</f>
        <v/>
      </c>
      <c r="J343" s="199" t="str">
        <f>IFERROR(VLOOKUP($I343,'Institution Evaluation'!$A$55:$F$345,2,0),IFERROR(VLOOKUP($I343,'Privacy Analyst Evaluation'!$A$46:$F$120,2,0),""))</f>
        <v/>
      </c>
      <c r="K343" s="199" t="str">
        <f>IFERROR(VLOOKUP($I343,'Institution Evaluation'!$A$55:$F$345,3,0),IFERROR(VLOOKUP($I343,'Privacy Analyst Evaluation'!$A$46:$F$120,3,0),""))&amp;""</f>
        <v/>
      </c>
      <c r="L343" s="199" t="str">
        <f>IFERROR(VLOOKUP($I343,'Institution Evaluation'!$A$55:$F$345,4,0),IFERROR(VLOOKUP($I343,'Privacy Analyst Evaluation'!$A$46:$F$120,4,0),""))&amp;""</f>
        <v/>
      </c>
      <c r="M343" s="199" t="str">
        <f>IFERROR(VLOOKUP($I343,'Institution Evaluation'!$A$55:$F$345,6,0),IFERROR(VLOOKUP($I343,'Privacy Analyst Evaluation'!$A$46:$F$120,6,0),""))&amp;""</f>
        <v/>
      </c>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row>
    <row r="344" spans="1:338" ht="17" x14ac:dyDescent="0.2">
      <c r="A344" s="199" t="str">
        <f>IFERROR(IF($A343+1&gt;'(backend scoring)'!$T$335,"",$A343+1),"")</f>
        <v/>
      </c>
      <c r="B344" s="199" t="str">
        <f>_xlfn.XLOOKUP($A344,'(backend scoring)'!$V$2:$V$333,'(backend scoring)'!$A$2:$A$333,"")</f>
        <v/>
      </c>
      <c r="C344" s="199" t="str">
        <f>IFERROR(VLOOKUP($B344,'Institution Evaluation'!$A$55:$F$345,2,0),IFERROR(VLOOKUP($B344,'Privacy Analyst Evaluation'!$A$46:$F$120,2,0),""))&amp;""</f>
        <v/>
      </c>
      <c r="D344" s="199" t="str">
        <f>IFERROR(VLOOKUP($B344,'Institution Evaluation'!$A$55:$F$345,3,0),IFERROR(VLOOKUP($B344,'Privacy Analyst Evaluation'!$A$46:$F$120,3,0),""))&amp;""</f>
        <v/>
      </c>
      <c r="E344" s="199" t="str">
        <f>IFERROR(VLOOKUP($B344,'Institution Evaluation'!$A$55:$F$345,4,0),IFERROR(VLOOKUP($B344,'Privacy Analyst Evaluation'!$A$46:$F$120,4,0),""))&amp;""</f>
        <v/>
      </c>
      <c r="F344" s="199" t="str">
        <f>IFERROR(VLOOKUP($B344,'Institution Evaluation'!$A$55:$F$345,6,0),IFERROR(VLOOKUP($B344,'Privacy Analyst Evaluation'!$A$46:$F$120,6,0),""))&amp;""</f>
        <v/>
      </c>
      <c r="G344" s="200"/>
      <c r="H344" s="199" t="str">
        <f>IFERROR(IF($H343+1&gt;'(backend scoring)'!$Q$335,"",$H343+1),"")</f>
        <v/>
      </c>
      <c r="I344" s="199" t="str">
        <f>_xlfn.XLOOKUP($H344,'(backend scoring)'!$S$2:$S$333,'(backend scoring)'!$A$2:$A$333,"")</f>
        <v/>
      </c>
      <c r="J344" s="199" t="str">
        <f>IFERROR(VLOOKUP($I344,'Institution Evaluation'!$A$55:$F$345,2,0),IFERROR(VLOOKUP($I344,'Privacy Analyst Evaluation'!$A$46:$F$120,2,0),""))</f>
        <v/>
      </c>
      <c r="K344" s="199" t="str">
        <f>IFERROR(VLOOKUP($I344,'Institution Evaluation'!$A$55:$F$345,3,0),IFERROR(VLOOKUP($I344,'Privacy Analyst Evaluation'!$A$46:$F$120,3,0),""))&amp;""</f>
        <v/>
      </c>
      <c r="L344" s="199" t="str">
        <f>IFERROR(VLOOKUP($I344,'Institution Evaluation'!$A$55:$F$345,4,0),IFERROR(VLOOKUP($I344,'Privacy Analyst Evaluation'!$A$46:$F$120,4,0),""))&amp;""</f>
        <v/>
      </c>
      <c r="M344" s="199" t="str">
        <f>IFERROR(VLOOKUP($I344,'Institution Evaluation'!$A$55:$F$345,6,0),IFERROR(VLOOKUP($I344,'Privacy Analyst Evaluation'!$A$46:$F$120,6,0),""))&amp;""</f>
        <v/>
      </c>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row>
    <row r="345" spans="1:338" ht="17" x14ac:dyDescent="0.2">
      <c r="A345" s="199" t="str">
        <f>IFERROR(IF($A344+1&gt;'(backend scoring)'!$T$335,"",$A344+1),"")</f>
        <v/>
      </c>
      <c r="B345" s="199" t="str">
        <f>_xlfn.XLOOKUP($A345,'(backend scoring)'!$V$2:$V$333,'(backend scoring)'!$A$2:$A$333,"")</f>
        <v/>
      </c>
      <c r="C345" s="199" t="str">
        <f>IFERROR(VLOOKUP($B345,'Institution Evaluation'!$A$55:$F$345,2,0),IFERROR(VLOOKUP($B345,'Privacy Analyst Evaluation'!$A$46:$F$120,2,0),""))&amp;""</f>
        <v/>
      </c>
      <c r="D345" s="199" t="str">
        <f>IFERROR(VLOOKUP($B345,'Institution Evaluation'!$A$55:$F$345,3,0),IFERROR(VLOOKUP($B345,'Privacy Analyst Evaluation'!$A$46:$F$120,3,0),""))&amp;""</f>
        <v/>
      </c>
      <c r="E345" s="199" t="str">
        <f>IFERROR(VLOOKUP($B345,'Institution Evaluation'!$A$55:$F$345,4,0),IFERROR(VLOOKUP($B345,'Privacy Analyst Evaluation'!$A$46:$F$120,4,0),""))&amp;""</f>
        <v/>
      </c>
      <c r="F345" s="199" t="str">
        <f>IFERROR(VLOOKUP($B345,'Institution Evaluation'!$A$55:$F$345,6,0),IFERROR(VLOOKUP($B345,'Privacy Analyst Evaluation'!$A$46:$F$120,6,0),""))&amp;""</f>
        <v/>
      </c>
      <c r="G345" s="200"/>
      <c r="H345" s="199" t="str">
        <f>IFERROR(IF($H344+1&gt;'(backend scoring)'!$Q$335,"",$H344+1),"")</f>
        <v/>
      </c>
      <c r="I345" s="199" t="str">
        <f>_xlfn.XLOOKUP($H345,'(backend scoring)'!$S$2:$S$333,'(backend scoring)'!$A$2:$A$333,"")</f>
        <v/>
      </c>
      <c r="J345" s="199" t="str">
        <f>IFERROR(VLOOKUP($I345,'Institution Evaluation'!$A$55:$F$345,2,0),IFERROR(VLOOKUP($I345,'Privacy Analyst Evaluation'!$A$46:$F$120,2,0),""))</f>
        <v/>
      </c>
      <c r="K345" s="199" t="str">
        <f>IFERROR(VLOOKUP($I345,'Institution Evaluation'!$A$55:$F$345,3,0),IFERROR(VLOOKUP($I345,'Privacy Analyst Evaluation'!$A$46:$F$120,3,0),""))&amp;""</f>
        <v/>
      </c>
      <c r="L345" s="199" t="str">
        <f>IFERROR(VLOOKUP($I345,'Institution Evaluation'!$A$55:$F$345,4,0),IFERROR(VLOOKUP($I345,'Privacy Analyst Evaluation'!$A$46:$F$120,4,0),""))&amp;""</f>
        <v/>
      </c>
      <c r="M345" s="199" t="str">
        <f>IFERROR(VLOOKUP($I345,'Institution Evaluation'!$A$55:$F$345,6,0),IFERROR(VLOOKUP($I345,'Privacy Analyst Evaluation'!$A$46:$F$120,6,0),""))&amp;""</f>
        <v/>
      </c>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row>
    <row r="346" spans="1:338" ht="17" x14ac:dyDescent="0.2">
      <c r="A346" s="199" t="str">
        <f>IFERROR(IF($A345+1&gt;'(backend scoring)'!$T$335,"",$A345+1),"")</f>
        <v/>
      </c>
      <c r="B346" s="199" t="str">
        <f>_xlfn.XLOOKUP($A346,'(backend scoring)'!$V$2:$V$333,'(backend scoring)'!$A$2:$A$333,"")</f>
        <v/>
      </c>
      <c r="C346" s="199" t="str">
        <f>IFERROR(VLOOKUP($B346,'Institution Evaluation'!$A$55:$F$345,2,0),IFERROR(VLOOKUP($B346,'Privacy Analyst Evaluation'!$A$46:$F$120,2,0),""))&amp;""</f>
        <v/>
      </c>
      <c r="D346" s="199" t="str">
        <f>IFERROR(VLOOKUP($B346,'Institution Evaluation'!$A$55:$F$345,3,0),IFERROR(VLOOKUP($B346,'Privacy Analyst Evaluation'!$A$46:$F$120,3,0),""))&amp;""</f>
        <v/>
      </c>
      <c r="E346" s="199" t="str">
        <f>IFERROR(VLOOKUP($B346,'Institution Evaluation'!$A$55:$F$345,4,0),IFERROR(VLOOKUP($B346,'Privacy Analyst Evaluation'!$A$46:$F$120,4,0),""))&amp;""</f>
        <v/>
      </c>
      <c r="F346" s="199" t="str">
        <f>IFERROR(VLOOKUP($B346,'Institution Evaluation'!$A$55:$F$345,6,0),IFERROR(VLOOKUP($B346,'Privacy Analyst Evaluation'!$A$46:$F$120,6,0),""))&amp;""</f>
        <v/>
      </c>
      <c r="G346" s="200"/>
      <c r="H346" s="199" t="str">
        <f>IFERROR(IF($H345+1&gt;'(backend scoring)'!$Q$335,"",$H345+1),"")</f>
        <v/>
      </c>
      <c r="I346" s="199" t="str">
        <f>_xlfn.XLOOKUP($H346,'(backend scoring)'!$S$2:$S$333,'(backend scoring)'!$A$2:$A$333,"")</f>
        <v/>
      </c>
      <c r="J346" s="199" t="str">
        <f>IFERROR(VLOOKUP($I346,'Institution Evaluation'!$A$55:$F$345,2,0),IFERROR(VLOOKUP($I346,'Privacy Analyst Evaluation'!$A$46:$F$120,2,0),""))</f>
        <v/>
      </c>
      <c r="K346" s="199" t="str">
        <f>IFERROR(VLOOKUP($I346,'Institution Evaluation'!$A$55:$F$345,3,0),IFERROR(VLOOKUP($I346,'Privacy Analyst Evaluation'!$A$46:$F$120,3,0),""))&amp;""</f>
        <v/>
      </c>
      <c r="L346" s="199" t="str">
        <f>IFERROR(VLOOKUP($I346,'Institution Evaluation'!$A$55:$F$345,4,0),IFERROR(VLOOKUP($I346,'Privacy Analyst Evaluation'!$A$46:$F$120,4,0),""))&amp;""</f>
        <v/>
      </c>
      <c r="M346" s="199" t="str">
        <f>IFERROR(VLOOKUP($I346,'Institution Evaluation'!$A$55:$F$345,6,0),IFERROR(VLOOKUP($I346,'Privacy Analyst Evaluation'!$A$46:$F$120,6,0),""))&amp;""</f>
        <v/>
      </c>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row>
    <row r="347" spans="1:338" ht="17" x14ac:dyDescent="0.2">
      <c r="A347" s="199" t="str">
        <f>IFERROR(IF($A346+1&gt;'(backend scoring)'!$T$335,"",$A346+1),"")</f>
        <v/>
      </c>
      <c r="B347" s="199" t="str">
        <f>_xlfn.XLOOKUP($A347,'(backend scoring)'!$V$2:$V$333,'(backend scoring)'!$A$2:$A$333,"")</f>
        <v/>
      </c>
      <c r="C347" s="199" t="str">
        <f>IFERROR(VLOOKUP($B347,'Institution Evaluation'!$A$55:$F$345,2,0),IFERROR(VLOOKUP($B347,'Privacy Analyst Evaluation'!$A$46:$F$120,2,0),""))&amp;""</f>
        <v/>
      </c>
      <c r="D347" s="199" t="str">
        <f>IFERROR(VLOOKUP($B347,'Institution Evaluation'!$A$55:$F$345,3,0),IFERROR(VLOOKUP($B347,'Privacy Analyst Evaluation'!$A$46:$F$120,3,0),""))&amp;""</f>
        <v/>
      </c>
      <c r="E347" s="199" t="str">
        <f>IFERROR(VLOOKUP($B347,'Institution Evaluation'!$A$55:$F$345,4,0),IFERROR(VLOOKUP($B347,'Privacy Analyst Evaluation'!$A$46:$F$120,4,0),""))&amp;""</f>
        <v/>
      </c>
      <c r="F347" s="199" t="str">
        <f>IFERROR(VLOOKUP($B347,'Institution Evaluation'!$A$55:$F$345,6,0),IFERROR(VLOOKUP($B347,'Privacy Analyst Evaluation'!$A$46:$F$120,6,0),""))&amp;""</f>
        <v/>
      </c>
      <c r="G347" s="200"/>
      <c r="H347" s="199" t="str">
        <f>IFERROR(IF($H346+1&gt;'(backend scoring)'!$Q$335,"",$H346+1),"")</f>
        <v/>
      </c>
      <c r="I347" s="199" t="str">
        <f>_xlfn.XLOOKUP($H347,'(backend scoring)'!$S$2:$S$333,'(backend scoring)'!$A$2:$A$333,"")</f>
        <v/>
      </c>
      <c r="J347" s="199" t="str">
        <f>IFERROR(VLOOKUP($I347,'Institution Evaluation'!$A$55:$F$345,2,0),IFERROR(VLOOKUP($I347,'Privacy Analyst Evaluation'!$A$46:$F$120,2,0),""))</f>
        <v/>
      </c>
      <c r="K347" s="199" t="str">
        <f>IFERROR(VLOOKUP($I347,'Institution Evaluation'!$A$55:$F$345,3,0),IFERROR(VLOOKUP($I347,'Privacy Analyst Evaluation'!$A$46:$F$120,3,0),""))&amp;""</f>
        <v/>
      </c>
      <c r="L347" s="199" t="str">
        <f>IFERROR(VLOOKUP($I347,'Institution Evaluation'!$A$55:$F$345,4,0),IFERROR(VLOOKUP($I347,'Privacy Analyst Evaluation'!$A$46:$F$120,4,0),""))&amp;""</f>
        <v/>
      </c>
      <c r="M347" s="199" t="str">
        <f>IFERROR(VLOOKUP($I347,'Institution Evaluation'!$A$55:$F$345,6,0),IFERROR(VLOOKUP($I347,'Privacy Analyst Evaluation'!$A$46:$F$120,6,0),""))&amp;""</f>
        <v/>
      </c>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row>
    <row r="348" spans="1:338" ht="17" x14ac:dyDescent="0.2">
      <c r="A348" s="199" t="str">
        <f>IFERROR(IF($A347+1&gt;'(backend scoring)'!$T$335,"",$A347+1),"")</f>
        <v/>
      </c>
      <c r="B348" s="199" t="str">
        <f>_xlfn.XLOOKUP($A348,'(backend scoring)'!$V$2:$V$333,'(backend scoring)'!$A$2:$A$333,"")</f>
        <v/>
      </c>
      <c r="C348" s="199" t="str">
        <f>IFERROR(VLOOKUP($B348,'Institution Evaluation'!$A$55:$F$345,2,0),IFERROR(VLOOKUP($B348,'Privacy Analyst Evaluation'!$A$46:$F$120,2,0),""))&amp;""</f>
        <v/>
      </c>
      <c r="D348" s="199" t="str">
        <f>IFERROR(VLOOKUP($B348,'Institution Evaluation'!$A$55:$F$345,3,0),IFERROR(VLOOKUP($B348,'Privacy Analyst Evaluation'!$A$46:$F$120,3,0),""))&amp;""</f>
        <v/>
      </c>
      <c r="E348" s="199" t="str">
        <f>IFERROR(VLOOKUP($B348,'Institution Evaluation'!$A$55:$F$345,4,0),IFERROR(VLOOKUP($B348,'Privacy Analyst Evaluation'!$A$46:$F$120,4,0),""))&amp;""</f>
        <v/>
      </c>
      <c r="F348" s="199" t="str">
        <f>IFERROR(VLOOKUP($B348,'Institution Evaluation'!$A$55:$F$345,6,0),IFERROR(VLOOKUP($B348,'Privacy Analyst Evaluation'!$A$46:$F$120,6,0),""))&amp;""</f>
        <v/>
      </c>
      <c r="G348" s="200"/>
      <c r="H348" s="199" t="str">
        <f>IFERROR(IF($H347+1&gt;'(backend scoring)'!$Q$335,"",$H347+1),"")</f>
        <v/>
      </c>
      <c r="I348" s="199" t="str">
        <f>_xlfn.XLOOKUP($H348,'(backend scoring)'!$S$2:$S$333,'(backend scoring)'!$A$2:$A$333,"")</f>
        <v/>
      </c>
      <c r="J348" s="199" t="str">
        <f>IFERROR(VLOOKUP($I348,'Institution Evaluation'!$A$55:$F$345,2,0),IFERROR(VLOOKUP($I348,'Privacy Analyst Evaluation'!$A$46:$F$120,2,0),""))</f>
        <v/>
      </c>
      <c r="K348" s="199" t="str">
        <f>IFERROR(VLOOKUP($I348,'Institution Evaluation'!$A$55:$F$345,3,0),IFERROR(VLOOKUP($I348,'Privacy Analyst Evaluation'!$A$46:$F$120,3,0),""))&amp;""</f>
        <v/>
      </c>
      <c r="L348" s="199" t="str">
        <f>IFERROR(VLOOKUP($I348,'Institution Evaluation'!$A$55:$F$345,4,0),IFERROR(VLOOKUP($I348,'Privacy Analyst Evaluation'!$A$46:$F$120,4,0),""))&amp;""</f>
        <v/>
      </c>
      <c r="M348" s="199" t="str">
        <f>IFERROR(VLOOKUP($I348,'Institution Evaluation'!$A$55:$F$345,6,0),IFERROR(VLOOKUP($I348,'Privacy Analyst Evaluation'!$A$46:$F$120,6,0),""))&amp;""</f>
        <v/>
      </c>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row>
    <row r="349" spans="1:338" ht="17" x14ac:dyDescent="0.2">
      <c r="A349" s="199" t="str">
        <f>IFERROR(IF($A348+1&gt;'(backend scoring)'!$T$335,"",$A348+1),"")</f>
        <v/>
      </c>
      <c r="B349" s="199" t="str">
        <f>_xlfn.XLOOKUP($A349,'(backend scoring)'!$V$2:$V$333,'(backend scoring)'!$A$2:$A$333,"")</f>
        <v/>
      </c>
      <c r="C349" s="199" t="str">
        <f>IFERROR(VLOOKUP($B349,'Institution Evaluation'!$A$55:$F$345,2,0),IFERROR(VLOOKUP($B349,'Privacy Analyst Evaluation'!$A$46:$F$120,2,0),""))&amp;""</f>
        <v/>
      </c>
      <c r="D349" s="199" t="str">
        <f>IFERROR(VLOOKUP($B349,'Institution Evaluation'!$A$55:$F$345,3,0),IFERROR(VLOOKUP($B349,'Privacy Analyst Evaluation'!$A$46:$F$120,3,0),""))&amp;""</f>
        <v/>
      </c>
      <c r="E349" s="199" t="str">
        <f>IFERROR(VLOOKUP($B349,'Institution Evaluation'!$A$55:$F$345,4,0),IFERROR(VLOOKUP($B349,'Privacy Analyst Evaluation'!$A$46:$F$120,4,0),""))&amp;""</f>
        <v/>
      </c>
      <c r="F349" s="199" t="str">
        <f>IFERROR(VLOOKUP($B349,'Institution Evaluation'!$A$55:$F$345,6,0),IFERROR(VLOOKUP($B349,'Privacy Analyst Evaluation'!$A$46:$F$120,6,0),""))&amp;""</f>
        <v/>
      </c>
      <c r="G349" s="200"/>
      <c r="H349" s="199" t="str">
        <f>IFERROR(IF($H348+1&gt;'(backend scoring)'!$Q$335,"",$H348+1),"")</f>
        <v/>
      </c>
      <c r="I349" s="199" t="str">
        <f>_xlfn.XLOOKUP($H349,'(backend scoring)'!$S$2:$S$333,'(backend scoring)'!$A$2:$A$333,"")</f>
        <v/>
      </c>
      <c r="J349" s="199" t="str">
        <f>IFERROR(VLOOKUP($I349,'Institution Evaluation'!$A$55:$F$345,2,0),IFERROR(VLOOKUP($I349,'Privacy Analyst Evaluation'!$A$46:$F$120,2,0),""))</f>
        <v/>
      </c>
      <c r="K349" s="199" t="str">
        <f>IFERROR(VLOOKUP($I349,'Institution Evaluation'!$A$55:$F$345,3,0),IFERROR(VLOOKUP($I349,'Privacy Analyst Evaluation'!$A$46:$F$120,3,0),""))&amp;""</f>
        <v/>
      </c>
      <c r="L349" s="199" t="str">
        <f>IFERROR(VLOOKUP($I349,'Institution Evaluation'!$A$55:$F$345,4,0),IFERROR(VLOOKUP($I349,'Privacy Analyst Evaluation'!$A$46:$F$120,4,0),""))&amp;""</f>
        <v/>
      </c>
      <c r="M349" s="199" t="str">
        <f>IFERROR(VLOOKUP($I349,'Institution Evaluation'!$A$55:$F$345,6,0),IFERROR(VLOOKUP($I349,'Privacy Analyst Evaluation'!$A$46:$F$120,6,0),""))&amp;""</f>
        <v/>
      </c>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c r="KQ349"/>
      <c r="KR349"/>
      <c r="KS349"/>
      <c r="KT349"/>
      <c r="KU349"/>
      <c r="KV349"/>
      <c r="KW349"/>
      <c r="KX349"/>
      <c r="KY349"/>
      <c r="KZ349"/>
      <c r="LA349"/>
      <c r="LB349"/>
      <c r="LC349"/>
      <c r="LD349"/>
      <c r="LE349"/>
      <c r="LF349"/>
      <c r="LG349"/>
      <c r="LH349"/>
      <c r="LI349"/>
      <c r="LJ349"/>
      <c r="LK349"/>
      <c r="LL349"/>
      <c r="LM349"/>
      <c r="LN349"/>
      <c r="LO349"/>
      <c r="LP349"/>
      <c r="LQ349"/>
      <c r="LR349"/>
      <c r="LS349"/>
      <c r="LT349"/>
      <c r="LU349"/>
      <c r="LV349"/>
      <c r="LW349"/>
      <c r="LX349"/>
      <c r="LY349"/>
      <c r="LZ349"/>
    </row>
    <row r="350" spans="1:338" ht="17" x14ac:dyDescent="0.2">
      <c r="A350" s="199" t="str">
        <f>IFERROR(IF($A349+1&gt;'(backend scoring)'!$T$335,"",$A349+1),"")</f>
        <v/>
      </c>
      <c r="B350" s="199" t="str">
        <f>_xlfn.XLOOKUP($A350,'(backend scoring)'!$V$2:$V$333,'(backend scoring)'!$A$2:$A$333,"")</f>
        <v/>
      </c>
      <c r="C350" s="199" t="str">
        <f>IFERROR(VLOOKUP($B350,'Institution Evaluation'!$A$55:$F$345,2,0),IFERROR(VLOOKUP($B350,'Privacy Analyst Evaluation'!$A$46:$F$120,2,0),""))&amp;""</f>
        <v/>
      </c>
      <c r="D350" s="199" t="str">
        <f>IFERROR(VLOOKUP($B350,'Institution Evaluation'!$A$55:$F$345,3,0),IFERROR(VLOOKUP($B350,'Privacy Analyst Evaluation'!$A$46:$F$120,3,0),""))&amp;""</f>
        <v/>
      </c>
      <c r="E350" s="199" t="str">
        <f>IFERROR(VLOOKUP($B350,'Institution Evaluation'!$A$55:$F$345,4,0),IFERROR(VLOOKUP($B350,'Privacy Analyst Evaluation'!$A$46:$F$120,4,0),""))&amp;""</f>
        <v/>
      </c>
      <c r="F350" s="199" t="str">
        <f>IFERROR(VLOOKUP($B350,'Institution Evaluation'!$A$55:$F$345,6,0),IFERROR(VLOOKUP($B350,'Privacy Analyst Evaluation'!$A$46:$F$120,6,0),""))&amp;""</f>
        <v/>
      </c>
      <c r="G350" s="200"/>
      <c r="H350" s="199" t="str">
        <f>IFERROR(IF($H349+1&gt;'(backend scoring)'!$Q$335,"",$H349+1),"")</f>
        <v/>
      </c>
      <c r="I350" s="199" t="str">
        <f>_xlfn.XLOOKUP($H350,'(backend scoring)'!$S$2:$S$333,'(backend scoring)'!$A$2:$A$333,"")</f>
        <v/>
      </c>
      <c r="J350" s="199" t="str">
        <f>IFERROR(VLOOKUP($I350,'Institution Evaluation'!$A$55:$F$345,2,0),IFERROR(VLOOKUP($I350,'Privacy Analyst Evaluation'!$A$46:$F$120,2,0),""))</f>
        <v/>
      </c>
      <c r="K350" s="199" t="str">
        <f>IFERROR(VLOOKUP($I350,'Institution Evaluation'!$A$55:$F$345,3,0),IFERROR(VLOOKUP($I350,'Privacy Analyst Evaluation'!$A$46:$F$120,3,0),""))&amp;""</f>
        <v/>
      </c>
      <c r="L350" s="199" t="str">
        <f>IFERROR(VLOOKUP($I350,'Institution Evaluation'!$A$55:$F$345,4,0),IFERROR(VLOOKUP($I350,'Privacy Analyst Evaluation'!$A$46:$F$120,4,0),""))&amp;""</f>
        <v/>
      </c>
      <c r="M350" s="199" t="str">
        <f>IFERROR(VLOOKUP($I350,'Institution Evaluation'!$A$55:$F$345,6,0),IFERROR(VLOOKUP($I350,'Privacy Analyst Evaluation'!$A$46:$F$120,6,0),""))&amp;""</f>
        <v/>
      </c>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row>
    <row r="351" spans="1:338" ht="17" x14ac:dyDescent="0.2">
      <c r="A351" s="199" t="str">
        <f>IFERROR(IF($A350+1&gt;'(backend scoring)'!$T$335,"",$A350+1),"")</f>
        <v/>
      </c>
      <c r="B351" s="199" t="str">
        <f>_xlfn.XLOOKUP($A351,'(backend scoring)'!$V$2:$V$333,'(backend scoring)'!$A$2:$A$333,"")</f>
        <v/>
      </c>
      <c r="C351" s="199" t="str">
        <f>IFERROR(VLOOKUP($B351,'Institution Evaluation'!$A$55:$F$345,2,0),IFERROR(VLOOKUP($B351,'Privacy Analyst Evaluation'!$A$46:$F$120,2,0),""))&amp;""</f>
        <v/>
      </c>
      <c r="D351" s="199" t="str">
        <f>IFERROR(VLOOKUP($B351,'Institution Evaluation'!$A$55:$F$345,3,0),IFERROR(VLOOKUP($B351,'Privacy Analyst Evaluation'!$A$46:$F$120,3,0),""))&amp;""</f>
        <v/>
      </c>
      <c r="E351" s="199" t="str">
        <f>IFERROR(VLOOKUP($B351,'Institution Evaluation'!$A$55:$F$345,4,0),IFERROR(VLOOKUP($B351,'Privacy Analyst Evaluation'!$A$46:$F$120,4,0),""))&amp;""</f>
        <v/>
      </c>
      <c r="F351" s="199" t="str">
        <f>IFERROR(VLOOKUP($B351,'Institution Evaluation'!$A$55:$F$345,6,0),IFERROR(VLOOKUP($B351,'Privacy Analyst Evaluation'!$A$46:$F$120,6,0),""))&amp;""</f>
        <v/>
      </c>
      <c r="G351" s="200"/>
      <c r="H351" s="199" t="str">
        <f>IFERROR(IF($H350+1&gt;'(backend scoring)'!$Q$335,"",$H350+1),"")</f>
        <v/>
      </c>
      <c r="I351" s="199" t="str">
        <f>_xlfn.XLOOKUP($H351,'(backend scoring)'!$S$2:$S$333,'(backend scoring)'!$A$2:$A$333,"")</f>
        <v/>
      </c>
      <c r="J351" s="199" t="str">
        <f>IFERROR(VLOOKUP($I351,'Institution Evaluation'!$A$55:$F$345,2,0),IFERROR(VLOOKUP($I351,'Privacy Analyst Evaluation'!$A$46:$F$120,2,0),""))</f>
        <v/>
      </c>
      <c r="K351" s="199" t="str">
        <f>IFERROR(VLOOKUP($I351,'Institution Evaluation'!$A$55:$F$345,3,0),IFERROR(VLOOKUP($I351,'Privacy Analyst Evaluation'!$A$46:$F$120,3,0),""))&amp;""</f>
        <v/>
      </c>
      <c r="L351" s="199" t="str">
        <f>IFERROR(VLOOKUP($I351,'Institution Evaluation'!$A$55:$F$345,4,0),IFERROR(VLOOKUP($I351,'Privacy Analyst Evaluation'!$A$46:$F$120,4,0),""))&amp;""</f>
        <v/>
      </c>
      <c r="M351" s="199" t="str">
        <f>IFERROR(VLOOKUP($I351,'Institution Evaluation'!$A$55:$F$345,6,0),IFERROR(VLOOKUP($I351,'Privacy Analyst Evaluation'!$A$46:$F$120,6,0),""))&amp;""</f>
        <v/>
      </c>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row>
    <row r="352" spans="1:338" ht="17" x14ac:dyDescent="0.2">
      <c r="A352" s="199" t="str">
        <f>IFERROR(IF($A351+1&gt;'(backend scoring)'!$T$335,"",$A351+1),"")</f>
        <v/>
      </c>
      <c r="B352" s="199" t="str">
        <f>_xlfn.XLOOKUP($A352,'(backend scoring)'!$V$2:$V$333,'(backend scoring)'!$A$2:$A$333,"")</f>
        <v/>
      </c>
      <c r="C352" s="199" t="str">
        <f>IFERROR(VLOOKUP($B352,'Institution Evaluation'!$A$55:$F$345,2,0),IFERROR(VLOOKUP($B352,'Privacy Analyst Evaluation'!$A$46:$F$120,2,0),""))&amp;""</f>
        <v/>
      </c>
      <c r="D352" s="199" t="str">
        <f>IFERROR(VLOOKUP($B352,'Institution Evaluation'!$A$55:$F$345,3,0),IFERROR(VLOOKUP($B352,'Privacy Analyst Evaluation'!$A$46:$F$120,3,0),""))&amp;""</f>
        <v/>
      </c>
      <c r="E352" s="199" t="str">
        <f>IFERROR(VLOOKUP($B352,'Institution Evaluation'!$A$55:$F$345,4,0),IFERROR(VLOOKUP($B352,'Privacy Analyst Evaluation'!$A$46:$F$120,4,0),""))&amp;""</f>
        <v/>
      </c>
      <c r="F352" s="199" t="str">
        <f>IFERROR(VLOOKUP($B352,'Institution Evaluation'!$A$55:$F$345,6,0),IFERROR(VLOOKUP($B352,'Privacy Analyst Evaluation'!$A$46:$F$120,6,0),""))&amp;""</f>
        <v/>
      </c>
      <c r="G352" s="200"/>
      <c r="H352" s="199" t="str">
        <f>IFERROR(IF($H351+1&gt;'(backend scoring)'!$Q$335,"",$H351+1),"")</f>
        <v/>
      </c>
      <c r="I352" s="199" t="str">
        <f>_xlfn.XLOOKUP($H352,'(backend scoring)'!$S$2:$S$333,'(backend scoring)'!$A$2:$A$333,"")</f>
        <v/>
      </c>
      <c r="J352" s="199" t="str">
        <f>IFERROR(VLOOKUP($I352,'Institution Evaluation'!$A$55:$F$345,2,0),IFERROR(VLOOKUP($I352,'Privacy Analyst Evaluation'!$A$46:$F$120,2,0),""))</f>
        <v/>
      </c>
      <c r="K352" s="199" t="str">
        <f>IFERROR(VLOOKUP($I352,'Institution Evaluation'!$A$55:$F$345,3,0),IFERROR(VLOOKUP($I352,'Privacy Analyst Evaluation'!$A$46:$F$120,3,0),""))&amp;""</f>
        <v/>
      </c>
      <c r="L352" s="199" t="str">
        <f>IFERROR(VLOOKUP($I352,'Institution Evaluation'!$A$55:$F$345,4,0),IFERROR(VLOOKUP($I352,'Privacy Analyst Evaluation'!$A$46:$F$120,4,0),""))&amp;""</f>
        <v/>
      </c>
      <c r="M352" s="199" t="str">
        <f>IFERROR(VLOOKUP($I352,'Institution Evaluation'!$A$55:$F$345,6,0),IFERROR(VLOOKUP($I352,'Privacy Analyst Evaluation'!$A$46:$F$120,6,0),""))&amp;""</f>
        <v/>
      </c>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row>
    <row r="353" spans="1:338" ht="17" x14ac:dyDescent="0.2">
      <c r="A353" s="199" t="str">
        <f>IFERROR(IF($A352+1&gt;'(backend scoring)'!$T$335,"",$A352+1),"")</f>
        <v/>
      </c>
      <c r="B353" s="199" t="str">
        <f>_xlfn.XLOOKUP($A353,'(backend scoring)'!$V$2:$V$333,'(backend scoring)'!$A$2:$A$333,"")</f>
        <v/>
      </c>
      <c r="C353" s="199" t="str">
        <f>IFERROR(VLOOKUP($B353,'Institution Evaluation'!$A$55:$F$345,2,0),IFERROR(VLOOKUP($B353,'Privacy Analyst Evaluation'!$A$46:$F$120,2,0),""))&amp;""</f>
        <v/>
      </c>
      <c r="D353" s="199" t="str">
        <f>IFERROR(VLOOKUP($B353,'Institution Evaluation'!$A$55:$F$345,3,0),IFERROR(VLOOKUP($B353,'Privacy Analyst Evaluation'!$A$46:$F$120,3,0),""))&amp;""</f>
        <v/>
      </c>
      <c r="E353" s="199" t="str">
        <f>IFERROR(VLOOKUP($B353,'Institution Evaluation'!$A$55:$F$345,4,0),IFERROR(VLOOKUP($B353,'Privacy Analyst Evaluation'!$A$46:$F$120,4,0),""))&amp;""</f>
        <v/>
      </c>
      <c r="F353" s="199" t="str">
        <f>IFERROR(VLOOKUP($B353,'Institution Evaluation'!$A$55:$F$345,6,0),IFERROR(VLOOKUP($B353,'Privacy Analyst Evaluation'!$A$46:$F$120,6,0),""))&amp;""</f>
        <v/>
      </c>
      <c r="G353" s="200"/>
      <c r="H353" s="199" t="str">
        <f>IFERROR(IF($H352+1&gt;'(backend scoring)'!$Q$335,"",$H352+1),"")</f>
        <v/>
      </c>
      <c r="I353" s="199" t="str">
        <f>_xlfn.XLOOKUP($H353,'(backend scoring)'!$S$2:$S$333,'(backend scoring)'!$A$2:$A$333,"")</f>
        <v/>
      </c>
      <c r="J353" s="199" t="str">
        <f>IFERROR(VLOOKUP($I353,'Institution Evaluation'!$A$55:$F$345,2,0),IFERROR(VLOOKUP($I353,'Privacy Analyst Evaluation'!$A$46:$F$120,2,0),""))</f>
        <v/>
      </c>
      <c r="K353" s="199" t="str">
        <f>IFERROR(VLOOKUP($I353,'Institution Evaluation'!$A$55:$F$345,3,0),IFERROR(VLOOKUP($I353,'Privacy Analyst Evaluation'!$A$46:$F$120,3,0),""))&amp;""</f>
        <v/>
      </c>
      <c r="L353" s="199" t="str">
        <f>IFERROR(VLOOKUP($I353,'Institution Evaluation'!$A$55:$F$345,4,0),IFERROR(VLOOKUP($I353,'Privacy Analyst Evaluation'!$A$46:$F$120,4,0),""))&amp;""</f>
        <v/>
      </c>
      <c r="M353" s="199" t="str">
        <f>IFERROR(VLOOKUP($I353,'Institution Evaluation'!$A$55:$F$345,6,0),IFERROR(VLOOKUP($I353,'Privacy Analyst Evaluation'!$A$46:$F$120,6,0),""))&amp;""</f>
        <v/>
      </c>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row>
    <row r="354" spans="1:338" ht="17" x14ac:dyDescent="0.2">
      <c r="A354" s="199" t="str">
        <f>IFERROR(IF($A353+1&gt;'(backend scoring)'!$T$335,"",$A353+1),"")</f>
        <v/>
      </c>
      <c r="B354" s="199" t="str">
        <f>_xlfn.XLOOKUP($A354,'(backend scoring)'!$V$2:$V$333,'(backend scoring)'!$A$2:$A$333,"")</f>
        <v/>
      </c>
      <c r="C354" s="199" t="str">
        <f>IFERROR(VLOOKUP($B354,'Institution Evaluation'!$A$55:$F$345,2,0),IFERROR(VLOOKUP($B354,'Privacy Analyst Evaluation'!$A$46:$F$120,2,0),""))&amp;""</f>
        <v/>
      </c>
      <c r="D354" s="199" t="str">
        <f>IFERROR(VLOOKUP($B354,'Institution Evaluation'!$A$55:$F$345,3,0),IFERROR(VLOOKUP($B354,'Privacy Analyst Evaluation'!$A$46:$F$120,3,0),""))&amp;""</f>
        <v/>
      </c>
      <c r="E354" s="199" t="str">
        <f>IFERROR(VLOOKUP($B354,'Institution Evaluation'!$A$55:$F$345,4,0),IFERROR(VLOOKUP($B354,'Privacy Analyst Evaluation'!$A$46:$F$120,4,0),""))&amp;""</f>
        <v/>
      </c>
      <c r="F354" s="199" t="str">
        <f>IFERROR(VLOOKUP($B354,'Institution Evaluation'!$A$55:$F$345,6,0),IFERROR(VLOOKUP($B354,'Privacy Analyst Evaluation'!$A$46:$F$120,6,0),""))&amp;""</f>
        <v/>
      </c>
      <c r="G354" s="200"/>
      <c r="H354" s="199" t="str">
        <f>IFERROR(IF($H353+1&gt;'(backend scoring)'!$Q$335,"",$H353+1),"")</f>
        <v/>
      </c>
      <c r="I354" s="199" t="str">
        <f>_xlfn.XLOOKUP($H354,'(backend scoring)'!$S$2:$S$333,'(backend scoring)'!$A$2:$A$333,"")</f>
        <v/>
      </c>
      <c r="J354" s="199" t="str">
        <f>IFERROR(VLOOKUP($I354,'Institution Evaluation'!$A$55:$F$345,2,0),IFERROR(VLOOKUP($I354,'Privacy Analyst Evaluation'!$A$46:$F$120,2,0),""))</f>
        <v/>
      </c>
      <c r="K354" s="199" t="str">
        <f>IFERROR(VLOOKUP($I354,'Institution Evaluation'!$A$55:$F$345,3,0),IFERROR(VLOOKUP($I354,'Privacy Analyst Evaluation'!$A$46:$F$120,3,0),""))&amp;""</f>
        <v/>
      </c>
      <c r="L354" s="199" t="str">
        <f>IFERROR(VLOOKUP($I354,'Institution Evaluation'!$A$55:$F$345,4,0),IFERROR(VLOOKUP($I354,'Privacy Analyst Evaluation'!$A$46:$F$120,4,0),""))&amp;""</f>
        <v/>
      </c>
      <c r="M354" s="199" t="str">
        <f>IFERROR(VLOOKUP($I354,'Institution Evaluation'!$A$55:$F$345,6,0),IFERROR(VLOOKUP($I354,'Privacy Analyst Evaluation'!$A$46:$F$120,6,0),""))&amp;""</f>
        <v/>
      </c>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row>
    <row r="355" spans="1:338" ht="17" x14ac:dyDescent="0.2">
      <c r="A355" s="199" t="str">
        <f>IFERROR(IF($A354+1&gt;'(backend scoring)'!$T$335,"",$A354+1),"")</f>
        <v/>
      </c>
      <c r="B355" s="199" t="str">
        <f>_xlfn.XLOOKUP($A355,'(backend scoring)'!$V$2:$V$333,'(backend scoring)'!$A$2:$A$333,"")</f>
        <v/>
      </c>
      <c r="C355" s="199" t="str">
        <f>IFERROR(VLOOKUP($B355,'Institution Evaluation'!$A$55:$F$345,2,0),IFERROR(VLOOKUP($B355,'Privacy Analyst Evaluation'!$A$46:$F$120,2,0),""))&amp;""</f>
        <v/>
      </c>
      <c r="D355" s="199" t="str">
        <f>IFERROR(VLOOKUP($B355,'Institution Evaluation'!$A$55:$F$345,3,0),IFERROR(VLOOKUP($B355,'Privacy Analyst Evaluation'!$A$46:$F$120,3,0),""))&amp;""</f>
        <v/>
      </c>
      <c r="E355" s="199" t="str">
        <f>IFERROR(VLOOKUP($B355,'Institution Evaluation'!$A$55:$F$345,4,0),IFERROR(VLOOKUP($B355,'Privacy Analyst Evaluation'!$A$46:$F$120,4,0),""))&amp;""</f>
        <v/>
      </c>
      <c r="F355" s="199" t="str">
        <f>IFERROR(VLOOKUP($B355,'Institution Evaluation'!$A$55:$F$345,6,0),IFERROR(VLOOKUP($B355,'Privacy Analyst Evaluation'!$A$46:$F$120,6,0),""))&amp;""</f>
        <v/>
      </c>
      <c r="G355" s="200"/>
      <c r="H355" s="199" t="str">
        <f>IFERROR(IF($H354+1&gt;'(backend scoring)'!$Q$335,"",$H354+1),"")</f>
        <v/>
      </c>
      <c r="I355" s="199" t="str">
        <f>_xlfn.XLOOKUP($H355,'(backend scoring)'!$S$2:$S$333,'(backend scoring)'!$A$2:$A$333,"")</f>
        <v/>
      </c>
      <c r="J355" s="199" t="str">
        <f>IFERROR(VLOOKUP($I355,'Institution Evaluation'!$A$55:$F$345,2,0),IFERROR(VLOOKUP($I355,'Privacy Analyst Evaluation'!$A$46:$F$120,2,0),""))</f>
        <v/>
      </c>
      <c r="K355" s="199" t="str">
        <f>IFERROR(VLOOKUP($I355,'Institution Evaluation'!$A$55:$F$345,3,0),IFERROR(VLOOKUP($I355,'Privacy Analyst Evaluation'!$A$46:$F$120,3,0),""))&amp;""</f>
        <v/>
      </c>
      <c r="L355" s="199" t="str">
        <f>IFERROR(VLOOKUP($I355,'Institution Evaluation'!$A$55:$F$345,4,0),IFERROR(VLOOKUP($I355,'Privacy Analyst Evaluation'!$A$46:$F$120,4,0),""))&amp;""</f>
        <v/>
      </c>
      <c r="M355" s="199" t="str">
        <f>IFERROR(VLOOKUP($I355,'Institution Evaluation'!$A$55:$F$345,6,0),IFERROR(VLOOKUP($I355,'Privacy Analyst Evaluation'!$A$46:$F$120,6,0),""))&amp;""</f>
        <v/>
      </c>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row>
    <row r="356" spans="1:338" ht="17" x14ac:dyDescent="0.2">
      <c r="A356" s="199" t="str">
        <f>IFERROR(IF($A355+1&gt;'(backend scoring)'!$T$335,"",$A355+1),"")</f>
        <v/>
      </c>
      <c r="B356" s="199" t="str">
        <f>_xlfn.XLOOKUP($A356,'(backend scoring)'!$V$2:$V$333,'(backend scoring)'!$A$2:$A$333,"")</f>
        <v/>
      </c>
      <c r="C356" s="199" t="str">
        <f>IFERROR(VLOOKUP($B356,'Institution Evaluation'!$A$55:$F$345,2,0),IFERROR(VLOOKUP($B356,'Privacy Analyst Evaluation'!$A$46:$F$120,2,0),""))&amp;""</f>
        <v/>
      </c>
      <c r="D356" s="199" t="str">
        <f>IFERROR(VLOOKUP($B356,'Institution Evaluation'!$A$55:$F$345,3,0),IFERROR(VLOOKUP($B356,'Privacy Analyst Evaluation'!$A$46:$F$120,3,0),""))&amp;""</f>
        <v/>
      </c>
      <c r="E356" s="199" t="str">
        <f>IFERROR(VLOOKUP($B356,'Institution Evaluation'!$A$55:$F$345,4,0),IFERROR(VLOOKUP($B356,'Privacy Analyst Evaluation'!$A$46:$F$120,4,0),""))&amp;""</f>
        <v/>
      </c>
      <c r="F356" s="199" t="str">
        <f>IFERROR(VLOOKUP($B356,'Institution Evaluation'!$A$55:$F$345,6,0),IFERROR(VLOOKUP($B356,'Privacy Analyst Evaluation'!$A$46:$F$120,6,0),""))&amp;""</f>
        <v/>
      </c>
      <c r="G356" s="200"/>
      <c r="H356" s="199" t="str">
        <f>IFERROR(IF($H355+1&gt;'(backend scoring)'!$Q$335,"",$H355+1),"")</f>
        <v/>
      </c>
      <c r="I356" s="199" t="str">
        <f>_xlfn.XLOOKUP($H356,'(backend scoring)'!$S$2:$S$333,'(backend scoring)'!$A$2:$A$333,"")</f>
        <v/>
      </c>
      <c r="J356" s="199" t="str">
        <f>IFERROR(VLOOKUP($I356,'Institution Evaluation'!$A$55:$F$345,2,0),IFERROR(VLOOKUP($I356,'Privacy Analyst Evaluation'!$A$46:$F$120,2,0),""))</f>
        <v/>
      </c>
      <c r="K356" s="199" t="str">
        <f>IFERROR(VLOOKUP($I356,'Institution Evaluation'!$A$55:$F$345,3,0),IFERROR(VLOOKUP($I356,'Privacy Analyst Evaluation'!$A$46:$F$120,3,0),""))&amp;""</f>
        <v/>
      </c>
      <c r="L356" s="199" t="str">
        <f>IFERROR(VLOOKUP($I356,'Institution Evaluation'!$A$55:$F$345,4,0),IFERROR(VLOOKUP($I356,'Privacy Analyst Evaluation'!$A$46:$F$120,4,0),""))&amp;""</f>
        <v/>
      </c>
      <c r="M356" s="199" t="str">
        <f>IFERROR(VLOOKUP($I356,'Institution Evaluation'!$A$55:$F$345,6,0),IFERROR(VLOOKUP($I356,'Privacy Analyst Evaluation'!$A$46:$F$120,6,0),""))&amp;""</f>
        <v/>
      </c>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row>
    <row r="357" spans="1:338" ht="17" x14ac:dyDescent="0.2">
      <c r="A357" s="199" t="str">
        <f>IFERROR(IF($A356+1&gt;'(backend scoring)'!$T$335,"",$A356+1),"")</f>
        <v/>
      </c>
      <c r="B357" s="199" t="str">
        <f>_xlfn.XLOOKUP($A357,'(backend scoring)'!$V$2:$V$333,'(backend scoring)'!$A$2:$A$333,"")</f>
        <v/>
      </c>
      <c r="C357" s="199" t="str">
        <f>IFERROR(VLOOKUP($B357,'Institution Evaluation'!$A$55:$F$345,2,0),IFERROR(VLOOKUP($B357,'Privacy Analyst Evaluation'!$A$46:$F$120,2,0),""))&amp;""</f>
        <v/>
      </c>
      <c r="D357" s="199" t="str">
        <f>IFERROR(VLOOKUP($B357,'Institution Evaluation'!$A$55:$F$345,3,0),IFERROR(VLOOKUP($B357,'Privacy Analyst Evaluation'!$A$46:$F$120,3,0),""))&amp;""</f>
        <v/>
      </c>
      <c r="E357" s="199" t="str">
        <f>IFERROR(VLOOKUP($B357,'Institution Evaluation'!$A$55:$F$345,4,0),IFERROR(VLOOKUP($B357,'Privacy Analyst Evaluation'!$A$46:$F$120,4,0),""))&amp;""</f>
        <v/>
      </c>
      <c r="F357" s="199" t="str">
        <f>IFERROR(VLOOKUP($B357,'Institution Evaluation'!$A$55:$F$345,6,0),IFERROR(VLOOKUP($B357,'Privacy Analyst Evaluation'!$A$46:$F$120,6,0),""))&amp;""</f>
        <v/>
      </c>
      <c r="G357" s="200"/>
      <c r="H357" s="199" t="str">
        <f>IFERROR(IF($H356+1&gt;'(backend scoring)'!$Q$335,"",$H356+1),"")</f>
        <v/>
      </c>
      <c r="I357" s="199" t="str">
        <f>_xlfn.XLOOKUP($H357,'(backend scoring)'!$S$2:$S$333,'(backend scoring)'!$A$2:$A$333,"")</f>
        <v/>
      </c>
      <c r="J357" s="199" t="str">
        <f>IFERROR(VLOOKUP($I357,'Institution Evaluation'!$A$55:$F$345,2,0),IFERROR(VLOOKUP($I357,'Privacy Analyst Evaluation'!$A$46:$F$120,2,0),""))</f>
        <v/>
      </c>
      <c r="K357" s="199" t="str">
        <f>IFERROR(VLOOKUP($I357,'Institution Evaluation'!$A$55:$F$345,3,0),IFERROR(VLOOKUP($I357,'Privacy Analyst Evaluation'!$A$46:$F$120,3,0),""))&amp;""</f>
        <v/>
      </c>
      <c r="L357" s="199" t="str">
        <f>IFERROR(VLOOKUP($I357,'Institution Evaluation'!$A$55:$F$345,4,0),IFERROR(VLOOKUP($I357,'Privacy Analyst Evaluation'!$A$46:$F$120,4,0),""))&amp;""</f>
        <v/>
      </c>
      <c r="M357" s="199" t="str">
        <f>IFERROR(VLOOKUP($I357,'Institution Evaluation'!$A$55:$F$345,6,0),IFERROR(VLOOKUP($I357,'Privacy Analyst Evaluation'!$A$46:$F$120,6,0),""))&amp;""</f>
        <v/>
      </c>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row>
    <row r="358" spans="1:338" ht="17" x14ac:dyDescent="0.2">
      <c r="A358" s="199" t="str">
        <f>IFERROR(IF($A357+1&gt;'(backend scoring)'!$T$335,"",$A357+1),"")</f>
        <v/>
      </c>
      <c r="B358" s="199" t="str">
        <f>_xlfn.XLOOKUP($A358,'(backend scoring)'!$V$2:$V$333,'(backend scoring)'!$A$2:$A$333,"")</f>
        <v/>
      </c>
      <c r="C358" s="199" t="str">
        <f>IFERROR(VLOOKUP($B358,'Institution Evaluation'!$A$55:$F$345,2,0),IFERROR(VLOOKUP($B358,'Privacy Analyst Evaluation'!$A$46:$F$120,2,0),""))&amp;""</f>
        <v/>
      </c>
      <c r="D358" s="199" t="str">
        <f>IFERROR(VLOOKUP($B358,'Institution Evaluation'!$A$55:$F$345,3,0),IFERROR(VLOOKUP($B358,'Privacy Analyst Evaluation'!$A$46:$F$120,3,0),""))&amp;""</f>
        <v/>
      </c>
      <c r="E358" s="199" t="str">
        <f>IFERROR(VLOOKUP($B358,'Institution Evaluation'!$A$55:$F$345,4,0),IFERROR(VLOOKUP($B358,'Privacy Analyst Evaluation'!$A$46:$F$120,4,0),""))&amp;""</f>
        <v/>
      </c>
      <c r="F358" s="199" t="str">
        <f>IFERROR(VLOOKUP($B358,'Institution Evaluation'!$A$55:$F$345,6,0),IFERROR(VLOOKUP($B358,'Privacy Analyst Evaluation'!$A$46:$F$120,6,0),""))&amp;""</f>
        <v/>
      </c>
      <c r="G358" s="200"/>
      <c r="H358" s="199" t="str">
        <f>IFERROR(IF($H357+1&gt;'(backend scoring)'!$Q$335,"",$H357+1),"")</f>
        <v/>
      </c>
      <c r="I358" s="199" t="str">
        <f>_xlfn.XLOOKUP($H358,'(backend scoring)'!$S$2:$S$333,'(backend scoring)'!$A$2:$A$333,"")</f>
        <v/>
      </c>
      <c r="J358" s="199" t="str">
        <f>IFERROR(VLOOKUP($I358,'Institution Evaluation'!$A$55:$F$345,2,0),IFERROR(VLOOKUP($I358,'Privacy Analyst Evaluation'!$A$46:$F$120,2,0),""))</f>
        <v/>
      </c>
      <c r="K358" s="199" t="str">
        <f>IFERROR(VLOOKUP($I358,'Institution Evaluation'!$A$55:$F$345,3,0),IFERROR(VLOOKUP($I358,'Privacy Analyst Evaluation'!$A$46:$F$120,3,0),""))&amp;""</f>
        <v/>
      </c>
      <c r="L358" s="199" t="str">
        <f>IFERROR(VLOOKUP($I358,'Institution Evaluation'!$A$55:$F$345,4,0),IFERROR(VLOOKUP($I358,'Privacy Analyst Evaluation'!$A$46:$F$120,4,0),""))&amp;""</f>
        <v/>
      </c>
      <c r="M358" s="199" t="str">
        <f>IFERROR(VLOOKUP($I358,'Institution Evaluation'!$A$55:$F$345,6,0),IFERROR(VLOOKUP($I358,'Privacy Analyst Evaluation'!$A$46:$F$120,6,0),""))&amp;""</f>
        <v/>
      </c>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row>
    <row r="359" spans="1:338" ht="17" x14ac:dyDescent="0.2">
      <c r="A359" s="199" t="str">
        <f>IFERROR(IF($A358+1&gt;'(backend scoring)'!$T$335,"",$A358+1),"")</f>
        <v/>
      </c>
      <c r="B359" s="199" t="str">
        <f>_xlfn.XLOOKUP($A359,'(backend scoring)'!$V$2:$V$333,'(backend scoring)'!$A$2:$A$333,"")</f>
        <v/>
      </c>
      <c r="C359" s="199" t="str">
        <f>IFERROR(VLOOKUP($B359,'Institution Evaluation'!$A$55:$F$345,2,0),IFERROR(VLOOKUP($B359,'Privacy Analyst Evaluation'!$A$46:$F$120,2,0),""))&amp;""</f>
        <v/>
      </c>
      <c r="D359" s="199" t="str">
        <f>IFERROR(VLOOKUP($B359,'Institution Evaluation'!$A$55:$F$345,3,0),IFERROR(VLOOKUP($B359,'Privacy Analyst Evaluation'!$A$46:$F$120,3,0),""))&amp;""</f>
        <v/>
      </c>
      <c r="E359" s="199" t="str">
        <f>IFERROR(VLOOKUP($B359,'Institution Evaluation'!$A$55:$F$345,4,0),IFERROR(VLOOKUP($B359,'Privacy Analyst Evaluation'!$A$46:$F$120,4,0),""))&amp;""</f>
        <v/>
      </c>
      <c r="F359" s="199" t="str">
        <f>IFERROR(VLOOKUP($B359,'Institution Evaluation'!$A$55:$F$345,6,0),IFERROR(VLOOKUP($B359,'Privacy Analyst Evaluation'!$A$46:$F$120,6,0),""))&amp;""</f>
        <v/>
      </c>
      <c r="G359" s="200"/>
      <c r="H359" s="199" t="str">
        <f>IFERROR(IF($H358+1&gt;'(backend scoring)'!$Q$335,"",$H358+1),"")</f>
        <v/>
      </c>
      <c r="I359" s="199" t="str">
        <f>_xlfn.XLOOKUP($H359,'(backend scoring)'!$S$2:$S$333,'(backend scoring)'!$A$2:$A$333,"")</f>
        <v/>
      </c>
      <c r="J359" s="199" t="str">
        <f>IFERROR(VLOOKUP($I359,'Institution Evaluation'!$A$55:$F$345,2,0),IFERROR(VLOOKUP($I359,'Privacy Analyst Evaluation'!$A$46:$F$120,2,0),""))</f>
        <v/>
      </c>
      <c r="K359" s="199" t="str">
        <f>IFERROR(VLOOKUP($I359,'Institution Evaluation'!$A$55:$F$345,3,0),IFERROR(VLOOKUP($I359,'Privacy Analyst Evaluation'!$A$46:$F$120,3,0),""))&amp;""</f>
        <v/>
      </c>
      <c r="L359" s="199" t="str">
        <f>IFERROR(VLOOKUP($I359,'Institution Evaluation'!$A$55:$F$345,4,0),IFERROR(VLOOKUP($I359,'Privacy Analyst Evaluation'!$A$46:$F$120,4,0),""))&amp;""</f>
        <v/>
      </c>
      <c r="M359" s="199" t="str">
        <f>IFERROR(VLOOKUP($I359,'Institution Evaluation'!$A$55:$F$345,6,0),IFERROR(VLOOKUP($I359,'Privacy Analyst Evaluation'!$A$46:$F$120,6,0),""))&amp;""</f>
        <v/>
      </c>
    </row>
    <row r="360" spans="1:338" ht="17" x14ac:dyDescent="0.2">
      <c r="A360" s="199" t="str">
        <f>IFERROR(IF($A359+1&gt;'(backend scoring)'!$T$335,"",$A359+1),"")</f>
        <v/>
      </c>
      <c r="B360" s="199" t="str">
        <f>_xlfn.XLOOKUP($A360,'(backend scoring)'!$V$2:$V$333,'(backend scoring)'!$A$2:$A$333,"")</f>
        <v/>
      </c>
      <c r="C360" s="199" t="str">
        <f>IFERROR(VLOOKUP($B360,'Institution Evaluation'!$A$55:$F$345,2,0),IFERROR(VLOOKUP($B360,'Privacy Analyst Evaluation'!$A$46:$F$120,2,0),""))&amp;""</f>
        <v/>
      </c>
      <c r="D360" s="199" t="str">
        <f>IFERROR(VLOOKUP($B360,'Institution Evaluation'!$A$55:$F$345,3,0),IFERROR(VLOOKUP($B360,'Privacy Analyst Evaluation'!$A$46:$F$120,3,0),""))&amp;""</f>
        <v/>
      </c>
      <c r="E360" s="199" t="str">
        <f>IFERROR(VLOOKUP($B360,'Institution Evaluation'!$A$55:$F$345,4,0),IFERROR(VLOOKUP($B360,'Privacy Analyst Evaluation'!$A$46:$F$120,4,0),""))&amp;""</f>
        <v/>
      </c>
      <c r="F360" s="199" t="str">
        <f>IFERROR(VLOOKUP($B360,'Institution Evaluation'!$A$55:$F$345,6,0),IFERROR(VLOOKUP($B360,'Privacy Analyst Evaluation'!$A$46:$F$120,6,0),""))&amp;""</f>
        <v/>
      </c>
      <c r="G360" s="200"/>
      <c r="H360" s="199" t="str">
        <f>IFERROR(IF($H359+1&gt;'(backend scoring)'!$Q$335,"",$H359+1),"")</f>
        <v/>
      </c>
      <c r="I360" s="199" t="str">
        <f>_xlfn.XLOOKUP($H360,'(backend scoring)'!$S$2:$S$333,'(backend scoring)'!$A$2:$A$333,"")</f>
        <v/>
      </c>
      <c r="J360" s="199" t="str">
        <f>IFERROR(VLOOKUP($I360,'Institution Evaluation'!$A$55:$F$345,2,0),IFERROR(VLOOKUP($I360,'Privacy Analyst Evaluation'!$A$46:$F$120,2,0),""))</f>
        <v/>
      </c>
      <c r="K360" s="199" t="str">
        <f>IFERROR(VLOOKUP($I360,'Institution Evaluation'!$A$55:$F$345,3,0),IFERROR(VLOOKUP($I360,'Privacy Analyst Evaluation'!$A$46:$F$120,3,0),""))&amp;""</f>
        <v/>
      </c>
      <c r="L360" s="199" t="str">
        <f>IFERROR(VLOOKUP($I360,'Institution Evaluation'!$A$55:$F$345,4,0),IFERROR(VLOOKUP($I360,'Privacy Analyst Evaluation'!$A$46:$F$120,4,0),""))&amp;""</f>
        <v/>
      </c>
      <c r="M360" s="199" t="str">
        <f>IFERROR(VLOOKUP($I360,'Institution Evaluation'!$A$55:$F$345,6,0),IFERROR(VLOOKUP($I360,'Privacy Analyst Evaluation'!$A$46:$F$120,6,0),""))&amp;""</f>
        <v/>
      </c>
    </row>
    <row r="361" spans="1:338" ht="17" x14ac:dyDescent="0.2">
      <c r="A361" s="199" t="str">
        <f>IFERROR(IF($A360+1&gt;'(backend scoring)'!$T$335,"",$A360+1),"")</f>
        <v/>
      </c>
      <c r="B361" s="199" t="str">
        <f>_xlfn.XLOOKUP($A361,'(backend scoring)'!$V$2:$V$333,'(backend scoring)'!$A$2:$A$333,"")</f>
        <v/>
      </c>
      <c r="C361" s="199" t="str">
        <f>IFERROR(VLOOKUP($B361,'Institution Evaluation'!$A$55:$F$345,2,0),IFERROR(VLOOKUP($B361,'Privacy Analyst Evaluation'!$A$46:$F$120,2,0),""))&amp;""</f>
        <v/>
      </c>
      <c r="D361" s="199" t="str">
        <f>IFERROR(VLOOKUP($B361,'Institution Evaluation'!$A$55:$F$345,3,0),IFERROR(VLOOKUP($B361,'Privacy Analyst Evaluation'!$A$46:$F$120,3,0),""))&amp;""</f>
        <v/>
      </c>
      <c r="E361" s="199" t="str">
        <f>IFERROR(VLOOKUP($B361,'Institution Evaluation'!$A$55:$F$345,4,0),IFERROR(VLOOKUP($B361,'Privacy Analyst Evaluation'!$A$46:$F$120,4,0),""))&amp;""</f>
        <v/>
      </c>
      <c r="F361" s="199" t="str">
        <f>IFERROR(VLOOKUP($B361,'Institution Evaluation'!$A$55:$F$345,6,0),IFERROR(VLOOKUP($B361,'Privacy Analyst Evaluation'!$A$46:$F$120,6,0),""))&amp;""</f>
        <v/>
      </c>
      <c r="G361" s="200"/>
      <c r="H361" s="199" t="str">
        <f>IFERROR(IF($H360+1&gt;'(backend scoring)'!$Q$335,"",$H360+1),"")</f>
        <v/>
      </c>
      <c r="I361" s="199" t="str">
        <f>_xlfn.XLOOKUP($H361,'(backend scoring)'!$S$2:$S$333,'(backend scoring)'!$A$2:$A$333,"")</f>
        <v/>
      </c>
      <c r="J361" s="199" t="str">
        <f>IFERROR(VLOOKUP($I361,'Institution Evaluation'!$A$55:$F$345,2,0),IFERROR(VLOOKUP($I361,'Privacy Analyst Evaluation'!$A$46:$F$120,2,0),""))</f>
        <v/>
      </c>
      <c r="K361" s="199" t="str">
        <f>IFERROR(VLOOKUP($I361,'Institution Evaluation'!$A$55:$F$345,3,0),IFERROR(VLOOKUP($I361,'Privacy Analyst Evaluation'!$A$46:$F$120,3,0),""))&amp;""</f>
        <v/>
      </c>
      <c r="L361" s="199" t="str">
        <f>IFERROR(VLOOKUP($I361,'Institution Evaluation'!$A$55:$F$345,4,0),IFERROR(VLOOKUP($I361,'Privacy Analyst Evaluation'!$A$46:$F$120,4,0),""))&amp;""</f>
        <v/>
      </c>
      <c r="M361" s="199" t="str">
        <f>IFERROR(VLOOKUP($I361,'Institution Evaluation'!$A$55:$F$345,6,0),IFERROR(VLOOKUP($I361,'Privacy Analyst Evaluation'!$A$46:$F$120,6,0),""))&amp;""</f>
        <v/>
      </c>
    </row>
    <row r="362" spans="1:338" ht="17" x14ac:dyDescent="0.2">
      <c r="A362" s="199" t="str">
        <f>IFERROR(IF($A361+1&gt;'(backend scoring)'!$T$335,"",$A361+1),"")</f>
        <v/>
      </c>
      <c r="B362" s="199" t="str">
        <f>_xlfn.XLOOKUP($A362,'(backend scoring)'!$V$2:$V$333,'(backend scoring)'!$A$2:$A$333,"")</f>
        <v/>
      </c>
      <c r="C362" s="199" t="str">
        <f>IFERROR(VLOOKUP($B362,'Institution Evaluation'!$A$55:$F$345,2,0),IFERROR(VLOOKUP($B362,'Privacy Analyst Evaluation'!$A$46:$F$120,2,0),""))&amp;""</f>
        <v/>
      </c>
      <c r="D362" s="199" t="str">
        <f>IFERROR(VLOOKUP($B362,'Institution Evaluation'!$A$55:$F$345,3,0),IFERROR(VLOOKUP($B362,'Privacy Analyst Evaluation'!$A$46:$F$120,3,0),""))&amp;""</f>
        <v/>
      </c>
      <c r="E362" s="199" t="str">
        <f>IFERROR(VLOOKUP($B362,'Institution Evaluation'!$A$55:$F$345,4,0),IFERROR(VLOOKUP($B362,'Privacy Analyst Evaluation'!$A$46:$F$120,4,0),""))&amp;""</f>
        <v/>
      </c>
      <c r="F362" s="199" t="str">
        <f>IFERROR(VLOOKUP($B362,'Institution Evaluation'!$A$55:$F$345,6,0),IFERROR(VLOOKUP($B362,'Privacy Analyst Evaluation'!$A$46:$F$120,6,0),""))&amp;""</f>
        <v/>
      </c>
      <c r="G362" s="200"/>
      <c r="H362" s="199" t="str">
        <f>IFERROR(IF($H361+1&gt;'(backend scoring)'!$Q$335,"",$H361+1),"")</f>
        <v/>
      </c>
      <c r="I362" s="199" t="str">
        <f>_xlfn.XLOOKUP($H362,'(backend scoring)'!$S$2:$S$333,'(backend scoring)'!$A$2:$A$333,"")</f>
        <v/>
      </c>
      <c r="J362" s="199" t="str">
        <f>IFERROR(VLOOKUP($I362,'Institution Evaluation'!$A$55:$F$345,2,0),IFERROR(VLOOKUP($I362,'Privacy Analyst Evaluation'!$A$46:$F$120,2,0),""))</f>
        <v/>
      </c>
      <c r="K362" s="199" t="str">
        <f>IFERROR(VLOOKUP($I362,'Institution Evaluation'!$A$55:$F$345,3,0),IFERROR(VLOOKUP($I362,'Privacy Analyst Evaluation'!$A$46:$F$120,3,0),""))&amp;""</f>
        <v/>
      </c>
      <c r="L362" s="199" t="str">
        <f>IFERROR(VLOOKUP($I362,'Institution Evaluation'!$A$55:$F$345,4,0),IFERROR(VLOOKUP($I362,'Privacy Analyst Evaluation'!$A$46:$F$120,4,0),""))&amp;""</f>
        <v/>
      </c>
      <c r="M362" s="199" t="str">
        <f>IFERROR(VLOOKUP($I362,'Institution Evaluation'!$A$55:$F$345,6,0),IFERROR(VLOOKUP($I362,'Privacy Analyst Evaluation'!$A$46:$F$120,6,0),""))&amp;""</f>
        <v/>
      </c>
    </row>
    <row r="363" spans="1:338" ht="17" x14ac:dyDescent="0.2">
      <c r="A363" s="199" t="str">
        <f>IFERROR(IF($A362+1&gt;'(backend scoring)'!$T$335,"",$A362+1),"")</f>
        <v/>
      </c>
      <c r="B363" s="199" t="str">
        <f>_xlfn.XLOOKUP($A363,'(backend scoring)'!$V$2:$V$333,'(backend scoring)'!$A$2:$A$333,"")</f>
        <v/>
      </c>
      <c r="C363" s="199" t="str">
        <f>IFERROR(VLOOKUP($B363,'Institution Evaluation'!$A$55:$F$345,2,0),IFERROR(VLOOKUP($B363,'Privacy Analyst Evaluation'!$A$46:$F$120,2,0),""))&amp;""</f>
        <v/>
      </c>
      <c r="D363" s="199" t="str">
        <f>IFERROR(VLOOKUP($B363,'Institution Evaluation'!$A$55:$F$345,3,0),IFERROR(VLOOKUP($B363,'Privacy Analyst Evaluation'!$A$46:$F$120,3,0),""))&amp;""</f>
        <v/>
      </c>
      <c r="E363" s="199" t="str">
        <f>IFERROR(VLOOKUP($B363,'Institution Evaluation'!$A$55:$F$345,4,0),IFERROR(VLOOKUP($B363,'Privacy Analyst Evaluation'!$A$46:$F$120,4,0),""))&amp;""</f>
        <v/>
      </c>
      <c r="F363" s="199" t="str">
        <f>IFERROR(VLOOKUP($B363,'Institution Evaluation'!$A$55:$F$345,6,0),IFERROR(VLOOKUP($B363,'Privacy Analyst Evaluation'!$A$46:$F$120,6,0),""))&amp;""</f>
        <v/>
      </c>
      <c r="G363" s="200"/>
      <c r="H363" s="199" t="str">
        <f>IFERROR(IF($H362+1&gt;'(backend scoring)'!$Q$335,"",$H362+1),"")</f>
        <v/>
      </c>
      <c r="I363" s="199" t="str">
        <f>_xlfn.XLOOKUP($H363,'(backend scoring)'!$S$2:$S$333,'(backend scoring)'!$A$2:$A$333,"")</f>
        <v/>
      </c>
      <c r="J363" s="199" t="str">
        <f>IFERROR(VLOOKUP($I363,'Institution Evaluation'!$A$55:$F$345,2,0),IFERROR(VLOOKUP($I363,'Privacy Analyst Evaluation'!$A$46:$F$120,2,0),""))</f>
        <v/>
      </c>
      <c r="K363" s="199" t="str">
        <f>IFERROR(VLOOKUP($I363,'Institution Evaluation'!$A$55:$F$345,3,0),IFERROR(VLOOKUP($I363,'Privacy Analyst Evaluation'!$A$46:$F$120,3,0),""))&amp;""</f>
        <v/>
      </c>
      <c r="L363" s="199" t="str">
        <f>IFERROR(VLOOKUP($I363,'Institution Evaluation'!$A$55:$F$345,4,0),IFERROR(VLOOKUP($I363,'Privacy Analyst Evaluation'!$A$46:$F$120,4,0),""))&amp;""</f>
        <v/>
      </c>
      <c r="M363" s="199" t="str">
        <f>IFERROR(VLOOKUP($I363,'Institution Evaluation'!$A$55:$F$345,6,0),IFERROR(VLOOKUP($I363,'Privacy Analyst Evaluation'!$A$46:$F$120,6,0),""))&amp;""</f>
        <v/>
      </c>
    </row>
    <row r="364" spans="1:338" ht="17" x14ac:dyDescent="0.2">
      <c r="A364" s="199" t="str">
        <f>IFERROR(IF($A363+1&gt;'(backend scoring)'!$T$335,"",$A363+1),"")</f>
        <v/>
      </c>
      <c r="B364" s="199" t="str">
        <f>_xlfn.XLOOKUP($A364,'(backend scoring)'!$V$2:$V$333,'(backend scoring)'!$A$2:$A$333,"")</f>
        <v/>
      </c>
      <c r="C364" s="199" t="str">
        <f>IFERROR(VLOOKUP($B364,'Institution Evaluation'!$A$55:$F$345,2,0),IFERROR(VLOOKUP($B364,'Privacy Analyst Evaluation'!$A$46:$F$120,2,0),""))&amp;""</f>
        <v/>
      </c>
      <c r="D364" s="199" t="str">
        <f>IFERROR(VLOOKUP($B364,'Institution Evaluation'!$A$55:$F$345,3,0),IFERROR(VLOOKUP($B364,'Privacy Analyst Evaluation'!$A$46:$F$120,3,0),""))&amp;""</f>
        <v/>
      </c>
      <c r="E364" s="199" t="str">
        <f>IFERROR(VLOOKUP($B364,'Institution Evaluation'!$A$55:$F$345,4,0),IFERROR(VLOOKUP($B364,'Privacy Analyst Evaluation'!$A$46:$F$120,4,0),""))&amp;""</f>
        <v/>
      </c>
      <c r="F364" s="199" t="str">
        <f>IFERROR(VLOOKUP($B364,'Institution Evaluation'!$A$55:$F$345,6,0),IFERROR(VLOOKUP($B364,'Privacy Analyst Evaluation'!$A$46:$F$120,6,0),""))&amp;""</f>
        <v/>
      </c>
      <c r="G364" s="200"/>
      <c r="H364" s="199" t="str">
        <f>IFERROR(IF($H363+1&gt;'(backend scoring)'!$Q$335,"",$H363+1),"")</f>
        <v/>
      </c>
      <c r="I364" s="199" t="str">
        <f>_xlfn.XLOOKUP($H364,'(backend scoring)'!$S$2:$S$333,'(backend scoring)'!$A$2:$A$333,"")</f>
        <v/>
      </c>
      <c r="J364" s="199" t="str">
        <f>IFERROR(VLOOKUP($I364,'Institution Evaluation'!$A$55:$F$345,2,0),IFERROR(VLOOKUP($I364,'Privacy Analyst Evaluation'!$A$46:$F$120,2,0),""))</f>
        <v/>
      </c>
      <c r="K364" s="199" t="str">
        <f>IFERROR(VLOOKUP($I364,'Institution Evaluation'!$A$55:$F$345,3,0),IFERROR(VLOOKUP($I364,'Privacy Analyst Evaluation'!$A$46:$F$120,3,0),""))&amp;""</f>
        <v/>
      </c>
      <c r="L364" s="199" t="str">
        <f>IFERROR(VLOOKUP($I364,'Institution Evaluation'!$A$55:$F$345,4,0),IFERROR(VLOOKUP($I364,'Privacy Analyst Evaluation'!$A$46:$F$120,4,0),""))&amp;""</f>
        <v/>
      </c>
      <c r="M364" s="199" t="str">
        <f>IFERROR(VLOOKUP($I364,'Institution Evaluation'!$A$55:$F$345,6,0),IFERROR(VLOOKUP($I364,'Privacy Analyst Evaluation'!$A$46:$F$120,6,0),""))&amp;""</f>
        <v/>
      </c>
    </row>
    <row r="365" spans="1:338" ht="17" x14ac:dyDescent="0.2">
      <c r="A365" s="199" t="str">
        <f>IFERROR(IF($A364+1&gt;'(backend scoring)'!$T$335,"",$A364+1),"")</f>
        <v/>
      </c>
      <c r="B365" s="199" t="str">
        <f>_xlfn.XLOOKUP($A365,'(backend scoring)'!$V$2:$V$333,'(backend scoring)'!$A$2:$A$333,"")</f>
        <v/>
      </c>
      <c r="C365" s="199" t="str">
        <f>IFERROR(VLOOKUP($B365,'Institution Evaluation'!$A$55:$F$345,2,0),IFERROR(VLOOKUP($B365,'Privacy Analyst Evaluation'!$A$46:$F$120,2,0),""))&amp;""</f>
        <v/>
      </c>
      <c r="D365" s="199" t="str">
        <f>IFERROR(VLOOKUP($B365,'Institution Evaluation'!$A$55:$F$345,3,0),IFERROR(VLOOKUP($B365,'Privacy Analyst Evaluation'!$A$46:$F$120,3,0),""))&amp;""</f>
        <v/>
      </c>
      <c r="E365" s="199" t="str">
        <f>IFERROR(VLOOKUP($B365,'Institution Evaluation'!$A$55:$F$345,4,0),IFERROR(VLOOKUP($B365,'Privacy Analyst Evaluation'!$A$46:$F$120,4,0),""))&amp;""</f>
        <v/>
      </c>
      <c r="F365" s="199" t="str">
        <f>IFERROR(VLOOKUP($B365,'Institution Evaluation'!$A$55:$F$345,6,0),IFERROR(VLOOKUP($B365,'Privacy Analyst Evaluation'!$A$46:$F$120,6,0),""))&amp;""</f>
        <v/>
      </c>
      <c r="G365" s="200"/>
      <c r="H365" s="199" t="str">
        <f>IFERROR(IF($H364+1&gt;'(backend scoring)'!$Q$335,"",$H364+1),"")</f>
        <v/>
      </c>
      <c r="I365" s="199" t="str">
        <f>_xlfn.XLOOKUP($H365,'(backend scoring)'!$S$2:$S$333,'(backend scoring)'!$A$2:$A$333,"")</f>
        <v/>
      </c>
      <c r="J365" s="199" t="str">
        <f>IFERROR(VLOOKUP($I365,'Institution Evaluation'!$A$55:$F$345,2,0),IFERROR(VLOOKUP($I365,'Privacy Analyst Evaluation'!$A$46:$F$120,2,0),""))</f>
        <v/>
      </c>
      <c r="K365" s="199" t="str">
        <f>IFERROR(VLOOKUP($I365,'Institution Evaluation'!$A$55:$F$345,3,0),IFERROR(VLOOKUP($I365,'Privacy Analyst Evaluation'!$A$46:$F$120,3,0),""))&amp;""</f>
        <v/>
      </c>
      <c r="L365" s="199" t="str">
        <f>IFERROR(VLOOKUP($I365,'Institution Evaluation'!$A$55:$F$345,4,0),IFERROR(VLOOKUP($I365,'Privacy Analyst Evaluation'!$A$46:$F$120,4,0),""))&amp;""</f>
        <v/>
      </c>
      <c r="M365" s="199" t="str">
        <f>IFERROR(VLOOKUP($I365,'Institution Evaluation'!$A$55:$F$345,6,0),IFERROR(VLOOKUP($I365,'Privacy Analyst Evaluation'!$A$46:$F$120,6,0),""))&amp;""</f>
        <v/>
      </c>
    </row>
    <row r="366" spans="1:338" ht="17" x14ac:dyDescent="0.2">
      <c r="A366" s="199" t="str">
        <f>IFERROR(IF($A365+1&gt;'(backend scoring)'!$T$335,"",$A365+1),"")</f>
        <v/>
      </c>
      <c r="B366" s="199" t="str">
        <f>_xlfn.XLOOKUP($A366,'(backend scoring)'!$V$2:$V$333,'(backend scoring)'!$A$2:$A$333,"")</f>
        <v/>
      </c>
      <c r="C366" s="199" t="str">
        <f>IFERROR(VLOOKUP($B366,'Institution Evaluation'!$A$55:$F$345,2,0),IFERROR(VLOOKUP($B366,'Privacy Analyst Evaluation'!$A$46:$F$120,2,0),""))&amp;""</f>
        <v/>
      </c>
      <c r="D366" s="199" t="str">
        <f>IFERROR(VLOOKUP($B366,'Institution Evaluation'!$A$55:$F$345,3,0),IFERROR(VLOOKUP($B366,'Privacy Analyst Evaluation'!$A$46:$F$120,3,0),""))&amp;""</f>
        <v/>
      </c>
      <c r="E366" s="199" t="str">
        <f>IFERROR(VLOOKUP($B366,'Institution Evaluation'!$A$55:$F$345,4,0),IFERROR(VLOOKUP($B366,'Privacy Analyst Evaluation'!$A$46:$F$120,4,0),""))&amp;""</f>
        <v/>
      </c>
      <c r="F366" s="199" t="str">
        <f>IFERROR(VLOOKUP($B366,'Institution Evaluation'!$A$55:$F$345,6,0),IFERROR(VLOOKUP($B366,'Privacy Analyst Evaluation'!$A$46:$F$120,6,0),""))&amp;""</f>
        <v/>
      </c>
      <c r="G366" s="200"/>
      <c r="H366" s="199" t="str">
        <f>IFERROR(IF($H365+1&gt;'(backend scoring)'!$Q$335,"",$H365+1),"")</f>
        <v/>
      </c>
      <c r="I366" s="199" t="str">
        <f>_xlfn.XLOOKUP($H366,'(backend scoring)'!$S$2:$S$333,'(backend scoring)'!$A$2:$A$333,"")</f>
        <v/>
      </c>
      <c r="J366" s="199" t="str">
        <f>IFERROR(VLOOKUP($I366,'Institution Evaluation'!$A$55:$F$345,2,0),IFERROR(VLOOKUP($I366,'Privacy Analyst Evaluation'!$A$46:$F$120,2,0),""))</f>
        <v/>
      </c>
      <c r="K366" s="199" t="str">
        <f>IFERROR(VLOOKUP($I366,'Institution Evaluation'!$A$55:$F$345,3,0),IFERROR(VLOOKUP($I366,'Privacy Analyst Evaluation'!$A$46:$F$120,3,0),""))&amp;""</f>
        <v/>
      </c>
      <c r="L366" s="199" t="str">
        <f>IFERROR(VLOOKUP($I366,'Institution Evaluation'!$A$55:$F$345,4,0),IFERROR(VLOOKUP($I366,'Privacy Analyst Evaluation'!$A$46:$F$120,4,0),""))&amp;""</f>
        <v/>
      </c>
      <c r="M366" s="199" t="str">
        <f>IFERROR(VLOOKUP($I366,'Institution Evaluation'!$A$55:$F$345,6,0),IFERROR(VLOOKUP($I366,'Privacy Analyst Evaluation'!$A$46:$F$120,6,0),""))&amp;""</f>
        <v/>
      </c>
    </row>
    <row r="367" spans="1:338" ht="17" x14ac:dyDescent="0.2">
      <c r="A367" s="199" t="str">
        <f>IFERROR(IF($A366+1&gt;'(backend scoring)'!$T$335,"",$A366+1),"")</f>
        <v/>
      </c>
      <c r="B367" s="199" t="str">
        <f>_xlfn.XLOOKUP($A367,'(backend scoring)'!$V$2:$V$333,'(backend scoring)'!$A$2:$A$333,"")</f>
        <v/>
      </c>
      <c r="C367" s="199" t="str">
        <f>IFERROR(VLOOKUP($B367,'Institution Evaluation'!$A$55:$F$345,2,0),IFERROR(VLOOKUP($B367,'Privacy Analyst Evaluation'!$A$46:$F$120,2,0),""))&amp;""</f>
        <v/>
      </c>
      <c r="D367" s="199" t="str">
        <f>IFERROR(VLOOKUP($B367,'Institution Evaluation'!$A$55:$F$345,3,0),IFERROR(VLOOKUP($B367,'Privacy Analyst Evaluation'!$A$46:$F$120,3,0),""))&amp;""</f>
        <v/>
      </c>
      <c r="E367" s="199" t="str">
        <f>IFERROR(VLOOKUP($B367,'Institution Evaluation'!$A$55:$F$345,4,0),IFERROR(VLOOKUP($B367,'Privacy Analyst Evaluation'!$A$46:$F$120,4,0),""))&amp;""</f>
        <v/>
      </c>
      <c r="F367" s="199" t="str">
        <f>IFERROR(VLOOKUP($B367,'Institution Evaluation'!$A$55:$F$345,6,0),IFERROR(VLOOKUP($B367,'Privacy Analyst Evaluation'!$A$46:$F$120,6,0),""))&amp;""</f>
        <v/>
      </c>
      <c r="G367" s="200"/>
      <c r="H367" s="199" t="str">
        <f>IFERROR(IF($H366+1&gt;'(backend scoring)'!$Q$335,"",$H366+1),"")</f>
        <v/>
      </c>
      <c r="I367" s="199" t="str">
        <f>_xlfn.XLOOKUP($H367,'(backend scoring)'!$S$2:$S$333,'(backend scoring)'!$A$2:$A$333,"")</f>
        <v/>
      </c>
      <c r="J367" s="199" t="str">
        <f>IFERROR(VLOOKUP($I367,'Institution Evaluation'!$A$55:$F$345,2,0),IFERROR(VLOOKUP($I367,'Privacy Analyst Evaluation'!$A$46:$F$120,2,0),""))</f>
        <v/>
      </c>
      <c r="K367" s="199" t="str">
        <f>IFERROR(VLOOKUP($I367,'Institution Evaluation'!$A$55:$F$345,3,0),IFERROR(VLOOKUP($I367,'Privacy Analyst Evaluation'!$A$46:$F$120,3,0),""))&amp;""</f>
        <v/>
      </c>
      <c r="L367" s="199" t="str">
        <f>IFERROR(VLOOKUP($I367,'Institution Evaluation'!$A$55:$F$345,4,0),IFERROR(VLOOKUP($I367,'Privacy Analyst Evaluation'!$A$46:$F$120,4,0),""))&amp;""</f>
        <v/>
      </c>
      <c r="M367" s="199" t="str">
        <f>IFERROR(VLOOKUP($I367,'Institution Evaluation'!$A$55:$F$345,6,0),IFERROR(VLOOKUP($I367,'Privacy Analyst Evaluation'!$A$46:$F$120,6,0),""))&amp;""</f>
        <v/>
      </c>
    </row>
    <row r="368" spans="1:338" ht="17" x14ac:dyDescent="0.15">
      <c r="A368" s="199" t="str">
        <f>IFERROR(IF($A367+1&gt;'(backend scoring)'!$T$335,"",$A367+1),"")</f>
        <v/>
      </c>
      <c r="B368" s="199" t="str">
        <f>_xlfn.XLOOKUP($A368,'(backend scoring)'!$V$2:$V$333,'(backend scoring)'!$A$2:$A$333,"")</f>
        <v/>
      </c>
      <c r="C368" s="199" t="str">
        <f>IFERROR(VLOOKUP($B368,'Institution Evaluation'!$A$55:$F$345,2,0),IFERROR(VLOOKUP($B368,'Privacy Analyst Evaluation'!$A$46:$F$120,2,0),""))&amp;""</f>
        <v/>
      </c>
      <c r="D368" s="199" t="str">
        <f>IFERROR(VLOOKUP($B368,'Institution Evaluation'!$A$55:$F$345,3,0),IFERROR(VLOOKUP($B368,'Privacy Analyst Evaluation'!$A$46:$F$120,3,0),""))&amp;""</f>
        <v/>
      </c>
      <c r="E368" s="199" t="str">
        <f>IFERROR(VLOOKUP($B368,'Institution Evaluation'!$A$55:$F$345,4,0),IFERROR(VLOOKUP($B368,'Privacy Analyst Evaluation'!$A$46:$F$120,4,0),""))&amp;""</f>
        <v/>
      </c>
      <c r="F368" s="199" t="str">
        <f>IFERROR(VLOOKUP($B368,'Institution Evaluation'!$A$55:$F$345,6,0),IFERROR(VLOOKUP($B368,'Privacy Analyst Evaluation'!$A$46:$F$120,6,0),""))&amp;""</f>
        <v/>
      </c>
      <c r="G368" s="200"/>
      <c r="H368" s="199" t="str">
        <f>IFERROR(IF($H367+1&gt;'(backend scoring)'!$Q$335,"",$H367+1),"")</f>
        <v/>
      </c>
      <c r="I368" s="199" t="str">
        <f>_xlfn.XLOOKUP($H368,'(backend scoring)'!$S$2:$S$333,'(backend scoring)'!$A$2:$A$333,"")</f>
        <v/>
      </c>
      <c r="J368" s="199" t="str">
        <f>IFERROR(VLOOKUP($I368,'Institution Evaluation'!$A$55:$F$345,2,0),IFERROR(VLOOKUP($I368,'Privacy Analyst Evaluation'!$A$46:$F$120,2,0),""))</f>
        <v/>
      </c>
      <c r="K368" s="199" t="str">
        <f>IFERROR(VLOOKUP($I368,'Institution Evaluation'!$A$55:$F$345,3,0),IFERROR(VLOOKUP($I368,'Privacy Analyst Evaluation'!$A$46:$F$120,3,0),""))&amp;""</f>
        <v/>
      </c>
      <c r="L368" s="199" t="str">
        <f>IFERROR(VLOOKUP($I368,'Institution Evaluation'!$A$55:$F$345,4,0),IFERROR(VLOOKUP($I368,'Privacy Analyst Evaluation'!$A$46:$F$120,4,0),""))&amp;""</f>
        <v/>
      </c>
      <c r="M368" s="199" t="str">
        <f>IFERROR(VLOOKUP($I368,'Institution Evaluation'!$A$55:$F$345,6,0),IFERROR(VLOOKUP($I368,'Privacy Analyst Evaluation'!$A$46:$F$120,6,0),""))&amp;""</f>
        <v/>
      </c>
      <c r="N368" s="228" t="s">
        <v>361</v>
      </c>
    </row>
    <row r="369" spans="1:2" x14ac:dyDescent="0.2">
      <c r="A369" s="229" t="s">
        <v>544</v>
      </c>
      <c r="B369" s="229" t="s">
        <v>544</v>
      </c>
    </row>
    <row r="370" spans="1:2" hidden="1" x14ac:dyDescent="0.2">
      <c r="A370"/>
      <c r="B370"/>
    </row>
    <row r="371" spans="1:2" hidden="1" x14ac:dyDescent="0.2">
      <c r="A371"/>
      <c r="B371"/>
    </row>
    <row r="372" spans="1:2" hidden="1" x14ac:dyDescent="0.2">
      <c r="A372"/>
      <c r="B372"/>
    </row>
    <row r="373" spans="1:2" hidden="1" x14ac:dyDescent="0.2">
      <c r="A373"/>
      <c r="B373"/>
    </row>
    <row r="374" spans="1:2" hidden="1" x14ac:dyDescent="0.2">
      <c r="A374"/>
      <c r="B374"/>
    </row>
    <row r="375" spans="1:2" hidden="1" x14ac:dyDescent="0.2">
      <c r="A375"/>
      <c r="B375"/>
    </row>
    <row r="376" spans="1:2" hidden="1" x14ac:dyDescent="0.2">
      <c r="A376"/>
      <c r="B376"/>
    </row>
    <row r="377" spans="1:2" hidden="1" x14ac:dyDescent="0.2">
      <c r="A377"/>
      <c r="B377"/>
    </row>
    <row r="378" spans="1:2" hidden="1" x14ac:dyDescent="0.2">
      <c r="A378"/>
      <c r="B378"/>
    </row>
    <row r="379" spans="1:2" hidden="1" x14ac:dyDescent="0.2">
      <c r="A379"/>
      <c r="B379"/>
    </row>
    <row r="380" spans="1:2" hidden="1" x14ac:dyDescent="0.2">
      <c r="A380"/>
      <c r="B380"/>
    </row>
    <row r="381" spans="1:2" hidden="1" x14ac:dyDescent="0.2">
      <c r="A381"/>
      <c r="B381"/>
    </row>
    <row r="382" spans="1:2" hidden="1" x14ac:dyDescent="0.2">
      <c r="A382"/>
      <c r="B382"/>
    </row>
    <row r="383" spans="1:2" hidden="1" x14ac:dyDescent="0.2">
      <c r="A383"/>
      <c r="B383"/>
    </row>
    <row r="384" spans="1:2" hidden="1" x14ac:dyDescent="0.2">
      <c r="A384"/>
      <c r="B384"/>
    </row>
    <row r="385" spans="1:2" hidden="1" x14ac:dyDescent="0.2">
      <c r="A385"/>
      <c r="B385"/>
    </row>
    <row r="386" spans="1:2" hidden="1" x14ac:dyDescent="0.2">
      <c r="A386"/>
      <c r="B386"/>
    </row>
    <row r="387" spans="1:2" hidden="1" x14ac:dyDescent="0.2">
      <c r="A387"/>
      <c r="B387"/>
    </row>
    <row r="388" spans="1:2" hidden="1" x14ac:dyDescent="0.2">
      <c r="A388"/>
      <c r="B388"/>
    </row>
    <row r="389" spans="1:2" hidden="1" x14ac:dyDescent="0.2">
      <c r="A389"/>
      <c r="B389"/>
    </row>
    <row r="390" spans="1:2" hidden="1" x14ac:dyDescent="0.2">
      <c r="A390"/>
      <c r="B390"/>
    </row>
    <row r="391" spans="1:2" hidden="1" x14ac:dyDescent="0.2">
      <c r="A391"/>
      <c r="B391"/>
    </row>
    <row r="392" spans="1:2" hidden="1" x14ac:dyDescent="0.2">
      <c r="A392"/>
      <c r="B392"/>
    </row>
    <row r="393" spans="1:2" hidden="1" x14ac:dyDescent="0.2">
      <c r="A393"/>
      <c r="B393"/>
    </row>
    <row r="394" spans="1:2" hidden="1" x14ac:dyDescent="0.2">
      <c r="A394"/>
      <c r="B394"/>
    </row>
    <row r="395" spans="1:2" hidden="1" x14ac:dyDescent="0.2">
      <c r="A395"/>
      <c r="B395"/>
    </row>
    <row r="396" spans="1:2" hidden="1" x14ac:dyDescent="0.2">
      <c r="A396"/>
      <c r="B396"/>
    </row>
    <row r="397" spans="1:2" hidden="1" x14ac:dyDescent="0.2">
      <c r="A397"/>
      <c r="B397"/>
    </row>
    <row r="398" spans="1:2" hidden="1" x14ac:dyDescent="0.2">
      <c r="A398"/>
      <c r="B398"/>
    </row>
    <row r="399" spans="1:2" hidden="1" x14ac:dyDescent="0.2">
      <c r="A399"/>
      <c r="B399"/>
    </row>
    <row r="400" spans="1:2" hidden="1" x14ac:dyDescent="0.2">
      <c r="A400"/>
      <c r="B400"/>
    </row>
    <row r="401" spans="1:2" hidden="1" x14ac:dyDescent="0.2">
      <c r="A401"/>
      <c r="B401"/>
    </row>
    <row r="402" spans="1:2" hidden="1" x14ac:dyDescent="0.2">
      <c r="A402"/>
      <c r="B402"/>
    </row>
    <row r="403" spans="1:2" hidden="1" x14ac:dyDescent="0.2">
      <c r="A403"/>
      <c r="B403"/>
    </row>
    <row r="404" spans="1:2" hidden="1" x14ac:dyDescent="0.2">
      <c r="A404"/>
      <c r="B404"/>
    </row>
    <row r="405" spans="1:2" hidden="1" x14ac:dyDescent="0.2">
      <c r="A405"/>
      <c r="B405"/>
    </row>
    <row r="406" spans="1:2" hidden="1" x14ac:dyDescent="0.2">
      <c r="A406"/>
      <c r="B406"/>
    </row>
    <row r="407" spans="1:2" hidden="1" x14ac:dyDescent="0.2">
      <c r="A407"/>
      <c r="B407"/>
    </row>
    <row r="408" spans="1:2" hidden="1" x14ac:dyDescent="0.2">
      <c r="A408"/>
      <c r="B408"/>
    </row>
    <row r="409" spans="1:2" hidden="1" x14ac:dyDescent="0.2">
      <c r="A409"/>
      <c r="B409"/>
    </row>
    <row r="410" spans="1:2" hidden="1" x14ac:dyDescent="0.2">
      <c r="A410"/>
      <c r="B410"/>
    </row>
    <row r="411" spans="1:2" hidden="1" x14ac:dyDescent="0.2">
      <c r="A411"/>
      <c r="B411"/>
    </row>
    <row r="412" spans="1:2" hidden="1" x14ac:dyDescent="0.2">
      <c r="A412"/>
      <c r="B412"/>
    </row>
    <row r="413" spans="1:2" hidden="1" x14ac:dyDescent="0.2">
      <c r="A413"/>
      <c r="B413"/>
    </row>
    <row r="414" spans="1:2" hidden="1" x14ac:dyDescent="0.2">
      <c r="A414"/>
      <c r="B414"/>
    </row>
    <row r="415" spans="1:2" hidden="1" x14ac:dyDescent="0.2">
      <c r="A415"/>
      <c r="B415"/>
    </row>
    <row r="416" spans="1:2" hidden="1" x14ac:dyDescent="0.2">
      <c r="A416"/>
      <c r="B416"/>
    </row>
    <row r="417" spans="1:2" hidden="1" x14ac:dyDescent="0.2">
      <c r="A417"/>
      <c r="B417"/>
    </row>
    <row r="418" spans="1:2" hidden="1" x14ac:dyDescent="0.2">
      <c r="A418"/>
      <c r="B418"/>
    </row>
    <row r="419" spans="1:2" hidden="1" x14ac:dyDescent="0.2">
      <c r="A419"/>
      <c r="B419"/>
    </row>
    <row r="420" spans="1:2" hidden="1" x14ac:dyDescent="0.2">
      <c r="A420"/>
      <c r="B420"/>
    </row>
    <row r="421" spans="1:2" hidden="1" x14ac:dyDescent="0.2">
      <c r="A421"/>
      <c r="B421"/>
    </row>
    <row r="422" spans="1:2" hidden="1" x14ac:dyDescent="0.2">
      <c r="A422"/>
      <c r="B422"/>
    </row>
    <row r="423" spans="1:2" hidden="1" x14ac:dyDescent="0.2">
      <c r="A423"/>
      <c r="B423"/>
    </row>
    <row r="424" spans="1:2" hidden="1" x14ac:dyDescent="0.2">
      <c r="A424"/>
      <c r="B424"/>
    </row>
    <row r="425" spans="1:2" hidden="1" x14ac:dyDescent="0.2">
      <c r="A425"/>
      <c r="B425"/>
    </row>
    <row r="426" spans="1:2" hidden="1" x14ac:dyDescent="0.2">
      <c r="A426"/>
      <c r="B426"/>
    </row>
    <row r="427" spans="1:2" hidden="1" x14ac:dyDescent="0.2">
      <c r="A427"/>
      <c r="B427"/>
    </row>
    <row r="428" spans="1:2" hidden="1" x14ac:dyDescent="0.2">
      <c r="A428"/>
      <c r="B428"/>
    </row>
    <row r="429" spans="1:2" hidden="1" x14ac:dyDescent="0.2">
      <c r="A429"/>
      <c r="B429"/>
    </row>
    <row r="430" spans="1:2" hidden="1" x14ac:dyDescent="0.2">
      <c r="A430"/>
      <c r="B430"/>
    </row>
    <row r="431" spans="1:2" hidden="1" x14ac:dyDescent="0.2">
      <c r="A431"/>
      <c r="B431"/>
    </row>
    <row r="432" spans="1:2" hidden="1" x14ac:dyDescent="0.2">
      <c r="A432"/>
      <c r="B432"/>
    </row>
    <row r="433" spans="1:2" hidden="1" x14ac:dyDescent="0.2">
      <c r="A433"/>
      <c r="B433"/>
    </row>
    <row r="434" spans="1:2" hidden="1" x14ac:dyDescent="0.2">
      <c r="A434"/>
      <c r="B434"/>
    </row>
    <row r="435" spans="1:2" hidden="1" x14ac:dyDescent="0.2">
      <c r="A435"/>
      <c r="B435"/>
    </row>
    <row r="436" spans="1:2" hidden="1" x14ac:dyDescent="0.2">
      <c r="A436"/>
      <c r="B436"/>
    </row>
    <row r="437" spans="1:2" hidden="1" x14ac:dyDescent="0.2">
      <c r="A437"/>
      <c r="B437"/>
    </row>
    <row r="438" spans="1:2" hidden="1" x14ac:dyDescent="0.2">
      <c r="A438"/>
      <c r="B438"/>
    </row>
    <row r="439" spans="1:2" hidden="1" x14ac:dyDescent="0.2">
      <c r="A439"/>
      <c r="B439"/>
    </row>
    <row r="440" spans="1:2" hidden="1" x14ac:dyDescent="0.2">
      <c r="A440"/>
      <c r="B440"/>
    </row>
    <row r="441" spans="1:2" hidden="1" x14ac:dyDescent="0.2">
      <c r="A441"/>
      <c r="B441"/>
    </row>
    <row r="442" spans="1:2" hidden="1" x14ac:dyDescent="0.2">
      <c r="A442"/>
      <c r="B442"/>
    </row>
    <row r="443" spans="1:2" hidden="1" x14ac:dyDescent="0.2">
      <c r="A443"/>
      <c r="B443"/>
    </row>
    <row r="444" spans="1:2" hidden="1" x14ac:dyDescent="0.2">
      <c r="A444"/>
      <c r="B444"/>
    </row>
    <row r="445" spans="1:2" hidden="1" x14ac:dyDescent="0.2">
      <c r="A445"/>
      <c r="B445"/>
    </row>
    <row r="446" spans="1:2" hidden="1" x14ac:dyDescent="0.2">
      <c r="A446"/>
      <c r="B446"/>
    </row>
    <row r="447" spans="1:2" hidden="1" x14ac:dyDescent="0.2">
      <c r="A447"/>
      <c r="B447"/>
    </row>
    <row r="448" spans="1:2" hidden="1" x14ac:dyDescent="0.2">
      <c r="A448"/>
      <c r="B448"/>
    </row>
    <row r="449" spans="1:2" hidden="1" x14ac:dyDescent="0.2">
      <c r="A449"/>
      <c r="B449"/>
    </row>
    <row r="450" spans="1:2" hidden="1" x14ac:dyDescent="0.2">
      <c r="A450"/>
      <c r="B450"/>
    </row>
    <row r="451" spans="1:2" hidden="1" x14ac:dyDescent="0.2">
      <c r="A451"/>
      <c r="B451"/>
    </row>
    <row r="452" spans="1:2" hidden="1" x14ac:dyDescent="0.2">
      <c r="A452"/>
      <c r="B452"/>
    </row>
    <row r="453" spans="1:2" hidden="1" x14ac:dyDescent="0.2">
      <c r="A453"/>
      <c r="B453"/>
    </row>
    <row r="454" spans="1:2" hidden="1" x14ac:dyDescent="0.2">
      <c r="A454"/>
      <c r="B454"/>
    </row>
    <row r="455" spans="1:2" hidden="1" x14ac:dyDescent="0.2">
      <c r="A455"/>
      <c r="B455"/>
    </row>
    <row r="456" spans="1:2" hidden="1" x14ac:dyDescent="0.2">
      <c r="A456"/>
      <c r="B456"/>
    </row>
    <row r="457" spans="1:2" hidden="1" x14ac:dyDescent="0.2">
      <c r="A457"/>
      <c r="B457"/>
    </row>
    <row r="458" spans="1:2" hidden="1" x14ac:dyDescent="0.2">
      <c r="A458"/>
      <c r="B458"/>
    </row>
    <row r="459" spans="1:2" hidden="1" x14ac:dyDescent="0.2">
      <c r="A459"/>
      <c r="B459"/>
    </row>
    <row r="460" spans="1:2" hidden="1" x14ac:dyDescent="0.2">
      <c r="A460"/>
      <c r="B460"/>
    </row>
    <row r="461" spans="1:2" hidden="1" x14ac:dyDescent="0.2">
      <c r="A461"/>
      <c r="B461"/>
    </row>
    <row r="462" spans="1:2" hidden="1" x14ac:dyDescent="0.2">
      <c r="A462"/>
      <c r="B462"/>
    </row>
    <row r="463" spans="1:2" hidden="1" x14ac:dyDescent="0.2">
      <c r="A463"/>
      <c r="B463"/>
    </row>
    <row r="464" spans="1:2" hidden="1" x14ac:dyDescent="0.2">
      <c r="A464"/>
      <c r="B464"/>
    </row>
    <row r="465" spans="1:2" hidden="1" x14ac:dyDescent="0.2">
      <c r="A465"/>
      <c r="B465"/>
    </row>
    <row r="466" spans="1:2" hidden="1" x14ac:dyDescent="0.2">
      <c r="A466"/>
      <c r="B466"/>
    </row>
    <row r="467" spans="1:2" hidden="1" x14ac:dyDescent="0.2">
      <c r="A467"/>
      <c r="B467"/>
    </row>
    <row r="468" spans="1:2" hidden="1" x14ac:dyDescent="0.2">
      <c r="A468"/>
      <c r="B468"/>
    </row>
    <row r="469" spans="1:2" hidden="1" x14ac:dyDescent="0.2">
      <c r="A469"/>
      <c r="B469"/>
    </row>
    <row r="470" spans="1:2" hidden="1" x14ac:dyDescent="0.2">
      <c r="A470"/>
      <c r="B470"/>
    </row>
    <row r="471" spans="1:2" hidden="1" x14ac:dyDescent="0.2">
      <c r="A471"/>
      <c r="B471"/>
    </row>
    <row r="472" spans="1:2" hidden="1" x14ac:dyDescent="0.2">
      <c r="A472"/>
      <c r="B472"/>
    </row>
    <row r="473" spans="1:2" hidden="1" x14ac:dyDescent="0.2">
      <c r="A473"/>
      <c r="B473"/>
    </row>
    <row r="474" spans="1:2" hidden="1" x14ac:dyDescent="0.2">
      <c r="A474"/>
      <c r="B474"/>
    </row>
    <row r="475" spans="1:2" hidden="1" x14ac:dyDescent="0.2">
      <c r="A475"/>
      <c r="B475"/>
    </row>
    <row r="476" spans="1:2" hidden="1" x14ac:dyDescent="0.2">
      <c r="A476"/>
      <c r="B476"/>
    </row>
    <row r="477" spans="1:2" hidden="1" x14ac:dyDescent="0.2">
      <c r="A477"/>
      <c r="B477"/>
    </row>
    <row r="478" spans="1:2" hidden="1" x14ac:dyDescent="0.2">
      <c r="A478"/>
      <c r="B478"/>
    </row>
    <row r="479" spans="1:2" hidden="1" x14ac:dyDescent="0.2">
      <c r="A479"/>
      <c r="B479"/>
    </row>
    <row r="480" spans="1:2" hidden="1" x14ac:dyDescent="0.2">
      <c r="A480"/>
      <c r="B480"/>
    </row>
    <row r="481" spans="1:2" hidden="1" x14ac:dyDescent="0.2">
      <c r="A481"/>
      <c r="B481"/>
    </row>
    <row r="482" spans="1:2" hidden="1" x14ac:dyDescent="0.2">
      <c r="A482"/>
      <c r="B482"/>
    </row>
    <row r="483" spans="1:2" hidden="1" x14ac:dyDescent="0.2">
      <c r="A483"/>
      <c r="B483"/>
    </row>
    <row r="484" spans="1:2" hidden="1" x14ac:dyDescent="0.2">
      <c r="A484"/>
      <c r="B484"/>
    </row>
    <row r="485" spans="1:2" hidden="1" x14ac:dyDescent="0.2">
      <c r="A485"/>
      <c r="B485"/>
    </row>
    <row r="486" spans="1:2" hidden="1" x14ac:dyDescent="0.2">
      <c r="A486"/>
      <c r="B486"/>
    </row>
    <row r="487" spans="1:2" hidden="1" x14ac:dyDescent="0.2">
      <c r="A487"/>
      <c r="B487"/>
    </row>
    <row r="488" spans="1:2" hidden="1" x14ac:dyDescent="0.2">
      <c r="A488"/>
      <c r="B488"/>
    </row>
    <row r="489" spans="1:2" hidden="1" x14ac:dyDescent="0.2">
      <c r="A489"/>
      <c r="B489"/>
    </row>
    <row r="490" spans="1:2" hidden="1" x14ac:dyDescent="0.2">
      <c r="A490"/>
      <c r="B490"/>
    </row>
    <row r="491" spans="1:2" hidden="1" x14ac:dyDescent="0.2">
      <c r="A491"/>
      <c r="B491"/>
    </row>
    <row r="492" spans="1:2" hidden="1" x14ac:dyDescent="0.2">
      <c r="A492"/>
      <c r="B492"/>
    </row>
    <row r="493" spans="1:2" hidden="1" x14ac:dyDescent="0.2">
      <c r="A493"/>
      <c r="B493"/>
    </row>
    <row r="494" spans="1:2" hidden="1" x14ac:dyDescent="0.2">
      <c r="A494"/>
      <c r="B494"/>
    </row>
    <row r="495" spans="1:2" hidden="1" x14ac:dyDescent="0.2">
      <c r="A495"/>
      <c r="B495"/>
    </row>
    <row r="496" spans="1:2" hidden="1" x14ac:dyDescent="0.2">
      <c r="A496"/>
      <c r="B496"/>
    </row>
    <row r="497" spans="1:2" hidden="1" x14ac:dyDescent="0.2">
      <c r="A497"/>
      <c r="B497"/>
    </row>
    <row r="498" spans="1:2" hidden="1" x14ac:dyDescent="0.2">
      <c r="A498"/>
      <c r="B498"/>
    </row>
    <row r="499" spans="1:2" hidden="1" x14ac:dyDescent="0.2">
      <c r="A499"/>
      <c r="B499"/>
    </row>
    <row r="500" spans="1:2" hidden="1" x14ac:dyDescent="0.2">
      <c r="A500"/>
      <c r="B500"/>
    </row>
    <row r="501" spans="1:2" hidden="1" x14ac:dyDescent="0.2">
      <c r="A501"/>
      <c r="B501"/>
    </row>
    <row r="502" spans="1:2" hidden="1" x14ac:dyDescent="0.2">
      <c r="A502"/>
      <c r="B502"/>
    </row>
    <row r="503" spans="1:2" hidden="1" x14ac:dyDescent="0.2">
      <c r="A503"/>
      <c r="B503"/>
    </row>
    <row r="504" spans="1:2" hidden="1" x14ac:dyDescent="0.2">
      <c r="A504"/>
      <c r="B504"/>
    </row>
    <row r="505" spans="1:2" hidden="1" x14ac:dyDescent="0.2">
      <c r="A505"/>
      <c r="B505"/>
    </row>
    <row r="506" spans="1:2" hidden="1" x14ac:dyDescent="0.2">
      <c r="A506"/>
      <c r="B506"/>
    </row>
    <row r="507" spans="1:2" hidden="1" x14ac:dyDescent="0.2">
      <c r="A507"/>
      <c r="B507"/>
    </row>
    <row r="508" spans="1:2" hidden="1" x14ac:dyDescent="0.2">
      <c r="A508"/>
      <c r="B508"/>
    </row>
    <row r="509" spans="1:2" hidden="1" x14ac:dyDescent="0.2">
      <c r="A509"/>
      <c r="B509"/>
    </row>
    <row r="510" spans="1:2" hidden="1" x14ac:dyDescent="0.2">
      <c r="A510"/>
      <c r="B510"/>
    </row>
    <row r="511" spans="1:2" hidden="1" x14ac:dyDescent="0.2">
      <c r="A511"/>
      <c r="B511"/>
    </row>
    <row r="512" spans="1:2" hidden="1" x14ac:dyDescent="0.2">
      <c r="A512"/>
      <c r="B512"/>
    </row>
    <row r="513" spans="1:2" hidden="1" x14ac:dyDescent="0.2">
      <c r="A513"/>
      <c r="B513"/>
    </row>
    <row r="514" spans="1:2" hidden="1" x14ac:dyDescent="0.2">
      <c r="A514"/>
      <c r="B514"/>
    </row>
    <row r="515" spans="1:2" hidden="1" x14ac:dyDescent="0.2">
      <c r="A515"/>
      <c r="B515"/>
    </row>
    <row r="516" spans="1:2" hidden="1" x14ac:dyDescent="0.2">
      <c r="A516"/>
      <c r="B516"/>
    </row>
    <row r="517" spans="1:2" hidden="1" x14ac:dyDescent="0.2">
      <c r="A517"/>
      <c r="B517"/>
    </row>
    <row r="518" spans="1:2" hidden="1" x14ac:dyDescent="0.2">
      <c r="A518"/>
      <c r="B518"/>
    </row>
    <row r="519" spans="1:2" hidden="1" x14ac:dyDescent="0.2">
      <c r="A519"/>
      <c r="B519"/>
    </row>
    <row r="520" spans="1:2" hidden="1" x14ac:dyDescent="0.2">
      <c r="A520"/>
      <c r="B520"/>
    </row>
    <row r="521" spans="1:2" hidden="1" x14ac:dyDescent="0.2">
      <c r="A521"/>
      <c r="B521"/>
    </row>
    <row r="522" spans="1:2" hidden="1" x14ac:dyDescent="0.2">
      <c r="A522"/>
      <c r="B522"/>
    </row>
    <row r="523" spans="1:2" hidden="1" x14ac:dyDescent="0.2">
      <c r="A523"/>
      <c r="B523"/>
    </row>
    <row r="524" spans="1:2" hidden="1" x14ac:dyDescent="0.2">
      <c r="A524"/>
      <c r="B524"/>
    </row>
    <row r="525" spans="1:2" hidden="1" x14ac:dyDescent="0.2">
      <c r="A525"/>
      <c r="B525"/>
    </row>
    <row r="526" spans="1:2" hidden="1" x14ac:dyDescent="0.2">
      <c r="A526"/>
      <c r="B526"/>
    </row>
    <row r="527" spans="1:2" hidden="1" x14ac:dyDescent="0.2">
      <c r="A527"/>
      <c r="B527"/>
    </row>
    <row r="528" spans="1:2" hidden="1" x14ac:dyDescent="0.2">
      <c r="A528"/>
      <c r="B528"/>
    </row>
    <row r="529" spans="1:2" hidden="1" x14ac:dyDescent="0.2">
      <c r="A529"/>
      <c r="B529"/>
    </row>
    <row r="530" spans="1:2" hidden="1" x14ac:dyDescent="0.2">
      <c r="A530"/>
      <c r="B530"/>
    </row>
    <row r="531" spans="1:2" hidden="1" x14ac:dyDescent="0.2">
      <c r="A531"/>
      <c r="B531"/>
    </row>
    <row r="532" spans="1:2" hidden="1" x14ac:dyDescent="0.2">
      <c r="A532"/>
      <c r="B532"/>
    </row>
    <row r="533" spans="1:2" hidden="1" x14ac:dyDescent="0.2">
      <c r="A533"/>
      <c r="B533"/>
    </row>
    <row r="534" spans="1:2" hidden="1" x14ac:dyDescent="0.2">
      <c r="A534"/>
      <c r="B534"/>
    </row>
    <row r="535" spans="1:2" hidden="1" x14ac:dyDescent="0.2">
      <c r="A535"/>
      <c r="B535"/>
    </row>
    <row r="536" spans="1:2" hidden="1" x14ac:dyDescent="0.2">
      <c r="A536"/>
      <c r="B536"/>
    </row>
    <row r="537" spans="1:2" hidden="1" x14ac:dyDescent="0.2">
      <c r="A537"/>
      <c r="B537"/>
    </row>
    <row r="538" spans="1:2" hidden="1" x14ac:dyDescent="0.2">
      <c r="A538"/>
      <c r="B538"/>
    </row>
    <row r="539" spans="1:2" hidden="1" x14ac:dyDescent="0.2">
      <c r="A539"/>
      <c r="B539"/>
    </row>
    <row r="540" spans="1:2" hidden="1" x14ac:dyDescent="0.2">
      <c r="A540"/>
      <c r="B540"/>
    </row>
    <row r="541" spans="1:2" hidden="1" x14ac:dyDescent="0.2">
      <c r="A541"/>
      <c r="B541"/>
    </row>
    <row r="542" spans="1:2" hidden="1" x14ac:dyDescent="0.2">
      <c r="A542"/>
      <c r="B542"/>
    </row>
    <row r="543" spans="1:2" hidden="1" x14ac:dyDescent="0.2">
      <c r="A543"/>
      <c r="B543"/>
    </row>
    <row r="544" spans="1:2" hidden="1" x14ac:dyDescent="0.2">
      <c r="A544"/>
      <c r="B544"/>
    </row>
    <row r="545" spans="1:2" hidden="1" x14ac:dyDescent="0.2">
      <c r="A545"/>
      <c r="B545"/>
    </row>
    <row r="546" spans="1:2" hidden="1" x14ac:dyDescent="0.2">
      <c r="A546"/>
      <c r="B546"/>
    </row>
    <row r="547" spans="1:2" hidden="1" x14ac:dyDescent="0.2">
      <c r="A547"/>
      <c r="B547"/>
    </row>
    <row r="548" spans="1:2" hidden="1" x14ac:dyDescent="0.2">
      <c r="A548"/>
      <c r="B548"/>
    </row>
    <row r="549" spans="1:2" hidden="1" x14ac:dyDescent="0.2">
      <c r="A549"/>
      <c r="B549"/>
    </row>
    <row r="550" spans="1:2" hidden="1" x14ac:dyDescent="0.2">
      <c r="A550"/>
      <c r="B550"/>
    </row>
    <row r="551" spans="1:2" hidden="1" x14ac:dyDescent="0.2">
      <c r="A551"/>
      <c r="B551"/>
    </row>
    <row r="552" spans="1:2" hidden="1" x14ac:dyDescent="0.2">
      <c r="A552"/>
      <c r="B552"/>
    </row>
    <row r="553" spans="1:2" hidden="1" x14ac:dyDescent="0.2">
      <c r="A553"/>
      <c r="B553"/>
    </row>
    <row r="554" spans="1:2" hidden="1" x14ac:dyDescent="0.2">
      <c r="A554"/>
      <c r="B554"/>
    </row>
    <row r="555" spans="1:2" hidden="1" x14ac:dyDescent="0.2">
      <c r="A555"/>
      <c r="B555"/>
    </row>
    <row r="556" spans="1:2" hidden="1" x14ac:dyDescent="0.2">
      <c r="A556"/>
      <c r="B556"/>
    </row>
    <row r="557" spans="1:2" hidden="1" x14ac:dyDescent="0.2">
      <c r="A557"/>
      <c r="B557"/>
    </row>
    <row r="558" spans="1:2" hidden="1" x14ac:dyDescent="0.2">
      <c r="A558"/>
      <c r="B558"/>
    </row>
    <row r="559" spans="1:2" hidden="1" x14ac:dyDescent="0.2">
      <c r="A559"/>
      <c r="B559"/>
    </row>
    <row r="560" spans="1:2" hidden="1" x14ac:dyDescent="0.2">
      <c r="A560"/>
      <c r="B560"/>
    </row>
    <row r="561" spans="1:2" hidden="1" x14ac:dyDescent="0.2">
      <c r="A561"/>
      <c r="B561"/>
    </row>
    <row r="562" spans="1:2" hidden="1" x14ac:dyDescent="0.2">
      <c r="A562"/>
      <c r="B562"/>
    </row>
    <row r="563" spans="1:2" hidden="1" x14ac:dyDescent="0.2">
      <c r="A563"/>
      <c r="B563"/>
    </row>
    <row r="564" spans="1:2" hidden="1" x14ac:dyDescent="0.2">
      <c r="A564"/>
      <c r="B564"/>
    </row>
    <row r="565" spans="1:2" hidden="1" x14ac:dyDescent="0.2">
      <c r="A565"/>
      <c r="B565"/>
    </row>
    <row r="566" spans="1:2" hidden="1" x14ac:dyDescent="0.2">
      <c r="A566"/>
      <c r="B566"/>
    </row>
    <row r="567" spans="1:2" hidden="1" x14ac:dyDescent="0.2">
      <c r="A567"/>
      <c r="B567"/>
    </row>
    <row r="568" spans="1:2" hidden="1" x14ac:dyDescent="0.2">
      <c r="A568"/>
      <c r="B568"/>
    </row>
    <row r="569" spans="1:2" hidden="1" x14ac:dyDescent="0.2">
      <c r="A569"/>
      <c r="B569"/>
    </row>
    <row r="570" spans="1:2" hidden="1" x14ac:dyDescent="0.2">
      <c r="A570"/>
      <c r="B570"/>
    </row>
    <row r="571" spans="1:2" hidden="1" x14ac:dyDescent="0.2">
      <c r="A571"/>
      <c r="B571"/>
    </row>
    <row r="572" spans="1:2" hidden="1" x14ac:dyDescent="0.2">
      <c r="A572"/>
      <c r="B572"/>
    </row>
    <row r="573" spans="1:2" hidden="1" x14ac:dyDescent="0.2">
      <c r="A573"/>
      <c r="B573"/>
    </row>
    <row r="574" spans="1:2" hidden="1" x14ac:dyDescent="0.2">
      <c r="A574"/>
      <c r="B574"/>
    </row>
    <row r="575" spans="1:2" hidden="1" x14ac:dyDescent="0.2">
      <c r="A575"/>
      <c r="B575"/>
    </row>
    <row r="576" spans="1:2" hidden="1" x14ac:dyDescent="0.2">
      <c r="A576"/>
      <c r="B576"/>
    </row>
    <row r="577" spans="1:2" hidden="1" x14ac:dyDescent="0.2">
      <c r="A577"/>
      <c r="B577"/>
    </row>
    <row r="578" spans="1:2" hidden="1" x14ac:dyDescent="0.2">
      <c r="A578"/>
      <c r="B578"/>
    </row>
    <row r="579" spans="1:2" hidden="1" x14ac:dyDescent="0.2">
      <c r="A579"/>
      <c r="B579"/>
    </row>
    <row r="580" spans="1:2" hidden="1" x14ac:dyDescent="0.2">
      <c r="A580"/>
      <c r="B580"/>
    </row>
    <row r="581" spans="1:2" hidden="1" x14ac:dyDescent="0.2">
      <c r="A581"/>
      <c r="B581"/>
    </row>
    <row r="582" spans="1:2" hidden="1" x14ac:dyDescent="0.2">
      <c r="A582"/>
      <c r="B582"/>
    </row>
    <row r="583" spans="1:2" hidden="1" x14ac:dyDescent="0.2">
      <c r="A583"/>
      <c r="B583"/>
    </row>
    <row r="584" spans="1:2" hidden="1" x14ac:dyDescent="0.2">
      <c r="A584"/>
      <c r="B584"/>
    </row>
    <row r="585" spans="1:2" hidden="1" x14ac:dyDescent="0.2">
      <c r="A585"/>
      <c r="B585"/>
    </row>
    <row r="586" spans="1:2" hidden="1" x14ac:dyDescent="0.2">
      <c r="A586"/>
      <c r="B586"/>
    </row>
    <row r="587" spans="1:2" hidden="1" x14ac:dyDescent="0.2">
      <c r="A587"/>
      <c r="B587"/>
    </row>
    <row r="588" spans="1:2" hidden="1" x14ac:dyDescent="0.2">
      <c r="A588"/>
      <c r="B588"/>
    </row>
    <row r="589" spans="1:2" hidden="1" x14ac:dyDescent="0.2">
      <c r="A589"/>
      <c r="B589"/>
    </row>
    <row r="590" spans="1:2" hidden="1" x14ac:dyDescent="0.2">
      <c r="A590"/>
      <c r="B590"/>
    </row>
    <row r="591" spans="1:2" hidden="1" x14ac:dyDescent="0.2">
      <c r="A591"/>
      <c r="B591"/>
    </row>
    <row r="592" spans="1:2" hidden="1" x14ac:dyDescent="0.2">
      <c r="A592"/>
      <c r="B592"/>
    </row>
    <row r="593" spans="1:2" hidden="1" x14ac:dyDescent="0.2">
      <c r="A593"/>
      <c r="B593"/>
    </row>
    <row r="594" spans="1:2" hidden="1" x14ac:dyDescent="0.2">
      <c r="A594"/>
      <c r="B594"/>
    </row>
    <row r="595" spans="1:2" hidden="1" x14ac:dyDescent="0.2">
      <c r="A595"/>
      <c r="B595"/>
    </row>
    <row r="596" spans="1:2" hidden="1" x14ac:dyDescent="0.2">
      <c r="A596"/>
      <c r="B596"/>
    </row>
    <row r="597" spans="1:2" hidden="1" x14ac:dyDescent="0.2">
      <c r="A597"/>
      <c r="B597"/>
    </row>
    <row r="598" spans="1:2" hidden="1" x14ac:dyDescent="0.2">
      <c r="A598"/>
      <c r="B598"/>
    </row>
    <row r="599" spans="1:2" hidden="1" x14ac:dyDescent="0.2">
      <c r="A599"/>
      <c r="B599"/>
    </row>
    <row r="600" spans="1:2" hidden="1" x14ac:dyDescent="0.2">
      <c r="A600"/>
      <c r="B600"/>
    </row>
    <row r="601" spans="1:2" hidden="1" x14ac:dyDescent="0.2">
      <c r="A601"/>
      <c r="B601"/>
    </row>
    <row r="602" spans="1:2" hidden="1" x14ac:dyDescent="0.2">
      <c r="A602"/>
      <c r="B602"/>
    </row>
    <row r="603" spans="1:2" hidden="1" x14ac:dyDescent="0.2">
      <c r="A603"/>
      <c r="B603"/>
    </row>
    <row r="604" spans="1:2" hidden="1" x14ac:dyDescent="0.2">
      <c r="A604"/>
      <c r="B604"/>
    </row>
    <row r="605" spans="1:2" hidden="1" x14ac:dyDescent="0.2">
      <c r="A605"/>
      <c r="B605"/>
    </row>
    <row r="606" spans="1:2" hidden="1" x14ac:dyDescent="0.2">
      <c r="A606"/>
      <c r="B606"/>
    </row>
    <row r="607" spans="1:2" hidden="1" x14ac:dyDescent="0.2">
      <c r="A607"/>
      <c r="B607"/>
    </row>
    <row r="608" spans="1:2" hidden="1" x14ac:dyDescent="0.2">
      <c r="A608"/>
      <c r="B608"/>
    </row>
    <row r="609" spans="1:2" hidden="1" x14ac:dyDescent="0.2">
      <c r="A609"/>
      <c r="B609"/>
    </row>
    <row r="610" spans="1:2" hidden="1" x14ac:dyDescent="0.2">
      <c r="A610"/>
      <c r="B610"/>
    </row>
    <row r="611" spans="1:2" hidden="1" x14ac:dyDescent="0.2">
      <c r="A611"/>
      <c r="B611"/>
    </row>
    <row r="612" spans="1:2" hidden="1" x14ac:dyDescent="0.2">
      <c r="A612"/>
      <c r="B612"/>
    </row>
    <row r="613" spans="1:2" hidden="1" x14ac:dyDescent="0.2">
      <c r="A613"/>
      <c r="B613"/>
    </row>
    <row r="614" spans="1:2" hidden="1" x14ac:dyDescent="0.2">
      <c r="A614"/>
      <c r="B614"/>
    </row>
    <row r="615" spans="1:2" hidden="1" x14ac:dyDescent="0.2">
      <c r="A615"/>
      <c r="B615"/>
    </row>
    <row r="616" spans="1:2" hidden="1" x14ac:dyDescent="0.2">
      <c r="A616"/>
      <c r="B616"/>
    </row>
    <row r="617" spans="1:2" hidden="1" x14ac:dyDescent="0.2">
      <c r="A617"/>
      <c r="B617"/>
    </row>
    <row r="618" spans="1:2" hidden="1" x14ac:dyDescent="0.2">
      <c r="A618"/>
      <c r="B618"/>
    </row>
    <row r="619" spans="1:2" hidden="1" x14ac:dyDescent="0.2">
      <c r="A619"/>
      <c r="B619"/>
    </row>
    <row r="620" spans="1:2" hidden="1" x14ac:dyDescent="0.2">
      <c r="A620"/>
      <c r="B620"/>
    </row>
    <row r="621" spans="1:2" hidden="1" x14ac:dyDescent="0.2">
      <c r="A621"/>
      <c r="B621"/>
    </row>
    <row r="622" spans="1:2" hidden="1" x14ac:dyDescent="0.2">
      <c r="A622"/>
      <c r="B622"/>
    </row>
    <row r="623" spans="1:2" hidden="1" x14ac:dyDescent="0.2">
      <c r="A623"/>
      <c r="B623"/>
    </row>
    <row r="624" spans="1:2" hidden="1" x14ac:dyDescent="0.2">
      <c r="A624"/>
      <c r="B624"/>
    </row>
    <row r="625" spans="1:2" hidden="1" x14ac:dyDescent="0.2">
      <c r="A625"/>
      <c r="B625"/>
    </row>
    <row r="626" spans="1:2" hidden="1" x14ac:dyDescent="0.2">
      <c r="A626"/>
      <c r="B626"/>
    </row>
    <row r="627" spans="1:2" hidden="1" x14ac:dyDescent="0.2">
      <c r="A627"/>
      <c r="B627"/>
    </row>
    <row r="628" spans="1:2" hidden="1" x14ac:dyDescent="0.2">
      <c r="A628"/>
      <c r="B628"/>
    </row>
    <row r="629" spans="1:2" hidden="1" x14ac:dyDescent="0.2">
      <c r="A629"/>
      <c r="B629"/>
    </row>
    <row r="630" spans="1:2" hidden="1" x14ac:dyDescent="0.2">
      <c r="A630"/>
      <c r="B630"/>
    </row>
    <row r="631" spans="1:2" hidden="1" x14ac:dyDescent="0.2">
      <c r="A631"/>
      <c r="B631"/>
    </row>
    <row r="632" spans="1:2" hidden="1" x14ac:dyDescent="0.2">
      <c r="A632"/>
      <c r="B632"/>
    </row>
    <row r="633" spans="1:2" hidden="1" x14ac:dyDescent="0.2">
      <c r="A633"/>
      <c r="B633"/>
    </row>
    <row r="634" spans="1:2" hidden="1" x14ac:dyDescent="0.2">
      <c r="A634"/>
      <c r="B634"/>
    </row>
    <row r="635" spans="1:2" hidden="1" x14ac:dyDescent="0.2">
      <c r="A635"/>
      <c r="B635"/>
    </row>
    <row r="636" spans="1:2" hidden="1" x14ac:dyDescent="0.2">
      <c r="A636"/>
      <c r="B636"/>
    </row>
    <row r="637" spans="1:2" hidden="1" x14ac:dyDescent="0.2">
      <c r="A637"/>
      <c r="B637"/>
    </row>
    <row r="638" spans="1:2" hidden="1" x14ac:dyDescent="0.2">
      <c r="A638"/>
      <c r="B638"/>
    </row>
    <row r="639" spans="1:2" hidden="1" x14ac:dyDescent="0.2">
      <c r="A639"/>
      <c r="B639"/>
    </row>
    <row r="640" spans="1:2" hidden="1" x14ac:dyDescent="0.2">
      <c r="A640"/>
      <c r="B640"/>
    </row>
    <row r="641" spans="1:2" hidden="1" x14ac:dyDescent="0.2">
      <c r="A641"/>
      <c r="B641"/>
    </row>
    <row r="642" spans="1:2" hidden="1" x14ac:dyDescent="0.2">
      <c r="A642"/>
      <c r="B642"/>
    </row>
    <row r="643" spans="1:2" hidden="1" x14ac:dyDescent="0.2">
      <c r="A643"/>
      <c r="B643"/>
    </row>
    <row r="644" spans="1:2" hidden="1" x14ac:dyDescent="0.2">
      <c r="A644"/>
      <c r="B644"/>
    </row>
    <row r="645" spans="1:2" hidden="1" x14ac:dyDescent="0.2">
      <c r="A645"/>
      <c r="B645"/>
    </row>
    <row r="646" spans="1:2" hidden="1" x14ac:dyDescent="0.2">
      <c r="A646"/>
      <c r="B646"/>
    </row>
    <row r="647" spans="1:2" hidden="1" x14ac:dyDescent="0.2">
      <c r="A647"/>
      <c r="B647"/>
    </row>
    <row r="648" spans="1:2" hidden="1" x14ac:dyDescent="0.2">
      <c r="A648"/>
      <c r="B648"/>
    </row>
    <row r="649" spans="1:2" hidden="1" x14ac:dyDescent="0.2">
      <c r="A649"/>
      <c r="B649"/>
    </row>
    <row r="650" spans="1:2" hidden="1" x14ac:dyDescent="0.2">
      <c r="A650"/>
      <c r="B650"/>
    </row>
    <row r="651" spans="1:2" hidden="1" x14ac:dyDescent="0.2">
      <c r="A651"/>
      <c r="B651"/>
    </row>
    <row r="652" spans="1:2" hidden="1" x14ac:dyDescent="0.2">
      <c r="A652"/>
      <c r="B652"/>
    </row>
    <row r="653" spans="1:2" hidden="1" x14ac:dyDescent="0.2">
      <c r="A653"/>
      <c r="B653"/>
    </row>
    <row r="654" spans="1:2" hidden="1" x14ac:dyDescent="0.2">
      <c r="A654"/>
      <c r="B654"/>
    </row>
    <row r="655" spans="1:2" hidden="1" x14ac:dyDescent="0.2">
      <c r="A655"/>
      <c r="B655"/>
    </row>
    <row r="656" spans="1:2" hidden="1" x14ac:dyDescent="0.2">
      <c r="A656"/>
      <c r="B656"/>
    </row>
    <row r="657" spans="1:2" hidden="1" x14ac:dyDescent="0.2">
      <c r="A657"/>
      <c r="B657"/>
    </row>
    <row r="658" spans="1:2" hidden="1" x14ac:dyDescent="0.2">
      <c r="A658"/>
      <c r="B658"/>
    </row>
    <row r="659" spans="1:2" hidden="1" x14ac:dyDescent="0.2">
      <c r="A659"/>
      <c r="B659"/>
    </row>
    <row r="660" spans="1:2" hidden="1" x14ac:dyDescent="0.2">
      <c r="A660"/>
      <c r="B660"/>
    </row>
    <row r="661" spans="1:2" hidden="1" x14ac:dyDescent="0.2">
      <c r="A661"/>
      <c r="B661"/>
    </row>
    <row r="662" spans="1:2" hidden="1" x14ac:dyDescent="0.2">
      <c r="A662"/>
      <c r="B662"/>
    </row>
    <row r="663" spans="1:2" hidden="1" x14ac:dyDescent="0.2">
      <c r="A663"/>
      <c r="B663"/>
    </row>
    <row r="664" spans="1:2" hidden="1" x14ac:dyDescent="0.2">
      <c r="A664"/>
      <c r="B664"/>
    </row>
    <row r="665" spans="1:2" hidden="1" x14ac:dyDescent="0.2">
      <c r="A665"/>
      <c r="B665"/>
    </row>
    <row r="666" spans="1:2" hidden="1" x14ac:dyDescent="0.2">
      <c r="A666"/>
      <c r="B666"/>
    </row>
    <row r="667" spans="1:2" hidden="1" x14ac:dyDescent="0.2">
      <c r="A667"/>
      <c r="B667"/>
    </row>
    <row r="668" spans="1:2" hidden="1" x14ac:dyDescent="0.2">
      <c r="A668"/>
      <c r="B668"/>
    </row>
    <row r="669" spans="1:2" hidden="1" x14ac:dyDescent="0.2">
      <c r="A669"/>
      <c r="B669"/>
    </row>
    <row r="670" spans="1:2" hidden="1" x14ac:dyDescent="0.2">
      <c r="A670"/>
      <c r="B670"/>
    </row>
    <row r="671" spans="1:2" hidden="1" x14ac:dyDescent="0.2">
      <c r="A671"/>
      <c r="B671"/>
    </row>
    <row r="672" spans="1:2" hidden="1" x14ac:dyDescent="0.2">
      <c r="A672"/>
      <c r="B672"/>
    </row>
    <row r="673" spans="1:2" hidden="1" x14ac:dyDescent="0.2">
      <c r="A673"/>
      <c r="B673"/>
    </row>
    <row r="674" spans="1:2" hidden="1" x14ac:dyDescent="0.2">
      <c r="A674"/>
      <c r="B674"/>
    </row>
    <row r="675" spans="1:2" hidden="1" x14ac:dyDescent="0.2">
      <c r="A675"/>
      <c r="B675"/>
    </row>
    <row r="676" spans="1:2" hidden="1" x14ac:dyDescent="0.2">
      <c r="A676"/>
      <c r="B676"/>
    </row>
    <row r="677" spans="1:2" hidden="1" x14ac:dyDescent="0.2">
      <c r="A677"/>
      <c r="B677"/>
    </row>
    <row r="678" spans="1:2" hidden="1" x14ac:dyDescent="0.2">
      <c r="A678"/>
      <c r="B678"/>
    </row>
    <row r="679" spans="1:2" hidden="1" x14ac:dyDescent="0.2">
      <c r="A679"/>
      <c r="B679"/>
    </row>
    <row r="680" spans="1:2" hidden="1" x14ac:dyDescent="0.2">
      <c r="A680"/>
      <c r="B680"/>
    </row>
    <row r="681" spans="1:2" hidden="1" x14ac:dyDescent="0.2">
      <c r="A681"/>
      <c r="B681"/>
    </row>
    <row r="682" spans="1:2" hidden="1" x14ac:dyDescent="0.2">
      <c r="A682"/>
      <c r="B682"/>
    </row>
    <row r="683" spans="1:2" hidden="1" x14ac:dyDescent="0.2">
      <c r="A683"/>
      <c r="B683"/>
    </row>
    <row r="684" spans="1:2" hidden="1" x14ac:dyDescent="0.2">
      <c r="A684"/>
      <c r="B684"/>
    </row>
    <row r="685" spans="1:2" hidden="1" x14ac:dyDescent="0.2">
      <c r="A685"/>
      <c r="B685"/>
    </row>
    <row r="686" spans="1:2" hidden="1" x14ac:dyDescent="0.2">
      <c r="A686"/>
      <c r="B686"/>
    </row>
    <row r="687" spans="1:2" hidden="1" x14ac:dyDescent="0.2">
      <c r="A687"/>
      <c r="B687"/>
    </row>
    <row r="688" spans="1:2" hidden="1" x14ac:dyDescent="0.2">
      <c r="A688"/>
      <c r="B688"/>
    </row>
    <row r="689" spans="1:2" hidden="1" x14ac:dyDescent="0.2">
      <c r="A689"/>
      <c r="B689"/>
    </row>
    <row r="690" spans="1:2" hidden="1" x14ac:dyDescent="0.2">
      <c r="A690"/>
      <c r="B690"/>
    </row>
    <row r="691" spans="1:2" hidden="1" x14ac:dyDescent="0.2">
      <c r="A691"/>
      <c r="B691"/>
    </row>
    <row r="692" spans="1:2" hidden="1" x14ac:dyDescent="0.2">
      <c r="A692"/>
      <c r="B692"/>
    </row>
    <row r="693" spans="1:2" hidden="1" x14ac:dyDescent="0.2">
      <c r="A693"/>
      <c r="B693"/>
    </row>
    <row r="694" spans="1:2" hidden="1" x14ac:dyDescent="0.2">
      <c r="A694"/>
      <c r="B694"/>
    </row>
    <row r="695" spans="1:2" hidden="1" x14ac:dyDescent="0.2">
      <c r="A695"/>
      <c r="B695"/>
    </row>
  </sheetData>
  <conditionalFormatting sqref="F19:F20">
    <cfRule type="dataBar" priority="1">
      <dataBar>
        <cfvo type="num" val="0"/>
        <cfvo type="num" val="1"/>
        <color rgb="FFD0DAF0"/>
      </dataBar>
    </cfRule>
  </conditionalFormatting>
  <dataValidations count="1">
    <dataValidation allowBlank="1" showInputMessage="1" showErrorMessage="1" prompt="Changes cannot be made in this sheet. Please make changes in the appropriate &quot;Evaluation&quot; tab." sqref="A1 A3:A1048576 B1:C1048576 D1:F8 D16:E1048576 F18:F1048576 H1:M8 H23:M1048576 N1:XFD1048576" xr:uid="{00000000-0002-0000-0900-000000000000}"/>
  </dataValidations>
  <hyperlinks>
    <hyperlink ref="A8" r:id="rId1" xr:uid="{00000000-0004-0000-0900-000000000000}"/>
  </hyperlinks>
  <pageMargins left="0.7" right="0.7" top="0.75" bottom="0.75" header="0.3" footer="0.3"/>
  <pageSetup orientation="portrait"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0B233"/>
  </sheetPr>
  <dimension ref="A1:M265"/>
  <sheetViews>
    <sheetView showGridLines="0" showZeros="0" topLeftCell="A2" zoomScale="80" zoomScaleNormal="80" workbookViewId="0">
      <selection activeCell="F26" sqref="F26"/>
    </sheetView>
  </sheetViews>
  <sheetFormatPr baseColWidth="10" defaultColWidth="0" defaultRowHeight="0" customHeight="1" zeroHeight="1" x14ac:dyDescent="0.2"/>
  <cols>
    <col min="1" max="1" width="18.75" style="55" customWidth="1"/>
    <col min="2" max="2" width="41.375" style="55" customWidth="1"/>
    <col min="3" max="4" width="19.625" style="55" customWidth="1"/>
    <col min="5" max="5" width="25.125" style="55" customWidth="1"/>
    <col min="6" max="9" width="19.625" style="55" customWidth="1"/>
    <col min="10" max="10" width="18.75" style="55" bestFit="1" customWidth="1"/>
    <col min="11" max="11" width="15.75" style="55" bestFit="1" customWidth="1"/>
    <col min="12" max="12" width="8.5" style="55" customWidth="1"/>
    <col min="13" max="13" width="0" style="55" hidden="1" customWidth="1"/>
    <col min="14" max="14" width="8.5" style="55" hidden="1" customWidth="1"/>
    <col min="15" max="16384" width="8.5" style="55" hidden="1"/>
  </cols>
  <sheetData>
    <row r="1" spans="1:10" ht="23.25" hidden="1" customHeight="1" x14ac:dyDescent="0.2">
      <c r="A1" s="55" t="s">
        <v>653</v>
      </c>
    </row>
    <row r="2" spans="1:10" s="169" customFormat="1" ht="36" customHeight="1" x14ac:dyDescent="0.2">
      <c r="A2" s="167" t="s">
        <v>664</v>
      </c>
      <c r="B2" s="167"/>
      <c r="C2" s="167"/>
      <c r="D2" s="167"/>
      <c r="E2" s="167"/>
      <c r="F2" s="167"/>
      <c r="G2" s="167"/>
      <c r="H2" s="167"/>
      <c r="I2" s="168" t="str">
        <f>'Auto Responses'!$A$36</f>
        <v>Version 4.1.5</v>
      </c>
      <c r="J2" s="168"/>
    </row>
    <row r="3" spans="1:10" ht="21" customHeight="1" x14ac:dyDescent="0.2">
      <c r="A3" s="93"/>
      <c r="B3" s="93"/>
      <c r="C3" s="93"/>
      <c r="D3" s="93"/>
      <c r="E3" s="93"/>
      <c r="F3" s="93"/>
      <c r="G3" s="93"/>
      <c r="H3" s="93"/>
      <c r="I3" s="93"/>
      <c r="J3" s="93"/>
    </row>
    <row r="4" spans="1:10" ht="36" customHeight="1" x14ac:dyDescent="0.2">
      <c r="A4" s="94" t="s">
        <v>611</v>
      </c>
      <c r="B4" s="95"/>
      <c r="C4" s="95"/>
      <c r="D4" s="95"/>
      <c r="E4" s="95"/>
      <c r="F4" s="95"/>
      <c r="G4" s="95"/>
      <c r="H4" s="95"/>
      <c r="I4" s="95"/>
      <c r="J4" s="95"/>
    </row>
    <row r="5" spans="1:10" s="256" customFormat="1" ht="19.5" customHeight="1" x14ac:dyDescent="0.2">
      <c r="A5" s="239" t="str">
        <f>HLOOKUP($A$4,'Auto Responses'!$F$2:$F$7,2,0)&amp;""</f>
        <v>1. Upon initial review, you can check the "Non-Negotiable" box by any question to compile a report of questions that may prohibit a full review.</v>
      </c>
      <c r="B5" s="239"/>
      <c r="C5" s="239"/>
      <c r="D5" s="239"/>
      <c r="E5" s="239"/>
      <c r="F5" s="239"/>
      <c r="G5" s="239"/>
      <c r="H5" s="239"/>
      <c r="I5" s="239"/>
      <c r="J5" s="239"/>
    </row>
    <row r="6" spans="1:10" s="256" customFormat="1" ht="19.5" customHeight="1" x14ac:dyDescent="0.2">
      <c r="A6" s="239" t="str">
        <f>HLOOKUP($A$4,'Auto Responses'!$F$2:$F$7,3,0)&amp;""</f>
        <v>2. When evaluating an answer, a default importance level has been set. You can use the "Importance Override" dropdown to override the default and adjust the value of the question.</v>
      </c>
      <c r="B6" s="239"/>
      <c r="C6" s="239"/>
      <c r="D6" s="239"/>
      <c r="E6" s="239"/>
      <c r="F6" s="239"/>
      <c r="G6" s="239"/>
      <c r="H6" s="239"/>
      <c r="I6" s="239"/>
      <c r="J6" s="239"/>
    </row>
    <row r="7" spans="1:10" s="256" customFormat="1" ht="19.5" customHeight="1" x14ac:dyDescent="0.2">
      <c r="A7" s="239" t="str">
        <f>HLOOKUP($A$4,'Auto Responses'!$F$2:$F$7,4,0)&amp;""</f>
        <v>3. For questions that are qualitative or for which you disagree with the preferred response, make a selection in the "Compliant Override" dropdown to adjust the question's impact on the score.</v>
      </c>
      <c r="B7" s="239"/>
      <c r="C7" s="239"/>
      <c r="D7" s="239"/>
      <c r="E7" s="239"/>
      <c r="F7" s="239"/>
      <c r="G7" s="239"/>
      <c r="H7" s="239"/>
      <c r="I7" s="239"/>
      <c r="J7" s="239"/>
    </row>
    <row r="8" spans="1:10" s="256" customFormat="1" ht="19.5" customHeight="1" x14ac:dyDescent="0.2">
      <c r="A8" s="239" t="str">
        <f>HLOOKUP($A$4,'Auto Responses'!$F$2:$F$7,5,0)&amp;""</f>
        <v xml:space="preserve">4. Each worksheet shows a report for that section. See the "Analyst Report" sheet for a full report of all sections. </v>
      </c>
      <c r="B8" s="239"/>
      <c r="C8" s="239"/>
      <c r="D8" s="239"/>
      <c r="E8" s="239"/>
      <c r="F8" s="239"/>
      <c r="G8" s="239"/>
      <c r="H8" s="239"/>
      <c r="I8" s="239"/>
      <c r="J8" s="239"/>
    </row>
    <row r="9" spans="1:10" s="256" customFormat="1" ht="19.5" customHeight="1" x14ac:dyDescent="0.2">
      <c r="A9" s="239" t="str">
        <f>HLOOKUP($A$4,'Auto Responses'!$F$2:$F$7,6,0)&amp;""</f>
        <v xml:space="preserve">5. If you are evaluating a question that appears in an earlier section, the Importance and Compliant Override cannot be changed but additional notes can be added. </v>
      </c>
      <c r="B9" s="239"/>
      <c r="C9" s="239"/>
      <c r="D9" s="239"/>
      <c r="E9" s="239"/>
      <c r="F9" s="239"/>
      <c r="G9" s="239"/>
      <c r="H9" s="239"/>
      <c r="I9" s="239"/>
      <c r="J9" s="239"/>
    </row>
    <row r="10" spans="1:10" ht="19.5" customHeight="1" thickBot="1" x14ac:dyDescent="0.25">
      <c r="A10" s="240" t="str">
        <f>HLOOKUP($A$4,'Auto Responses'!$F$2:$F$8,7,0)&amp;""</f>
        <v>For full instructions, please visit EDUCAUSE.edu/HECVAT</v>
      </c>
      <c r="B10" s="59"/>
      <c r="C10" s="59"/>
      <c r="D10" s="59"/>
      <c r="E10" s="59"/>
      <c r="F10" s="59"/>
      <c r="G10" s="59"/>
      <c r="H10" s="59"/>
      <c r="I10" s="59"/>
      <c r="J10" s="59"/>
    </row>
    <row r="11" spans="1:10" s="84" customFormat="1" ht="25.5" customHeight="1" x14ac:dyDescent="0.2">
      <c r="A11" s="149" t="str">
        <f>'START HERE'!$B$13</f>
        <v>Solution Provider Name</v>
      </c>
      <c r="B11" s="135"/>
      <c r="C11" s="129" t="str">
        <f ca="1">VLOOKUP($A11,'START HERE'!$B$13:$C$21,2,0)&amp;""</f>
        <v>Accredible (EdInvent Inc. d.b.a. Accredible)</v>
      </c>
      <c r="D11" s="130"/>
      <c r="E11" s="131"/>
      <c r="F11" s="85"/>
      <c r="G11" s="85"/>
      <c r="H11" s="90"/>
      <c r="I11" s="85"/>
      <c r="J11" s="85"/>
    </row>
    <row r="12" spans="1:10" s="84" customFormat="1" ht="25.5" customHeight="1" x14ac:dyDescent="0.2">
      <c r="A12" s="150" t="str">
        <f>'START HERE'!$B$16</f>
        <v>Solution Provider Contact Name</v>
      </c>
      <c r="B12" s="136"/>
      <c r="C12" s="128" t="str">
        <f>VLOOKUP($A12,'START HERE'!$B$13:$C$21,2,0)&amp;""</f>
        <v>Alan Heppenstall</v>
      </c>
      <c r="D12" s="92"/>
      <c r="E12" s="132"/>
      <c r="F12" s="85"/>
      <c r="G12" s="85"/>
      <c r="H12" s="90"/>
      <c r="I12" s="85"/>
      <c r="J12" s="85"/>
    </row>
    <row r="13" spans="1:10" s="84" customFormat="1" ht="25.5" customHeight="1" x14ac:dyDescent="0.2">
      <c r="A13" s="150" t="str">
        <f>'START HERE'!$B$17</f>
        <v>Solution Provider Contact Title</v>
      </c>
      <c r="B13" s="136"/>
      <c r="C13" s="128" t="str">
        <f>VLOOKUP($A13,'START HERE'!$B$13:$C$21,2,0)&amp;""</f>
        <v>CTO</v>
      </c>
      <c r="D13" s="92"/>
      <c r="E13" s="132"/>
      <c r="F13" s="85"/>
      <c r="G13" s="85"/>
      <c r="H13" s="90"/>
      <c r="I13" s="85"/>
      <c r="J13" s="85"/>
    </row>
    <row r="14" spans="1:10" s="84" customFormat="1" ht="25.5" customHeight="1" x14ac:dyDescent="0.2">
      <c r="A14" s="150" t="str">
        <f>'START HERE'!$B$18</f>
        <v>Solution Provider Contact Email</v>
      </c>
      <c r="B14" s="136"/>
      <c r="C14" s="128" t="str">
        <f>VLOOKUP($A14,'START HERE'!$B$13:$C$21,2,0)&amp;""</f>
        <v>alan@accredible.com</v>
      </c>
      <c r="D14" s="92"/>
      <c r="E14" s="132"/>
      <c r="F14" s="127"/>
    </row>
    <row r="15" spans="1:10" s="84" customFormat="1" ht="25.5" customHeight="1" x14ac:dyDescent="0.2">
      <c r="A15" s="150" t="str">
        <f>'START HERE'!$B$14</f>
        <v>Solution Name</v>
      </c>
      <c r="B15" s="136"/>
      <c r="C15" s="128" t="str">
        <f ca="1">VLOOKUP($A15,'START HERE'!$B$13:$C$21,2,0)&amp;""</f>
        <v>Accredible Digital Credentialing Platform</v>
      </c>
      <c r="D15" s="92"/>
      <c r="E15" s="132"/>
      <c r="F15" s="127"/>
    </row>
    <row r="16" spans="1:10" s="84" customFormat="1" ht="25.5" customHeight="1" x14ac:dyDescent="0.2">
      <c r="A16" s="150" t="str">
        <f>'START HERE'!$B$15</f>
        <v>Solution Description</v>
      </c>
      <c r="B16" s="136"/>
      <c r="C16" s="128" t="str">
        <f ca="1">VLOOKUP($A16,'START HERE'!$B$13:$C$21,2,0)&amp;""</f>
        <v>Accredible is a cloud-hosted, multi-tenant Software as a Service (SaaS) digital credentialing platform that enables organizations to design, issue, manage, and verify digital credentials including certificates and badges.</v>
      </c>
      <c r="D16" s="92"/>
      <c r="E16" s="132"/>
      <c r="F16" s="127"/>
    </row>
    <row r="17" spans="1:11" s="84" customFormat="1" ht="25.5" customHeight="1" thickBot="1" x14ac:dyDescent="0.25">
      <c r="A17" s="151" t="s">
        <v>612</v>
      </c>
      <c r="B17" s="137"/>
      <c r="C17" s="296" t="str">
        <f>'START HERE'!$C$3</f>
        <v>2025-04-08</v>
      </c>
      <c r="D17" s="133"/>
      <c r="E17" s="134"/>
      <c r="F17" s="127"/>
    </row>
    <row r="18" spans="1:11" s="84" customFormat="1" ht="24.75" customHeight="1" x14ac:dyDescent="0.2">
      <c r="A18" s="85"/>
      <c r="B18" s="85"/>
      <c r="C18" s="245"/>
      <c r="D18" s="91"/>
      <c r="E18" s="85"/>
      <c r="F18" s="85"/>
      <c r="G18" s="85"/>
      <c r="H18" s="86"/>
      <c r="I18" s="86"/>
      <c r="J18" s="86"/>
    </row>
    <row r="19" spans="1:11" s="82" customFormat="1" ht="24" customHeight="1" thickBot="1" x14ac:dyDescent="0.25">
      <c r="A19" s="321"/>
      <c r="B19" s="322"/>
      <c r="C19" s="322"/>
      <c r="D19" s="83"/>
    </row>
    <row r="20" spans="1:11" ht="30" customHeight="1" thickBot="1" x14ac:dyDescent="0.25">
      <c r="A20" s="257" t="s">
        <v>613</v>
      </c>
      <c r="B20" s="78" t="s">
        <v>614</v>
      </c>
      <c r="C20" s="104" t="s">
        <v>615</v>
      </c>
      <c r="D20" s="77" t="s">
        <v>616</v>
      </c>
      <c r="E20" s="103" t="s">
        <v>617</v>
      </c>
      <c r="F20" s="103" t="s">
        <v>618</v>
      </c>
      <c r="G20" s="119" t="s">
        <v>619</v>
      </c>
      <c r="H20" s="120"/>
      <c r="I20" s="121"/>
    </row>
    <row r="21" spans="1:11" s="79" customFormat="1" ht="40.5" customHeight="1" x14ac:dyDescent="0.2">
      <c r="B21" s="80" t="str">
        <f>VLOOKUP($K21,'Auto Responses'!$N$4:$O$38,2,0)&amp;""</f>
        <v xml:space="preserve"> General Privacy</v>
      </c>
      <c r="C21" s="111"/>
      <c r="D21" s="105" t="str">
        <f>IF($C21=TRUE,SUMIF('(backend scoring)'!$B$3:$B$333,$K21,'(backend scoring)'!$O$3:$O$333),"")</f>
        <v/>
      </c>
      <c r="E21" s="112" t="str">
        <f>IF($C21=TRUE,SUMIF('(backend scoring)'!$B$3:$B$333,$K21,'(backend scoring)'!$P$3:$P$333),"")</f>
        <v/>
      </c>
      <c r="F21" s="139" t="str">
        <f>IFERROR($E21/$D21,'Auto Responses'!$J$5)</f>
        <v>N/A</v>
      </c>
      <c r="G21" s="212" t="str">
        <f t="shared" ref="G21:G30" si="0">$G$20&amp;B21</f>
        <v>Jump to General Privacy</v>
      </c>
      <c r="H21" s="114"/>
      <c r="I21" s="116"/>
      <c r="K21" s="315" t="s">
        <v>665</v>
      </c>
    </row>
    <row r="22" spans="1:11" s="79" customFormat="1" ht="40.5" customHeight="1" x14ac:dyDescent="0.2">
      <c r="B22" s="80" t="str">
        <f>VLOOKUP($K22,'Auto Responses'!$N$4:$O$38,2,0)&amp;""</f>
        <v xml:space="preserve"> Privacy-Specific Company Details</v>
      </c>
      <c r="C22" s="111" t="b">
        <v>1</v>
      </c>
      <c r="D22" s="105">
        <f>IF($C22=TRUE,SUMIF('(backend scoring)'!$B$3:$B$333,$K22,'(backend scoring)'!$O$3:$O$333),"")</f>
        <v>30</v>
      </c>
      <c r="E22" s="112">
        <f>IF($C22=TRUE,SUMIF('(backend scoring)'!$B$3:$B$333,$K22,'(backend scoring)'!$P$3:$P$333),"")</f>
        <v>30</v>
      </c>
      <c r="F22" s="138">
        <f>IFERROR($E22/$D22,'Auto Responses'!$J$5)</f>
        <v>1</v>
      </c>
      <c r="G22" s="212" t="str">
        <f t="shared" si="0"/>
        <v>Jump to Privacy-Specific Company Details</v>
      </c>
      <c r="H22" s="113"/>
      <c r="I22" s="117"/>
      <c r="K22" s="315" t="s">
        <v>666</v>
      </c>
    </row>
    <row r="23" spans="1:11" s="79" customFormat="1" ht="40.5" customHeight="1" x14ac:dyDescent="0.2">
      <c r="B23" s="80" t="str">
        <f>VLOOKUP($K23,'Auto Responses'!$N$4:$O$38,2,0)&amp;""</f>
        <v xml:space="preserve"> Privacy-Specific Documentation</v>
      </c>
      <c r="C23" s="111" t="b">
        <v>1</v>
      </c>
      <c r="D23" s="105">
        <f>IF($C23=TRUE,SUMIF('(backend scoring)'!$B$3:$B$333,$K23,'(backend scoring)'!$O$3:$O$333),"")</f>
        <v>10</v>
      </c>
      <c r="E23" s="112">
        <f>IF($C23=TRUE,SUMIF('(backend scoring)'!$B$3:$B$333,$K23,'(backend scoring)'!$P$3:$P$333),"")</f>
        <v>10</v>
      </c>
      <c r="F23" s="138">
        <f>IFERROR($E23/$D23,'Auto Responses'!$J$5)</f>
        <v>1</v>
      </c>
      <c r="G23" s="212" t="str">
        <f t="shared" si="0"/>
        <v>Jump to Privacy-Specific Documentation</v>
      </c>
      <c r="H23" s="113"/>
      <c r="I23" s="117"/>
      <c r="K23" s="315" t="s">
        <v>667</v>
      </c>
    </row>
    <row r="24" spans="1:11" s="79" customFormat="1" ht="40.5" customHeight="1" x14ac:dyDescent="0.2">
      <c r="B24" s="80" t="str">
        <f>VLOOKUP($K24,'Auto Responses'!$N$4:$O$38,2,0)&amp;""</f>
        <v xml:space="preserve"> Privacy of Third Parties</v>
      </c>
      <c r="C24" s="111" t="b">
        <v>1</v>
      </c>
      <c r="D24" s="105">
        <f>IF($C24=TRUE,SUMIF('(backend scoring)'!$B$3:$B$333,$K24,'(backend scoring)'!$O$3:$O$333),"")</f>
        <v>25</v>
      </c>
      <c r="E24" s="112">
        <f>IF($C24=TRUE,SUMIF('(backend scoring)'!$B$3:$B$333,$K24,'(backend scoring)'!$P$3:$P$333),"")</f>
        <v>25</v>
      </c>
      <c r="F24" s="138">
        <f>IFERROR($E24/$D24,'Auto Responses'!$J$5)</f>
        <v>1</v>
      </c>
      <c r="G24" s="212" t="str">
        <f t="shared" si="0"/>
        <v>Jump to Privacy of Third Parties</v>
      </c>
      <c r="H24" s="113"/>
      <c r="I24" s="117"/>
      <c r="K24" s="315" t="s">
        <v>668</v>
      </c>
    </row>
    <row r="25" spans="1:11" s="79" customFormat="1" ht="40.5" customHeight="1" x14ac:dyDescent="0.2">
      <c r="B25" s="80" t="str">
        <f>VLOOKUP($K25,'Auto Responses'!$N$4:$O$38,2,0)&amp;""</f>
        <v xml:space="preserve"> Privacy Change Management</v>
      </c>
      <c r="C25" s="111" t="b">
        <v>1</v>
      </c>
      <c r="D25" s="105">
        <f>IF($C25=TRUE,SUMIF('(backend scoring)'!$B$3:$B$333,$K25,'(backend scoring)'!$O$3:$O$333),"")</f>
        <v>15</v>
      </c>
      <c r="E25" s="112">
        <f>IF($C25=TRUE,SUMIF('(backend scoring)'!$B$3:$B$333,$K25,'(backend scoring)'!$P$3:$P$333),"")</f>
        <v>15</v>
      </c>
      <c r="F25" s="138">
        <f>IFERROR($E25/$D25,'Auto Responses'!$J$5)</f>
        <v>1</v>
      </c>
      <c r="G25" s="212" t="str">
        <f t="shared" si="0"/>
        <v>Jump to Privacy Change Management</v>
      </c>
      <c r="H25" s="113"/>
      <c r="I25" s="117"/>
      <c r="K25" s="315" t="s">
        <v>669</v>
      </c>
    </row>
    <row r="26" spans="1:11" s="79" customFormat="1" ht="40.5" customHeight="1" x14ac:dyDescent="0.2">
      <c r="B26" s="80" t="str">
        <f>VLOOKUP($K26,'Auto Responses'!$N$4:$O$38,2,0)&amp;""</f>
        <v xml:space="preserve"> Privacy of Sensitive Data</v>
      </c>
      <c r="C26" s="111" t="b">
        <v>1</v>
      </c>
      <c r="D26" s="105">
        <f>IF($C26=TRUE,SUMIF('(backend scoring)'!$B$3:$B$333,$K26,'(backend scoring)'!$O$3:$O$333),"")</f>
        <v>80</v>
      </c>
      <c r="E26" s="112">
        <f>IF($C26=TRUE,SUMIF('(backend scoring)'!$B$3:$B$333,$K26,'(backend scoring)'!$P$3:$P$333),"")</f>
        <v>40</v>
      </c>
      <c r="F26" s="138">
        <f>IFERROR($E26/$D26,'Auto Responses'!$J$5)</f>
        <v>0.5</v>
      </c>
      <c r="G26" s="212" t="str">
        <f t="shared" si="0"/>
        <v>Jump to Privacy of Sensitive Data</v>
      </c>
      <c r="H26" s="113"/>
      <c r="I26" s="117"/>
      <c r="K26" s="315" t="s">
        <v>670</v>
      </c>
    </row>
    <row r="27" spans="1:11" s="79" customFormat="1" ht="40.5" customHeight="1" x14ac:dyDescent="0.2">
      <c r="B27" s="80" t="str">
        <f>VLOOKUP($K27,'Auto Responses'!$N$4:$O$38,2,0)&amp;""</f>
        <v xml:space="preserve"> Privacy Policies and Procedures</v>
      </c>
      <c r="C27" s="111" t="b">
        <v>1</v>
      </c>
      <c r="D27" s="105">
        <f>IF($C27=TRUE,SUMIF('(backend scoring)'!$B$3:$B$333,$K27,'(backend scoring)'!$O$3:$O$333),"")</f>
        <v>100</v>
      </c>
      <c r="E27" s="112">
        <f>IF($C27=TRUE,SUMIF('(backend scoring)'!$B$3:$B$333,$K27,'(backend scoring)'!$P$3:$P$333),"")</f>
        <v>100</v>
      </c>
      <c r="F27" s="138">
        <f>IFERROR($E27/$D27,'Auto Responses'!$J$5)</f>
        <v>1</v>
      </c>
      <c r="G27" s="212" t="str">
        <f t="shared" si="0"/>
        <v>Jump to Privacy Policies and Procedures</v>
      </c>
      <c r="H27" s="113"/>
      <c r="I27" s="117"/>
      <c r="K27" s="315" t="s">
        <v>671</v>
      </c>
    </row>
    <row r="28" spans="1:11" s="79" customFormat="1" ht="40.5" customHeight="1" x14ac:dyDescent="0.2">
      <c r="B28" s="80" t="str">
        <f>VLOOKUP($K28,'Auto Responses'!$N$4:$O$38,2,0)&amp;""</f>
        <v xml:space="preserve"> International Privacy</v>
      </c>
      <c r="C28" s="111" t="b">
        <v>1</v>
      </c>
      <c r="D28" s="105">
        <f>IF($C28=TRUE,SUMIF('(backend scoring)'!$B$3:$B$333,$K28,'(backend scoring)'!$O$3:$O$333),"")</f>
        <v>40</v>
      </c>
      <c r="E28" s="112">
        <f>IF($C28=TRUE,SUMIF('(backend scoring)'!$B$3:$B$333,$K28,'(backend scoring)'!$P$3:$P$333),"")</f>
        <v>30</v>
      </c>
      <c r="F28" s="138">
        <f>IFERROR($E28/$D28,'Auto Responses'!$J$5)</f>
        <v>0.75</v>
      </c>
      <c r="G28" s="212" t="str">
        <f t="shared" si="0"/>
        <v>Jump to International Privacy</v>
      </c>
      <c r="H28" s="113"/>
      <c r="I28" s="117"/>
      <c r="K28" s="315" t="s">
        <v>672</v>
      </c>
    </row>
    <row r="29" spans="1:11" s="79" customFormat="1" ht="40.5" customHeight="1" x14ac:dyDescent="0.2">
      <c r="B29" s="80" t="str">
        <f>VLOOKUP($K29,'Auto Responses'!$N$4:$O$38,2,0)&amp;""</f>
        <v xml:space="preserve"> Data Privacy</v>
      </c>
      <c r="C29" s="111" t="b">
        <v>1</v>
      </c>
      <c r="D29" s="105">
        <f>IF($C29=TRUE,SUMIF('(backend scoring)'!$B$3:$B$333,$K29,'(backend scoring)'!$O$3:$O$333),"")</f>
        <v>150</v>
      </c>
      <c r="E29" s="112">
        <f>IF($C29=TRUE,SUMIF('(backend scoring)'!$B$3:$B$333,$K29,'(backend scoring)'!$P$3:$P$333),"")</f>
        <v>150</v>
      </c>
      <c r="F29" s="138">
        <f>IFERROR($E29/$D29,'Auto Responses'!$J$5)</f>
        <v>1</v>
      </c>
      <c r="G29" s="212" t="str">
        <f t="shared" si="0"/>
        <v>Jump to Data Privacy</v>
      </c>
      <c r="H29" s="113"/>
      <c r="I29" s="117"/>
      <c r="K29" s="315" t="s">
        <v>673</v>
      </c>
    </row>
    <row r="30" spans="1:11" s="79" customFormat="1" ht="40.5" customHeight="1" thickBot="1" x14ac:dyDescent="0.25">
      <c r="B30" s="80" t="str">
        <f>VLOOKUP($K30,'Auto Responses'!$N$4:$O$38,2,0)&amp;""</f>
        <v xml:space="preserve"> Privacy and AI</v>
      </c>
      <c r="C30" s="111" t="b">
        <v>1</v>
      </c>
      <c r="D30" s="105">
        <f>IF($C30=TRUE,SUMIF('(backend scoring)'!$B$3:$B$333,$K30,'(backend scoring)'!$O$3:$O$333),"")</f>
        <v>80</v>
      </c>
      <c r="E30" s="112">
        <f>IF($C30=TRUE,SUMIF('(backend scoring)'!$B$3:$B$333,$K30,'(backend scoring)'!$P$3:$P$333),"")</f>
        <v>60</v>
      </c>
      <c r="F30" s="138">
        <f>IFERROR($E30/$D30,'Auto Responses'!$J$5)</f>
        <v>0.75</v>
      </c>
      <c r="G30" s="212" t="str">
        <f t="shared" si="0"/>
        <v>Jump to Privacy and AI</v>
      </c>
      <c r="H30" s="113"/>
      <c r="I30" s="117"/>
      <c r="K30" s="315" t="s">
        <v>674</v>
      </c>
    </row>
    <row r="31" spans="1:11" s="79" customFormat="1" ht="30" customHeight="1" thickBot="1" x14ac:dyDescent="0.2">
      <c r="B31" s="78" t="s">
        <v>675</v>
      </c>
      <c r="C31" s="104"/>
      <c r="D31" s="106">
        <f>SUM(D21:D30)</f>
        <v>530</v>
      </c>
      <c r="E31" s="106">
        <f>SUM(E21:E30)</f>
        <v>460</v>
      </c>
      <c r="F31" s="76">
        <f>IFERROR($E31/$D31,'Auto Responses'!$J$5)</f>
        <v>0.86792452830188682</v>
      </c>
      <c r="G31" s="122"/>
      <c r="H31" s="123"/>
      <c r="I31" s="124"/>
      <c r="J31" s="228" t="s">
        <v>361</v>
      </c>
    </row>
    <row r="32" spans="1:11" ht="15" customHeight="1" x14ac:dyDescent="0.2">
      <c r="F32" s="55" t="s">
        <v>640</v>
      </c>
    </row>
    <row r="33" spans="1:12" ht="15" customHeight="1" x14ac:dyDescent="0.2"/>
    <row r="34" spans="1:12" ht="15" customHeight="1" x14ac:dyDescent="0.2"/>
    <row r="35" spans="1:12" s="171" customFormat="1" ht="36" customHeight="1" x14ac:dyDescent="0.15">
      <c r="A35" s="166" t="s">
        <v>676</v>
      </c>
      <c r="B35" s="166"/>
      <c r="C35" s="170"/>
      <c r="D35" s="166"/>
      <c r="E35" s="166"/>
      <c r="F35" s="166"/>
      <c r="G35" s="166"/>
      <c r="H35" s="166"/>
      <c r="I35" s="166"/>
      <c r="J35" s="166"/>
      <c r="K35" s="166"/>
      <c r="L35" s="35"/>
    </row>
    <row r="36" spans="1:12" s="23" customFormat="1" ht="36" customHeight="1" x14ac:dyDescent="0.15">
      <c r="A36" s="24" t="s">
        <v>642</v>
      </c>
      <c r="B36" s="24"/>
      <c r="C36" s="66"/>
      <c r="D36" s="24"/>
      <c r="E36" s="24"/>
      <c r="F36" s="24"/>
      <c r="G36" s="24"/>
      <c r="H36" s="24"/>
      <c r="I36" s="24"/>
      <c r="J36" s="24"/>
      <c r="K36" s="24"/>
      <c r="L36" s="1"/>
    </row>
    <row r="37" spans="1:12" s="1" customFormat="1" ht="36" customHeight="1" x14ac:dyDescent="0.15">
      <c r="A37" s="11" t="s">
        <v>611</v>
      </c>
      <c r="B37" s="12"/>
      <c r="C37" s="13"/>
      <c r="D37" s="14"/>
      <c r="E37" s="14"/>
      <c r="F37" s="15"/>
      <c r="G37" s="15"/>
      <c r="H37" s="15"/>
      <c r="I37" s="15"/>
      <c r="J37" s="15"/>
      <c r="K37" s="15"/>
    </row>
    <row r="38" spans="1:12" s="1" customFormat="1" ht="19.5" customHeight="1" x14ac:dyDescent="0.15">
      <c r="A38" s="239" t="str">
        <f>HLOOKUP($A$4,'Auto Responses'!$F$2:$F$7,2,0)&amp;""</f>
        <v>1. Upon initial review, you can check the "Non-Negotiable" box by any question to compile a report of questions that may prohibit a full review.</v>
      </c>
      <c r="B38" s="239"/>
      <c r="C38" s="239"/>
      <c r="D38" s="239"/>
      <c r="E38" s="239"/>
      <c r="F38" s="239"/>
      <c r="G38" s="239"/>
      <c r="H38" s="239"/>
      <c r="I38" s="239"/>
      <c r="J38" s="239"/>
      <c r="K38" s="16"/>
    </row>
    <row r="39" spans="1:12" s="1" customFormat="1" ht="19.5" customHeight="1" x14ac:dyDescent="0.15">
      <c r="A39" s="239" t="str">
        <f>HLOOKUP($A$4,'Auto Responses'!$F$2:$F$7,3,0)&amp;""</f>
        <v>2. When evaluating an answer, a default importance level has been set. You can use the "Importance Override" dropdown to override the default and adjust the value of the question.</v>
      </c>
      <c r="B39" s="239"/>
      <c r="C39" s="239"/>
      <c r="D39" s="239"/>
      <c r="E39" s="239"/>
      <c r="F39" s="239"/>
      <c r="G39" s="239"/>
      <c r="H39" s="239"/>
      <c r="I39" s="239"/>
      <c r="J39" s="239"/>
      <c r="K39" s="16"/>
    </row>
    <row r="40" spans="1:12" s="1" customFormat="1" ht="19.5" customHeight="1" x14ac:dyDescent="0.15">
      <c r="A40" s="239" t="str">
        <f>HLOOKUP($A$4,'Auto Responses'!$F$2:$F$7,4,0)&amp;""</f>
        <v>3. For questions that are qualitative or for which you disagree with the preferred response, make a selection in the "Compliant Override" dropdown to adjust the question's impact on the score.</v>
      </c>
      <c r="B40" s="239"/>
      <c r="C40" s="239"/>
      <c r="D40" s="239"/>
      <c r="E40" s="239"/>
      <c r="F40" s="239"/>
      <c r="G40" s="239"/>
      <c r="H40" s="239"/>
      <c r="I40" s="239"/>
      <c r="J40" s="239"/>
      <c r="K40" s="16"/>
    </row>
    <row r="41" spans="1:12" s="1" customFormat="1" ht="19.5" customHeight="1" x14ac:dyDescent="0.15">
      <c r="A41" s="239" t="str">
        <f>HLOOKUP($A$4,'Auto Responses'!$F$2:$F$7,5,0)&amp;""</f>
        <v xml:space="preserve">4. Each worksheet shows a report for that section. See the "Analyst Report" sheet for a full report of all sections. </v>
      </c>
      <c r="B41" s="239"/>
      <c r="C41" s="239"/>
      <c r="D41" s="239"/>
      <c r="E41" s="239"/>
      <c r="F41" s="239"/>
      <c r="G41" s="239"/>
      <c r="H41" s="239"/>
      <c r="I41" s="239"/>
      <c r="J41" s="239"/>
      <c r="K41" s="16"/>
    </row>
    <row r="42" spans="1:12" s="1" customFormat="1" ht="19.5" customHeight="1" x14ac:dyDescent="0.15">
      <c r="A42" s="239" t="str">
        <f>HLOOKUP($A$4,'Auto Responses'!$F$2:$F$7,6,0)&amp;""</f>
        <v xml:space="preserve">5. If you are evaluating a question that appears in an earlier section, the Importance and Compliant Override cannot be changed but additional notes can be added. </v>
      </c>
      <c r="B42" s="239"/>
      <c r="C42" s="239"/>
      <c r="D42" s="239"/>
      <c r="E42" s="239"/>
      <c r="F42" s="239"/>
      <c r="G42" s="239"/>
      <c r="H42" s="239"/>
      <c r="I42" s="239"/>
      <c r="J42" s="239"/>
      <c r="K42" s="16"/>
    </row>
    <row r="43" spans="1:12" s="1" customFormat="1" ht="19.5" customHeight="1" thickBot="1" x14ac:dyDescent="0.2">
      <c r="A43" s="239" t="str">
        <f>HLOOKUP($A$4,'Auto Responses'!$F$2:$F$8,7,0)&amp;""</f>
        <v>For full instructions, please visit EDUCAUSE.edu/HECVAT</v>
      </c>
      <c r="B43" s="59"/>
      <c r="C43" s="59"/>
      <c r="D43" s="59"/>
      <c r="E43" s="59"/>
      <c r="F43" s="59"/>
      <c r="G43" s="59"/>
      <c r="H43" s="59"/>
      <c r="I43" s="59"/>
      <c r="J43" s="59"/>
      <c r="K43" s="16"/>
    </row>
    <row r="44" spans="1:12" s="23" customFormat="1" ht="41.25" customHeight="1" thickBot="1" x14ac:dyDescent="0.2">
      <c r="A44" s="25"/>
      <c r="B44" s="25"/>
      <c r="C44" s="67"/>
      <c r="D44" s="25"/>
      <c r="E44" s="25"/>
      <c r="F44" s="178" t="s">
        <v>354</v>
      </c>
      <c r="G44" s="173" t="s">
        <v>643</v>
      </c>
      <c r="H44" s="174"/>
      <c r="I44" s="174"/>
      <c r="J44" s="174"/>
      <c r="K44" s="175"/>
      <c r="L44" s="1"/>
    </row>
    <row r="45" spans="1:12" s="29" customFormat="1" ht="48" customHeight="1" thickBot="1" x14ac:dyDescent="0.2">
      <c r="A45" s="26" t="s">
        <v>644</v>
      </c>
      <c r="B45" s="27" t="s">
        <v>645</v>
      </c>
      <c r="C45" s="27" t="s">
        <v>677</v>
      </c>
      <c r="D45" s="28" t="s">
        <v>352</v>
      </c>
      <c r="E45" s="270" t="s">
        <v>353</v>
      </c>
      <c r="F45" s="182" t="s">
        <v>646</v>
      </c>
      <c r="G45" s="46" t="s">
        <v>647</v>
      </c>
      <c r="H45" s="43" t="s">
        <v>648</v>
      </c>
      <c r="I45" s="43" t="s">
        <v>649</v>
      </c>
      <c r="J45" s="44" t="s">
        <v>650</v>
      </c>
      <c r="K45" s="47" t="s">
        <v>651</v>
      </c>
      <c r="L45" s="1"/>
    </row>
    <row r="46" spans="1:12" s="1" customFormat="1" ht="18" customHeight="1" x14ac:dyDescent="0.15">
      <c r="A46" s="61" t="str">
        <f>VLOOKUP(LEFT($A47,4),'Auto Responses'!$N$4:$O$38,2,0)&amp;""</f>
        <v xml:space="preserve"> General Privacy</v>
      </c>
      <c r="B46" s="22"/>
      <c r="C46" s="31"/>
      <c r="D46" s="31"/>
      <c r="E46" s="31"/>
      <c r="F46" s="126" t="s">
        <v>652</v>
      </c>
      <c r="G46" s="293" t="s">
        <v>647</v>
      </c>
      <c r="H46" s="293" t="s">
        <v>648</v>
      </c>
      <c r="I46" s="293" t="s">
        <v>649</v>
      </c>
      <c r="J46" s="293" t="s">
        <v>650</v>
      </c>
      <c r="K46" s="31"/>
    </row>
    <row r="47" spans="1:12" s="29" customFormat="1" ht="75" customHeight="1" x14ac:dyDescent="0.15">
      <c r="A47" s="19" t="s">
        <v>283</v>
      </c>
      <c r="B47" s="18" t="str">
        <f>VLOOKUP($A47,Questions!$A$2:$X$333,2,0)</f>
        <v>Does your solution process FERPA-related data?</v>
      </c>
      <c r="C47" s="45" t="str">
        <f>VLOOKUP($A47,Privacy!$A$13:$E$97,3,0)&amp;""</f>
        <v>Yes</v>
      </c>
      <c r="D47" s="34" t="str">
        <f>IF(LEFT(VLOOKUP($A47,Privacy!$A$13:$E$97,5,0),21)='Auto Responses'!$A$32,'Auto Responses'!$A$33,VLOOKUP($A47,Privacy!$A$13:$E$97,4,0))&amp;""</f>
        <v>Accredible may process FERPA-related data on behalf of institutions. Accredible acts as a data processor and handles such data in accordance with institutional agreements.</v>
      </c>
      <c r="E47" s="290" t="str">
        <f>VLOOKUP($A47,Privacy!$A$13:$E$97,5,0)&amp;""</f>
        <v>Provide documentation on the types of FERPA data you process and for what purpose, including data unrelated to service delivery such as marketing.</v>
      </c>
      <c r="F47" s="179"/>
      <c r="G47" s="30" t="str">
        <f>VLOOKUP($A47,Questions!$A$2:$X$333,21,0)&amp;""</f>
        <v>Not scored</v>
      </c>
      <c r="H47" s="176"/>
      <c r="I47" s="45" t="str">
        <f>VLOOKUP($A47,Questions!$A$2:$X$333,23,0)&amp;""</f>
        <v/>
      </c>
      <c r="J47" s="176"/>
      <c r="K47" s="48" t="b">
        <v>0</v>
      </c>
      <c r="L47" s="1"/>
    </row>
    <row r="48" spans="1:12" s="29" customFormat="1" ht="180" customHeight="1" x14ac:dyDescent="0.15">
      <c r="A48" s="19" t="s">
        <v>284</v>
      </c>
      <c r="B48" s="18" t="str">
        <f>VLOOKUP($A48,Questions!$A$2:$X$333,2,0)</f>
        <v>Does your solution process GDPR-related or PIPL-related data?</v>
      </c>
      <c r="C48" s="45" t="str">
        <f>VLOOKUP($A48,Privacy!$A$13:$E$97,3,0)&amp;""</f>
        <v>Yes</v>
      </c>
      <c r="D48" s="34" t="str">
        <f>IF(LEFT(VLOOKUP($A48,Privacy!$A$13:$E$97,5,0),21)='Auto Responses'!$A$32,'Auto Responses'!$A$33,VLOOKUP($A48,Privacy!$A$13:$E$97,4,0))&amp;""</f>
        <v>Accredible processes GDPR-related personal data for EU customers. Accredible acts as a data processor under GDPR and offers a Data Processing Addendum (DPA) including Standard Contractual Clauses for cross-border data transfers.</v>
      </c>
      <c r="E48" s="290" t="str">
        <f>VLOOKUP($A48,Privacy!$A$13:$E$97,5,0)&amp;""</f>
        <v>Provide documentation of any processes or policies that address compliance with GDPR and/or PIPL as appropriate.</v>
      </c>
      <c r="F48" s="179"/>
      <c r="G48" s="30" t="str">
        <f>VLOOKUP($A48,Questions!$A$2:$X$333,21,0)&amp;""</f>
        <v>Not scored</v>
      </c>
      <c r="H48" s="176"/>
      <c r="I48" s="45" t="str">
        <f>VLOOKUP($A48,Questions!$A$2:$X$333,23,0)&amp;""</f>
        <v/>
      </c>
      <c r="J48" s="176"/>
      <c r="K48" s="48" t="b">
        <v>0</v>
      </c>
      <c r="L48" s="1"/>
    </row>
    <row r="49" spans="1:12" s="29" customFormat="1" ht="28.5" customHeight="1" x14ac:dyDescent="0.15">
      <c r="A49" s="19" t="s">
        <v>285</v>
      </c>
      <c r="B49" s="18" t="str">
        <f>VLOOKUP($A49,Questions!$A$2:$X$333,2,0)</f>
        <v>Does your solution process personal data regulated by state law(s) (e.g., CCPA)?</v>
      </c>
      <c r="C49" s="45" t="str">
        <f>VLOOKUP($A49,Privacy!$A$13:$E$97,3,0)&amp;""</f>
        <v>Yes</v>
      </c>
      <c r="D49" s="34" t="str">
        <f>IF(LEFT(VLOOKUP($A49,Privacy!$A$13:$E$97,5,0),21)='Auto Responses'!$A$32,'Auto Responses'!$A$33,VLOOKUP($A49,Privacy!$A$13:$E$97,4,0))&amp;""</f>
        <v>Accredible processes personal data that may be regulated by state laws including CCPA for California residents. Accredible complies with applicable state privacy laws.</v>
      </c>
      <c r="E49" s="290" t="str">
        <f>VLOOKUP($A49,Privacy!$A$13:$E$97,5,0)&amp;""</f>
        <v>Provide documentation of any processes or policies that address compliance with applicable state laws.</v>
      </c>
      <c r="F49" s="179"/>
      <c r="G49" s="30" t="str">
        <f>VLOOKUP($A49,Questions!$A$2:$X$333,21,0)&amp;""</f>
        <v>Not scored</v>
      </c>
      <c r="H49" s="176"/>
      <c r="I49" s="45" t="str">
        <f>VLOOKUP($A49,Questions!$A$2:$X$333,23,0)&amp;""</f>
        <v/>
      </c>
      <c r="J49" s="176"/>
      <c r="K49" s="48" t="b">
        <v>0</v>
      </c>
      <c r="L49" s="1"/>
    </row>
    <row r="50" spans="1:12" s="29" customFormat="1" ht="28.5" customHeight="1" x14ac:dyDescent="0.15">
      <c r="A50" s="19" t="s">
        <v>286</v>
      </c>
      <c r="B50" s="18" t="str">
        <f>VLOOKUP($A50,Questions!$A$2:$X$333,2,0)</f>
        <v>Does your solution process user-provided data that may contain regulated information?</v>
      </c>
      <c r="C50" s="45" t="str">
        <f>VLOOKUP($A50,Privacy!$A$13:$E$97,3,0)&amp;""</f>
        <v>Yes</v>
      </c>
      <c r="D50" s="34" t="str">
        <f>IF(LEFT(VLOOKUP($A50,Privacy!$A$13:$E$97,5,0),21)='Auto Responses'!$A$32,'Auto Responses'!$A$33,VLOOKUP($A50,Privacy!$A$13:$E$97,4,0))&amp;""</f>
        <v>Accredible processes user-provided data that may contain regulated personal information such as names, email addresses, and credential-related information.</v>
      </c>
      <c r="E50" s="290" t="str">
        <f>VLOOKUP($A50,Privacy!$A$13:$E$97,5,0)&amp;""</f>
        <v>Identify any applicable regulations and provide documentation of any processes or policies that address compliance with each.</v>
      </c>
      <c r="F50" s="179"/>
      <c r="G50" s="30" t="str">
        <f>VLOOKUP($A50,Questions!$A$2:$X$333,21,0)&amp;""</f>
        <v>Not scored</v>
      </c>
      <c r="H50" s="176"/>
      <c r="I50" s="45" t="str">
        <f>VLOOKUP($A50,Questions!$A$2:$X$333,23,0)&amp;""</f>
        <v/>
      </c>
      <c r="J50" s="176"/>
      <c r="K50" s="48" t="b">
        <v>0</v>
      </c>
      <c r="L50" s="1"/>
    </row>
    <row r="51" spans="1:12" s="29" customFormat="1" ht="90" customHeight="1" x14ac:dyDescent="0.15">
      <c r="A51" s="19" t="s">
        <v>287</v>
      </c>
      <c r="B51" s="18" t="str">
        <f>VLOOKUP($A51,Questions!$A$2:$X$333,2,0)</f>
        <v>Web Link to Product/Service Privacy Notice</v>
      </c>
      <c r="C51" s="268" t="str">
        <f>VLOOKUP($A51,Privacy!$A$13:$E$97,3,0)&amp;""</f>
        <v>Yes</v>
      </c>
      <c r="D51" s="34" t="str">
        <f>IF(LEFT(VLOOKUP($A51,Privacy!$A$13:$E$97,5,0),21)='Auto Responses'!$A$32,'Auto Responses'!$A$33,VLOOKUP($A51,Privacy!$A$13:$E$97,4,0))&amp;""</f>
        <v>https://www.accredible.com/legal/privacy-policy</v>
      </c>
      <c r="E51" s="290" t="str">
        <f>VLOOKUP($A51,Privacy!$A$13:$E$97,5,0)&amp;""</f>
        <v>If multiple notices are implicated, provide all that apply. If any other documents are incorporated by reference, provide them as well.</v>
      </c>
      <c r="F51" s="179"/>
      <c r="G51" s="30" t="str">
        <f>VLOOKUP($A51,Questions!$A$2:$X$333,21,0)&amp;""</f>
        <v>Not scored</v>
      </c>
      <c r="H51" s="176"/>
      <c r="I51" s="45" t="str">
        <f>VLOOKUP($A51,Questions!$A$2:$X$333,23,0)&amp;""</f>
        <v/>
      </c>
      <c r="J51" s="176"/>
      <c r="K51" s="48" t="b">
        <v>0</v>
      </c>
      <c r="L51" s="1"/>
    </row>
    <row r="52" spans="1:12" s="1" customFormat="1" ht="18" customHeight="1" x14ac:dyDescent="0.15">
      <c r="A52" s="61" t="str">
        <f>VLOOKUP(LEFT($A53,4),'Auto Responses'!$N$4:$O$38,2,0)&amp;""</f>
        <v xml:space="preserve"> Privacy-Specific Company Details</v>
      </c>
      <c r="B52" s="22"/>
      <c r="C52" s="31"/>
      <c r="D52" s="31"/>
      <c r="E52" s="289"/>
      <c r="F52" s="126" t="s">
        <v>652</v>
      </c>
      <c r="G52" s="293" t="s">
        <v>647</v>
      </c>
      <c r="H52" s="293" t="s">
        <v>648</v>
      </c>
      <c r="I52" s="293" t="s">
        <v>649</v>
      </c>
      <c r="J52" s="293" t="s">
        <v>650</v>
      </c>
      <c r="K52" s="31"/>
    </row>
    <row r="53" spans="1:12" s="29" customFormat="1" ht="71.25" customHeight="1" x14ac:dyDescent="0.15">
      <c r="A53" s="19" t="s">
        <v>288</v>
      </c>
      <c r="B53" s="18" t="str">
        <f>VLOOKUP($A53,Questions!$A$2:$X$333,2,0)</f>
        <v>Have you had a personal data breach in the past three years that involved reporting to a governmental agency, notice to individuals (including voluntary notice), or notice to another organization or institution?*</v>
      </c>
      <c r="C53" s="45" t="str">
        <f>VLOOKUP($A53,Privacy!$A$13:$E$97,3,0)&amp;""</f>
        <v>No</v>
      </c>
      <c r="D53" s="34" t="str">
        <f>IF(LEFT(VLOOKUP($A53,Privacy!$A$13:$E$97,5,0),21)='Auto Responses'!$A$32,'Auto Responses'!$A$33,VLOOKUP($A53,Privacy!$A$13:$E$97,4,0))&amp;""</f>
        <v>Accredible has not had a personal data breach in the past three years that involved reporting to a governmental agency or notice to individuals.</v>
      </c>
      <c r="E53" s="288" t="str">
        <f>VLOOKUP($A53,Privacy!$A$13:$E$97,5,0)&amp;""</f>
        <v/>
      </c>
      <c r="F53" s="179"/>
      <c r="G53" s="30" t="str">
        <f>VLOOKUP($A53,Questions!$A$2:$X$333,21,0)&amp;""</f>
        <v>No</v>
      </c>
      <c r="H53" s="176"/>
      <c r="I53" s="45" t="str">
        <f>VLOOKUP($A53,Questions!$A$2:$X$333,23,0)&amp;""</f>
        <v>Critical Importance</v>
      </c>
      <c r="J53" s="176"/>
      <c r="K53" s="48" t="b">
        <v>0</v>
      </c>
      <c r="L53" s="1"/>
    </row>
    <row r="54" spans="1:12" s="29" customFormat="1" ht="60" customHeight="1" x14ac:dyDescent="0.15">
      <c r="A54" s="19" t="s">
        <v>289</v>
      </c>
      <c r="B54" s="18" t="str">
        <f>VLOOKUP($A54,Questions!$A$2:$X$333,2,0)</f>
        <v>Use this area to share information about your privacy practices that will assist those who are assessing your company data privacy program.*</v>
      </c>
      <c r="C54" s="268" t="str">
        <f>VLOOKUP($A54,Privacy!$A$13:$E$97,3,0)&amp;""</f>
        <v>Yes</v>
      </c>
      <c r="D54" s="34" t="str">
        <f>IF(LEFT(VLOOKUP($A54,Privacy!$A$13:$E$97,5,0),21)='Auto Responses'!$A$32,'Auto Responses'!$A$33,VLOOKUP($A54,Privacy!$A$13:$E$97,4,0))&amp;""</f>
        <v>Accredible acts as a data processor for its customers. A comprehensive Data Processing Addendum (DPA) is available at https://www.accredible.com/legal/dpa. Accredible holds a SOC 2 Type 2 certification, conducts annual penetration testing, and has a compliance officer and legal team overseeing data privacy. Accredible operates a data residency tenancy model allowing customers to choose EU or US data hosting. A subprocessor list is publicly available.</v>
      </c>
      <c r="E54" s="288" t="str">
        <f>VLOOKUP($A54,Privacy!$A$13:$E$97,5,0)&amp;""</f>
        <v>Share any additional details that would help data privacy analysts assess your solution.</v>
      </c>
      <c r="F54" s="179"/>
      <c r="G54" s="30" t="str">
        <f>VLOOKUP($A54,Questions!$A$2:$X$333,21,0)&amp;""</f>
        <v>Not scored</v>
      </c>
      <c r="H54" s="176"/>
      <c r="I54" s="45" t="str">
        <f>VLOOKUP($A54,Questions!$A$2:$X$333,23,0)&amp;""</f>
        <v/>
      </c>
      <c r="J54" s="176"/>
      <c r="K54" s="48" t="b">
        <v>0</v>
      </c>
      <c r="L54" s="1"/>
    </row>
    <row r="55" spans="1:12" s="29" customFormat="1" ht="42.75" customHeight="1" x14ac:dyDescent="0.15">
      <c r="A55" s="19" t="s">
        <v>290</v>
      </c>
      <c r="B55" s="18" t="str">
        <f>VLOOKUP($A55,Questions!$A$2:$X$333,2,0)</f>
        <v>Have you had any violations of your internal privacy policies or violations of applicable privacy law in the past 36 months?</v>
      </c>
      <c r="C55" s="45" t="str">
        <f>VLOOKUP($A55,Privacy!$A$13:$E$97,3,0)&amp;""</f>
        <v>No</v>
      </c>
      <c r="D55" s="34" t="str">
        <f>IF(LEFT(VLOOKUP($A55,Privacy!$A$13:$E$97,5,0),21)='Auto Responses'!$A$32,'Auto Responses'!$A$33,VLOOKUP($A55,Privacy!$A$13:$E$97,4,0))&amp;""</f>
        <v>Accredible has not had any violations of its internal privacy policies or applicable privacy law in the past 36 months.</v>
      </c>
      <c r="E55" s="288" t="str">
        <f>VLOOKUP($A55,Privacy!$A$13:$E$97,5,0)&amp;""</f>
        <v/>
      </c>
      <c r="F55" s="179"/>
      <c r="G55" s="30" t="str">
        <f>VLOOKUP($A55,Questions!$A$2:$X$333,21,0)&amp;""</f>
        <v>No</v>
      </c>
      <c r="H55" s="176"/>
      <c r="I55" s="45" t="str">
        <f>VLOOKUP($A55,Questions!$A$2:$X$333,23,0)&amp;""</f>
        <v>Minor Importance</v>
      </c>
      <c r="J55" s="176"/>
      <c r="K55" s="48" t="b">
        <v>0</v>
      </c>
      <c r="L55" s="1"/>
    </row>
    <row r="56" spans="1:12" s="29" customFormat="1" ht="60" customHeight="1" x14ac:dyDescent="0.15">
      <c r="A56" s="19" t="s">
        <v>291</v>
      </c>
      <c r="B56" s="18" t="str">
        <f>VLOOKUP($A56,Questions!$A$2:$X$333,2,0)</f>
        <v>Do you have a dedicated data privacy staff or office?</v>
      </c>
      <c r="C56" s="45" t="str">
        <f>VLOOKUP($A56,Privacy!$A$13:$E$97,3,0)&amp;""</f>
        <v>Yes</v>
      </c>
      <c r="D56" s="34" t="str">
        <f>IF(LEFT(VLOOKUP($A56,Privacy!$A$13:$E$97,5,0),21)='Auto Responses'!$A$32,'Auto Responses'!$A$33,VLOOKUP($A56,Privacy!$A$13:$E$97,4,0))&amp;""</f>
        <v>Accredible has a dedicated compliance officer and legal team overseeing data privacy. The compliance officer develops policies, conducts risk assessments, and ensures regulatory compliance.</v>
      </c>
      <c r="E56" s="288" t="str">
        <f>VLOOKUP($A56,Privacy!$A$13:$E$97,5,0)&amp;""</f>
        <v>Describe your data privacy office, including size, talents, resources, etc.</v>
      </c>
      <c r="F56" s="179"/>
      <c r="G56" s="30" t="str">
        <f>VLOOKUP($A56,Questions!$A$2:$X$333,21,0)&amp;""</f>
        <v>Yes</v>
      </c>
      <c r="H56" s="176"/>
      <c r="I56" s="45" t="str">
        <f>VLOOKUP($A56,Questions!$A$2:$X$333,23,0)&amp;""</f>
        <v>Minor Importance</v>
      </c>
      <c r="J56" s="176"/>
      <c r="K56" s="48" t="b">
        <v>0</v>
      </c>
      <c r="L56" s="1"/>
    </row>
    <row r="57" spans="1:12" s="1" customFormat="1" ht="18" customHeight="1" x14ac:dyDescent="0.15">
      <c r="A57" s="61" t="str">
        <f>VLOOKUP(LEFT($A58,4),'Auto Responses'!$N$4:$O$38,2,0)&amp;""</f>
        <v xml:space="preserve"> Privacy-Specific Documentation</v>
      </c>
      <c r="B57" s="22"/>
      <c r="C57" s="31"/>
      <c r="D57" s="31"/>
      <c r="E57" s="289"/>
      <c r="F57" s="126" t="s">
        <v>652</v>
      </c>
      <c r="G57" s="293" t="s">
        <v>647</v>
      </c>
      <c r="H57" s="293" t="s">
        <v>648</v>
      </c>
      <c r="I57" s="293" t="s">
        <v>649</v>
      </c>
      <c r="J57" s="293" t="s">
        <v>650</v>
      </c>
      <c r="K57" s="31"/>
    </row>
    <row r="58" spans="1:12" s="29" customFormat="1" ht="120" customHeight="1" x14ac:dyDescent="0.15">
      <c r="A58" s="19" t="s">
        <v>292</v>
      </c>
      <c r="B58" s="18" t="str">
        <f>VLOOKUP($A58,Questions!$A$2:$X$333,2,0)</f>
        <v>If you have completed a SOC 2 audit, does it include the Privacy Trust Service Principle?</v>
      </c>
      <c r="C58" s="45" t="str">
        <f>VLOOKUP($A58,Privacy!$A$13:$E$97,3,0)&amp;""</f>
        <v>Yes</v>
      </c>
      <c r="D58" s="34" t="str">
        <f>IF(LEFT(VLOOKUP($A58,Privacy!$A$13:$E$97,5,0),21)='Auto Responses'!$A$32,'Auto Responses'!$A$33,VLOOKUP($A58,Privacy!$A$13:$E$97,4,0))&amp;""</f>
        <v>Accredible's SOC 2 Type 2 audit includes assessment of privacy-related trust services criteria.</v>
      </c>
      <c r="E58" s="288" t="str">
        <f>VLOOKUP($A58,Privacy!$A$13:$E$97,5,0)&amp;""</f>
        <v>Please indicate whether your organization will allow clients to review current SOC 2 Type II reports and, if so, how the reports will be made available in a timely manner.</v>
      </c>
      <c r="F58" s="179"/>
      <c r="G58" s="30" t="str">
        <f>VLOOKUP($A58,Questions!$A$2:$X$333,21,0)&amp;""</f>
        <v>Not scored</v>
      </c>
      <c r="H58" s="176"/>
      <c r="I58" s="45" t="str">
        <f>VLOOKUP($A58,Questions!$A$2:$X$333,23,0)&amp;""</f>
        <v/>
      </c>
      <c r="J58" s="176"/>
      <c r="K58" s="48" t="b">
        <v>0</v>
      </c>
      <c r="L58" s="1"/>
    </row>
    <row r="59" spans="1:12" s="29" customFormat="1" ht="150" customHeight="1" x14ac:dyDescent="0.15">
      <c r="A59" s="19" t="s">
        <v>293</v>
      </c>
      <c r="B59" s="18" t="str">
        <f>VLOOKUP($A59,Questions!$A$2:$X$333,2,0)</f>
        <v>Do you conform with a specific industry-standard privacy framework (e.g., NIST Privacy Framework, GDPR, ISO 27701)?</v>
      </c>
      <c r="C59" s="45" t="str">
        <f>VLOOKUP($A59,Privacy!$A$13:$E$97,3,0)&amp;""</f>
        <v>Yes</v>
      </c>
      <c r="D59" s="34" t="str">
        <f>IF(LEFT(VLOOKUP($A59,Privacy!$A$13:$E$97,5,0),21)='Auto Responses'!$A$32,'Auto Responses'!$A$33,VLOOKUP($A59,Privacy!$A$13:$E$97,4,0))&amp;""</f>
        <v>Accredible conforms with GDPR as a data processor and monitors alignment with the NIST Privacy Framework.</v>
      </c>
      <c r="E59" s="288" t="str">
        <f>VLOOKUP($A59,Privacy!$A$13:$E$97,5,0)&amp;""</f>
        <v>Indicate which framework(s) are followed; provide documentation on how your organization conforms to your chosen framework(s) and indicate current certification levels, where appropriate.</v>
      </c>
      <c r="F59" s="179"/>
      <c r="G59" s="30" t="str">
        <f>VLOOKUP($A59,Questions!$A$2:$X$333,21,0)&amp;""</f>
        <v>Not scored</v>
      </c>
      <c r="H59" s="176"/>
      <c r="I59" s="45" t="str">
        <f>VLOOKUP($A59,Questions!$A$2:$X$333,23,0)&amp;""</f>
        <v/>
      </c>
      <c r="J59" s="176"/>
      <c r="K59" s="48" t="b">
        <v>0</v>
      </c>
      <c r="L59" s="1"/>
    </row>
    <row r="60" spans="1:12" s="29" customFormat="1" ht="42.75" customHeight="1" x14ac:dyDescent="0.15">
      <c r="A60" s="19" t="s">
        <v>294</v>
      </c>
      <c r="B60" s="18" t="str">
        <f>VLOOKUP($A60,Questions!$A$2:$X$333,2,0)</f>
        <v>Does your employee onboarding and offboarding policy include training of employees on information security and data privacy?</v>
      </c>
      <c r="C60" s="45" t="str">
        <f>VLOOKUP($A60,Privacy!$A$13:$E$97,3,0)&amp;""</f>
        <v>Yes</v>
      </c>
      <c r="D60" s="34" t="str">
        <f>IF(LEFT(VLOOKUP($A60,Privacy!$A$13:$E$97,5,0),21)='Auto Responses'!$A$32,'Auto Responses'!$A$33,VLOOKUP($A60,Privacy!$A$13:$E$97,4,0))&amp;""</f>
        <v>Accredible's employee onboarding includes training on information security and data privacy principles.</v>
      </c>
      <c r="E60" s="288" t="str">
        <f>VLOOKUP($A60,Privacy!$A$13:$E$97,5,0)&amp;""</f>
        <v>Provide an overview of your organization's relevant onboarding/offboarding policy and employee training on information security and privacy.</v>
      </c>
      <c r="F60" s="179"/>
      <c r="G60" s="30" t="str">
        <f>VLOOKUP($A60,Questions!$A$2:$X$333,21,0)&amp;""</f>
        <v>Yes</v>
      </c>
      <c r="H60" s="176"/>
      <c r="I60" s="45" t="str">
        <f>VLOOKUP($A60,Questions!$A$2:$X$333,23,0)&amp;""</f>
        <v>Standard Importance</v>
      </c>
      <c r="J60" s="176"/>
      <c r="K60" s="48" t="b">
        <v>0</v>
      </c>
      <c r="L60" s="1"/>
    </row>
    <row r="61" spans="1:12" s="1" customFormat="1" ht="18" customHeight="1" x14ac:dyDescent="0.15">
      <c r="A61" s="61" t="str">
        <f>VLOOKUP(LEFT($A62,4),'Auto Responses'!$N$4:$O$38,2,0)&amp;""</f>
        <v xml:space="preserve"> Privacy of Third Parties</v>
      </c>
      <c r="B61" s="22"/>
      <c r="C61" s="31"/>
      <c r="D61" s="31"/>
      <c r="E61" s="289"/>
      <c r="F61" s="126" t="s">
        <v>652</v>
      </c>
      <c r="G61" s="293" t="s">
        <v>647</v>
      </c>
      <c r="H61" s="293" t="s">
        <v>648</v>
      </c>
      <c r="I61" s="293" t="s">
        <v>649</v>
      </c>
      <c r="J61" s="293" t="s">
        <v>650</v>
      </c>
      <c r="K61" s="31"/>
    </row>
    <row r="62" spans="1:12" s="29" customFormat="1" ht="165" customHeight="1" x14ac:dyDescent="0.15">
      <c r="A62" s="19" t="s">
        <v>295</v>
      </c>
      <c r="B62" s="18" t="str">
        <f>VLOOKUP($A62,Questions!$A$2:$X$333,2,0)</f>
        <v>Do you have contractual agreements with third parties that require them to maintain standards and to comply with all regulatory requirements?*</v>
      </c>
      <c r="C62" s="45" t="str">
        <f>VLOOKUP($A62,Privacy!$A$13:$E$97,3,0)&amp;""</f>
        <v>Yes</v>
      </c>
      <c r="D62" s="34" t="str">
        <f>IF(LEFT(VLOOKUP($A62,Privacy!$A$13:$E$97,5,0),21)='Auto Responses'!$A$32,'Auto Responses'!$A$33,VLOOKUP($A62,Privacy!$A$13:$E$97,4,0))&amp;""</f>
        <v>Accredible has contractual agreements with all third parties and sub-processors requiring them to maintain appropriate standards and comply with regulatory requirements. Sub-processors are prohibited from using or passing on customer data to other parties.</v>
      </c>
      <c r="E62" s="288" t="str">
        <f>VLOOKUP($A62,Privacy!$A$13:$E$97,5,0)&amp;""</f>
        <v>Provide a summary of the contractual language used and your processes for ensuring appropriate language is regularly reviewed and is included in both new and renewed agreements.</v>
      </c>
      <c r="F62" s="179"/>
      <c r="G62" s="30" t="str">
        <f>VLOOKUP($A62,Questions!$A$2:$X$333,21,0)&amp;""</f>
        <v>Yes</v>
      </c>
      <c r="H62" s="176"/>
      <c r="I62" s="45" t="str">
        <f>VLOOKUP($A62,Questions!$A$2:$X$333,23,0)&amp;""</f>
        <v>Critical Importance</v>
      </c>
      <c r="J62" s="176"/>
      <c r="K62" s="48" t="b">
        <v>0</v>
      </c>
      <c r="L62" s="1"/>
    </row>
    <row r="63" spans="1:12" s="29" customFormat="1" ht="195" customHeight="1" x14ac:dyDescent="0.15">
      <c r="A63" s="19" t="s">
        <v>296</v>
      </c>
      <c r="B63" s="18" t="str">
        <f>VLOOKUP($A63,Questions!$A$2:$X$333,2,0)</f>
        <v>Do you perform privacy impact assessments of third parties that collect, process, or have access to personal data to ensure they meet industry and regulatory standards and to mitigate harmful, unethical, or discriminatory impacts on data subjects?</v>
      </c>
      <c r="C63" s="45" t="str">
        <f>VLOOKUP($A63,Privacy!$A$13:$E$97,3,0)&amp;""</f>
        <v>Yes</v>
      </c>
      <c r="D63" s="34" t="str">
        <f>IF(LEFT(VLOOKUP($A63,Privacy!$A$13:$E$97,5,0),21)='Auto Responses'!$A$32,'Auto Responses'!$A$33,VLOOKUP($A63,Privacy!$A$13:$E$97,4,0))&amp;""</f>
        <v>Accredible performs privacy impact assessments of third parties that collect, process, or have access to personal data, including reviewing SOC 2 reports annually.</v>
      </c>
      <c r="E63" s="288" t="str">
        <f>VLOOKUP($A63,Privacy!$A$13:$E$97,5,0)&amp;""</f>
        <v>Provide a summary of your practices that assures that the third party will be subject to the appropriate standards regarding data privacy.</v>
      </c>
      <c r="F63" s="179"/>
      <c r="G63" s="30" t="str">
        <f>VLOOKUP($A63,Questions!$A$2:$X$333,21,0)&amp;""</f>
        <v>Yes</v>
      </c>
      <c r="H63" s="176"/>
      <c r="I63" s="45" t="str">
        <f>VLOOKUP($A63,Questions!$A$2:$X$333,23,0)&amp;""</f>
        <v>Minor Importance</v>
      </c>
      <c r="J63" s="176"/>
      <c r="K63" s="48" t="b">
        <v>0</v>
      </c>
      <c r="L63" s="1"/>
    </row>
    <row r="64" spans="1:12" s="1" customFormat="1" ht="18" customHeight="1" x14ac:dyDescent="0.15">
      <c r="A64" s="61" t="str">
        <f>VLOOKUP(LEFT($A65,4),'Auto Responses'!$N$4:$O$38,2,0)&amp;""</f>
        <v xml:space="preserve"> Privacy Change Management</v>
      </c>
      <c r="B64" s="22"/>
      <c r="C64" s="31"/>
      <c r="D64" s="31"/>
      <c r="E64" s="289"/>
      <c r="F64" s="126" t="s">
        <v>652</v>
      </c>
      <c r="G64" s="293" t="s">
        <v>647</v>
      </c>
      <c r="H64" s="293" t="s">
        <v>648</v>
      </c>
      <c r="I64" s="293" t="s">
        <v>649</v>
      </c>
      <c r="J64" s="293" t="s">
        <v>650</v>
      </c>
      <c r="K64" s="31"/>
    </row>
    <row r="65" spans="1:12" s="29" customFormat="1" ht="75" customHeight="1" x14ac:dyDescent="0.15">
      <c r="A65" s="19" t="s">
        <v>297</v>
      </c>
      <c r="B65" s="18" t="str">
        <f>VLOOKUP($A65,Questions!$A$2:$X$333,2,0)</f>
        <v>Does your change management process include privacy review and approval?</v>
      </c>
      <c r="C65" s="45" t="str">
        <f>VLOOKUP($A65,Privacy!$A$13:$E$97,3,0)&amp;""</f>
        <v>Yes</v>
      </c>
      <c r="D65" s="34" t="str">
        <f>IF(LEFT(VLOOKUP($A65,Privacy!$A$13:$E$97,5,0),21)='Auto Responses'!$A$32,'Auto Responses'!$A$33,VLOOKUP($A65,Privacy!$A$13:$E$97,4,0))&amp;""</f>
        <v>Accredible's change management process includes privacy review and approval for changes that could affect personal data processing.</v>
      </c>
      <c r="E65" s="288" t="str">
        <f>VLOOKUP($A65,Privacy!$A$13:$E$97,5,0)&amp;""</f>
        <v>Please describe your process for privacy review.</v>
      </c>
      <c r="F65" s="179"/>
      <c r="G65" s="30" t="str">
        <f>VLOOKUP($A65,Questions!$A$2:$X$333,21,0)&amp;""</f>
        <v>Yes</v>
      </c>
      <c r="H65" s="176"/>
      <c r="I65" s="45" t="str">
        <f>VLOOKUP($A65,Questions!$A$2:$X$333,23,0)&amp;""</f>
        <v>Standard Importance</v>
      </c>
      <c r="J65" s="176"/>
      <c r="K65" s="48" t="b">
        <v>0</v>
      </c>
      <c r="L65" s="1"/>
    </row>
    <row r="66" spans="1:12" s="29" customFormat="1" ht="60" customHeight="1" x14ac:dyDescent="0.15">
      <c r="A66" s="19" t="s">
        <v>298</v>
      </c>
      <c r="B66" s="18" t="str">
        <f>VLOOKUP($A66,Questions!$A$2:$X$333,2,0)</f>
        <v>Do you have policy and procedure, currently implemented, guiding how privacy risks are mitigated until they can be resolved?</v>
      </c>
      <c r="C66" s="45" t="str">
        <f>VLOOKUP($A66,Privacy!$A$13:$E$97,3,0)&amp;""</f>
        <v>Yes</v>
      </c>
      <c r="D66" s="34" t="str">
        <f>IF(LEFT(VLOOKUP($A66,Privacy!$A$13:$E$97,5,0),21)='Auto Responses'!$A$32,'Auto Responses'!$A$33,VLOOKUP($A66,Privacy!$A$13:$E$97,4,0))&amp;""</f>
        <v>Accredible has documented policies and procedures for mitigating privacy risks until they can be fully resolved.</v>
      </c>
      <c r="E66" s="288" t="str">
        <f>VLOOKUP($A66,Privacy!$A$13:$E$97,5,0)&amp;""</f>
        <v>Please provide an overview of privacy risk mitigation.</v>
      </c>
      <c r="F66" s="179"/>
      <c r="G66" s="30" t="str">
        <f>VLOOKUP($A66,Questions!$A$2:$X$333,21,0)&amp;""</f>
        <v>Yes</v>
      </c>
      <c r="H66" s="176"/>
      <c r="I66" s="45" t="str">
        <f>VLOOKUP($A66,Questions!$A$2:$X$333,23,0)&amp;""</f>
        <v>Minor Importance</v>
      </c>
      <c r="J66" s="176"/>
      <c r="K66" s="48" t="b">
        <v>0</v>
      </c>
      <c r="L66" s="1"/>
    </row>
    <row r="67" spans="1:12" s="1" customFormat="1" ht="18" customHeight="1" x14ac:dyDescent="0.15">
      <c r="A67" s="61" t="str">
        <f>VLOOKUP(LEFT($A68,4),'Auto Responses'!$N$4:$O$38,2,0)&amp;""</f>
        <v xml:space="preserve"> Privacy of Sensitive Data</v>
      </c>
      <c r="B67" s="22"/>
      <c r="C67" s="31"/>
      <c r="D67" s="31"/>
      <c r="E67" s="289"/>
      <c r="F67" s="126" t="s">
        <v>652</v>
      </c>
      <c r="G67" s="293" t="s">
        <v>647</v>
      </c>
      <c r="H67" s="293" t="s">
        <v>648</v>
      </c>
      <c r="I67" s="293" t="s">
        <v>649</v>
      </c>
      <c r="J67" s="293" t="s">
        <v>650</v>
      </c>
      <c r="K67" s="31"/>
    </row>
    <row r="68" spans="1:12" s="29" customFormat="1" ht="270" customHeight="1" x14ac:dyDescent="0.15">
      <c r="A68" s="19" t="s">
        <v>299</v>
      </c>
      <c r="B68" s="18" t="str">
        <f>VLOOKUP($A68,Questions!$A$2:$X$333,2,0)</f>
        <v>Do you collect, process, or store demographic information?*</v>
      </c>
      <c r="C68" s="45" t="str">
        <f>VLOOKUP($A68,Privacy!$A$13:$E$97,3,0)&amp;""</f>
        <v>Yes</v>
      </c>
      <c r="D68" s="34" t="str">
        <f>IF(LEFT(VLOOKUP($A68,Privacy!$A$13:$E$97,5,0),21)='Auto Responses'!$A$32,'Auto Responses'!$A$33,VLOOKUP($A68,Privacy!$A$13:$E$97,4,0))&amp;""</f>
        <v>Accredible collects and processes demographic information such as names and email addresses of credential recipients on behalf of issuing organizations.</v>
      </c>
      <c r="E68" s="288" t="str">
        <f>VLOOKUP($A68,Privacy!$A$13:$E$97,5,0)&amp;""</f>
        <v>Describe which demographic information you handle and the source of the requirements, if applicable.</v>
      </c>
      <c r="F68" s="179"/>
      <c r="G68" s="30" t="str">
        <f>VLOOKUP($A68,Questions!$A$2:$X$333,21,0)&amp;""</f>
        <v>No</v>
      </c>
      <c r="H68" s="176"/>
      <c r="I68" s="45" t="str">
        <f>VLOOKUP($A68,Questions!$A$2:$X$333,23,0)&amp;""</f>
        <v>Critical Importance</v>
      </c>
      <c r="J68" s="176"/>
      <c r="K68" s="48" t="b">
        <v>0</v>
      </c>
      <c r="L68" s="1"/>
    </row>
    <row r="69" spans="1:12" s="29" customFormat="1" ht="315" customHeight="1" x14ac:dyDescent="0.15">
      <c r="A69" s="19" t="s">
        <v>300</v>
      </c>
      <c r="B69" s="18" t="str">
        <f>VLOOKUP($A69,Questions!$A$2:$X$333,2,0)</f>
        <v>Do you capture or create genetic, biometric, or behaviometric information (e.g., facial recognition or fingerprints)?*</v>
      </c>
      <c r="C69" s="45" t="str">
        <f>VLOOKUP($A69,Privacy!$A$13:$E$97,3,0)&amp;""</f>
        <v>No</v>
      </c>
      <c r="D69" s="34" t="str">
        <f>IF(LEFT(VLOOKUP($A69,Privacy!$A$13:$E$97,5,0),21)='Auto Responses'!$A$32,'Auto Responses'!$A$33,VLOOKUP($A69,Privacy!$A$13:$E$97,4,0))&amp;""</f>
        <v>Accredible does not capture or create genetic, biometric, or behaviometric information. No facial recognition or fingerprint data is collected.</v>
      </c>
      <c r="E69" s="288" t="str">
        <f>VLOOKUP($A69,Privacy!$A$13:$E$97,5,0)&amp;""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69" s="179"/>
      <c r="G69" s="30" t="str">
        <f>VLOOKUP($A69,Questions!$A$2:$X$333,21,0)&amp;""</f>
        <v>No</v>
      </c>
      <c r="H69" s="176"/>
      <c r="I69" s="45" t="str">
        <f>VLOOKUP($A69,Questions!$A$2:$X$333,23,0)&amp;""</f>
        <v>Critical Importance</v>
      </c>
      <c r="J69" s="176"/>
      <c r="K69" s="48" t="b">
        <v>0</v>
      </c>
      <c r="L69" s="1"/>
    </row>
    <row r="70" spans="1:12" s="29" customFormat="1" ht="225" customHeight="1" x14ac:dyDescent="0.15">
      <c r="A70" s="19" t="s">
        <v>301</v>
      </c>
      <c r="B70" s="18" t="str">
        <f>VLOOKUP($A70,Questions!$A$2:$X$333,2,0)</f>
        <v>Do you combine institutional data (including "de-identified," "anonymized," or otherwise masked data) with personal data from any other sources?*</v>
      </c>
      <c r="C70" s="45" t="str">
        <f>VLOOKUP($A70,Privacy!$A$13:$E$97,3,0)&amp;""</f>
        <v>No</v>
      </c>
      <c r="D70" s="34" t="str">
        <f>IF(LEFT(VLOOKUP($A70,Privacy!$A$13:$E$97,5,0),21)='Auto Responses'!$A$32,'Auto Responses'!$A$33,VLOOKUP($A70,Privacy!$A$13:$E$97,4,0))&amp;""</f>
        <v>Accredible does not combine institutional data with personal data from other sources for purposes unrelated to the services provided to the institution.</v>
      </c>
      <c r="E70" s="288" t="str">
        <f>VLOOKUP($A70,Privacy!$A$13:$E$97,5,0)&amp;""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70" s="179"/>
      <c r="G70" s="30" t="str">
        <f>VLOOKUP($A70,Questions!$A$2:$X$333,21,0)&amp;""</f>
        <v>No</v>
      </c>
      <c r="H70" s="176"/>
      <c r="I70" s="45" t="str">
        <f>VLOOKUP($A70,Questions!$A$2:$X$333,23,0)&amp;""</f>
        <v>Critical Importance</v>
      </c>
      <c r="J70" s="176"/>
      <c r="K70" s="48" t="b">
        <v>0</v>
      </c>
      <c r="L70" s="1"/>
    </row>
    <row r="71" spans="1:12" s="29" customFormat="1" ht="165" customHeight="1" x14ac:dyDescent="0.15">
      <c r="A71" s="19" t="s">
        <v>302</v>
      </c>
      <c r="B71" s="18" t="str">
        <f>VLOOKUP($A71,Questions!$A$2:$X$333,2,0)</f>
        <v>Is institutional data coming into or going out of the United States at any point during collection, processing, storage, or archiving?</v>
      </c>
      <c r="C71" s="45" t="str">
        <f>VLOOKUP($A71,Privacy!$A$13:$E$97,3,0)&amp;""</f>
        <v>Yes</v>
      </c>
      <c r="D71" s="34" t="str">
        <f>IF(LEFT(VLOOKUP($A71,Privacy!$A$13:$E$97,5,0),21)='Auto Responses'!$A$32,'Auto Responses'!$A$33,VLOOKUP($A71,Privacy!$A$13:$E$97,4,0))&amp;""</f>
        <v>Institutional data may be processed across jurisdictions depending on the selected data region (EU or US) and the use of sub-processors. All cross-border transfers are subject to appropriate safeguards including Standard Contractual Clauses for EU data.</v>
      </c>
      <c r="E71" s="288" t="str">
        <f>VLOOKUP($A71,Privacy!$A$13:$E$97,5,0)&amp;""</f>
        <v>Describe where and whether you comply with the laws of that jurisdiction.</v>
      </c>
      <c r="F71" s="179"/>
      <c r="G71" s="30" t="str">
        <f>VLOOKUP($A71,Questions!$A$2:$X$333,21,0)&amp;""</f>
        <v>No</v>
      </c>
      <c r="H71" s="176"/>
      <c r="I71" s="45" t="str">
        <f>VLOOKUP($A71,Questions!$A$2:$X$333,23,0)&amp;""</f>
        <v>Minor Importance</v>
      </c>
      <c r="J71" s="176"/>
      <c r="K71" s="48" t="b">
        <v>0</v>
      </c>
      <c r="L71" s="1"/>
    </row>
    <row r="72" spans="1:12" s="29" customFormat="1" ht="120" customHeight="1" x14ac:dyDescent="0.15">
      <c r="A72" s="19" t="s">
        <v>303</v>
      </c>
      <c r="B72" s="18" t="str">
        <f>VLOOKUP($A72,Questions!$A$2:$X$333,2,0)</f>
        <v>Do you capture device information (e.g., IP address, MAC address)?</v>
      </c>
      <c r="C72" s="45" t="str">
        <f>VLOOKUP($A72,Privacy!$A$13:$E$97,3,0)&amp;""</f>
        <v>Yes</v>
      </c>
      <c r="D72" s="34" t="str">
        <f>IF(LEFT(VLOOKUP($A72,Privacy!$A$13:$E$97,5,0),21)='Auto Responses'!$A$32,'Auto Responses'!$A$33,VLOOKUP($A72,Privacy!$A$13:$E$97,4,0))&amp;""</f>
        <v>Accredible captures device information including IP addresses for security and audit logging purposes.</v>
      </c>
      <c r="E72" s="288" t="str">
        <f>VLOOKUP($A72,Privacy!$A$13:$E$97,5,0)&amp;""</f>
        <v>Describe what information you collect and the reason for collecting it.</v>
      </c>
      <c r="F72" s="179"/>
      <c r="G72" s="30" t="str">
        <f>VLOOKUP($A72,Questions!$A$2:$X$333,21,0)&amp;""</f>
        <v>No</v>
      </c>
      <c r="H72" s="176"/>
      <c r="I72" s="45" t="str">
        <f>VLOOKUP($A72,Questions!$A$2:$X$333,23,0)&amp;""</f>
        <v>Minor Importance</v>
      </c>
      <c r="J72" s="176"/>
      <c r="K72" s="48" t="b">
        <v>0</v>
      </c>
      <c r="L72" s="1"/>
    </row>
    <row r="73" spans="1:12" s="29" customFormat="1" ht="60" customHeight="1" x14ac:dyDescent="0.15">
      <c r="A73" s="19" t="s">
        <v>304</v>
      </c>
      <c r="B73" s="18" t="str">
        <f>VLOOKUP($A73,Questions!$A$2:$X$333,2,0)</f>
        <v>Does any part of this service/project involve a web/app tracking component (e.g., use of web-tracking pixels, cookies)?</v>
      </c>
      <c r="C73" s="45" t="str">
        <f>VLOOKUP($A73,Privacy!$A$13:$E$97,3,0)&amp;""</f>
        <v>Yes</v>
      </c>
      <c r="D73" s="34" t="str">
        <f>IF(LEFT(VLOOKUP($A73,Privacy!$A$13:$E$97,5,0),21)='Auto Responses'!$A$32,'Auto Responses'!$A$33,VLOOKUP($A73,Privacy!$A$13:$E$97,4,0))&amp;""</f>
        <v>Accredible uses cookies and web tracking technologies on its platform. Details are provided in the Accredible privacy policy and cookie policy.</v>
      </c>
      <c r="E73" s="288" t="str">
        <f>VLOOKUP($A73,Privacy!$A$13:$E$97,5,0)&amp;""</f>
        <v>Describe the tracking component and what is done with the information.</v>
      </c>
      <c r="F73" s="179"/>
      <c r="G73" s="30" t="str">
        <f>VLOOKUP($A73,Questions!$A$2:$X$333,21,0)&amp;""</f>
        <v>No</v>
      </c>
      <c r="H73" s="176"/>
      <c r="I73" s="45" t="str">
        <f>VLOOKUP($A73,Questions!$A$2:$X$333,23,0)&amp;""</f>
        <v>Minor Importance</v>
      </c>
      <c r="J73" s="176"/>
      <c r="K73" s="48" t="b">
        <v>0</v>
      </c>
      <c r="L73" s="1"/>
    </row>
    <row r="74" spans="1:12" s="29" customFormat="1" ht="60" customHeight="1" x14ac:dyDescent="0.15">
      <c r="A74" s="19" t="s">
        <v>305</v>
      </c>
      <c r="B74" s="18" t="str">
        <f>VLOOKUP($A74,Questions!$A$2:$X$333,2,0)</f>
        <v>Does your staff (or a third party) have access to institutional data (e.g., financial, PHI, or other sensitive information) through any means?</v>
      </c>
      <c r="C74" s="45" t="str">
        <f>VLOOKUP($A74,Privacy!$A$13:$E$97,3,0)&amp;""</f>
        <v>Limited and controlled</v>
      </c>
      <c r="D74" s="34" t="str">
        <f>IF(LEFT(VLOOKUP($A74,Privacy!$A$13:$E$97,5,0),21)='Auto Responses'!$A$32,'Auto Responses'!$A$33,VLOOKUP($A74,Privacy!$A$13:$E$97,4,0))&amp;""</f>
        <v>Authorized Accredible staff have access to institutional data for operational, support, and security purposes under least-privilege principles.</v>
      </c>
      <c r="E74" s="288" t="str">
        <f>VLOOKUP($A74,Privacy!$A$13:$E$97,5,0)&amp;""</f>
        <v>Accessing institutional data may be necessary for legitimate business purposes.</v>
      </c>
      <c r="F74" s="179"/>
      <c r="G74" s="30" t="str">
        <f>VLOOKUP($A74,Questions!$A$2:$X$333,21,0)&amp;""</f>
        <v>No</v>
      </c>
      <c r="H74" s="176"/>
      <c r="I74" s="45" t="str">
        <f>VLOOKUP($A74,Questions!$A$2:$X$333,23,0)&amp;""</f>
        <v>Minor Importance</v>
      </c>
      <c r="J74" s="176"/>
      <c r="K74" s="48" t="b">
        <v>0</v>
      </c>
      <c r="L74" s="1"/>
    </row>
    <row r="75" spans="1:12" s="29" customFormat="1" ht="42.75" customHeight="1" x14ac:dyDescent="0.15">
      <c r="A75" s="19" t="s">
        <v>306</v>
      </c>
      <c r="B75" s="18" t="str">
        <f>VLOOKUP($A75,Questions!$A$2:$X$333,2,0)</f>
        <v>Will you handle personal data in a manner compliant with all relevant laws, regulations, and applicable institution policies?</v>
      </c>
      <c r="C75" s="45" t="str">
        <f>VLOOKUP($A75,Privacy!$A$13:$E$97,3,0)&amp;""</f>
        <v>Yes</v>
      </c>
      <c r="D75" s="34" t="str">
        <f>IF(LEFT(VLOOKUP($A75,Privacy!$A$13:$E$97,5,0),21)='Auto Responses'!$A$32,'Auto Responses'!$A$33,VLOOKUP($A75,Privacy!$A$13:$E$97,4,0))&amp;""</f>
        <v>Accredible handles personal data in compliance with all relevant laws, regulations, and applicable institution policies including GDPR, CCPA, and other applicable state and international laws.</v>
      </c>
      <c r="E75" s="288" t="str">
        <f>VLOOKUP($A75,Privacy!$A$13:$E$97,5,0)&amp;""</f>
        <v/>
      </c>
      <c r="F75" s="179"/>
      <c r="G75" s="30" t="str">
        <f>VLOOKUP($A75,Questions!$A$2:$X$333,21,0)&amp;""</f>
        <v>Not scored</v>
      </c>
      <c r="H75" s="176"/>
      <c r="I75" s="45" t="str">
        <f>VLOOKUP($A75,Questions!$A$2:$X$333,23,0)&amp;""</f>
        <v/>
      </c>
      <c r="J75" s="176"/>
      <c r="K75" s="48" t="b">
        <v>0</v>
      </c>
      <c r="L75" s="1"/>
    </row>
    <row r="76" spans="1:12" s="1" customFormat="1" ht="18" customHeight="1" x14ac:dyDescent="0.15">
      <c r="A76" s="61" t="str">
        <f>VLOOKUP(LEFT($A77,4),'Auto Responses'!$N$4:$O$38,2,0)&amp;""</f>
        <v xml:space="preserve"> Privacy Policies and Procedures</v>
      </c>
      <c r="B76" s="22"/>
      <c r="C76" s="31"/>
      <c r="D76" s="31"/>
      <c r="E76" s="289"/>
      <c r="F76" s="126" t="s">
        <v>652</v>
      </c>
      <c r="G76" s="293" t="s">
        <v>647</v>
      </c>
      <c r="H76" s="293" t="s">
        <v>648</v>
      </c>
      <c r="I76" s="293" t="s">
        <v>649</v>
      </c>
      <c r="J76" s="293" t="s">
        <v>650</v>
      </c>
      <c r="K76" s="31"/>
    </row>
    <row r="77" spans="1:12" s="29" customFormat="1" ht="28.5" customHeight="1" x14ac:dyDescent="0.15">
      <c r="A77" s="19" t="s">
        <v>307</v>
      </c>
      <c r="B77" s="18" t="str">
        <f>VLOOKUP($A77,Questions!$A$2:$X$333,2,0)</f>
        <v>Do you have a documented privacy management process?</v>
      </c>
      <c r="C77" s="45" t="str">
        <f>VLOOKUP($A77,Privacy!$A$13:$E$97,3,0)&amp;""</f>
        <v>Yes</v>
      </c>
      <c r="D77" s="34" t="str">
        <f>IF(LEFT(VLOOKUP($A77,Privacy!$A$13:$E$97,5,0),21)='Auto Responses'!$A$32,'Auto Responses'!$A$33,VLOOKUP($A77,Privacy!$A$13:$E$97,4,0))&amp;""</f>
        <v>Accredible has a documented privacy management process overseen by the compliance officer and legal team.</v>
      </c>
      <c r="E77" s="288" t="str">
        <f>VLOOKUP($A77,Privacy!$A$13:$E$97,5,0)&amp;""</f>
        <v>Describe privacy management process or provide links or attach documentation.</v>
      </c>
      <c r="F77" s="179"/>
      <c r="G77" s="30" t="str">
        <f>VLOOKUP($A77,Questions!$A$2:$X$333,21,0)&amp;""</f>
        <v>Yes</v>
      </c>
      <c r="H77" s="176"/>
      <c r="I77" s="45" t="str">
        <f>VLOOKUP($A77,Questions!$A$2:$X$333,23,0)&amp;""</f>
        <v>Minor Importance</v>
      </c>
      <c r="J77" s="176"/>
      <c r="K77" s="48" t="b">
        <v>0</v>
      </c>
      <c r="L77" s="1"/>
    </row>
    <row r="78" spans="1:12" s="29" customFormat="1" ht="180" customHeight="1" x14ac:dyDescent="0.15">
      <c r="A78" s="19" t="s">
        <v>308</v>
      </c>
      <c r="B78" s="18" t="str">
        <f>VLOOKUP($A78,Questions!$A$2:$X$333,2,0)</f>
        <v>Are privacy principles designed into the product lifecycle (i.e., privacy-by-design)?</v>
      </c>
      <c r="C78" s="45" t="str">
        <f>VLOOKUP($A78,Privacy!$A$13:$E$97,3,0)&amp;""</f>
        <v>Yes</v>
      </c>
      <c r="D78" s="34" t="str">
        <f>IF(LEFT(VLOOKUP($A78,Privacy!$A$13:$E$97,5,0),21)='Auto Responses'!$A$32,'Auto Responses'!$A$33,VLOOKUP($A78,Privacy!$A$13:$E$97,4,0))&amp;""</f>
        <v>Privacy by design principles are incorporated into Accredible's product development lifecycle.</v>
      </c>
      <c r="E78" s="288" t="str">
        <f>VLOOKUP($A78,Privacy!$A$13:$E$97,5,0)&amp;""</f>
        <v>Summarize the privacy principles designed into the product lifecycle.</v>
      </c>
      <c r="F78" s="179"/>
      <c r="G78" s="30" t="str">
        <f>VLOOKUP($A78,Questions!$A$2:$X$333,21,0)&amp;""</f>
        <v>Yes</v>
      </c>
      <c r="H78" s="176"/>
      <c r="I78" s="45" t="str">
        <f>VLOOKUP($A78,Questions!$A$2:$X$333,23,0)&amp;""</f>
        <v>Minor Importance</v>
      </c>
      <c r="J78" s="176"/>
      <c r="K78" s="48" t="b">
        <v>0</v>
      </c>
      <c r="L78" s="1"/>
    </row>
    <row r="79" spans="1:12" s="29" customFormat="1" ht="28.5" customHeight="1" x14ac:dyDescent="0.15">
      <c r="A79" s="19" t="s">
        <v>309</v>
      </c>
      <c r="B79" s="18" t="str">
        <f>VLOOKUP($A79,Questions!$A$2:$X$333,2,0)</f>
        <v>Will you comply with applicable breach notification laws?</v>
      </c>
      <c r="C79" s="45" t="str">
        <f>VLOOKUP($A79,Privacy!$A$13:$E$97,3,0)&amp;""</f>
        <v>Yes</v>
      </c>
      <c r="D79" s="34" t="str">
        <f>IF(LEFT(VLOOKUP($A79,Privacy!$A$13:$E$97,5,0),21)='Auto Responses'!$A$32,'Auto Responses'!$A$33,VLOOKUP($A79,Privacy!$A$13:$E$97,4,0))&amp;""</f>
        <v>Accredible will comply with applicable breach notification laws. Notification obligations are detailed in the Data Processing Addendum.</v>
      </c>
      <c r="E79" s="288" t="str">
        <f>VLOOKUP($A79,Privacy!$A$13:$E$97,5,0)&amp;""</f>
        <v>State how quickly the institution will be notified once a breach is identified, in addition to notifying the necessary governmental agencies based on the extent of the breach.</v>
      </c>
      <c r="F79" s="179"/>
      <c r="G79" s="30" t="str">
        <f>VLOOKUP($A79,Questions!$A$2:$X$333,21,0)&amp;""</f>
        <v>Yes</v>
      </c>
      <c r="H79" s="176"/>
      <c r="I79" s="45" t="str">
        <f>VLOOKUP($A79,Questions!$A$2:$X$333,23,0)&amp;""</f>
        <v>Standard Importance</v>
      </c>
      <c r="J79" s="176"/>
      <c r="K79" s="48" t="b">
        <v>0</v>
      </c>
      <c r="L79" s="1"/>
    </row>
    <row r="80" spans="1:12" s="29" customFormat="1" ht="75" customHeight="1" x14ac:dyDescent="0.15">
      <c r="A80" s="19" t="s">
        <v>310</v>
      </c>
      <c r="B80" s="18" t="str">
        <f>VLOOKUP($A80,Questions!$A$2:$X$333,2,0)</f>
        <v>Will you comply with the institution's policies regarding user privacy and data protection?</v>
      </c>
      <c r="C80" s="45" t="str">
        <f>VLOOKUP($A80,Privacy!$A$13:$E$97,3,0)&amp;""</f>
        <v>Yes</v>
      </c>
      <c r="D80" s="34" t="str">
        <f>IF(LEFT(VLOOKUP($A80,Privacy!$A$13:$E$97,5,0),21)='Auto Responses'!$A$32,'Auto Responses'!$A$33,VLOOKUP($A80,Privacy!$A$13:$E$97,4,0))&amp;""</f>
        <v>Accredible will comply with the institution's policies regarding user privacy and data protection as required.</v>
      </c>
      <c r="E80" s="288" t="str">
        <f>VLOOKUP($A80,Privacy!$A$13:$E$97,5,0)&amp;""</f>
        <v/>
      </c>
      <c r="F80" s="179"/>
      <c r="G80" s="30" t="str">
        <f>VLOOKUP($A80,Questions!$A$2:$X$333,21,0)&amp;""</f>
        <v>Yes</v>
      </c>
      <c r="H80" s="176"/>
      <c r="I80" s="45" t="str">
        <f>VLOOKUP($A80,Questions!$A$2:$X$333,23,0)&amp;""</f>
        <v>Minor Importance</v>
      </c>
      <c r="J80" s="176"/>
      <c r="K80" s="48" t="b">
        <v>0</v>
      </c>
      <c r="L80" s="1"/>
    </row>
    <row r="81" spans="1:12" s="29" customFormat="1" ht="75" customHeight="1" x14ac:dyDescent="0.15">
      <c r="A81" s="19" t="s">
        <v>311</v>
      </c>
      <c r="B81" s="18" t="str">
        <f>VLOOKUP($A81,Questions!$A$2:$X$333,2,0)</f>
        <v>Is your company subject to the laws and regulations of the institution's geographic region?</v>
      </c>
      <c r="C81" s="45" t="str">
        <f>VLOOKUP($A81,Privacy!$A$13:$E$97,3,0)&amp;""</f>
        <v>Yes</v>
      </c>
      <c r="D81" s="34" t="str">
        <f>IF(LEFT(VLOOKUP($A81,Privacy!$A$13:$E$97,5,0),21)='Auto Responses'!$A$32,'Auto Responses'!$A$33,VLOOKUP($A81,Privacy!$A$13:$E$97,4,0))&amp;""</f>
        <v>Accredible (US entity) is subject to US laws. Accredible Ltd. (UK entity) is subject to UK laws. Both are subject to GDPR as data processors for EU personal data.</v>
      </c>
      <c r="E81" s="288" t="str">
        <f>VLOOKUP($A81,Privacy!$A$13:$E$97,5,0)&amp;""</f>
        <v/>
      </c>
      <c r="F81" s="179"/>
      <c r="G81" s="30" t="str">
        <f>VLOOKUP($A81,Questions!$A$2:$X$333,21,0)&amp;""</f>
        <v>Yes</v>
      </c>
      <c r="H81" s="176"/>
      <c r="I81" s="45" t="str">
        <f>VLOOKUP($A81,Questions!$A$2:$X$333,23,0)&amp;""</f>
        <v>Minor Importance</v>
      </c>
      <c r="J81" s="176"/>
      <c r="K81" s="48" t="b">
        <v>0</v>
      </c>
      <c r="L81" s="1"/>
    </row>
    <row r="82" spans="1:12" s="29" customFormat="1" ht="150" customHeight="1" x14ac:dyDescent="0.15">
      <c r="A82" s="19" t="s">
        <v>312</v>
      </c>
      <c r="B82" s="18" t="str">
        <f>VLOOKUP($A82,Questions!$A$2:$X$333,2,0)</f>
        <v>Do you have a privacy awareness/training program?*</v>
      </c>
      <c r="C82" s="45" t="str">
        <f>VLOOKUP($A82,Privacy!$A$13:$E$97,3,0)&amp;""</f>
        <v>Yes</v>
      </c>
      <c r="D82" s="34" t="str">
        <f>IF(LEFT(VLOOKUP($A82,Privacy!$A$13:$E$97,5,0),21)='Auto Responses'!$A$32,'Auto Responses'!$A$33,VLOOKUP($A82,Privacy!$A$13:$E$97,4,0))&amp;""</f>
        <v>Accredible has a privacy awareness and training program for all employees.</v>
      </c>
      <c r="E82" s="288" t="str">
        <f>VLOOKUP($A82,Privacy!$A$13:$E$97,5,0)&amp;""</f>
        <v>Briefly describe what is included in the training.</v>
      </c>
      <c r="F82" s="179"/>
      <c r="G82" s="30" t="str">
        <f>VLOOKUP($A82,Questions!$A$2:$X$333,21,0)&amp;""</f>
        <v>Yes</v>
      </c>
      <c r="H82" s="176"/>
      <c r="I82" s="45" t="str">
        <f>VLOOKUP($A82,Questions!$A$2:$X$333,23,0)&amp;""</f>
        <v>Critical Importance</v>
      </c>
      <c r="J82" s="176"/>
      <c r="K82" s="48" t="b">
        <v>0</v>
      </c>
      <c r="L82" s="1"/>
    </row>
    <row r="83" spans="1:12" s="29" customFormat="1" ht="28.5" customHeight="1" x14ac:dyDescent="0.15">
      <c r="A83" s="19" t="s">
        <v>313</v>
      </c>
      <c r="B83" s="18" t="str">
        <f>VLOOKUP($A83,Questions!$A$2:$X$333,2,0)</f>
        <v>Is privacy awareness training mandatory for all employees?</v>
      </c>
      <c r="C83" s="45" t="str">
        <f>VLOOKUP($A83,Privacy!$A$13:$E$97,3,0)&amp;""</f>
        <v>Yes</v>
      </c>
      <c r="D83" s="34" t="str">
        <f>IF(LEFT(VLOOKUP($A83,Privacy!$A$13:$E$97,5,0),21)='Auto Responses'!$A$32,'Auto Responses'!$A$33,VLOOKUP($A83,Privacy!$A$13:$E$97,4,0))&amp;""</f>
        <v>Privacy awareness training is mandatory for all employees and is included in the annual security and compliance training program.</v>
      </c>
      <c r="E83" s="288" t="str">
        <f>VLOOKUP($A83,Privacy!$A$13:$E$97,5,0)&amp;""</f>
        <v>Your response should include who must complete the training.</v>
      </c>
      <c r="F83" s="179"/>
      <c r="G83" s="30" t="str">
        <f>VLOOKUP($A83,Questions!$A$2:$X$333,21,0)&amp;""</f>
        <v>Yes</v>
      </c>
      <c r="H83" s="176"/>
      <c r="I83" s="45" t="str">
        <f>VLOOKUP($A83,Questions!$A$2:$X$333,23,0)&amp;""</f>
        <v>Minor Importance</v>
      </c>
      <c r="J83" s="176"/>
      <c r="K83" s="48" t="b">
        <v>0</v>
      </c>
      <c r="L83" s="1"/>
    </row>
    <row r="84" spans="1:12" s="29" customFormat="1" ht="28.5" customHeight="1" x14ac:dyDescent="0.15">
      <c r="A84" s="19" t="s">
        <v>314</v>
      </c>
      <c r="B84" s="18" t="str">
        <f>VLOOKUP($A84,Questions!$A$2:$X$333,2,0)</f>
        <v>Is AI privacy and ethics awareness/training required for all employees who work with AI?</v>
      </c>
      <c r="C84" s="45" t="str">
        <f>VLOOKUP($A84,Privacy!$A$13:$E$97,3,0)&amp;""</f>
        <v>Yes</v>
      </c>
      <c r="D84" s="34" t="str">
        <f>IF(LEFT(VLOOKUP($A84,Privacy!$A$13:$E$97,5,0),21)='Auto Responses'!$A$32,'Auto Responses'!$A$33,VLOOKUP($A84,Privacy!$A$13:$E$97,4,0))&amp;""</f>
        <v>AI privacy and ethics awareness/training is included as part of responsible AI usages required for all employees who work with AI features.</v>
      </c>
      <c r="E84" s="288" t="str">
        <f>VLOOKUP($A84,Privacy!$A$13:$E$97,5,0)&amp;""</f>
        <v>Briefly describe what is included in the training.</v>
      </c>
      <c r="F84" s="179"/>
      <c r="G84" s="30" t="str">
        <f>VLOOKUP($A84,Questions!$A$2:$X$333,21,0)&amp;""</f>
        <v>Yes</v>
      </c>
      <c r="H84" s="176"/>
      <c r="I84" s="45" t="str">
        <f>VLOOKUP($A84,Questions!$A$2:$X$333,23,0)&amp;""</f>
        <v>Minor Importance</v>
      </c>
      <c r="J84" s="176"/>
      <c r="K84" s="48" t="b">
        <v>0</v>
      </c>
      <c r="L84" s="1"/>
    </row>
    <row r="85" spans="1:12" s="29" customFormat="1" ht="150" customHeight="1" x14ac:dyDescent="0.15">
      <c r="A85" s="19" t="s">
        <v>315</v>
      </c>
      <c r="B85" s="18" t="str">
        <f>VLOOKUP($A85,Questions!$A$2:$X$333,2,0)</f>
        <v>Do you have any decision-making processes that are completely automated (i.e., there is no human involvement)?</v>
      </c>
      <c r="C85" s="45" t="str">
        <f>VLOOKUP($A85,Privacy!$A$13:$E$97,3,0)&amp;""</f>
        <v>No</v>
      </c>
      <c r="D85" s="34" t="str">
        <f>IF(LEFT(VLOOKUP($A85,Privacy!$A$13:$E$97,5,0),21)='Auto Responses'!$A$32,'Auto Responses'!$A$33,VLOOKUP($A85,Privacy!$A$13:$E$97,4,0))&amp;""</f>
        <v>Accredible does not have fully automated decision-making processes without human involvement. AI-generated skill tag suggestions require human review and confirmation.</v>
      </c>
      <c r="E85" s="288" t="str">
        <f>VLOOKUP($A85,Privacy!$A$13:$E$97,5,0)&amp;""</f>
        <v>Examples of such automated decisions could include automatically denying or approving user access requests, flagging or blocking transactions based on risk scores, or AI-driven decisions that affect user outcomes (e.g., eligibility, grading, pricing).</v>
      </c>
      <c r="F85" s="179"/>
      <c r="G85" s="30" t="str">
        <f>VLOOKUP($A85,Questions!$A$2:$X$333,21,0)&amp;""</f>
        <v>No</v>
      </c>
      <c r="H85" s="176"/>
      <c r="I85" s="45" t="str">
        <f>VLOOKUP($A85,Questions!$A$2:$X$333,23,0)&amp;""</f>
        <v>Minor Importance</v>
      </c>
      <c r="J85" s="176"/>
      <c r="K85" s="48" t="b">
        <v>0</v>
      </c>
      <c r="L85" s="1"/>
    </row>
    <row r="86" spans="1:12" s="29" customFormat="1" ht="42.75" customHeight="1" x14ac:dyDescent="0.15">
      <c r="A86" s="19" t="s">
        <v>316</v>
      </c>
      <c r="B86" s="18" t="str">
        <f>VLOOKUP($A86,Questions!$A$2:$X$333,2,0)</f>
        <v>Do you have a documented process for managing automated processing, including validations, monitoring, and data subject requests?</v>
      </c>
      <c r="C86" s="45" t="str">
        <f>VLOOKUP($A86,Privacy!$A$13:$E$97,3,0)&amp;""</f>
        <v>Yes</v>
      </c>
      <c r="D86" s="34" t="str">
        <f>IF(LEFT(VLOOKUP($A86,Privacy!$A$13:$E$97,5,0),21)='Auto Responses'!$A$32,'Auto Responses'!$A$33,VLOOKUP($A86,Privacy!$A$13:$E$97,4,0))&amp;""</f>
        <v>Accredible has a documented process for managing automated processing including validations and data subject requests. The CritiqueEvaluatorService provides a validation layer for AI outputs.</v>
      </c>
      <c r="E86" s="288" t="str">
        <f>VLOOKUP($A86,Privacy!$A$13:$E$97,5,0)&amp;""</f>
        <v>Briefly describe processes.</v>
      </c>
      <c r="F86" s="179"/>
      <c r="G86" s="30" t="str">
        <f>VLOOKUP($A86,Questions!$A$2:$X$333,21,0)&amp;""</f>
        <v>Yes</v>
      </c>
      <c r="H86" s="176"/>
      <c r="I86" s="45" t="str">
        <f>VLOOKUP($A86,Questions!$A$2:$X$333,23,0)&amp;""</f>
        <v>Minor Importance</v>
      </c>
      <c r="J86" s="176"/>
      <c r="K86" s="48" t="b">
        <v>0</v>
      </c>
      <c r="L86" s="1"/>
    </row>
    <row r="87" spans="1:12" s="29" customFormat="1" ht="28.5" customHeight="1" x14ac:dyDescent="0.15">
      <c r="A87" s="19" t="s">
        <v>317</v>
      </c>
      <c r="B87" s="18" t="str">
        <f>VLOOKUP($A87,Questions!$A$2:$X$333,2,0)</f>
        <v>Do you have a documented policy for sharing information with law enforcement?</v>
      </c>
      <c r="C87" s="45" t="str">
        <f>VLOOKUP($A87,Privacy!$A$13:$E$97,3,0)&amp;""</f>
        <v>Yes</v>
      </c>
      <c r="D87" s="34" t="str">
        <f>IF(LEFT(VLOOKUP($A87,Privacy!$A$13:$E$97,5,0),21)='Auto Responses'!$A$32,'Auto Responses'!$A$33,VLOOKUP($A87,Privacy!$A$13:$E$97,4,0))&amp;""</f>
        <v>Accredible has a documented policy for sharing information with law enforcement, requiring a valid legal process (warrant or subpoena) before any such disclosure.</v>
      </c>
      <c r="E87" s="288" t="str">
        <f>VLOOKUP($A87,Privacy!$A$13:$E$97,5,0)&amp;""</f>
        <v>Provide a high-level overview of the policy or plans to implement a policy.</v>
      </c>
      <c r="F87" s="179"/>
      <c r="G87" s="30" t="str">
        <f>VLOOKUP($A87,Questions!$A$2:$X$333,21,0)&amp;""</f>
        <v>Yes</v>
      </c>
      <c r="H87" s="176"/>
      <c r="I87" s="45" t="str">
        <f>VLOOKUP($A87,Questions!$A$2:$X$333,23,0)&amp;""</f>
        <v>Minor Importance</v>
      </c>
      <c r="J87" s="176"/>
      <c r="K87" s="48" t="b">
        <v>0</v>
      </c>
      <c r="L87" s="1"/>
    </row>
    <row r="88" spans="1:12" s="29" customFormat="1" ht="28.5" customHeight="1" x14ac:dyDescent="0.15">
      <c r="A88" s="19" t="s">
        <v>318</v>
      </c>
      <c r="B88" s="18" t="str">
        <f>VLOOKUP($A88,Questions!$A$2:$X$333,2,0)</f>
        <v>Do you share any institutional data with law enforcement without a valid warrant or subpoena?*</v>
      </c>
      <c r="C88" s="45" t="str">
        <f>VLOOKUP($A88,Privacy!$A$13:$E$97,3,0)&amp;""</f>
        <v>No</v>
      </c>
      <c r="D88" s="34" t="str">
        <f>IF(LEFT(VLOOKUP($A88,Privacy!$A$13:$E$97,5,0),21)='Auto Responses'!$A$32,'Auto Responses'!$A$33,VLOOKUP($A88,Privacy!$A$13:$E$97,4,0))&amp;""</f>
        <v>Accredible does not share institutional data with law enforcement without a valid warrant or subpoena.</v>
      </c>
      <c r="E88" s="288" t="str">
        <f>VLOOKUP($A88,Privacy!$A$13:$E$97,5,0)&amp;""</f>
        <v>Describe how you ensure this does not occur.</v>
      </c>
      <c r="F88" s="179"/>
      <c r="G88" s="30" t="str">
        <f>VLOOKUP($A88,Questions!$A$2:$X$333,21,0)&amp;""</f>
        <v>No</v>
      </c>
      <c r="H88" s="176"/>
      <c r="I88" s="45" t="str">
        <f>VLOOKUP($A88,Questions!$A$2:$X$333,23,0)&amp;""</f>
        <v>Critical Importance</v>
      </c>
      <c r="J88" s="176"/>
      <c r="K88" s="48" t="b">
        <v>0</v>
      </c>
      <c r="L88" s="1"/>
    </row>
    <row r="89" spans="1:12" s="29" customFormat="1" ht="75" customHeight="1" x14ac:dyDescent="0.15">
      <c r="A89" s="19" t="s">
        <v>319</v>
      </c>
      <c r="B89" s="18" t="str">
        <f>VLOOKUP($A89,Questions!$A$2:$X$333,2,0)</f>
        <v>Does your incident response team include a privacy analyst/officer?</v>
      </c>
      <c r="C89" s="45" t="str">
        <f>VLOOKUP($A89,Privacy!$A$13:$E$97,3,0)&amp;""</f>
        <v>Yes</v>
      </c>
      <c r="D89" s="34" t="str">
        <f>IF(LEFT(VLOOKUP($A89,Privacy!$A$13:$E$97,5,0),21)='Auto Responses'!$A$32,'Auto Responses'!$A$33,VLOOKUP($A89,Privacy!$A$13:$E$97,4,0))&amp;""</f>
        <v>Accredible's incident response team includes the compliance officer/privacy analyst who is responsible for privacy-related aspects of any security incident.</v>
      </c>
      <c r="E89" s="288" t="str">
        <f>VLOOKUP($A89,Privacy!$A$13:$E$97,5,0)&amp;""</f>
        <v>Provide the incident response team membership and charge.</v>
      </c>
      <c r="F89" s="179"/>
      <c r="G89" s="30" t="str">
        <f>VLOOKUP($A89,Questions!$A$2:$X$333,21,0)&amp;""</f>
        <v>Yes</v>
      </c>
      <c r="H89" s="176"/>
      <c r="I89" s="45" t="str">
        <f>VLOOKUP($A89,Questions!$A$2:$X$333,23,0)&amp;""</f>
        <v>Minor Importance</v>
      </c>
      <c r="J89" s="176"/>
      <c r="K89" s="48" t="b">
        <v>0</v>
      </c>
      <c r="L89" s="1"/>
    </row>
    <row r="90" spans="1:12" s="1" customFormat="1" ht="18" customHeight="1" x14ac:dyDescent="0.15">
      <c r="A90" s="61" t="str">
        <f>VLOOKUP(LEFT($A91,4),'Auto Responses'!$N$4:$O$38,2,0)&amp;""</f>
        <v xml:space="preserve"> International Privacy</v>
      </c>
      <c r="B90" s="22"/>
      <c r="C90" s="31"/>
      <c r="D90" s="31"/>
      <c r="E90" s="289"/>
      <c r="F90" s="126" t="s">
        <v>652</v>
      </c>
      <c r="G90" s="293" t="s">
        <v>647</v>
      </c>
      <c r="H90" s="293" t="s">
        <v>648</v>
      </c>
      <c r="I90" s="293" t="s">
        <v>649</v>
      </c>
      <c r="J90" s="293" t="s">
        <v>650</v>
      </c>
      <c r="K90" s="31"/>
    </row>
    <row r="91" spans="1:12" s="29" customFormat="1" ht="30" customHeight="1" x14ac:dyDescent="0.15">
      <c r="A91" s="19" t="s">
        <v>320</v>
      </c>
      <c r="B91" s="18" t="str">
        <f>VLOOKUP($A91,Questions!$A$2:$X$333,2,0)</f>
        <v>Will data be collected from or processed in or stored in the European Economic Area (EEA)?</v>
      </c>
      <c r="C91" s="45" t="str">
        <f>VLOOKUP($A91,Privacy!$A$13:$E$97,3,0)&amp;""</f>
        <v>Yes</v>
      </c>
      <c r="D91" s="34" t="str">
        <f>IF(LEFT(VLOOKUP($A91,Privacy!$A$13:$E$97,5,0),21)='Auto Responses'!$A$32,'Auto Responses'!$A$33,VLOOKUP($A91,Privacy!$A$13:$E$97,4,0))&amp;""</f>
        <v>Accredible offers an EU data hosting region. Data collected from EEA residents can be stored and processed within the EEA under Accredible's data residency tenancy model. Note that some sub-processors including US-based staff may have access to EU-hosted data under appropriate safeguards.</v>
      </c>
      <c r="E91" s="288" t="str">
        <f>VLOOKUP($A91,Privacy!$A$13:$E$97,5,0)&amp;""</f>
        <v>Describe where and what activities will take place in the EEA.</v>
      </c>
      <c r="F91" s="179"/>
      <c r="G91" s="30" t="str">
        <f>VLOOKUP($A91,Questions!$A$2:$X$333,21,0)&amp;""</f>
        <v>No</v>
      </c>
      <c r="H91" s="176"/>
      <c r="I91" s="45" t="str">
        <f>VLOOKUP($A91,Questions!$A$2:$X$333,23,0)&amp;""</f>
        <v>Standard Importance</v>
      </c>
      <c r="J91" s="176"/>
      <c r="K91" s="48" t="b">
        <v>0</v>
      </c>
      <c r="L91" s="1"/>
    </row>
    <row r="92" spans="1:12" s="29" customFormat="1" ht="30" customHeight="1" x14ac:dyDescent="0.15">
      <c r="A92" s="19" t="s">
        <v>321</v>
      </c>
      <c r="B92" s="18" t="str">
        <f>VLOOKUP($A92,Questions!$A$2:$X$333,2,0)</f>
        <v>Do you have a data protection officer (DPO)?</v>
      </c>
      <c r="C92" s="45" t="str">
        <f>VLOOKUP($A92,Privacy!$A$13:$E$97,3,0)&amp;""</f>
        <v>Yes</v>
      </c>
      <c r="D92" s="34" t="str">
        <f>IF(LEFT(VLOOKUP($A92,Privacy!$A$13:$E$97,5,0),21)='Auto Responses'!$A$32,'Auto Responses'!$A$33,VLOOKUP($A92,Privacy!$A$13:$E$97,4,0))&amp;""</f>
        <v>Alan Heppenstall | alan@accredible.com</v>
      </c>
      <c r="E92" s="288" t="str">
        <f>VLOOKUP($A92,Privacy!$A$13:$E$97,5,0)&amp;""</f>
        <v>Provide the name and contact information for the DPO.</v>
      </c>
      <c r="F92" s="179"/>
      <c r="G92" s="30" t="str">
        <f>VLOOKUP($A92,Questions!$A$2:$X$333,21,0)&amp;""</f>
        <v>Yes</v>
      </c>
      <c r="H92" s="176"/>
      <c r="I92" s="45" t="str">
        <f>VLOOKUP($A92,Questions!$A$2:$X$333,23,0)&amp;""</f>
        <v>Standard Importance</v>
      </c>
      <c r="J92" s="176"/>
      <c r="K92" s="48" t="b">
        <v>0</v>
      </c>
      <c r="L92" s="1"/>
    </row>
    <row r="93" spans="1:12" s="29" customFormat="1" ht="30" customHeight="1" x14ac:dyDescent="0.15">
      <c r="A93" s="19" t="s">
        <v>322</v>
      </c>
      <c r="B93" s="18" t="str">
        <f>VLOOKUP($A93,Questions!$A$2:$X$333,2,0)</f>
        <v>Will you sign appropriate GDPR Standard Contractual Clauses (SCCs) with the institution?</v>
      </c>
      <c r="C93" s="45" t="str">
        <f>VLOOKUP($A93,Privacy!$A$13:$E$97,3,0)&amp;""</f>
        <v>Yes</v>
      </c>
      <c r="D93" s="34" t="str">
        <f>IF(LEFT(VLOOKUP($A93,Privacy!$A$13:$E$97,5,0),21)='Auto Responses'!$A$32,'Auto Responses'!$A$33,VLOOKUP($A93,Privacy!$A$13:$E$97,4,0))&amp;""</f>
        <v>Accredible will sign appropriate GDPR Standard Contractual Clauses (SCCs) with the institution as part of the Data Processing Addendum. SCCs are included in Accredible's DPA available at https://www.accredible.com/legal/dpa</v>
      </c>
      <c r="E93" s="288" t="str">
        <f>VLOOKUP($A93,Privacy!$A$13:$E$97,5,0)&amp;""</f>
        <v/>
      </c>
      <c r="F93" s="179"/>
      <c r="G93" s="30" t="str">
        <f>VLOOKUP($A93,Questions!$A$2:$X$333,21,0)&amp;""</f>
        <v>Yes</v>
      </c>
      <c r="H93" s="176"/>
      <c r="I93" s="45" t="str">
        <f>VLOOKUP($A93,Questions!$A$2:$X$333,23,0)&amp;""</f>
        <v>Standard Importance</v>
      </c>
      <c r="J93" s="176"/>
      <c r="K93" s="48" t="b">
        <v>0</v>
      </c>
      <c r="L93" s="1"/>
    </row>
    <row r="94" spans="1:12" s="29" customFormat="1" ht="30" customHeight="1" x14ac:dyDescent="0.15">
      <c r="A94" s="19" t="s">
        <v>281</v>
      </c>
      <c r="B94" s="18" t="str">
        <f>VLOOKUP($A94,Questions!$A$2:$X$333,2,0)</f>
        <v>Will data be collected from or processed in or stored in China?</v>
      </c>
      <c r="C94" s="45" t="str">
        <f>VLOOKUP($A94,Privacy!$A$13:$E$97,3,0)&amp;""</f>
        <v>No</v>
      </c>
      <c r="D94" s="34" t="str">
        <f>IF(LEFT(VLOOKUP($A94,Privacy!$A$13:$E$97,5,0),21)='Auto Responses'!$A$32,'Auto Responses'!$A$33,VLOOKUP($A94,Privacy!$A$13:$E$97,4,0))&amp;""</f>
        <v>Accredible does not collect, process, or store data in China.</v>
      </c>
      <c r="E94" s="288" t="str">
        <f>VLOOKUP($A94,Privacy!$A$13:$E$97,5,0)&amp;""</f>
        <v>See PIPL Chapter 1 for definitions.</v>
      </c>
      <c r="F94" s="179"/>
      <c r="G94" s="30" t="str">
        <f>VLOOKUP($A94,Questions!$A$2:$X$333,21,0)&amp;""</f>
        <v>No</v>
      </c>
      <c r="H94" s="176"/>
      <c r="I94" s="45" t="str">
        <f>VLOOKUP($A94,Questions!$A$2:$X$333,23,0)&amp;""</f>
        <v>Standard Importance</v>
      </c>
      <c r="J94" s="176"/>
      <c r="K94" s="48" t="b">
        <v>0</v>
      </c>
      <c r="L94" s="1"/>
    </row>
    <row r="95" spans="1:12" s="29" customFormat="1" ht="30" customHeight="1" x14ac:dyDescent="0.15">
      <c r="A95" s="19" t="s">
        <v>282</v>
      </c>
      <c r="B95" s="18" t="str">
        <f>VLOOKUP($A95,Questions!$A$2:$X$333,2,0)</f>
        <v>Do you comply with PIPL security, privacy, and data localization requirements?</v>
      </c>
      <c r="C95" s="45" t="str">
        <f>VLOOKUP($A95,Privacy!$A$13:$E$97,3,0)&amp;""</f>
        <v>N/A</v>
      </c>
      <c r="D95" s="34" t="str">
        <f>IF(LEFT(VLOOKUP($A95,Privacy!$A$13:$E$97,5,0),21)='Auto Responses'!$A$32,'Auto Responses'!$A$33,VLOOKUP($A95,Privacy!$A$13:$E$97,4,0))&amp;""</f>
        <v>Accredible does not operate in China and PIPL requirements do not apply.</v>
      </c>
      <c r="E95" s="288" t="str">
        <f>VLOOKUP($A95,Privacy!$A$13:$E$97,5,0)&amp;""</f>
        <v>Please explain why this does not apply to your product or service.</v>
      </c>
      <c r="F95" s="179"/>
      <c r="G95" s="30" t="str">
        <f>VLOOKUP($A95,Questions!$A$2:$X$333,21,0)&amp;""</f>
        <v>Yes</v>
      </c>
      <c r="H95" s="176"/>
      <c r="I95" s="45" t="str">
        <f>VLOOKUP($A95,Questions!$A$2:$X$333,23,0)&amp;""</f>
        <v>Standard Importance</v>
      </c>
      <c r="J95" s="176"/>
      <c r="K95" s="48" t="b">
        <v>0</v>
      </c>
      <c r="L95" s="1"/>
    </row>
    <row r="96" spans="1:12" s="1" customFormat="1" ht="18" customHeight="1" x14ac:dyDescent="0.15">
      <c r="A96" s="61" t="str">
        <f>VLOOKUP(LEFT($A97,4),'Auto Responses'!$N$4:$O$38,2,0)&amp;""</f>
        <v xml:space="preserve"> Data Privacy</v>
      </c>
      <c r="B96" s="22"/>
      <c r="C96" s="31"/>
      <c r="D96" s="31"/>
      <c r="E96" s="289"/>
      <c r="F96" s="126" t="s">
        <v>652</v>
      </c>
      <c r="G96" s="293" t="s">
        <v>647</v>
      </c>
      <c r="H96" s="293" t="s">
        <v>648</v>
      </c>
      <c r="I96" s="293" t="s">
        <v>649</v>
      </c>
      <c r="J96" s="293" t="s">
        <v>650</v>
      </c>
      <c r="K96" s="31"/>
    </row>
    <row r="97" spans="1:12" s="29" customFormat="1" ht="28.5" customHeight="1" x14ac:dyDescent="0.15">
      <c r="A97" s="19" t="s">
        <v>323</v>
      </c>
      <c r="B97" s="18" t="str">
        <f>VLOOKUP($A97,Questions!$A$2:$X$333,2,0)</f>
        <v>Have you performed a Data Privacy Impact Assessment for the solution/project?</v>
      </c>
      <c r="C97" s="45" t="str">
        <f>VLOOKUP($A97,Privacy!$A$13:$E$97,3,0)&amp;""</f>
        <v>Yes</v>
      </c>
      <c r="D97" s="34" t="str">
        <f>IF(LEFT(VLOOKUP($A97,Privacy!$A$13:$E$97,5,0),21)='Auto Responses'!$A$32,'Auto Responses'!$A$33,VLOOKUP($A97,Privacy!$A$13:$E$97,4,0))&amp;""</f>
        <v>Accredible has performed a Data Privacy Impact Assessment (DPIA) with the assistance of certified professionals from outside counsel.</v>
      </c>
      <c r="E97" s="288" t="str">
        <f>VLOOKUP($A97,Privacy!$A$13:$E$97,5,0)&amp;""</f>
        <v>Provide copy, link, or summary overview.</v>
      </c>
      <c r="F97" s="179"/>
      <c r="G97" s="30" t="str">
        <f>VLOOKUP($A97,Questions!$A$2:$X$333,21,0)&amp;""</f>
        <v>Yes</v>
      </c>
      <c r="H97" s="176"/>
      <c r="I97" s="45" t="str">
        <f>VLOOKUP($A97,Questions!$A$2:$X$333,23,0)&amp;""</f>
        <v>Standard Importance</v>
      </c>
      <c r="J97" s="176"/>
      <c r="K97" s="48" t="b">
        <v>0</v>
      </c>
      <c r="L97" s="1"/>
    </row>
    <row r="98" spans="1:12" s="29" customFormat="1" ht="57" customHeight="1" x14ac:dyDescent="0.15">
      <c r="A98" s="19" t="s">
        <v>324</v>
      </c>
      <c r="B98" s="18" t="str">
        <f>VLOOKUP($A98,Questions!$A$2:$X$333,2,0)</f>
        <v>Do you provide an end-user privacy notice about privacy policies and procedures that identify the purpose(s) for which personal information is collected, used, retained, and disclosed?</v>
      </c>
      <c r="C98" s="45" t="str">
        <f>VLOOKUP($A98,Privacy!$A$13:$E$97,3,0)&amp;""</f>
        <v>Yes</v>
      </c>
      <c r="D98" s="34" t="str">
        <f>IF(LEFT(VLOOKUP($A98,Privacy!$A$13:$E$97,5,0),21)='Auto Responses'!$A$32,'Auto Responses'!$A$33,VLOOKUP($A98,Privacy!$A$13:$E$97,4,0))&amp;""</f>
        <v>Accredible provides an end-user privacy notice at https://www.accredible.com/legal/privacy-policy identifying the purposes for which personal information is collected and processed.</v>
      </c>
      <c r="E98" s="288" t="str">
        <f>VLOOKUP($A98,Privacy!$A$13:$E$97,5,0)&amp;""</f>
        <v>Provide link or copy.</v>
      </c>
      <c r="F98" s="179"/>
      <c r="G98" s="30" t="str">
        <f>VLOOKUP($A98,Questions!$A$2:$X$333,21,0)&amp;""</f>
        <v>Yes</v>
      </c>
      <c r="H98" s="176"/>
      <c r="I98" s="45" t="str">
        <f>VLOOKUP($A98,Questions!$A$2:$X$333,23,0)&amp;""</f>
        <v>Standard Importance</v>
      </c>
      <c r="J98" s="176"/>
      <c r="K98" s="48" t="b">
        <v>0</v>
      </c>
      <c r="L98" s="1"/>
    </row>
    <row r="99" spans="1:12" s="29" customFormat="1" ht="57" customHeight="1" x14ac:dyDescent="0.15">
      <c r="A99" s="19" t="s">
        <v>325</v>
      </c>
      <c r="B99" s="18" t="str">
        <f>VLOOKUP($A99,Questions!$A$2:$X$333,2,0)</f>
        <v>Do you describe the choices available to the individual and obtain implicit or explicit consent with respect to the collection, use, and disclosure of personal information?</v>
      </c>
      <c r="C99" s="45" t="str">
        <f>VLOOKUP($A99,Privacy!$A$13:$E$97,3,0)&amp;""</f>
        <v>Yes</v>
      </c>
      <c r="D99" s="34" t="str">
        <f>IF(LEFT(VLOOKUP($A99,Privacy!$A$13:$E$97,5,0),21)='Auto Responses'!$A$32,'Auto Responses'!$A$33,VLOOKUP($A99,Privacy!$A$13:$E$97,4,0))&amp;""</f>
        <v>Accredible describes the choices available to individuals regarding their personal data and obtains appropriate consent as required. See privacy policy Section 5: Your Privacy Choices and Rights.</v>
      </c>
      <c r="E99" s="288" t="str">
        <f>VLOOKUP($A99,Privacy!$A$13:$E$97,5,0)&amp;""</f>
        <v>Provide copy, link, or summary overview.</v>
      </c>
      <c r="F99" s="179"/>
      <c r="G99" s="30" t="str">
        <f>VLOOKUP($A99,Questions!$A$2:$X$333,21,0)&amp;""</f>
        <v>Yes</v>
      </c>
      <c r="H99" s="176"/>
      <c r="I99" s="45" t="str">
        <f>VLOOKUP($A99,Questions!$A$2:$X$333,23,0)&amp;""</f>
        <v>Standard Importance</v>
      </c>
      <c r="J99" s="176"/>
      <c r="K99" s="48" t="b">
        <v>0</v>
      </c>
      <c r="L99" s="1"/>
    </row>
    <row r="100" spans="1:12" s="29" customFormat="1" ht="57" customHeight="1" x14ac:dyDescent="0.15">
      <c r="A100" s="19" t="s">
        <v>326</v>
      </c>
      <c r="B100" s="18" t="str">
        <f>VLOOKUP($A100,Questions!$A$2:$X$333,2,0)</f>
        <v>Do you collect personal information only for the purpose(s) identified in the agreement with an institution or, if there is none, the purpose(s) identified in the privacy notice?</v>
      </c>
      <c r="C100" s="45" t="str">
        <f>VLOOKUP($A100,Privacy!$A$13:$E$97,3,0)&amp;""</f>
        <v>Yes</v>
      </c>
      <c r="D100" s="34" t="str">
        <f>IF(LEFT(VLOOKUP($A100,Privacy!$A$13:$E$97,5,0),21)='Auto Responses'!$A$32,'Auto Responses'!$A$33,VLOOKUP($A100,Privacy!$A$13:$E$97,4,0))&amp;""</f>
        <v>Accredible collects personal information only for the purposes identified in the agreement with the institution or as stated in the privacy notice.</v>
      </c>
      <c r="E100" s="288" t="str">
        <f>VLOOKUP($A100,Privacy!$A$13:$E$97,5,0)&amp;""</f>
        <v>Describe purposes not included in an agreement with the institution.</v>
      </c>
      <c r="F100" s="179"/>
      <c r="G100" s="30" t="str">
        <f>VLOOKUP($A100,Questions!$A$2:$X$333,21,0)&amp;""</f>
        <v>Yes</v>
      </c>
      <c r="H100" s="176"/>
      <c r="I100" s="45" t="str">
        <f>VLOOKUP($A100,Questions!$A$2:$X$333,23,0)&amp;""</f>
        <v>Standard Importance</v>
      </c>
      <c r="J100" s="176"/>
      <c r="K100" s="48" t="b">
        <v>0</v>
      </c>
      <c r="L100" s="1"/>
    </row>
    <row r="101" spans="1:12" s="29" customFormat="1" ht="28.5" customHeight="1" x14ac:dyDescent="0.15">
      <c r="A101" s="19" t="s">
        <v>327</v>
      </c>
      <c r="B101" s="18" t="str">
        <f>VLOOKUP($A101,Questions!$A$2:$X$333,2,0)</f>
        <v>Do you have a documented list of personal data your service maintains?</v>
      </c>
      <c r="C101" s="45" t="str">
        <f>VLOOKUP($A101,Privacy!$A$13:$E$97,3,0)&amp;""</f>
        <v>Yes</v>
      </c>
      <c r="D101" s="34" t="str">
        <f>IF(LEFT(VLOOKUP($A101,Privacy!$A$13:$E$97,5,0),21)='Auto Responses'!$A$32,'Auto Responses'!$A$33,VLOOKUP($A101,Privacy!$A$13:$E$97,4,0))&amp;""</f>
        <v>Accredible maintains a documented list of personal data types processed through the service, available in the Data Processing Addendum.</v>
      </c>
      <c r="E101" s="288" t="str">
        <f>VLOOKUP($A101,Privacy!$A$13:$E$97,5,0)&amp;""</f>
        <v>Provide copy, link, or summary overview.</v>
      </c>
      <c r="F101" s="179"/>
      <c r="G101" s="30" t="str">
        <f>VLOOKUP($A101,Questions!$A$2:$X$333,21,0)&amp;""</f>
        <v>Yes</v>
      </c>
      <c r="H101" s="176"/>
      <c r="I101" s="45" t="str">
        <f>VLOOKUP($A101,Questions!$A$2:$X$333,23,0)&amp;""</f>
        <v>Standard Importance</v>
      </c>
      <c r="J101" s="176"/>
      <c r="K101" s="48" t="b">
        <v>0</v>
      </c>
      <c r="L101" s="1"/>
    </row>
    <row r="102" spans="1:12" s="29" customFormat="1" ht="57" customHeight="1" x14ac:dyDescent="0.15">
      <c r="A102" s="19" t="s">
        <v>328</v>
      </c>
      <c r="B102" s="18" t="str">
        <f>VLOOKUP($A102,Questions!$A$2:$X$333,2,0)</f>
        <v>Do you retain personal information for only as long as necessary to fulfill the stated purpose(s) or as required by law or regulation and thereafter appropriately dispose of such information?</v>
      </c>
      <c r="C102" s="45" t="str">
        <f>VLOOKUP($A102,Privacy!$A$13:$E$97,3,0)&amp;""</f>
        <v>Yes</v>
      </c>
      <c r="D102" s="34" t="str">
        <f>IF(LEFT(VLOOKUP($A102,Privacy!$A$13:$E$97,5,0),21)='Auto Responses'!$A$32,'Auto Responses'!$A$33,VLOOKUP($A102,Privacy!$A$13:$E$97,4,0))&amp;""</f>
        <v>Accredible retains personal information only as long as necessary to fulfill the stated purposes or as required by law. Accredible aims to host credentials indefinitely per the nature of the service, but data is deleted per Data Controller instructions.</v>
      </c>
      <c r="E102" s="288" t="str">
        <f>VLOOKUP($A102,Privacy!$A$13:$E$97,5,0)&amp;""</f>
        <v/>
      </c>
      <c r="F102" s="179"/>
      <c r="G102" s="30" t="str">
        <f>VLOOKUP($A102,Questions!$A$2:$X$333,21,0)&amp;""</f>
        <v>Yes</v>
      </c>
      <c r="H102" s="176"/>
      <c r="I102" s="45" t="str">
        <f>VLOOKUP($A102,Questions!$A$2:$X$333,23,0)&amp;""</f>
        <v>Standard Importance</v>
      </c>
      <c r="J102" s="176"/>
      <c r="K102" s="48" t="b">
        <v>0</v>
      </c>
      <c r="L102" s="1"/>
    </row>
    <row r="103" spans="1:12" s="29" customFormat="1" ht="135" customHeight="1" x14ac:dyDescent="0.15">
      <c r="A103" s="19" t="s">
        <v>329</v>
      </c>
      <c r="B103" s="18" t="str">
        <f>VLOOKUP($A103,Questions!$A$2:$X$333,2,0)</f>
        <v>Do you provide individuals with access to their personal information for review and update (i.e., data subject rights)?</v>
      </c>
      <c r="C103" s="45" t="str">
        <f>VLOOKUP($A103,Privacy!$A$13:$E$97,3,0)&amp;""</f>
        <v>Yes</v>
      </c>
      <c r="D103" s="34" t="str">
        <f>IF(LEFT(VLOOKUP($A103,Privacy!$A$13:$E$97,5,0),21)='Auto Responses'!$A$32,'Auto Responses'!$A$33,VLOOKUP($A103,Privacy!$A$13:$E$97,4,0))&amp;""</f>
        <v>Accredible provides individuals with access to their personal information for review and update. Data subject rights can be exercised as described in the privacy policy Section 5. Accredible assists institutions with EU data subject access requests.</v>
      </c>
      <c r="E103" s="288" t="str">
        <f>VLOOKUP($A103,Privacy!$A$13:$E$97,5,0)&amp;""</f>
        <v>Such processes would include descriptions of request processes individuals can follow to review their information and written processes a data subject may use to ask for changes or corrections to data held about them.</v>
      </c>
      <c r="F103" s="179"/>
      <c r="G103" s="30" t="str">
        <f>VLOOKUP($A103,Questions!$A$2:$X$333,21,0)&amp;""</f>
        <v>Yes</v>
      </c>
      <c r="H103" s="176"/>
      <c r="I103" s="45" t="str">
        <f>VLOOKUP($A103,Questions!$A$2:$X$333,23,0)&amp;""</f>
        <v>Standard Importance</v>
      </c>
      <c r="J103" s="176"/>
      <c r="K103" s="48" t="b">
        <v>0</v>
      </c>
      <c r="L103" s="1"/>
    </row>
    <row r="104" spans="1:12" s="29" customFormat="1" ht="57" customHeight="1" x14ac:dyDescent="0.15">
      <c r="A104" s="19" t="s">
        <v>330</v>
      </c>
      <c r="B104" s="18" t="str">
        <f>VLOOKUP($A104,Questions!$A$2:$X$333,2,0)</f>
        <v>Do you disclose personal information to third parties only for the purpose(s) identified in the privacy notice or with the implicit or explicit consent of the individual?</v>
      </c>
      <c r="C104" s="45" t="str">
        <f>VLOOKUP($A104,Privacy!$A$13:$E$97,3,0)&amp;""</f>
        <v>Yes</v>
      </c>
      <c r="D104" s="34" t="str">
        <f>IF(LEFT(VLOOKUP($A104,Privacy!$A$13:$E$97,5,0),21)='Auto Responses'!$A$32,'Auto Responses'!$A$33,VLOOKUP($A104,Privacy!$A$13:$E$97,4,0))&amp;""</f>
        <v>Accredible only discloses personal information to third parties (sub-processors) for the purposes identified in the privacy notice or DPA, as required to deliver the service.</v>
      </c>
      <c r="E104" s="288" t="str">
        <f>VLOOKUP($A104,Privacy!$A$13:$E$97,5,0)&amp;""</f>
        <v/>
      </c>
      <c r="F104" s="179"/>
      <c r="G104" s="30" t="str">
        <f>VLOOKUP($A104,Questions!$A$2:$X$333,21,0)&amp;""</f>
        <v>Yes</v>
      </c>
      <c r="H104" s="176"/>
      <c r="I104" s="45" t="str">
        <f>VLOOKUP($A104,Questions!$A$2:$X$333,23,0)&amp;""</f>
        <v>Standard Importance</v>
      </c>
      <c r="J104" s="176"/>
      <c r="K104" s="48" t="b">
        <v>0</v>
      </c>
      <c r="L104" s="1"/>
    </row>
    <row r="105" spans="1:12" s="29" customFormat="1" ht="28.5" customHeight="1" x14ac:dyDescent="0.15">
      <c r="A105" s="19" t="s">
        <v>331</v>
      </c>
      <c r="B105" s="18" t="str">
        <f>VLOOKUP($A105,Questions!$A$2:$X$333,2,0)</f>
        <v>Do you protect personal information against unauthorized access (both physical and logical)?</v>
      </c>
      <c r="C105" s="45" t="str">
        <f>VLOOKUP($A105,Privacy!$A$13:$E$97,3,0)&amp;""</f>
        <v>Yes</v>
      </c>
      <c r="D105" s="34" t="str">
        <f>IF(LEFT(VLOOKUP($A105,Privacy!$A$13:$E$97,5,0),21)='Auto Responses'!$A$32,'Auto Responses'!$A$33,VLOOKUP($A105,Privacy!$A$13:$E$97,4,0))&amp;""</f>
        <v>Accredible protects personal information against unauthorized access through encryption at rest and in transit, access controls, SOC 2 certified processes, and continuous monitoring.</v>
      </c>
      <c r="E105" s="288" t="str">
        <f>VLOOKUP($A105,Privacy!$A$13:$E$97,5,0)&amp;""</f>
        <v/>
      </c>
      <c r="F105" s="179"/>
      <c r="G105" s="30" t="str">
        <f>VLOOKUP($A105,Questions!$A$2:$X$333,21,0)&amp;""</f>
        <v>Yes</v>
      </c>
      <c r="H105" s="176"/>
      <c r="I105" s="45" t="str">
        <f>VLOOKUP($A105,Questions!$A$2:$X$333,23,0)&amp;""</f>
        <v>Standard Importance</v>
      </c>
      <c r="J105" s="176"/>
      <c r="K105" s="48" t="b">
        <v>0</v>
      </c>
      <c r="L105" s="1"/>
    </row>
    <row r="106" spans="1:12" s="29" customFormat="1" ht="42.75" customHeight="1" x14ac:dyDescent="0.15">
      <c r="A106" s="19" t="s">
        <v>332</v>
      </c>
      <c r="B106" s="18" t="str">
        <f>VLOOKUP($A106,Questions!$A$2:$X$333,2,0)</f>
        <v>Do you maintain accurate, complete, and relevant personal information for the purposes identified in the privacy notice?</v>
      </c>
      <c r="C106" s="45" t="str">
        <f>VLOOKUP($A106,Privacy!$A$13:$E$97,3,0)&amp;""</f>
        <v>Yes</v>
      </c>
      <c r="D106" s="34" t="str">
        <f>IF(LEFT(VLOOKUP($A106,Privacy!$A$13:$E$97,5,0),21)='Auto Responses'!$A$32,'Auto Responses'!$A$33,VLOOKUP($A106,Privacy!$A$13:$E$97,4,0))&amp;""</f>
        <v>Accredible maintains accurate, complete, and relevant personal information for the purposes identified in the privacy notice.</v>
      </c>
      <c r="E106" s="288" t="str">
        <f>VLOOKUP($A106,Privacy!$A$13:$E$97,5,0)&amp;""</f>
        <v/>
      </c>
      <c r="F106" s="179"/>
      <c r="G106" s="30" t="str">
        <f>VLOOKUP($A106,Questions!$A$2:$X$333,21,0)&amp;""</f>
        <v>Yes</v>
      </c>
      <c r="H106" s="176"/>
      <c r="I106" s="45" t="str">
        <f>VLOOKUP($A106,Questions!$A$2:$X$333,23,0)&amp;""</f>
        <v>Standard Importance</v>
      </c>
      <c r="J106" s="176"/>
      <c r="K106" s="48" t="b">
        <v>0</v>
      </c>
      <c r="L106" s="1"/>
    </row>
    <row r="107" spans="1:12" s="29" customFormat="1" ht="28.5" customHeight="1" x14ac:dyDescent="0.15">
      <c r="A107" s="19" t="s">
        <v>333</v>
      </c>
      <c r="B107" s="18" t="str">
        <f>VLOOKUP($A107,Questions!$A$2:$X$333,2,0)</f>
        <v>Do you have procedures to address privacy-related noncompliance complaints and disputes?</v>
      </c>
      <c r="C107" s="45" t="str">
        <f>VLOOKUP($A107,Privacy!$A$13:$E$97,3,0)&amp;""</f>
        <v>Yes</v>
      </c>
      <c r="D107" s="34" t="str">
        <f>IF(LEFT(VLOOKUP($A107,Privacy!$A$13:$E$97,5,0),21)='Auto Responses'!$A$32,'Auto Responses'!$A$33,VLOOKUP($A107,Privacy!$A$13:$E$97,4,0))&amp;""</f>
        <v>Accredible has procedures to address privacy-related noncompliance complaints and disputes, managed by the compliance officer and legal team.</v>
      </c>
      <c r="E107" s="288" t="str">
        <f>VLOOKUP($A107,Privacy!$A$13:$E$97,5,0)&amp;""</f>
        <v>Provide a brief overview of processes or procedures to handle privacy-related complaints.</v>
      </c>
      <c r="F107" s="179"/>
      <c r="G107" s="30" t="str">
        <f>VLOOKUP($A107,Questions!$A$2:$X$333,21,0)&amp;""</f>
        <v>Yes</v>
      </c>
      <c r="H107" s="176"/>
      <c r="I107" s="45" t="str">
        <f>VLOOKUP($A107,Questions!$A$2:$X$333,23,0)&amp;""</f>
        <v>Standard Importance</v>
      </c>
      <c r="J107" s="176"/>
      <c r="K107" s="48" t="b">
        <v>0</v>
      </c>
      <c r="L107" s="1"/>
    </row>
    <row r="108" spans="1:12" s="29" customFormat="1" ht="28.5" customHeight="1" x14ac:dyDescent="0.15">
      <c r="A108" s="19" t="s">
        <v>334</v>
      </c>
      <c r="B108" s="18" t="str">
        <f>VLOOKUP($A108,Questions!$A$2:$X$333,2,0)</f>
        <v>Do you "anonymize," "de-identify," or otherwise mask personal data?</v>
      </c>
      <c r="C108" s="45" t="str">
        <f>VLOOKUP($A108,Privacy!$A$13:$E$97,3,0)&amp;""</f>
        <v>Yes</v>
      </c>
      <c r="D108" s="34" t="str">
        <f>IF(LEFT(VLOOKUP($A108,Privacy!$A$13:$E$97,5,0),21)='Auto Responses'!$A$32,'Auto Responses'!$A$33,VLOOKUP($A108,Privacy!$A$13:$E$97,4,0))&amp;""</f>
        <v>Accredible can anonymize or de-identify personal data where appropriate and upon request.</v>
      </c>
      <c r="E108" s="288" t="str">
        <f>VLOOKUP($A108,Privacy!$A$13:$E$97,5,0)&amp;""</f>
        <v>Briefly describe method used to mask data.</v>
      </c>
      <c r="F108" s="179"/>
      <c r="G108" s="30" t="str">
        <f>VLOOKUP($A108,Questions!$A$2:$X$333,21,0)&amp;""</f>
        <v>Yes</v>
      </c>
      <c r="H108" s="176"/>
      <c r="I108" s="45" t="str">
        <f>VLOOKUP($A108,Questions!$A$2:$X$333,23,0)&amp;""</f>
        <v>Standard Importance</v>
      </c>
      <c r="J108" s="176"/>
      <c r="K108" s="48" t="b">
        <v>0</v>
      </c>
      <c r="L108" s="1"/>
    </row>
    <row r="109" spans="1:12" s="29" customFormat="1" ht="99.75" customHeight="1" x14ac:dyDescent="0.15">
      <c r="A109" s="19" t="s">
        <v>335</v>
      </c>
      <c r="B109" s="18" t="str">
        <f>VLOOKUP($A109,Questions!$A$2:$X$333,2,0)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109" s="45" t="str">
        <f>VLOOKUP($A109,Privacy!$A$13:$E$97,3,0)&amp;""</f>
        <v>No</v>
      </c>
      <c r="D109" s="34" t="str">
        <f>IF(LEFT(VLOOKUP($A109,Privacy!$A$13:$E$97,5,0),21)='Auto Responses'!$A$32,'Auto Responses'!$A$33,VLOOKUP($A109,Privacy!$A$13:$E$97,4,0))&amp;""</f>
        <v>Accredible does not use or disclose anonymized or de-identified data for purposes other than those identified in the agreement with the institution. Accredible does not share any data with ad networks, data brokers, or for marketing unrelated to services provided.</v>
      </c>
      <c r="E109" s="288" t="str">
        <f>VLOOKUP($A109,Privacy!$A$13:$E$97,5,0)&amp;""</f>
        <v/>
      </c>
      <c r="F109" s="179"/>
      <c r="G109" s="30" t="str">
        <f>VLOOKUP($A109,Questions!$A$2:$X$333,21,0)&amp;""</f>
        <v>No</v>
      </c>
      <c r="H109" s="176"/>
      <c r="I109" s="45" t="str">
        <f>VLOOKUP($A109,Questions!$A$2:$X$333,23,0)&amp;""</f>
        <v>Standard Importance</v>
      </c>
      <c r="J109" s="176"/>
      <c r="K109" s="48" t="b">
        <v>0</v>
      </c>
      <c r="L109" s="1"/>
    </row>
    <row r="110" spans="1:12" s="29" customFormat="1" ht="120" customHeight="1" x14ac:dyDescent="0.15">
      <c r="A110" s="19" t="s">
        <v>336</v>
      </c>
      <c r="B110" s="18" t="str">
        <f>VLOOKUP($A110,Questions!$A$2:$X$333,2,0)</f>
        <v>Do you certify stop-processing requests, including any data that is processed by a third party on your behalf?</v>
      </c>
      <c r="C110" s="45" t="str">
        <f>VLOOKUP($A110,Privacy!$A$13:$E$97,3,0)&amp;""</f>
        <v>Yes</v>
      </c>
      <c r="D110" s="34" t="str">
        <f>IF(LEFT(VLOOKUP($A110,Privacy!$A$13:$E$97,5,0),21)='Auto Responses'!$A$32,'Auto Responses'!$A$33,VLOOKUP($A110,Privacy!$A$13:$E$97,4,0))&amp;""</f>
        <v>Accredible certifies and processes stop-processing requests, including for data processed by sub-processors on its behalf.</v>
      </c>
      <c r="E110" s="288" t="str">
        <f>VLOOKUP($A110,Privacy!$A$13:$E$97,5,0)&amp;""</f>
        <v>Briefly outline relevant processes.</v>
      </c>
      <c r="F110" s="179"/>
      <c r="G110" s="30" t="str">
        <f>VLOOKUP($A110,Questions!$A$2:$X$333,21,0)&amp;""</f>
        <v>Yes</v>
      </c>
      <c r="H110" s="176"/>
      <c r="I110" s="45" t="str">
        <f>VLOOKUP($A110,Questions!$A$2:$X$333,23,0)&amp;""</f>
        <v>Standard Importance</v>
      </c>
      <c r="J110" s="176"/>
      <c r="K110" s="48" t="b">
        <v>0</v>
      </c>
      <c r="L110" s="1"/>
    </row>
    <row r="111" spans="1:12" s="29" customFormat="1" ht="28.5" customHeight="1" x14ac:dyDescent="0.15">
      <c r="A111" s="19" t="s">
        <v>337</v>
      </c>
      <c r="B111" s="18" t="str">
        <f>VLOOKUP($A111,Questions!$A$2:$X$333,2,0)</f>
        <v>Do you have a process to review code for ethical considerations?</v>
      </c>
      <c r="C111" s="45" t="str">
        <f>VLOOKUP($A111,Privacy!$A$13:$E$97,3,0)&amp;""</f>
        <v>Yes</v>
      </c>
      <c r="D111" s="34" t="str">
        <f>IF(LEFT(VLOOKUP($A111,Privacy!$A$13:$E$97,5,0),21)='Auto Responses'!$A$32,'Auto Responses'!$A$33,VLOOKUP($A111,Privacy!$A$13:$E$97,4,0))&amp;""</f>
        <v>Accredible reviews code for ethical considerations as part of its development processes and responsible AI framework.</v>
      </c>
      <c r="E111" s="288" t="str">
        <f>VLOOKUP($A111,Privacy!$A$13:$E$97,5,0)&amp;""</f>
        <v>Provide documentation or explanation of the process to review code. If none exists, explain why.</v>
      </c>
      <c r="F111" s="179"/>
      <c r="G111" s="30" t="str">
        <f>VLOOKUP($A111,Questions!$A$2:$X$333,21,0)&amp;""</f>
        <v>Yes</v>
      </c>
      <c r="H111" s="176"/>
      <c r="I111" s="45" t="str">
        <f>VLOOKUP($A111,Questions!$A$2:$X$333,23,0)&amp;""</f>
        <v>Standard Importance</v>
      </c>
      <c r="J111" s="176"/>
      <c r="K111" s="48" t="b">
        <v>0</v>
      </c>
      <c r="L111" s="1"/>
    </row>
    <row r="112" spans="1:12" s="1" customFormat="1" ht="18" customHeight="1" x14ac:dyDescent="0.15">
      <c r="A112" s="61" t="str">
        <f>VLOOKUP(LEFT($A113,4),'Auto Responses'!$N$4:$O$38,2,0)&amp;""</f>
        <v xml:space="preserve"> Privacy and AI</v>
      </c>
      <c r="B112" s="22"/>
      <c r="C112" s="31"/>
      <c r="D112" s="31"/>
      <c r="E112" s="289"/>
      <c r="F112" s="126" t="s">
        <v>652</v>
      </c>
      <c r="G112" s="293" t="s">
        <v>647</v>
      </c>
      <c r="H112" s="293" t="s">
        <v>648</v>
      </c>
      <c r="I112" s="293" t="s">
        <v>649</v>
      </c>
      <c r="J112" s="293" t="s">
        <v>650</v>
      </c>
      <c r="K112" s="31"/>
    </row>
    <row r="113" spans="1:12" s="29" customFormat="1" ht="28.5" customHeight="1" x14ac:dyDescent="0.15">
      <c r="A113" s="19" t="s">
        <v>338</v>
      </c>
      <c r="B113" s="18" t="str">
        <f>VLOOKUP($A113,Questions!$A$2:$X$333,2,0)</f>
        <v>Does your service use AI for the processing of institutional data?</v>
      </c>
      <c r="C113" s="45" t="str">
        <f>VLOOKUP($A113,Privacy!$A$13:$E$97,3,0)&amp;""</f>
        <v>Yes</v>
      </c>
      <c r="D113" s="34" t="str">
        <f>IF(LEFT(VLOOKUP($A113,Privacy!$A$13:$E$97,5,0),21)='Auto Responses'!$A$32,'Auto Responses'!$A$33,VLOOKUP($A113,Privacy!$A$13:$E$97,4,0))&amp;""</f>
        <v>Accredible uses AI (OpenAI API) for processing course description text as part of its Skills Extraction Service. Only course description text is submitted to the AI; no personal data of credential recipients is processed through the AI.</v>
      </c>
      <c r="E113" s="288" t="str">
        <f>VLOOKUP($A113,Privacy!$A$13:$E$97,5,0)&amp;""</f>
        <v>Describe how your service uses AI to process institutional data. Include the types of data involved, the purpose of AI usage, and any decision-making roles AI plays.</v>
      </c>
      <c r="F113" s="179"/>
      <c r="G113" s="30" t="str">
        <f>VLOOKUP($A113,Questions!$A$2:$X$333,21,0)&amp;""</f>
        <v>No</v>
      </c>
      <c r="H113" s="176"/>
      <c r="I113" s="45" t="str">
        <f>VLOOKUP($A113,Questions!$A$2:$X$333,23,0)&amp;""</f>
        <v>Standard Importance</v>
      </c>
      <c r="J113" s="176"/>
      <c r="K113" s="48" t="b">
        <v>0</v>
      </c>
      <c r="L113" s="1"/>
    </row>
    <row r="114" spans="1:12" s="29" customFormat="1" ht="15" customHeight="1" x14ac:dyDescent="0.15">
      <c r="A114" s="19" t="s">
        <v>339</v>
      </c>
      <c r="B114" s="18" t="str">
        <f>VLOOKUP($A114,Questions!$A$2:$X$333,2,0)</f>
        <v>Is any institutional data retained in AI processing?*</v>
      </c>
      <c r="C114" s="45" t="str">
        <f>VLOOKUP($A114,Privacy!$A$13:$E$97,3,0)&amp;""</f>
        <v>No</v>
      </c>
      <c r="D114" s="34" t="str">
        <f>IF(LEFT(VLOOKUP($A114,Privacy!$A$13:$E$97,5,0),21)='Auto Responses'!$A$32,'Auto Responses'!$A$33,VLOOKUP($A114,Privacy!$A$13:$E$97,4,0))&amp;""</f>
        <v>Under Accredible's enterprise agreement with OpenAI, data submitted via the API is not retained by OpenAI for AI model training or development. Institutional data is not retained in AI processing beyond the immediate API call.</v>
      </c>
      <c r="E114" s="288" t="str">
        <f>VLOOKUP($A114,Privacy!$A$13:$E$97,5,0)&amp;""</f>
        <v>Evaluate the vendor's data retention practices for compliance with institutional policies. Request clarification on retention periods and data security if needed.</v>
      </c>
      <c r="F114" s="179"/>
      <c r="G114" s="30" t="str">
        <f>VLOOKUP($A114,Questions!$A$2:$X$333,21,0)&amp;""</f>
        <v>No</v>
      </c>
      <c r="H114" s="176"/>
      <c r="I114" s="45" t="str">
        <f>VLOOKUP($A114,Questions!$A$2:$X$333,23,0)&amp;""</f>
        <v>Critical Importance</v>
      </c>
      <c r="J114" s="176"/>
      <c r="K114" s="48" t="b">
        <v>0</v>
      </c>
      <c r="L114" s="1"/>
    </row>
    <row r="115" spans="1:12" s="29" customFormat="1" ht="42.75" customHeight="1" x14ac:dyDescent="0.15">
      <c r="A115" s="19" t="s">
        <v>340</v>
      </c>
      <c r="B115" s="18" t="str">
        <f>VLOOKUP($A115,Questions!$A$2:$X$333,2,0)</f>
        <v>Do you have agreements in place with third parties or subprocessors regarding the protection of customer data and use of AI?*</v>
      </c>
      <c r="C115" s="45" t="str">
        <f>VLOOKUP($A115,Privacy!$A$13:$E$97,3,0)&amp;""</f>
        <v>Yes</v>
      </c>
      <c r="D115" s="34" t="str">
        <f>IF(LEFT(VLOOKUP($A115,Privacy!$A$13:$E$97,5,0),21)='Auto Responses'!$A$32,'Auto Responses'!$A$33,VLOOKUP($A115,Privacy!$A$13:$E$97,4,0))&amp;""</f>
        <v>Accredible has a Data Processing Agreement with OpenAI as a sub-processor that includes provisions for the protection of customer data and restrictions on AI use of submitted data.</v>
      </c>
      <c r="E115" s="288" t="str">
        <f>VLOOKUP($A115,Privacy!$A$13:$E$97,5,0)&amp;""</f>
        <v>List all subprocessors and describe the agreements in place regarding AI and data protection.</v>
      </c>
      <c r="F115" s="179"/>
      <c r="G115" s="30" t="str">
        <f>VLOOKUP($A115,Questions!$A$2:$X$333,21,0)&amp;""</f>
        <v>Yes</v>
      </c>
      <c r="H115" s="176"/>
      <c r="I115" s="45" t="str">
        <f>VLOOKUP($A115,Questions!$A$2:$X$333,23,0)&amp;""</f>
        <v>Critical Importance</v>
      </c>
      <c r="J115" s="176"/>
      <c r="K115" s="48" t="b">
        <v>0</v>
      </c>
      <c r="L115" s="1"/>
    </row>
    <row r="116" spans="1:12" s="29" customFormat="1" ht="28.5" customHeight="1" x14ac:dyDescent="0.15">
      <c r="A116" s="19" t="s">
        <v>341</v>
      </c>
      <c r="B116" s="18" t="str">
        <f>VLOOKUP($A116,Questions!$A$2:$X$333,2,0)</f>
        <v>Will institutional data be processed through a third party or subprocessor that also uses AI?</v>
      </c>
      <c r="C116" s="45" t="str">
        <f>VLOOKUP($A116,Privacy!$A$13:$E$97,3,0)&amp;""</f>
        <v>Yes</v>
      </c>
      <c r="D116" s="34" t="str">
        <f>IF(LEFT(VLOOKUP($A116,Privacy!$A$13:$E$97,5,0),21)='Auto Responses'!$A$32,'Auto Responses'!$A$33,VLOOKUP($A116,Privacy!$A$13:$E$97,4,0))&amp;""</f>
        <v>Course description text is processed through OpenAI's API. OpenAI is a sub-processor that uses AI in its service delivery. This is disclosed in Accredible's sub-processor list.</v>
      </c>
      <c r="E116" s="288" t="str">
        <f>VLOOKUP($A116,Privacy!$A$13:$E$97,5,0)&amp;""</f>
        <v>Identify third-party AI processors and describe their role and safeguards.</v>
      </c>
      <c r="F116" s="179"/>
      <c r="G116" s="30" t="str">
        <f>VLOOKUP($A116,Questions!$A$2:$X$333,21,0)&amp;""</f>
        <v>No</v>
      </c>
      <c r="H116" s="176"/>
      <c r="I116" s="45" t="str">
        <f>VLOOKUP($A116,Questions!$A$2:$X$333,23,0)&amp;""</f>
        <v>Standard Importance</v>
      </c>
      <c r="J116" s="176"/>
      <c r="K116" s="48" t="b">
        <v>0</v>
      </c>
      <c r="L116" s="1"/>
    </row>
    <row r="117" spans="1:12" s="29" customFormat="1" ht="28.5" customHeight="1" x14ac:dyDescent="0.15">
      <c r="A117" s="19" t="s">
        <v>342</v>
      </c>
      <c r="B117" s="18" t="str">
        <f>VLOOKUP($A117,Questions!$A$2:$X$333,2,0)</f>
        <v>Is AI processing limited to fully licensed commercial enterprise AI services?</v>
      </c>
      <c r="C117" s="45" t="str">
        <f>VLOOKUP($A117,Privacy!$A$13:$E$97,3,0)&amp;""</f>
        <v>Yes</v>
      </c>
      <c r="D117" s="34" t="str">
        <f>IF(LEFT(VLOOKUP($A117,Privacy!$A$13:$E$97,5,0),21)='Auto Responses'!$A$32,'Auto Responses'!$A$33,VLOOKUP($A117,Privacy!$A$13:$E$97,4,0))&amp;""</f>
        <v>Accredible uses OpenAI's commercially licensed enterprise AI service. The AI processing is limited to this fully licensed commercial enterprise service.</v>
      </c>
      <c r="E117" s="288" t="str">
        <f>VLOOKUP($A117,Privacy!$A$13:$E$97,5,0)&amp;""</f>
        <v>Provide names of services used and license types. Note whether open-source or experimental tools are used.</v>
      </c>
      <c r="F117" s="179"/>
      <c r="G117" s="30" t="str">
        <f>VLOOKUP($A117,Questions!$A$2:$X$333,21,0)&amp;""</f>
        <v>Yes</v>
      </c>
      <c r="H117" s="176"/>
      <c r="I117" s="45" t="str">
        <f>VLOOKUP($A117,Questions!$A$2:$X$333,23,0)&amp;""</f>
        <v>Minor Importance</v>
      </c>
      <c r="J117" s="176"/>
      <c r="K117" s="48" t="b">
        <v>0</v>
      </c>
      <c r="L117" s="1"/>
    </row>
    <row r="118" spans="1:12" s="29" customFormat="1" ht="135" customHeight="1" x14ac:dyDescent="0.15">
      <c r="A118" s="19" t="s">
        <v>343</v>
      </c>
      <c r="B118" s="18" t="str">
        <f>VLOOKUP($A118,Questions!$A$2:$X$333,2,0)</f>
        <v>Will institutional data be used or processed by any shared AI services?</v>
      </c>
      <c r="C118" s="45" t="str">
        <f>VLOOKUP($A118,Privacy!$A$13:$E$97,3,0)&amp;""</f>
        <v>No</v>
      </c>
      <c r="D118" s="34" t="str">
        <f>IF(LEFT(VLOOKUP($A118,Privacy!$A$13:$E$97,5,0),21)='Auto Responses'!$A$32,'Auto Responses'!$A$33,VLOOKUP($A118,Privacy!$A$13:$E$97,4,0))&amp;""</f>
        <v>Under Accredible's enterprise agreement with OpenAI, data submitted via the API is not used in shared AI services or to train general-purpose AI models.</v>
      </c>
      <c r="E118" s="288" t="str">
        <f>VLOOKUP($A118,Privacy!$A$13:$E$97,5,0)&amp;""</f>
        <v>Provide detailed response to the type of data needed for the AI service to function appropriately, the sources of the data, and whether any data shared with the AI service comes from data sources outside the institution.</v>
      </c>
      <c r="F118" s="179"/>
      <c r="G118" s="30" t="str">
        <f>VLOOKUP($A118,Questions!$A$2:$X$333,21,0)&amp;""</f>
        <v>No</v>
      </c>
      <c r="H118" s="176"/>
      <c r="I118" s="45" t="str">
        <f>VLOOKUP($A118,Questions!$A$2:$X$333,23,0)&amp;""</f>
        <v>Minor Importance</v>
      </c>
      <c r="J118" s="176"/>
      <c r="K118" s="48" t="b">
        <v>0</v>
      </c>
      <c r="L118" s="1"/>
    </row>
    <row r="119" spans="1:12" s="29" customFormat="1" ht="42.75" customHeight="1" x14ac:dyDescent="0.15">
      <c r="A119" s="19" t="s">
        <v>344</v>
      </c>
      <c r="B119" s="18" t="str">
        <f>VLOOKUP($A119,Questions!$A$2:$X$333,2,0)</f>
        <v>Do you have safeguards in place to protect institutional data and data privacy from unintended AI queries or processing?</v>
      </c>
      <c r="C119" s="45" t="str">
        <f>VLOOKUP($A119,Privacy!$A$13:$E$97,3,0)&amp;""</f>
        <v>Yes</v>
      </c>
      <c r="D119" s="34" t="str">
        <f>IF(LEFT(VLOOKUP($A119,Privacy!$A$13:$E$97,5,0),21)='Auto Responses'!$A$32,'Auto Responses'!$A$33,VLOOKUP($A119,Privacy!$A$13:$E$97,4,0))&amp;""</f>
        <v>Accredible has implemented safeguards to protect institutional data from unintended AI processing, including data minimization (only course descriptions submitted), input validation, and output review through the CritiqueEvaluatorService.</v>
      </c>
      <c r="E119" s="288" t="str">
        <f>VLOOKUP($A119,Privacy!$A$13:$E$97,5,0)&amp;""</f>
        <v>Explain any data minimization processes used to exclude institutional data from AI algorithm or training, etc.</v>
      </c>
      <c r="F119" s="179"/>
      <c r="G119" s="30" t="str">
        <f>VLOOKUP($A119,Questions!$A$2:$X$333,21,0)&amp;""</f>
        <v>Yes</v>
      </c>
      <c r="H119" s="176"/>
      <c r="I119" s="45" t="str">
        <f>VLOOKUP($A119,Questions!$A$2:$X$333,23,0)&amp;""</f>
        <v>Minor Importance</v>
      </c>
      <c r="J119" s="176"/>
      <c r="K119" s="48" t="b">
        <v>0</v>
      </c>
      <c r="L119" s="1"/>
    </row>
    <row r="120" spans="1:12" s="29" customFormat="1" ht="28.5" customHeight="1" x14ac:dyDescent="0.15">
      <c r="A120" s="19" t="s">
        <v>345</v>
      </c>
      <c r="B120" s="18" t="str">
        <f>VLOOKUP($A120,Questions!$A$2:$X$333,2,0)</f>
        <v>Do you provide choice to the user to opt out of AI use?</v>
      </c>
      <c r="C120" s="45" t="str">
        <f>VLOOKUP($A120,Privacy!$A$13:$E$97,3,0)&amp;""</f>
        <v>Yes</v>
      </c>
      <c r="D120" s="34" t="str">
        <f>IF(LEFT(VLOOKUP($A120,Privacy!$A$13:$E$97,5,0),21)='Auto Responses'!$A$32,'Auto Responses'!$A$33,VLOOKUP($A120,Privacy!$A$13:$E$97,4,0))&amp;""</f>
        <v xml:space="preserve">Customers can choose not to use Accredible's AI-powered skills extraction feature. </v>
      </c>
      <c r="E120" s="288" t="str">
        <f>VLOOKUP($A120,Privacy!$A$13:$E$97,5,0)&amp;""</f>
        <v>Provide the language used for a user to opt-out or consent to the use of AI</v>
      </c>
      <c r="F120" s="179"/>
      <c r="G120" s="30" t="str">
        <f>VLOOKUP($A120,Questions!$A$2:$X$333,21,0)&amp;""</f>
        <v>Yes</v>
      </c>
      <c r="H120" s="176"/>
      <c r="I120" s="45" t="str">
        <f>VLOOKUP($A120,Questions!$A$2:$X$333,23,0)&amp;""</f>
        <v>Minor Importance</v>
      </c>
      <c r="J120" s="176"/>
      <c r="K120" s="48" t="b">
        <v>0</v>
      </c>
      <c r="L120" s="1"/>
    </row>
    <row r="121" spans="1:12" ht="15" customHeight="1" x14ac:dyDescent="0.2"/>
    <row r="122" spans="1:12" ht="15" customHeight="1" x14ac:dyDescent="0.2"/>
    <row r="123" spans="1:12" s="1" customFormat="1" ht="18.75" customHeight="1" thickBot="1" x14ac:dyDescent="0.2">
      <c r="A123" s="208" t="s">
        <v>678</v>
      </c>
      <c r="B123" s="209"/>
      <c r="C123" s="210"/>
      <c r="D123" s="210"/>
      <c r="E123" s="210"/>
      <c r="F123" s="211"/>
      <c r="G123" s="210"/>
      <c r="H123" s="210"/>
      <c r="I123" s="210"/>
      <c r="J123" s="210"/>
      <c r="K123" s="210"/>
    </row>
    <row r="124" spans="1:12" s="29" customFormat="1" ht="30.75" customHeight="1" thickBot="1" x14ac:dyDescent="0.2">
      <c r="A124" s="26" t="s">
        <v>644</v>
      </c>
      <c r="B124" s="27" t="s">
        <v>645</v>
      </c>
      <c r="C124" s="27" t="s">
        <v>677</v>
      </c>
      <c r="D124" s="28" t="s">
        <v>352</v>
      </c>
      <c r="E124" s="27" t="s">
        <v>353</v>
      </c>
      <c r="F124" s="178" t="s">
        <v>354</v>
      </c>
      <c r="G124" s="46" t="s">
        <v>647</v>
      </c>
      <c r="H124" s="43" t="s">
        <v>648</v>
      </c>
      <c r="I124" s="43" t="s">
        <v>649</v>
      </c>
      <c r="J124" s="44" t="s">
        <v>650</v>
      </c>
      <c r="K124" s="47" t="s">
        <v>651</v>
      </c>
      <c r="L124" s="1"/>
    </row>
    <row r="125" spans="1:12" s="1" customFormat="1" ht="18" customHeight="1" x14ac:dyDescent="0.15">
      <c r="A125" s="61" t="str">
        <f>VLOOKUP(LEFT($A126,4),'Auto Responses'!$N$4:$O$38,2,0)&amp;""</f>
        <v xml:space="preserve"> Company Information</v>
      </c>
      <c r="B125" s="22"/>
      <c r="C125" s="31"/>
      <c r="D125" s="31"/>
      <c r="E125" s="31"/>
      <c r="F125" s="126" t="s">
        <v>652</v>
      </c>
      <c r="G125" s="31"/>
      <c r="H125" s="31"/>
      <c r="I125" s="31"/>
      <c r="J125" s="31"/>
      <c r="K125" s="31"/>
    </row>
    <row r="126" spans="1:12" s="29" customFormat="1" ht="42.75" customHeight="1" x14ac:dyDescent="0.2">
      <c r="A126" s="19" t="s">
        <v>17</v>
      </c>
      <c r="B126" s="18" t="str">
        <f>VLOOKUP($A126,Questions!$A$2:$X$333,2,0)</f>
        <v>Do you have a dedicated software and system development team(s) (e.g., customer support, implementation, product management, etc.)?*</v>
      </c>
      <c r="C126" s="45" t="str">
        <f>VLOOKUP($A126,'Institution Evaluation'!$A$56:$K$345,3,0)&amp;""</f>
        <v>Yes</v>
      </c>
      <c r="D126" s="45" t="str">
        <f>VLOOKUP($A126,'Institution Evaluation'!$A$56:$K$345,4,0)&amp;""</f>
        <v>Accredible maintains dedicated teams for software development, customer support, implementation, and product management.</v>
      </c>
      <c r="E126" s="288" t="str">
        <f>VLOOKUP($A126,'Institution Evaluation'!$A$56:$K$345,5,0)&amp;""</f>
        <v>Describe the structure and size of your software and system development teams. (e.g., customer support, implementation, product management, etc.).</v>
      </c>
      <c r="F126" s="179" t="str">
        <f>VLOOKUP($A126,'Institution Evaluation'!$A$56:$K$345,6,0)&amp;""</f>
        <v/>
      </c>
      <c r="G126" s="30" t="str">
        <f>VLOOKUP($A126,'Institution Evaluation'!$A$56:$K$345,7,0)&amp;""</f>
        <v>Yes</v>
      </c>
      <c r="H126" s="176" t="str">
        <f>VLOOKUP($A126,'Institution Evaluation'!$A$56:$K$345,8,0)&amp;""</f>
        <v/>
      </c>
      <c r="I126" s="45" t="str">
        <f>VLOOKUP($A126,'Institution Evaluation'!$A$56:$K$345,9,0)&amp;""</f>
        <v>Standard Importance</v>
      </c>
      <c r="J126" s="177" t="str">
        <f>VLOOKUP($A126,'Institution Evaluation'!$A$56:$K$345,10,0)&amp;""</f>
        <v/>
      </c>
      <c r="K126" s="48" t="str">
        <f>IF(VLOOKUP($A126,'Institution Evaluation'!$A$56:$K$345,10,0)=TRUE,'Auto Responses'!$J$3,"")</f>
        <v/>
      </c>
      <c r="L126" s="48" t="str">
        <f>IF(VLOOKUP($A126,'Institution Evaluation'!$A$56:$K$345,10,0)=TRUE,'Auto Responses'!$J$3,"")</f>
        <v/>
      </c>
    </row>
    <row r="127" spans="1:12" ht="45" customHeight="1" x14ac:dyDescent="0.2">
      <c r="A127" s="19" t="s">
        <v>18</v>
      </c>
      <c r="B127" s="18" t="str">
        <f>VLOOKUP($A127,Questions!$A$2:$X$333,2,0)</f>
        <v>Describe your organization’s business background and ownership structure, including all parent and subsidiary relationships.</v>
      </c>
      <c r="C127" s="45" t="str">
        <f>VLOOKUP($A127,'Institution Evaluation'!$A$56:$K$345,3,0)&amp;""</f>
        <v>Yes</v>
      </c>
      <c r="D127" s="45" t="str">
        <f>VLOOKUP($A127,'Institution Evaluation'!$A$56:$K$345,4,0)&amp;""</f>
        <v>EdInvent Inc. d.b.a. Accredible. 800 W El Camino Real, Suite 180, Mountain View, CA 94040, USA. Accredible is an independently operated company with no parent entities or subsidiaries. Accredible Ltd. (UK) is a related development entity. Founded in 2013.</v>
      </c>
      <c r="E127" s="288" t="str">
        <f>VLOOKUP($A127,'Institution Evaluation'!$A$56:$K$345,5,0)&amp;""</f>
        <v>Include circumstances that may involve offshoring or multinational agreements.</v>
      </c>
      <c r="F127" s="179" t="str">
        <f>VLOOKUP($A127,'Institution Evaluation'!$A$56:$K$345,6,0)&amp;""</f>
        <v/>
      </c>
      <c r="G127" s="30" t="str">
        <f>VLOOKUP($A127,'Institution Evaluation'!$A$56:$K$345,7,0)&amp;""</f>
        <v>Not scored</v>
      </c>
      <c r="H127" s="176" t="str">
        <f>VLOOKUP($A127,'Institution Evaluation'!$A$56:$K$345,8,0)&amp;""</f>
        <v/>
      </c>
      <c r="I127" s="45" t="str">
        <f>VLOOKUP($A127,'Institution Evaluation'!$A$56:$K$345,9,0)&amp;""</f>
        <v/>
      </c>
      <c r="J127" s="177" t="str">
        <f>VLOOKUP($A127,'Institution Evaluation'!$A$56:$K$345,10,0)&amp;""</f>
        <v/>
      </c>
      <c r="K127" s="48" t="str">
        <f>IF(VLOOKUP($A127,'Institution Evaluation'!$A$56:$K$345,10,0)=TRUE,'Auto Responses'!$J$3,"")</f>
        <v/>
      </c>
    </row>
    <row r="128" spans="1:12" ht="28.5" customHeight="1" x14ac:dyDescent="0.2">
      <c r="A128" s="19" t="s">
        <v>19</v>
      </c>
      <c r="B128" s="18" t="str">
        <f>VLOOKUP($A128,Questions!$A$2:$X$333,2,0)</f>
        <v>Have you operated without unplanned disruptions to this solution in the past 12 months?</v>
      </c>
      <c r="C128" s="45" t="str">
        <f>VLOOKUP($A128,'Institution Evaluation'!$A$56:$K$345,3,0)&amp;""</f>
        <v>Yes</v>
      </c>
      <c r="D128" s="45" t="str">
        <f>VLOOKUP($A128,'Institution Evaluation'!$A$56:$K$345,4,0)&amp;""</f>
        <v>Accredible has operated without unplanned disruptions over the past 12 months. A status page is publicly available for transparency.</v>
      </c>
      <c r="E128" s="288" t="str">
        <f>VLOOKUP($A128,'Institution Evaluation'!$A$56:$K$345,5,0)&amp;""</f>
        <v/>
      </c>
      <c r="F128" s="179" t="str">
        <f>VLOOKUP($A128,'Institution Evaluation'!$A$56:$K$345,6,0)&amp;""</f>
        <v/>
      </c>
      <c r="G128" s="30" t="str">
        <f>VLOOKUP($A128,'Institution Evaluation'!$A$56:$K$345,7,0)&amp;""</f>
        <v>Yes</v>
      </c>
      <c r="H128" s="176" t="str">
        <f>VLOOKUP($A128,'Institution Evaluation'!$A$56:$K$345,8,0)&amp;""</f>
        <v/>
      </c>
      <c r="I128" s="45" t="str">
        <f>VLOOKUP($A128,'Institution Evaluation'!$A$56:$K$345,9,0)&amp;""</f>
        <v>Minor Importance</v>
      </c>
      <c r="J128" s="177" t="str">
        <f>VLOOKUP($A128,'Institution Evaluation'!$A$56:$K$345,10,0)&amp;""</f>
        <v/>
      </c>
      <c r="K128" s="48" t="str">
        <f>IF(VLOOKUP($A128,'Institution Evaluation'!$A$56:$K$345,10,0)=TRUE,'Auto Responses'!$J$3,"")</f>
        <v/>
      </c>
    </row>
    <row r="129" spans="1:11" ht="28.5" customHeight="1" x14ac:dyDescent="0.2">
      <c r="A129" s="19" t="s">
        <v>20</v>
      </c>
      <c r="B129" s="18" t="str">
        <f>VLOOKUP($A129,Questions!$A$2:$X$333,2,0)</f>
        <v>Do you have a dedicated information security staff or office?</v>
      </c>
      <c r="C129" s="45" t="str">
        <f>VLOOKUP($A129,'Institution Evaluation'!$A$56:$K$345,3,0)&amp;""</f>
        <v>Yes</v>
      </c>
      <c r="D129" s="45" t="str">
        <f>VLOOKUP($A129,'Institution Evaluation'!$A$56:$K$345,4,0)&amp;""</f>
        <v>Accredible employs a CTO and IT Manager who are responsible for information security policy, vulnerability management, incident detection and response, and risk reduction. The compliance officer and legal team oversee regulatory compliance.</v>
      </c>
      <c r="E129" s="288" t="str">
        <f>VLOOKUP($A129,'Institution Evaluation'!$A$56:$K$345,5,0)&amp;""</f>
        <v>Describe your information security office, including size, talents, resources, etc.</v>
      </c>
      <c r="F129" s="179" t="str">
        <f>VLOOKUP($A129,'Institution Evaluation'!$A$56:$K$345,6,0)&amp;""</f>
        <v/>
      </c>
      <c r="G129" s="30" t="str">
        <f>VLOOKUP($A129,'Institution Evaluation'!$A$56:$K$345,7,0)&amp;""</f>
        <v>Yes</v>
      </c>
      <c r="H129" s="176" t="str">
        <f>VLOOKUP($A129,'Institution Evaluation'!$A$56:$K$345,8,0)&amp;""</f>
        <v/>
      </c>
      <c r="I129" s="45" t="str">
        <f>VLOOKUP($A129,'Institution Evaluation'!$A$56:$K$345,9,0)&amp;""</f>
        <v>Minor Importance</v>
      </c>
      <c r="J129" s="177" t="str">
        <f>VLOOKUP($A129,'Institution Evaluation'!$A$56:$K$345,10,0)&amp;""</f>
        <v/>
      </c>
      <c r="K129" s="48" t="str">
        <f>IF(VLOOKUP($A129,'Institution Evaluation'!$A$56:$K$345,10,0)=TRUE,'Auto Responses'!$J$3,"")</f>
        <v/>
      </c>
    </row>
    <row r="130" spans="1:11" s="1" customFormat="1" ht="18" customHeight="1" x14ac:dyDescent="0.15">
      <c r="A130" s="61" t="str">
        <f>VLOOKUP(LEFT($A131,4),'Auto Responses'!$N$4:$O$38,2,0)&amp;""</f>
        <v xml:space="preserve"> Required Questions</v>
      </c>
      <c r="B130" s="22"/>
      <c r="C130" s="31"/>
      <c r="D130" s="31"/>
      <c r="E130" s="289"/>
      <c r="F130" s="126" t="s">
        <v>652</v>
      </c>
      <c r="G130" s="293" t="s">
        <v>647</v>
      </c>
      <c r="H130" s="293" t="s">
        <v>648</v>
      </c>
      <c r="I130" s="293" t="s">
        <v>649</v>
      </c>
      <c r="J130" s="293" t="s">
        <v>650</v>
      </c>
      <c r="K130" s="31"/>
    </row>
    <row r="131" spans="1:11" ht="42.75" customHeight="1" x14ac:dyDescent="0.2">
      <c r="A131" s="19" t="s">
        <v>29</v>
      </c>
      <c r="B131" s="18" t="str">
        <f>VLOOKUP($A131,Questions!$A$2:$X$333,2,0)</f>
        <v>Does your solution have AI features, or are there plans to implement AI features in the next 12 months?</v>
      </c>
      <c r="C131" s="45" t="str">
        <f>VLOOKUP($A131,'Institution Evaluation'!$A$56:$K$345,3,0)&amp;""</f>
        <v>Yes</v>
      </c>
      <c r="D131" s="45" t="str">
        <f>VLOOKUP($A131,'Institution Evaluation'!$A$56:$K$345,4,0)&amp;""</f>
        <v>Accredible uses OpenAI's API as part of a Skills Extraction Service that takes course descriptions as input and suggests relevant skill tags. Results are processed through a CritiqueEvaluatorService before being surfaced to users.</v>
      </c>
      <c r="E131" s="288" t="str">
        <f>VLOOKUP($A131,'Institution Evaluation'!$A$56:$K$345,5,0)&amp;""</f>
        <v>DO complete the Artificial Intelligence (AI) worksheet</v>
      </c>
      <c r="F131" s="179" t="str">
        <f>VLOOKUP($A131,'Institution Evaluation'!$A$56:$K$345,6,0)&amp;""</f>
        <v/>
      </c>
      <c r="G131" s="30" t="str">
        <f>VLOOKUP($A131,'Institution Evaluation'!$A$56:$K$345,7,0)&amp;""</f>
        <v>Not scored</v>
      </c>
      <c r="H131" s="176" t="str">
        <f>VLOOKUP($A131,'Institution Evaluation'!$A$56:$K$345,8,0)&amp;""</f>
        <v/>
      </c>
      <c r="I131" s="45" t="str">
        <f>VLOOKUP($A131,'Institution Evaluation'!$A$56:$K$345,9,0)&amp;""</f>
        <v/>
      </c>
      <c r="J131" s="177" t="str">
        <f>VLOOKUP($A131,'Institution Evaluation'!$A$56:$K$345,10,0)&amp;""</f>
        <v/>
      </c>
      <c r="K131" s="48" t="str">
        <f>IF(VLOOKUP($A131,'Institution Evaluation'!$A$56:$K$345,10,0)=TRUE,'Auto Responses'!$J$3,"")</f>
        <v/>
      </c>
    </row>
    <row r="132" spans="1:11" ht="60" customHeight="1" x14ac:dyDescent="0.2">
      <c r="A132" s="19" t="s">
        <v>31</v>
      </c>
      <c r="B132" s="18" t="str">
        <f>VLOOKUP($A132,Questions!$A$2:$X$333,2,0)</f>
        <v>Does your solution process protected health information (PHI) or any data covered by the Health Insurance Portability and Accountability Act (HIPAA)?</v>
      </c>
      <c r="C132" s="45" t="str">
        <f>VLOOKUP($A132,'Institution Evaluation'!$A$56:$K$345,3,0)&amp;""</f>
        <v>No</v>
      </c>
      <c r="D132" s="45" t="str">
        <f>VLOOKUP($A132,'Institution Evaluation'!$A$56:$K$345,4,0)&amp;""</f>
        <v>Accredible does not process Protected Health Information (PHI) or any HIPAA-covered data.</v>
      </c>
      <c r="E132" s="288" t="str">
        <f>VLOOKUP($A132,'Institution Evaluation'!$A$56:$K$345,5,0)&amp;""</f>
        <v>DO NOT complete the HIPAA section in the Case-Specific worksheet</v>
      </c>
      <c r="F132" s="179" t="str">
        <f>VLOOKUP($A132,'Institution Evaluation'!$A$56:$K$345,6,0)&amp;""</f>
        <v/>
      </c>
      <c r="G132" s="30" t="str">
        <f>VLOOKUP($A132,'Institution Evaluation'!$A$56:$K$345,7,0)&amp;""</f>
        <v>Not scored</v>
      </c>
      <c r="H132" s="176" t="str">
        <f>VLOOKUP($A132,'Institution Evaluation'!$A$56:$K$345,8,0)&amp;""</f>
        <v/>
      </c>
      <c r="I132" s="45" t="str">
        <f>VLOOKUP($A132,'Institution Evaluation'!$A$56:$K$345,9,0)&amp;""</f>
        <v/>
      </c>
      <c r="J132" s="177" t="str">
        <f>VLOOKUP($A132,'Institution Evaluation'!$A$56:$K$345,10,0)&amp;""</f>
        <v/>
      </c>
      <c r="K132" s="48" t="str">
        <f>IF(VLOOKUP($A132,'Institution Evaluation'!$A$56:$K$345,10,0)=TRUE,'Auto Responses'!$J$3,"")</f>
        <v/>
      </c>
    </row>
    <row r="133" spans="1:11" ht="60" customHeight="1" x14ac:dyDescent="0.2">
      <c r="A133" s="19" t="s">
        <v>33</v>
      </c>
      <c r="B133" s="18" t="str">
        <f>VLOOKUP($A133,Questions!$A$2:$X$333,2,0)</f>
        <v>Is the solution designed to process, store, or transmit credit card information?</v>
      </c>
      <c r="C133" s="45" t="str">
        <f>VLOOKUP($A133,'Institution Evaluation'!$A$56:$K$345,3,0)&amp;""</f>
        <v>No</v>
      </c>
      <c r="D133" s="45" t="str">
        <f>VLOOKUP($A133,'Institution Evaluation'!$A$56:$K$345,4,0)&amp;""</f>
        <v>Accredible does not process, store, or transmit credit card data. Payment processing, where applicable, is handled through third-party payment processors.</v>
      </c>
      <c r="E133" s="288" t="str">
        <f>VLOOKUP($A133,'Institution Evaluation'!$A$56:$K$345,5,0)&amp;""</f>
        <v>DO NOT complete the PCI-DSS section in the Case-Specific worksheet</v>
      </c>
      <c r="F133" s="179" t="str">
        <f>VLOOKUP($A133,'Institution Evaluation'!$A$56:$K$345,6,0)&amp;""</f>
        <v/>
      </c>
      <c r="G133" s="30" t="str">
        <f>VLOOKUP($A133,'Institution Evaluation'!$A$56:$K$345,7,0)&amp;""</f>
        <v>Not scored</v>
      </c>
      <c r="H133" s="176" t="str">
        <f>VLOOKUP($A133,'Institution Evaluation'!$A$56:$K$345,8,0)&amp;""</f>
        <v/>
      </c>
      <c r="I133" s="45" t="str">
        <f>VLOOKUP($A133,'Institution Evaluation'!$A$56:$K$345,9,0)&amp;""</f>
        <v/>
      </c>
      <c r="J133" s="177" t="str">
        <f>VLOOKUP($A133,'Institution Evaluation'!$A$56:$K$345,10,0)&amp;""</f>
        <v/>
      </c>
      <c r="K133" s="48" t="str">
        <f>IF(VLOOKUP($A133,'Institution Evaluation'!$A$56:$K$345,10,0)=TRUE,'Auto Responses'!$J$3,"")</f>
        <v/>
      </c>
    </row>
    <row r="134" spans="1:11" ht="60" customHeight="1" x14ac:dyDescent="0.2">
      <c r="A134" s="19" t="s">
        <v>369</v>
      </c>
      <c r="B134" s="18" t="str">
        <f>VLOOKUP($A134,Questions!$A$2:$X$333,2,0)</f>
        <v>Does your solution have access to personal or institutional data?</v>
      </c>
      <c r="C134" s="45" t="str">
        <f>VLOOKUP($A134,'Institution Evaluation'!$A$56:$K$345,3,0)&amp;""</f>
        <v>Yes</v>
      </c>
      <c r="D134" s="45" t="str">
        <f>VLOOKUP($A134,'Institution Evaluation'!$A$56:$K$345,4,0)&amp;""</f>
        <v>Accredible processes personal data including recipient names, email addresses, and credential information on behalf of issuing institutions.</v>
      </c>
      <c r="E134" s="288" t="str">
        <f>VLOOKUP($A134,'Institution Evaluation'!$A$56:$K$345,5,0)&amp;""</f>
        <v>DO complete the Privacy tab</v>
      </c>
      <c r="F134" s="179" t="str">
        <f>VLOOKUP($A134,'Institution Evaluation'!$A$56:$K$345,6,0)&amp;""</f>
        <v/>
      </c>
      <c r="G134" s="30" t="str">
        <f>VLOOKUP($A134,'Institution Evaluation'!$A$56:$K$345,7,0)&amp;""</f>
        <v>Not scored</v>
      </c>
      <c r="H134" s="176" t="str">
        <f>VLOOKUP($A134,'Institution Evaluation'!$A$56:$K$345,8,0)&amp;""</f>
        <v/>
      </c>
      <c r="I134" s="45" t="str">
        <f>VLOOKUP($A134,'Institution Evaluation'!$A$56:$K$345,9,0)&amp;""</f>
        <v/>
      </c>
      <c r="J134" s="177" t="str">
        <f>VLOOKUP($A134,'Institution Evaluation'!$A$56:$K$345,10,0)&amp;""</f>
        <v/>
      </c>
      <c r="K134" s="48" t="str">
        <f>IF(VLOOKUP($A134,'Institution Evaluation'!$A$56:$K$345,10,0)=TRUE,'Auto Responses'!$J$3,"")</f>
        <v/>
      </c>
    </row>
    <row r="135" spans="1:11" s="1" customFormat="1" ht="18" customHeight="1" x14ac:dyDescent="0.15">
      <c r="A135" s="61" t="str">
        <f>VLOOKUP(LEFT($A136,4),'Auto Responses'!$N$4:$O$38,2,0)&amp;""</f>
        <v xml:space="preserve"> Documentation</v>
      </c>
      <c r="B135" s="22"/>
      <c r="C135" s="31"/>
      <c r="D135" s="31"/>
      <c r="E135" s="289"/>
      <c r="F135" s="126" t="s">
        <v>652</v>
      </c>
      <c r="G135" s="293" t="s">
        <v>647</v>
      </c>
      <c r="H135" s="293" t="s">
        <v>648</v>
      </c>
      <c r="I135" s="293" t="s">
        <v>649</v>
      </c>
      <c r="J135" s="293" t="s">
        <v>650</v>
      </c>
      <c r="K135" s="31"/>
    </row>
    <row r="136" spans="1:11" ht="42.75" customHeight="1" x14ac:dyDescent="0.2">
      <c r="A136" s="19" t="s">
        <v>37</v>
      </c>
      <c r="B136" s="18" t="str">
        <f>VLOOKUP($A136,Questions!$A$2:$X$333,2,0)</f>
        <v>Do you have a well-documented business continuity plan (BCP), with a clear owner, that is tested annually?*</v>
      </c>
      <c r="C136" s="45" t="str">
        <f>VLOOKUP($A136,'Institution Evaluation'!$A$56:$K$345,3,0)&amp;""</f>
        <v>Yes</v>
      </c>
      <c r="D136" s="45" t="str">
        <f>VLOOKUP($A136,'Institution Evaluation'!$A$56:$K$345,4,0)&amp;""</f>
        <v>Accredible maintains a documented Business Continuity Plan (BCP) with a named owner. BCP and DR tests are conducted multiple times per year using simulations and tabletop scenarios.</v>
      </c>
      <c r="E136" s="288" t="str">
        <f>VLOOKUP($A136,'Institution Evaluation'!$A$56:$K$345,5,0)&amp;""</f>
        <v/>
      </c>
      <c r="F136" s="179" t="str">
        <f>VLOOKUP($A136,'Institution Evaluation'!$A$56:$K$345,6,0)&amp;""</f>
        <v/>
      </c>
      <c r="G136" s="30" t="str">
        <f>VLOOKUP($A136,'Institution Evaluation'!$A$56:$K$345,7,0)&amp;""</f>
        <v>Yes</v>
      </c>
      <c r="H136" s="176" t="str">
        <f>VLOOKUP($A136,'Institution Evaluation'!$A$56:$K$345,8,0)&amp;""</f>
        <v/>
      </c>
      <c r="I136" s="45" t="str">
        <f>VLOOKUP($A136,'Institution Evaluation'!$A$56:$K$345,9,0)&amp;""</f>
        <v>Critical Importance</v>
      </c>
      <c r="J136" s="177" t="str">
        <f>VLOOKUP($A136,'Institution Evaluation'!$A$56:$K$345,10,0)&amp;""</f>
        <v/>
      </c>
      <c r="K136" s="48" t="str">
        <f>IF(VLOOKUP($A136,'Institution Evaluation'!$A$56:$K$345,10,0)=TRUE,'Auto Responses'!$J$3,"")</f>
        <v/>
      </c>
    </row>
    <row r="137" spans="1:11" ht="15" customHeight="1" x14ac:dyDescent="0.2">
      <c r="A137" s="19" t="s">
        <v>39</v>
      </c>
      <c r="B137" s="18" t="str">
        <f>VLOOKUP($A137,Questions!$A$2:$X$333,2,0)</f>
        <v>Have you undergone a SSAE 18/SOC 2 audit?</v>
      </c>
      <c r="C137" s="45" t="str">
        <f>VLOOKUP($A137,'Institution Evaluation'!$A$56:$K$345,3,0)&amp;""</f>
        <v>Yes</v>
      </c>
      <c r="D137" s="45" t="str">
        <f>VLOOKUP($A137,'Institution Evaluation'!$A$56:$K$345,4,0)&amp;""</f>
        <v>Accredible holds a SOC 2 Type 2 certification which runs from Jan to December each year and is audited annually by a third party auditor. The scope covers the entire Accredible Processing System.</v>
      </c>
      <c r="E137" s="288" t="str">
        <f>VLOOKUP($A137,'Institution Evaluation'!$A$56:$K$345,5,0)&amp;""</f>
        <v>Provide the date of assessment and include a SOC 2 Type 2 (preferred) or SOC 3 report. If you have a SOC 3 report, state how to obtain a copy. Indicate if your hosting provider was the subject of the audit.</v>
      </c>
      <c r="F137" s="179" t="str">
        <f>VLOOKUP($A137,'Institution Evaluation'!$A$56:$K$345,6,0)&amp;""</f>
        <v/>
      </c>
      <c r="G137" s="30" t="str">
        <f>VLOOKUP($A137,'Institution Evaluation'!$A$56:$K$345,7,0)&amp;""</f>
        <v>Yes</v>
      </c>
      <c r="H137" s="176" t="str">
        <f>VLOOKUP($A137,'Institution Evaluation'!$A$56:$K$345,8,0)&amp;""</f>
        <v/>
      </c>
      <c r="I137" s="45" t="str">
        <f>VLOOKUP($A137,'Institution Evaluation'!$A$56:$K$345,9,0)&amp;""</f>
        <v>Standard Importance</v>
      </c>
      <c r="J137" s="177" t="str">
        <f>VLOOKUP($A137,'Institution Evaluation'!$A$56:$K$345,10,0)&amp;""</f>
        <v/>
      </c>
      <c r="K137" s="48" t="str">
        <f>IF(VLOOKUP($A137,'Institution Evaluation'!$A$56:$K$345,10,0)=TRUE,'Auto Responses'!$J$3,"")</f>
        <v/>
      </c>
    </row>
    <row r="138" spans="1:11" ht="42.75" customHeight="1" x14ac:dyDescent="0.2">
      <c r="A138" s="19" t="s">
        <v>40</v>
      </c>
      <c r="B138" s="18" t="str">
        <f>VLOOKUP($A138,Questions!$A$2:$X$333,2,0)</f>
        <v>Do you conform with a specific industry standard security framework (e.g., NIST Cybersecurity Framework, CIS Controls, ISO 27001, etc.)?</v>
      </c>
      <c r="C138" s="45" t="str">
        <f>VLOOKUP($A138,'Institution Evaluation'!$A$56:$K$345,3,0)&amp;""</f>
        <v>Yes</v>
      </c>
      <c r="D138" s="45" t="str">
        <f>VLOOKUP($A138,'Institution Evaluation'!$A$56:$K$345,4,0)&amp;""</f>
        <v>Accredible conforms with SOC 2 Trust Services Criteria. Accredible also monitors alignment with NIST Cybersecurity Framework best practices through its Vanta compliance program.</v>
      </c>
      <c r="E138" s="288" t="str">
        <f>VLOOKUP($A138,'Institution Evaluation'!$A$56:$K$345,5,0)&amp;""</f>
        <v>Provide documentation on how your organization conforms to your chosen framework and indicate current certification levels, where appropriate.</v>
      </c>
      <c r="F138" s="179" t="str">
        <f>VLOOKUP($A138,'Institution Evaluation'!$A$56:$K$345,6,0)&amp;""</f>
        <v/>
      </c>
      <c r="G138" s="30" t="str">
        <f>VLOOKUP($A138,'Institution Evaluation'!$A$56:$K$345,7,0)&amp;""</f>
        <v>Yes</v>
      </c>
      <c r="H138" s="176" t="str">
        <f>VLOOKUP($A138,'Institution Evaluation'!$A$56:$K$345,8,0)&amp;""</f>
        <v/>
      </c>
      <c r="I138" s="45" t="str">
        <f>VLOOKUP($A138,'Institution Evaluation'!$A$56:$K$345,9,0)&amp;""</f>
        <v>Standard Importance</v>
      </c>
      <c r="J138" s="177" t="str">
        <f>VLOOKUP($A138,'Institution Evaluation'!$A$56:$K$345,10,0)&amp;""</f>
        <v/>
      </c>
      <c r="K138" s="48" t="str">
        <f>IF(VLOOKUP($A138,'Institution Evaluation'!$A$56:$K$345,10,0)=TRUE,'Auto Responses'!$J$3,"")</f>
        <v/>
      </c>
    </row>
    <row r="139" spans="1:11" ht="42.75" customHeight="1" x14ac:dyDescent="0.2">
      <c r="A139" s="19" t="s">
        <v>41</v>
      </c>
      <c r="B139" s="18" t="str">
        <f>VLOOKUP($A139,Questions!$A$2:$X$333,2,0)</f>
        <v>Can you provide overall system and/or application architecture diagrams, including a full description of the data flow for all components of the system?</v>
      </c>
      <c r="C139" s="45" t="str">
        <f>VLOOKUP($A139,'Institution Evaluation'!$A$56:$K$345,3,0)&amp;""</f>
        <v>Yes</v>
      </c>
      <c r="D139" s="45" t="str">
        <f>VLOOKUP($A139,'Institution Evaluation'!$A$56:$K$345,4,0)&amp;""</f>
        <v>System and application architecture diagrams are available via https://www.accredible.com/trust-center</v>
      </c>
      <c r="E139" s="288" t="str">
        <f>VLOOKUP($A139,'Institution Evaluation'!$A$56:$K$345,5,0)&amp;""</f>
        <v>Provide your diagrams (or a valid link to it) upon submission.</v>
      </c>
      <c r="F139" s="179" t="str">
        <f>VLOOKUP($A139,'Institution Evaluation'!$A$56:$K$345,6,0)&amp;""</f>
        <v/>
      </c>
      <c r="G139" s="30" t="str">
        <f>VLOOKUP($A139,'Institution Evaluation'!$A$56:$K$345,7,0)&amp;""</f>
        <v>Yes</v>
      </c>
      <c r="H139" s="176" t="str">
        <f>VLOOKUP($A139,'Institution Evaluation'!$A$56:$K$345,8,0)&amp;""</f>
        <v/>
      </c>
      <c r="I139" s="45" t="str">
        <f>VLOOKUP($A139,'Institution Evaluation'!$A$56:$K$345,9,0)&amp;""</f>
        <v>Standard Importance</v>
      </c>
      <c r="J139" s="177" t="str">
        <f>VLOOKUP($A139,'Institution Evaluation'!$A$56:$K$345,10,0)&amp;""</f>
        <v/>
      </c>
      <c r="K139" s="48" t="str">
        <f>IF(VLOOKUP($A139,'Institution Evaluation'!$A$56:$K$345,10,0)=TRUE,'Auto Responses'!$J$3,"")</f>
        <v/>
      </c>
    </row>
    <row r="140" spans="1:11" ht="15" customHeight="1" x14ac:dyDescent="0.2">
      <c r="A140" s="19" t="s">
        <v>42</v>
      </c>
      <c r="B140" s="18" t="str">
        <f>VLOOKUP($A140,Questions!$A$2:$X$333,2,0)</f>
        <v>Does your organization have a data privacy policy?</v>
      </c>
      <c r="C140" s="45" t="str">
        <f>VLOOKUP($A140,'Institution Evaluation'!$A$56:$K$345,3,0)&amp;""</f>
        <v>Yes</v>
      </c>
      <c r="D140" s="45" t="str">
        <f>VLOOKUP($A140,'Institution Evaluation'!$A$56:$K$345,4,0)&amp;""</f>
        <v>Accredible's privacy policy is available at https://www.accredible.com/legal/privacy-policy</v>
      </c>
      <c r="E140" s="288" t="str">
        <f>VLOOKUP($A140,'Institution Evaluation'!$A$56:$K$345,5,0)&amp;""</f>
        <v>Provide your data privacy document (or a valid link to it) upon submission.</v>
      </c>
      <c r="F140" s="179" t="str">
        <f>VLOOKUP($A140,'Institution Evaluation'!$A$56:$K$345,6,0)&amp;""</f>
        <v/>
      </c>
      <c r="G140" s="30" t="str">
        <f>VLOOKUP($A140,'Institution Evaluation'!$A$56:$K$345,7,0)&amp;""</f>
        <v>Yes</v>
      </c>
      <c r="H140" s="176" t="str">
        <f>VLOOKUP($A140,'Institution Evaluation'!$A$56:$K$345,8,0)&amp;""</f>
        <v/>
      </c>
      <c r="I140" s="45" t="str">
        <f>VLOOKUP($A140,'Institution Evaluation'!$A$56:$K$345,9,0)&amp;""</f>
        <v>Standard Importance</v>
      </c>
      <c r="J140" s="177" t="str">
        <f>VLOOKUP($A140,'Institution Evaluation'!$A$56:$K$345,10,0)&amp;""</f>
        <v/>
      </c>
      <c r="K140" s="48" t="str">
        <f>IF(VLOOKUP($A140,'Institution Evaluation'!$A$56:$K$345,10,0)=TRUE,'Auto Responses'!$J$3,"")</f>
        <v/>
      </c>
    </row>
    <row r="141" spans="1:11" ht="42.75" customHeight="1" x14ac:dyDescent="0.2">
      <c r="A141" s="19" t="s">
        <v>43</v>
      </c>
      <c r="B141" s="18" t="str">
        <f>VLOOKUP($A141,Questions!$A$2:$X$333,2,0)</f>
        <v>Do you have a documented, and currently implemented, employee onboarding and offboarding policy?</v>
      </c>
      <c r="C141" s="45" t="str">
        <f>VLOOKUP($A141,'Institution Evaluation'!$A$56:$K$345,3,0)&amp;""</f>
        <v>Yes</v>
      </c>
      <c r="D141" s="45" t="str">
        <f>VLOOKUP($A141,'Institution Evaluation'!$A$56:$K$345,4,0)&amp;""</f>
        <v>Accredible maintains documented onboarding and offboarding policies. Offboarding includes immediate access revocation. HR alerts from Rippling are integrated into the offboarding process.</v>
      </c>
      <c r="E141" s="288" t="str">
        <f>VLOOKUP($A141,'Institution Evaluation'!$A$56:$K$345,5,0)&amp;""</f>
        <v>Provide a reference to your employee onboarding and offboarding policy and supporting documentation or submit it along with this fully populated HECVAT.</v>
      </c>
      <c r="F141" s="179" t="str">
        <f>VLOOKUP($A141,'Institution Evaluation'!$A$56:$K$345,6,0)&amp;""</f>
        <v/>
      </c>
      <c r="G141" s="30" t="str">
        <f>VLOOKUP($A141,'Institution Evaluation'!$A$56:$K$345,7,0)&amp;""</f>
        <v>Yes</v>
      </c>
      <c r="H141" s="176" t="str">
        <f>VLOOKUP($A141,'Institution Evaluation'!$A$56:$K$345,8,0)&amp;""</f>
        <v/>
      </c>
      <c r="I141" s="45" t="str">
        <f>VLOOKUP($A141,'Institution Evaluation'!$A$56:$K$345,9,0)&amp;""</f>
        <v>Standard Importance</v>
      </c>
      <c r="J141" s="177" t="str">
        <f>VLOOKUP($A141,'Institution Evaluation'!$A$56:$K$345,10,0)&amp;""</f>
        <v/>
      </c>
      <c r="K141" s="48" t="str">
        <f>IF(VLOOKUP($A141,'Institution Evaluation'!$A$56:$K$345,10,0)=TRUE,'Auto Responses'!$J$3,"")</f>
        <v/>
      </c>
    </row>
    <row r="142" spans="1:11" s="1" customFormat="1" ht="18" customHeight="1" x14ac:dyDescent="0.15">
      <c r="A142" s="61" t="str">
        <f>VLOOKUP(LEFT($A143,4),'Auto Responses'!$N$4:$O$38,2,0)&amp;""</f>
        <v xml:space="preserve"> IT Accessibility</v>
      </c>
      <c r="B142" s="22"/>
      <c r="C142" s="31"/>
      <c r="D142" s="31"/>
      <c r="E142" s="289"/>
      <c r="F142" s="126" t="s">
        <v>652</v>
      </c>
      <c r="G142" s="293" t="s">
        <v>647</v>
      </c>
      <c r="H142" s="293" t="s">
        <v>648</v>
      </c>
      <c r="I142" s="293" t="s">
        <v>649</v>
      </c>
      <c r="J142" s="293" t="s">
        <v>650</v>
      </c>
      <c r="K142" s="31"/>
    </row>
    <row r="143" spans="1:11" ht="30" customHeight="1" x14ac:dyDescent="0.2">
      <c r="A143" s="19" t="s">
        <v>176</v>
      </c>
      <c r="B143" s="18" t="str">
        <f>VLOOKUP($A143,Questions!$A$2:$X$333,2,0)</f>
        <v>Web Link to Accessibility Statement or VPAT</v>
      </c>
      <c r="C143" s="45" t="str">
        <f>VLOOKUP($A143,'Institution Evaluation'!$A$56:$K$345,3,0)&amp;""</f>
        <v>https://help.accredible.com/s/article/accessibility</v>
      </c>
      <c r="D143" s="45" t="str">
        <f>VLOOKUP($A143,'Institution Evaluation'!$A$56:$K$345,4,0)&amp;""</f>
        <v>An up to date VPAT is available in the Accredible Help Center.</v>
      </c>
      <c r="E143" s="288" t="str">
        <f>VLOOKUP($A143,'Institution Evaluation'!$A$56:$K$345,5,0)&amp;""</f>
        <v>VPAT can also be added as an attachment</v>
      </c>
      <c r="F143" s="179" t="str">
        <f>VLOOKUP($A143,'Institution Evaluation'!$A$56:$K$345,6,0)&amp;""</f>
        <v/>
      </c>
      <c r="G143" s="30" t="str">
        <f>VLOOKUP($A143,'Institution Evaluation'!$A$56:$K$345,7,0)&amp;""</f>
        <v>Not scored</v>
      </c>
      <c r="H143" s="176" t="str">
        <f>VLOOKUP($A143,'Institution Evaluation'!$A$56:$K$345,8,0)&amp;""</f>
        <v/>
      </c>
      <c r="I143" s="45" t="str">
        <f>VLOOKUP($A143,'Institution Evaluation'!$A$56:$K$345,9,0)&amp;""</f>
        <v/>
      </c>
      <c r="J143" s="177" t="str">
        <f>VLOOKUP($A143,'Institution Evaluation'!$A$56:$K$345,10,0)&amp;""</f>
        <v/>
      </c>
      <c r="K143" s="48" t="str">
        <f>IF(VLOOKUP($A143,'Institution Evaluation'!$A$56:$K$345,10,0)=TRUE,'Auto Responses'!$J$3,"")</f>
        <v/>
      </c>
    </row>
    <row r="144" spans="1:11" ht="42.75" customHeight="1" x14ac:dyDescent="0.2">
      <c r="A144" s="19" t="s">
        <v>178</v>
      </c>
      <c r="B144" s="18" t="str">
        <f>VLOOKUP($A144,Questions!$A$2:$X$333,2,0)</f>
        <v>Will your company agree to meet your stated accessibility standard or WCAG 2.1 AA as part of your contractual agreement for the solution?*</v>
      </c>
      <c r="C144" s="45" t="str">
        <f>VLOOKUP($A144,'Institution Evaluation'!$A$56:$K$345,3,0)&amp;""</f>
        <v>Yes</v>
      </c>
      <c r="D144" s="45" t="str">
        <f>VLOOKUP($A144,'Institution Evaluation'!$A$56:$K$345,4,0)&amp;""</f>
        <v>Accredible will agree to meet its stated accessibility standard (WCAG 2.1 AA) as part of contractual agreements.</v>
      </c>
      <c r="E144" s="288" t="str">
        <f>VLOOKUP($A144,'Institution Evaluation'!$A$56:$K$345,5,0)&amp;""</f>
        <v/>
      </c>
      <c r="F144" s="179" t="str">
        <f>VLOOKUP($A144,'Institution Evaluation'!$A$56:$K$345,6,0)&amp;""</f>
        <v/>
      </c>
      <c r="G144" s="30" t="str">
        <f>VLOOKUP($A144,'Institution Evaluation'!$A$56:$K$345,7,0)&amp;""</f>
        <v>Yes</v>
      </c>
      <c r="H144" s="176" t="str">
        <f>VLOOKUP($A144,'Institution Evaluation'!$A$56:$K$345,8,0)&amp;""</f>
        <v/>
      </c>
      <c r="I144" s="45" t="str">
        <f>VLOOKUP($A144,'Institution Evaluation'!$A$56:$K$345,9,0)&amp;""</f>
        <v>Critical Importance</v>
      </c>
      <c r="J144" s="177" t="str">
        <f>VLOOKUP($A144,'Institution Evaluation'!$A$56:$K$345,10,0)&amp;""</f>
        <v/>
      </c>
      <c r="K144" s="48" t="str">
        <f>IF(VLOOKUP($A144,'Institution Evaluation'!$A$56:$K$345,10,0)=TRUE,'Auto Responses'!$J$3,"")</f>
        <v/>
      </c>
    </row>
    <row r="145" spans="1:11" s="1" customFormat="1" ht="18" customHeight="1" x14ac:dyDescent="0.15">
      <c r="A145" s="61" t="str">
        <f>VLOOKUP(LEFT($A146,4),'Auto Responses'!$N$4:$O$38,2,0)&amp;""</f>
        <v xml:space="preserve"> Assessment of Third Parties</v>
      </c>
      <c r="B145" s="22"/>
      <c r="C145" s="31"/>
      <c r="D145" s="31"/>
      <c r="E145" s="289"/>
      <c r="F145" s="126" t="s">
        <v>652</v>
      </c>
      <c r="G145" s="293" t="s">
        <v>647</v>
      </c>
      <c r="H145" s="293" t="s">
        <v>648</v>
      </c>
      <c r="I145" s="293" t="s">
        <v>649</v>
      </c>
      <c r="J145" s="293" t="s">
        <v>650</v>
      </c>
      <c r="K145" s="31"/>
    </row>
    <row r="146" spans="1:11" ht="42.75" customHeight="1" x14ac:dyDescent="0.2">
      <c r="A146" s="19" t="s">
        <v>44</v>
      </c>
      <c r="B146" s="18" t="str">
        <f>VLOOKUP($A146,Questions!$A$2:$X$333,2,0)</f>
        <v>Do you perform security assessments of third-party companies with which you share data (e.g., hosting providers, cloud services, PaaS, IaaS, SaaS)?*</v>
      </c>
      <c r="C146" s="45" t="str">
        <f>VLOOKUP($A146,'Institution Evaluation'!$A$56:$K$345,3,0)&amp;""</f>
        <v>Yes</v>
      </c>
      <c r="D146" s="45" t="str">
        <f>VLOOKUP($A146,'Institution Evaluation'!$A$56:$K$345,4,0)&amp;""</f>
        <v>Accredible reviews SOC 2 reports from all sub-processors that process customer data on an annual basis under NDA.</v>
      </c>
      <c r="E146" s="288" t="str">
        <f>VLOOKUP($A146,'Institution Evaluation'!$A$56:$K$345,5,0)&amp;""</f>
        <v>Provide a summary of your practices that assures that the third party will be subject to the appropriate standards regarding security, service recoverability, and confidentiality.</v>
      </c>
      <c r="F146" s="179" t="str">
        <f>VLOOKUP($A146,'Institution Evaluation'!$A$56:$K$345,6,0)&amp;""</f>
        <v/>
      </c>
      <c r="G146" s="30" t="str">
        <f>VLOOKUP($A146,'Institution Evaluation'!$A$56:$K$345,7,0)&amp;""</f>
        <v>Yes</v>
      </c>
      <c r="H146" s="176" t="str">
        <f>VLOOKUP($A146,'Institution Evaluation'!$A$56:$K$345,8,0)&amp;""</f>
        <v/>
      </c>
      <c r="I146" s="45" t="str">
        <f>VLOOKUP($A146,'Institution Evaluation'!$A$56:$K$345,9,0)&amp;""</f>
        <v>Critical Importance</v>
      </c>
      <c r="J146" s="177" t="str">
        <f>VLOOKUP($A146,'Institution Evaluation'!$A$56:$K$345,10,0)&amp;""</f>
        <v/>
      </c>
      <c r="K146" s="48" t="str">
        <f>IF(VLOOKUP($A146,'Institution Evaluation'!$A$56:$K$345,10,0)=TRUE,'Auto Responses'!$J$3,"")</f>
        <v/>
      </c>
    </row>
    <row r="147" spans="1:11" ht="75" customHeight="1" x14ac:dyDescent="0.2">
      <c r="A147" s="19" t="s">
        <v>45</v>
      </c>
      <c r="B147" s="18" t="str">
        <f>VLOOKUP($A147,Questions!$A$2:$X$333,2,0)</f>
        <v>Do you have contractual language in place with third parties governing access to institutional data?*</v>
      </c>
      <c r="C147" s="45" t="str">
        <f>VLOOKUP($A147,'Institution Evaluation'!$A$56:$K$345,3,0)&amp;""</f>
        <v>Yes</v>
      </c>
      <c r="D147" s="45" t="str">
        <f>VLOOKUP($A147,'Institution Evaluation'!$A$56:$K$345,4,0)&amp;""</f>
        <v>Accredible has contractual agreements with all third parties governing access to institutional data, including requirements that they do not use or pass on customer data to other parties.</v>
      </c>
      <c r="E147" s="288" t="str">
        <f>VLOOKUP($A147,'Institution Evaluation'!$A$56:$K$345,5,0)&amp;""</f>
        <v>List each third party and why institutional data is shared with them. Format example: [Third Party Name] - Reason</v>
      </c>
      <c r="F147" s="179" t="str">
        <f>VLOOKUP($A147,'Institution Evaluation'!$A$56:$K$345,6,0)&amp;""</f>
        <v/>
      </c>
      <c r="G147" s="30" t="str">
        <f>VLOOKUP($A147,'Institution Evaluation'!$A$56:$K$345,7,0)&amp;""</f>
        <v>Yes</v>
      </c>
      <c r="H147" s="176" t="str">
        <f>VLOOKUP($A147,'Institution Evaluation'!$A$56:$K$345,8,0)&amp;""</f>
        <v/>
      </c>
      <c r="I147" s="45" t="str">
        <f>VLOOKUP($A147,'Institution Evaluation'!$A$56:$K$345,9,0)&amp;""</f>
        <v>Critical Importance</v>
      </c>
      <c r="J147" s="177" t="str">
        <f>VLOOKUP($A147,'Institution Evaluation'!$A$56:$K$345,10,0)&amp;""</f>
        <v/>
      </c>
      <c r="K147" s="48" t="str">
        <f>IF(VLOOKUP($A147,'Institution Evaluation'!$A$56:$K$345,10,0)=TRUE,'Auto Responses'!$J$3,"")</f>
        <v/>
      </c>
    </row>
    <row r="148" spans="1:11" ht="28.5" customHeight="1" x14ac:dyDescent="0.2">
      <c r="A148" s="19" t="s">
        <v>46</v>
      </c>
      <c r="B148" s="18" t="str">
        <f>VLOOKUP($A148,Questions!$A$2:$X$333,2,0)</f>
        <v>Do the contracts in place with these third parties address liability in the event of a data breach?*</v>
      </c>
      <c r="C148" s="45" t="str">
        <f>VLOOKUP($A148,'Institution Evaluation'!$A$56:$K$345,3,0)&amp;""</f>
        <v>Yes</v>
      </c>
      <c r="D148" s="45" t="str">
        <f>VLOOKUP($A148,'Institution Evaluation'!$A$56:$K$345,4,0)&amp;""</f>
        <v>Contracts with sub-processors address liability in the event of a data breach. Accredible also carries cyber-risk insurance covering data breaches and security incidents.</v>
      </c>
      <c r="E148" s="288" t="str">
        <f>VLOOKUP($A148,'Institution Evaluation'!$A$56:$K$345,5,0)&amp;""</f>
        <v/>
      </c>
      <c r="F148" s="179" t="str">
        <f>VLOOKUP($A148,'Institution Evaluation'!$A$56:$K$345,6,0)&amp;""</f>
        <v/>
      </c>
      <c r="G148" s="30" t="str">
        <f>VLOOKUP($A148,'Institution Evaluation'!$A$56:$K$345,7,0)&amp;""</f>
        <v>Yes</v>
      </c>
      <c r="H148" s="176" t="str">
        <f>VLOOKUP($A148,'Institution Evaluation'!$A$56:$K$345,8,0)&amp;""</f>
        <v/>
      </c>
      <c r="I148" s="45" t="str">
        <f>VLOOKUP($A148,'Institution Evaluation'!$A$56:$K$345,9,0)&amp;""</f>
        <v>Critical Importance</v>
      </c>
      <c r="J148" s="177" t="str">
        <f>VLOOKUP($A148,'Institution Evaluation'!$A$56:$K$345,10,0)&amp;""</f>
        <v/>
      </c>
      <c r="K148" s="48" t="str">
        <f>IF(VLOOKUP($A148,'Institution Evaluation'!$A$56:$K$345,10,0)=TRUE,'Auto Responses'!$J$3,"")</f>
        <v/>
      </c>
    </row>
    <row r="149" spans="1:11" ht="75" customHeight="1" x14ac:dyDescent="0.2">
      <c r="A149" s="19" t="s">
        <v>47</v>
      </c>
      <c r="B149" s="18" t="str">
        <f>VLOOKUP($A149,Questions!$A$2:$X$333,2,0)</f>
        <v>Do you have an implemented third-party management strategy?*</v>
      </c>
      <c r="C149" s="45" t="str">
        <f>VLOOKUP($A149,'Institution Evaluation'!$A$56:$K$345,3,0)&amp;""</f>
        <v>Yes</v>
      </c>
      <c r="D149" s="45" t="str">
        <f>VLOOKUP($A149,'Institution Evaluation'!$A$56:$K$345,4,0)&amp;""</f>
        <v>Accredible maintains a documented third-party management strategy including vendor evaluation, contracting, and annual SOC 2 review.</v>
      </c>
      <c r="E149" s="288" t="str">
        <f>VLOOKUP($A149,'Institution Evaluation'!$A$56:$K$345,5,0)&amp;""</f>
        <v>Provide additional information that may help analysts better understand your environment and how it relates to third-party solutions.</v>
      </c>
      <c r="F149" s="179" t="str">
        <f>VLOOKUP($A149,'Institution Evaluation'!$A$56:$K$345,6,0)&amp;""</f>
        <v/>
      </c>
      <c r="G149" s="30" t="str">
        <f>VLOOKUP($A149,'Institution Evaluation'!$A$56:$K$345,7,0)&amp;""</f>
        <v>Yes</v>
      </c>
      <c r="H149" s="176" t="str">
        <f>VLOOKUP($A149,'Institution Evaluation'!$A$56:$K$345,8,0)&amp;""</f>
        <v/>
      </c>
      <c r="I149" s="45" t="str">
        <f>VLOOKUP($A149,'Institution Evaluation'!$A$56:$K$345,9,0)&amp;""</f>
        <v>Critical Importance</v>
      </c>
      <c r="J149" s="177" t="str">
        <f>VLOOKUP($A149,'Institution Evaluation'!$A$56:$K$345,10,0)&amp;""</f>
        <v/>
      </c>
      <c r="K149" s="48" t="str">
        <f>IF(VLOOKUP($A149,'Institution Evaluation'!$A$56:$K$345,10,0)=TRUE,'Auto Responses'!$J$3,"")</f>
        <v/>
      </c>
    </row>
    <row r="150" spans="1:11" s="1" customFormat="1" ht="18" customHeight="1" x14ac:dyDescent="0.15">
      <c r="A150" s="61" t="str">
        <f>VLOOKUP(LEFT($A151,4),'Auto Responses'!$N$4:$O$38,2,0)&amp;""</f>
        <v xml:space="preserve"> Consulting Services</v>
      </c>
      <c r="B150" s="22"/>
      <c r="C150" s="31"/>
      <c r="D150" s="31"/>
      <c r="E150" s="289"/>
      <c r="F150" s="126" t="s">
        <v>652</v>
      </c>
      <c r="G150" s="293" t="s">
        <v>647</v>
      </c>
      <c r="H150" s="293" t="s">
        <v>648</v>
      </c>
      <c r="I150" s="293" t="s">
        <v>649</v>
      </c>
      <c r="J150" s="293" t="s">
        <v>650</v>
      </c>
      <c r="K150" s="31"/>
    </row>
    <row r="151" spans="1:11" ht="28.5" customHeight="1" x14ac:dyDescent="0.2">
      <c r="A151" s="19" t="s">
        <v>190</v>
      </c>
      <c r="B151" s="18" t="str">
        <f>VLOOKUP($A151,Questions!$A$2:$X$333,2,0)</f>
        <v>Will the consultant require access to the institution's network resources?*</v>
      </c>
      <c r="C151" s="45" t="str">
        <f>VLOOKUP($A151,'Institution Evaluation'!$A$56:$K$345,3,0)&amp;""</f>
        <v>N/A</v>
      </c>
      <c r="D151" s="45" t="str">
        <f>VLOOKUP($A151,'Institution Evaluation'!$A$56:$K$345,4,0)&amp;""</f>
        <v>This question does not apply.</v>
      </c>
      <c r="E151" s="288" t="str">
        <f>VLOOKUP($A151,'Institution Evaluation'!$A$56:$K$345,5,0)&amp;""</f>
        <v>Based on the response to REQU-03 on the "START HERE" tab, this question does not apply to this product or service.</v>
      </c>
      <c r="F151" s="179" t="str">
        <f>VLOOKUP($A151,'Institution Evaluation'!$A$56:$K$345,6,0)&amp;""</f>
        <v/>
      </c>
      <c r="G151" s="30" t="str">
        <f>VLOOKUP($A151,'Institution Evaluation'!$A$56:$K$345,7,0)&amp;""</f>
        <v>No</v>
      </c>
      <c r="H151" s="176" t="str">
        <f>VLOOKUP($A151,'Institution Evaluation'!$A$56:$K$345,8,0)&amp;""</f>
        <v/>
      </c>
      <c r="I151" s="45" t="str">
        <f>VLOOKUP($A151,'Institution Evaluation'!$A$56:$K$345,9,0)&amp;""</f>
        <v>Critical Importance</v>
      </c>
      <c r="J151" s="177" t="str">
        <f>VLOOKUP($A151,'Institution Evaluation'!$A$56:$K$345,10,0)&amp;""</f>
        <v/>
      </c>
      <c r="K151" s="48" t="str">
        <f>IF(VLOOKUP($A151,'Institution Evaluation'!$A$56:$K$345,10,0)=TRUE,'Auto Responses'!$J$3,"")</f>
        <v/>
      </c>
    </row>
    <row r="152" spans="1:11" ht="28.5" customHeight="1" x14ac:dyDescent="0.2">
      <c r="A152" s="19" t="s">
        <v>191</v>
      </c>
      <c r="B152" s="18" t="str">
        <f>VLOOKUP($A152,Questions!$A$2:$X$333,2,0)</f>
        <v>Has the consultant received training on (sensitive, HIPAA, PCI, etc.) data handling?*</v>
      </c>
      <c r="C152" s="45" t="str">
        <f>VLOOKUP($A152,'Institution Evaluation'!$A$56:$K$345,3,0)&amp;""</f>
        <v>N/A</v>
      </c>
      <c r="D152" s="45" t="str">
        <f>VLOOKUP($A152,'Institution Evaluation'!$A$56:$K$345,4,0)&amp;""</f>
        <v>This question does not apply.</v>
      </c>
      <c r="E152" s="288" t="str">
        <f>VLOOKUP($A152,'Institution Evaluation'!$A$56:$K$345,5,0)&amp;""</f>
        <v>Based on the response to REQU-03 on the "START HERE" tab, this question does not apply to this product or service.</v>
      </c>
      <c r="F152" s="179" t="str">
        <f>VLOOKUP($A152,'Institution Evaluation'!$A$56:$K$345,6,0)&amp;""</f>
        <v/>
      </c>
      <c r="G152" s="30" t="str">
        <f>VLOOKUP($A152,'Institution Evaluation'!$A$56:$K$345,7,0)&amp;""</f>
        <v>Yes</v>
      </c>
      <c r="H152" s="176" t="str">
        <f>VLOOKUP($A152,'Institution Evaluation'!$A$56:$K$345,8,0)&amp;""</f>
        <v/>
      </c>
      <c r="I152" s="45" t="str">
        <f>VLOOKUP($A152,'Institution Evaluation'!$A$56:$K$345,9,0)&amp;""</f>
        <v>Critical Importance</v>
      </c>
      <c r="J152" s="177" t="str">
        <f>VLOOKUP($A152,'Institution Evaluation'!$A$56:$K$345,10,0)&amp;""</f>
        <v/>
      </c>
      <c r="K152" s="48" t="str">
        <f>IF(VLOOKUP($A152,'Institution Evaluation'!$A$56:$K$345,10,0)=TRUE,'Auto Responses'!$J$3,"")</f>
        <v/>
      </c>
    </row>
    <row r="153" spans="1:11" ht="28.5" customHeight="1" x14ac:dyDescent="0.2">
      <c r="A153" s="19" t="s">
        <v>192</v>
      </c>
      <c r="B153" s="18" t="str">
        <f>VLOOKUP($A153,Questions!$A$2:$X$333,2,0)</f>
        <v>Is the data encrypted (at rest) while in the consultant's possession?*</v>
      </c>
      <c r="C153" s="45" t="str">
        <f>VLOOKUP($A153,'Institution Evaluation'!$A$56:$K$345,3,0)&amp;""</f>
        <v>N/A</v>
      </c>
      <c r="D153" s="45" t="str">
        <f>VLOOKUP($A153,'Institution Evaluation'!$A$56:$K$345,4,0)&amp;""</f>
        <v>This question does not apply.</v>
      </c>
      <c r="E153" s="288" t="str">
        <f>VLOOKUP($A153,'Institution Evaluation'!$A$56:$K$345,5,0)&amp;""</f>
        <v>Based on the response to REQU-03 on the "START HERE" tab, this question does not apply to this product or service.</v>
      </c>
      <c r="F153" s="179" t="str">
        <f>VLOOKUP($A153,'Institution Evaluation'!$A$56:$K$345,6,0)&amp;""</f>
        <v/>
      </c>
      <c r="G153" s="30" t="str">
        <f>VLOOKUP($A153,'Institution Evaluation'!$A$56:$K$345,7,0)&amp;""</f>
        <v>Yes</v>
      </c>
      <c r="H153" s="176" t="str">
        <f>VLOOKUP($A153,'Institution Evaluation'!$A$56:$K$345,8,0)&amp;""</f>
        <v/>
      </c>
      <c r="I153" s="45" t="str">
        <f>VLOOKUP($A153,'Institution Evaluation'!$A$56:$K$345,9,0)&amp;""</f>
        <v>Critical Importance</v>
      </c>
      <c r="J153" s="177" t="str">
        <f>VLOOKUP($A153,'Institution Evaluation'!$A$56:$K$345,10,0)&amp;""</f>
        <v/>
      </c>
      <c r="K153" s="48" t="str">
        <f>IF(VLOOKUP($A153,'Institution Evaluation'!$A$56:$K$345,10,0)=TRUE,'Auto Responses'!$J$3,"")</f>
        <v/>
      </c>
    </row>
    <row r="154" spans="1:11" ht="28.5" customHeight="1" x14ac:dyDescent="0.2">
      <c r="A154" s="19" t="s">
        <v>193</v>
      </c>
      <c r="B154" s="18" t="str">
        <f>VLOOKUP($A154,Questions!$A$2:$X$333,2,0)</f>
        <v>Can access be restricted based on source IP address?*</v>
      </c>
      <c r="C154" s="45" t="str">
        <f>VLOOKUP($A154,'Institution Evaluation'!$A$56:$K$345,3,0)&amp;""</f>
        <v>N/A</v>
      </c>
      <c r="D154" s="45" t="str">
        <f>VLOOKUP($A154,'Institution Evaluation'!$A$56:$K$345,4,0)&amp;""</f>
        <v>This question does not apply.</v>
      </c>
      <c r="E154" s="288" t="str">
        <f>VLOOKUP($A154,'Institution Evaluation'!$A$56:$K$345,5,0)&amp;""</f>
        <v>Based on the response to REQU-03 on the "START HERE" tab, this question does not apply to this product or service.</v>
      </c>
      <c r="F154" s="179" t="str">
        <f>VLOOKUP($A154,'Institution Evaluation'!$A$56:$K$345,6,0)&amp;""</f>
        <v/>
      </c>
      <c r="G154" s="30" t="str">
        <f>VLOOKUP($A154,'Institution Evaluation'!$A$56:$K$345,7,0)&amp;""</f>
        <v>Yes</v>
      </c>
      <c r="H154" s="176" t="str">
        <f>VLOOKUP($A154,'Institution Evaluation'!$A$56:$K$345,8,0)&amp;""</f>
        <v/>
      </c>
      <c r="I154" s="45" t="str">
        <f>VLOOKUP($A154,'Institution Evaluation'!$A$56:$K$345,9,0)&amp;""</f>
        <v>Critical Importance</v>
      </c>
      <c r="J154" s="177" t="str">
        <f>VLOOKUP($A154,'Institution Evaluation'!$A$56:$K$345,10,0)&amp;""</f>
        <v/>
      </c>
      <c r="K154" s="48" t="str">
        <f>IF(VLOOKUP($A154,'Institution Evaluation'!$A$56:$K$345,10,0)=TRUE,'Auto Responses'!$J$3,"")</f>
        <v/>
      </c>
    </row>
    <row r="155" spans="1:11" ht="15" customHeight="1" x14ac:dyDescent="0.2">
      <c r="A155" s="19" t="s">
        <v>194</v>
      </c>
      <c r="B155" s="18" t="str">
        <f>VLOOKUP($A155,Questions!$A$2:$X$333,2,0)</f>
        <v>Will the consulting take place on-premises?</v>
      </c>
      <c r="C155" s="45" t="str">
        <f>VLOOKUP($A155,'Institution Evaluation'!$A$56:$K$345,3,0)&amp;""</f>
        <v>N/A</v>
      </c>
      <c r="D155" s="45" t="str">
        <f>VLOOKUP($A155,'Institution Evaluation'!$A$56:$K$345,4,0)&amp;""</f>
        <v>This question does not apply.</v>
      </c>
      <c r="E155" s="288" t="str">
        <f>VLOOKUP($A155,'Institution Evaluation'!$A$56:$K$345,5,0)&amp;""</f>
        <v>Based on the response to REQU-03 on the "START HERE" tab, this question does not apply to this product or service.</v>
      </c>
      <c r="F155" s="179" t="str">
        <f>VLOOKUP($A155,'Institution Evaluation'!$A$56:$K$345,6,0)&amp;""</f>
        <v/>
      </c>
      <c r="G155" s="30" t="str">
        <f>VLOOKUP($A155,'Institution Evaluation'!$A$56:$K$345,7,0)&amp;""</f>
        <v>No</v>
      </c>
      <c r="H155" s="176" t="str">
        <f>VLOOKUP($A155,'Institution Evaluation'!$A$56:$K$345,8,0)&amp;""</f>
        <v/>
      </c>
      <c r="I155" s="45" t="str">
        <f>VLOOKUP($A155,'Institution Evaluation'!$A$56:$K$345,9,0)&amp;""</f>
        <v>Standard Importance</v>
      </c>
      <c r="J155" s="177" t="str">
        <f>VLOOKUP($A155,'Institution Evaluation'!$A$56:$K$345,10,0)&amp;""</f>
        <v/>
      </c>
      <c r="K155" s="48" t="str">
        <f>IF(VLOOKUP($A155,'Institution Evaluation'!$A$56:$K$345,10,0)=TRUE,'Auto Responses'!$J$3,"")</f>
        <v/>
      </c>
    </row>
    <row r="156" spans="1:11" ht="28.5" customHeight="1" x14ac:dyDescent="0.2">
      <c r="A156" s="19" t="s">
        <v>195</v>
      </c>
      <c r="B156" s="18" t="str">
        <f>VLOOKUP($A156,Questions!$A$2:$X$333,2,0)</f>
        <v>Will the consultant require access to hardware in the institution's data centers?</v>
      </c>
      <c r="C156" s="45" t="str">
        <f>VLOOKUP($A156,'Institution Evaluation'!$A$56:$K$345,3,0)&amp;""</f>
        <v>N/A</v>
      </c>
      <c r="D156" s="45" t="str">
        <f>VLOOKUP($A156,'Institution Evaluation'!$A$56:$K$345,4,0)&amp;""</f>
        <v>This question does not apply.</v>
      </c>
      <c r="E156" s="288" t="str">
        <f>VLOOKUP($A156,'Institution Evaluation'!$A$56:$K$345,5,0)&amp;""</f>
        <v>Based on the response to REQU-03 on the "START HERE" tab, this question does not apply to this product or service.</v>
      </c>
      <c r="F156" s="179" t="str">
        <f>VLOOKUP($A156,'Institution Evaluation'!$A$56:$K$345,6,0)&amp;""</f>
        <v/>
      </c>
      <c r="G156" s="30" t="str">
        <f>VLOOKUP($A156,'Institution Evaluation'!$A$56:$K$345,7,0)&amp;""</f>
        <v>No</v>
      </c>
      <c r="H156" s="176" t="str">
        <f>VLOOKUP($A156,'Institution Evaluation'!$A$56:$K$345,8,0)&amp;""</f>
        <v/>
      </c>
      <c r="I156" s="45" t="str">
        <f>VLOOKUP($A156,'Institution Evaluation'!$A$56:$K$345,9,0)&amp;""</f>
        <v>Standard Importance</v>
      </c>
      <c r="J156" s="177" t="str">
        <f>VLOOKUP($A156,'Institution Evaluation'!$A$56:$K$345,10,0)&amp;""</f>
        <v/>
      </c>
      <c r="K156" s="48" t="str">
        <f>IF(VLOOKUP($A156,'Institution Evaluation'!$A$56:$K$345,10,0)=TRUE,'Auto Responses'!$J$3,"")</f>
        <v/>
      </c>
    </row>
    <row r="157" spans="1:11" ht="28.5" customHeight="1" x14ac:dyDescent="0.2">
      <c r="A157" s="19" t="s">
        <v>196</v>
      </c>
      <c r="B157" s="18" t="str">
        <f>VLOOKUP($A157,Questions!$A$2:$X$333,2,0)</f>
        <v>Will the consultant require an account within the institution's domain (@*.edu)?</v>
      </c>
      <c r="C157" s="45" t="str">
        <f>VLOOKUP($A157,'Institution Evaluation'!$A$56:$K$345,3,0)&amp;""</f>
        <v>N/A</v>
      </c>
      <c r="D157" s="45" t="str">
        <f>VLOOKUP($A157,'Institution Evaluation'!$A$56:$K$345,4,0)&amp;""</f>
        <v>This question does not apply.</v>
      </c>
      <c r="E157" s="288" t="str">
        <f>VLOOKUP($A157,'Institution Evaluation'!$A$56:$K$345,5,0)&amp;""</f>
        <v>Based on the response to REQU-03 on the "START HERE" tab, this question does not apply to this product or service.</v>
      </c>
      <c r="F157" s="179" t="str">
        <f>VLOOKUP($A157,'Institution Evaluation'!$A$56:$K$345,6,0)&amp;""</f>
        <v/>
      </c>
      <c r="G157" s="30" t="str">
        <f>VLOOKUP($A157,'Institution Evaluation'!$A$56:$K$345,7,0)&amp;""</f>
        <v>No</v>
      </c>
      <c r="H157" s="176" t="str">
        <f>VLOOKUP($A157,'Institution Evaluation'!$A$56:$K$345,8,0)&amp;""</f>
        <v/>
      </c>
      <c r="I157" s="45" t="str">
        <f>VLOOKUP($A157,'Institution Evaluation'!$A$56:$K$345,9,0)&amp;""</f>
        <v>Standard Importance</v>
      </c>
      <c r="J157" s="177" t="str">
        <f>VLOOKUP($A157,'Institution Evaluation'!$A$56:$K$345,10,0)&amp;""</f>
        <v/>
      </c>
      <c r="K157" s="48" t="str">
        <f>IF(VLOOKUP($A157,'Institution Evaluation'!$A$56:$K$345,10,0)=TRUE,'Auto Responses'!$J$3,"")</f>
        <v/>
      </c>
    </row>
    <row r="158" spans="1:11" ht="28.5" customHeight="1" x14ac:dyDescent="0.2">
      <c r="A158" s="19" t="s">
        <v>197</v>
      </c>
      <c r="B158" s="18" t="str">
        <f>VLOOKUP($A158,Questions!$A$2:$X$333,2,0)</f>
        <v>Will any data be transferred to the consultant's possession?</v>
      </c>
      <c r="C158" s="45" t="str">
        <f>VLOOKUP($A158,'Institution Evaluation'!$A$56:$K$345,3,0)&amp;""</f>
        <v>N/A</v>
      </c>
      <c r="D158" s="45" t="str">
        <f>VLOOKUP($A158,'Institution Evaluation'!$A$56:$K$345,4,0)&amp;""</f>
        <v>This question does not apply.</v>
      </c>
      <c r="E158" s="288" t="str">
        <f>VLOOKUP($A158,'Institution Evaluation'!$A$56:$K$345,5,0)&amp;""</f>
        <v>Based on the response to REQU-03 on the "START HERE" tab, this question does not apply to this product or service.</v>
      </c>
      <c r="F158" s="179" t="str">
        <f>VLOOKUP($A158,'Institution Evaluation'!$A$56:$K$345,6,0)&amp;""</f>
        <v/>
      </c>
      <c r="G158" s="30" t="str">
        <f>VLOOKUP($A158,'Institution Evaluation'!$A$56:$K$345,7,0)&amp;""</f>
        <v>No</v>
      </c>
      <c r="H158" s="176" t="str">
        <f>VLOOKUP($A158,'Institution Evaluation'!$A$56:$K$345,8,0)&amp;""</f>
        <v/>
      </c>
      <c r="I158" s="45" t="str">
        <f>VLOOKUP($A158,'Institution Evaluation'!$A$56:$K$345,9,0)&amp;""</f>
        <v>Standard Importance</v>
      </c>
      <c r="J158" s="177" t="str">
        <f>VLOOKUP($A158,'Institution Evaluation'!$A$56:$K$345,10,0)&amp;""</f>
        <v/>
      </c>
      <c r="K158" s="48" t="str">
        <f>IF(VLOOKUP($A158,'Institution Evaluation'!$A$56:$K$345,10,0)=TRUE,'Auto Responses'!$J$3,"")</f>
        <v/>
      </c>
    </row>
    <row r="159" spans="1:11" ht="28.5" customHeight="1" x14ac:dyDescent="0.2">
      <c r="A159" s="19" t="s">
        <v>198</v>
      </c>
      <c r="B159" s="18" t="str">
        <f>VLOOKUP($A159,Questions!$A$2:$X$333,2,0)</f>
        <v>Will the consultant need remote access to the institution's network or systems?</v>
      </c>
      <c r="C159" s="45" t="str">
        <f>VLOOKUP($A159,'Institution Evaluation'!$A$56:$K$345,3,0)&amp;""</f>
        <v>N/A</v>
      </c>
      <c r="D159" s="45" t="str">
        <f>VLOOKUP($A159,'Institution Evaluation'!$A$56:$K$345,4,0)&amp;""</f>
        <v>This question does not apply.</v>
      </c>
      <c r="E159" s="288" t="str">
        <f>VLOOKUP($A159,'Institution Evaluation'!$A$56:$K$345,5,0)&amp;""</f>
        <v>Based on the response to REQU-03 on the "START HERE" tab, this question does not apply to this product or service.</v>
      </c>
      <c r="F159" s="179" t="str">
        <f>VLOOKUP($A159,'Institution Evaluation'!$A$56:$K$345,6,0)&amp;""</f>
        <v/>
      </c>
      <c r="G159" s="30" t="str">
        <f>VLOOKUP($A159,'Institution Evaluation'!$A$56:$K$345,7,0)&amp;""</f>
        <v>No</v>
      </c>
      <c r="H159" s="176" t="str">
        <f>VLOOKUP($A159,'Institution Evaluation'!$A$56:$K$345,8,0)&amp;""</f>
        <v/>
      </c>
      <c r="I159" s="45" t="str">
        <f>VLOOKUP($A159,'Institution Evaluation'!$A$56:$K$345,9,0)&amp;""</f>
        <v>Standard Importance</v>
      </c>
      <c r="J159" s="177" t="str">
        <f>VLOOKUP($A159,'Institution Evaluation'!$A$56:$K$345,10,0)&amp;""</f>
        <v/>
      </c>
      <c r="K159" s="48" t="str">
        <f>IF(VLOOKUP($A159,'Institution Evaluation'!$A$56:$K$345,10,0)=TRUE,'Auto Responses'!$J$3,"")</f>
        <v/>
      </c>
    </row>
    <row r="160" spans="1:11" s="1" customFormat="1" ht="18" customHeight="1" x14ac:dyDescent="0.15">
      <c r="A160" s="61" t="str">
        <f>VLOOKUP(LEFT($A161,4),'Auto Responses'!$N$4:$O$38,2,0)&amp;""</f>
        <v xml:space="preserve"> Application/Service Security</v>
      </c>
      <c r="B160" s="22"/>
      <c r="C160" s="31"/>
      <c r="D160" s="31"/>
      <c r="E160" s="289"/>
      <c r="F160" s="126" t="s">
        <v>652</v>
      </c>
      <c r="G160" s="293" t="s">
        <v>647</v>
      </c>
      <c r="H160" s="293" t="s">
        <v>648</v>
      </c>
      <c r="I160" s="293" t="s">
        <v>649</v>
      </c>
      <c r="J160" s="293" t="s">
        <v>650</v>
      </c>
      <c r="K160" s="31"/>
    </row>
    <row r="161" spans="1:11" ht="135" customHeight="1" x14ac:dyDescent="0.2">
      <c r="A161" s="19" t="s">
        <v>121</v>
      </c>
      <c r="B161" s="18" t="str">
        <f>VLOOKUP($A161,Questions!$A$2:$X$333,2,0)</f>
        <v>Are access controls for institutional accounts based on structured rules, such as role-based access control (RBAC), attribute-based access control (ABAC), or policy-based access control (PBAC)?*</v>
      </c>
      <c r="C161" s="45" t="str">
        <f>VLOOKUP($A161,'Institution Evaluation'!$A$56:$K$345,3,0)&amp;""</f>
        <v>Yes</v>
      </c>
      <c r="D161" s="45" t="str">
        <f>VLOOKUP($A161,'Institution Evaluation'!$A$56:$K$345,4,0)&amp;""</f>
        <v>Accredible implements role-based access control (RBAC) for all institutional accounts.</v>
      </c>
      <c r="E161" s="288" t="str">
        <f>VLOOKUP($A161,'Institution Evaluation'!$A$56:$K$345,5,0)&amp;""</f>
        <v>Describe available roles.</v>
      </c>
      <c r="F161" s="179" t="str">
        <f>VLOOKUP($A161,'Institution Evaluation'!$A$56:$K$345,6,0)&amp;""</f>
        <v/>
      </c>
      <c r="G161" s="30" t="str">
        <f>VLOOKUP($A161,'Institution Evaluation'!$A$56:$K$345,7,0)&amp;""</f>
        <v>Yes</v>
      </c>
      <c r="H161" s="176" t="str">
        <f>VLOOKUP($A161,'Institution Evaluation'!$A$56:$K$345,8,0)&amp;""</f>
        <v/>
      </c>
      <c r="I161" s="45" t="str">
        <f>VLOOKUP($A161,'Institution Evaluation'!$A$56:$K$345,9,0)&amp;""</f>
        <v>Critical Importance</v>
      </c>
      <c r="J161" s="177" t="str">
        <f>VLOOKUP($A161,'Institution Evaluation'!$A$56:$K$345,10,0)&amp;""</f>
        <v/>
      </c>
      <c r="K161" s="48" t="str">
        <f>IF(VLOOKUP($A161,'Institution Evaluation'!$A$56:$K$345,10,0)=TRUE,'Auto Responses'!$J$3,"")</f>
        <v/>
      </c>
    </row>
    <row r="162" spans="1:11" ht="15" customHeight="1" x14ac:dyDescent="0.2">
      <c r="A162" s="19" t="s">
        <v>122</v>
      </c>
      <c r="B162" s="18" t="str">
        <f>VLOOKUP($A162,Questions!$A$2:$X$333,2,0)</f>
        <v>Are you using a web application firewall (WAF)?*</v>
      </c>
      <c r="C162" s="45" t="str">
        <f>VLOOKUP($A162,'Institution Evaluation'!$A$56:$K$345,3,0)&amp;""</f>
        <v>Yes</v>
      </c>
      <c r="D162" s="45" t="str">
        <f>VLOOKUP($A162,'Institution Evaluation'!$A$56:$K$345,4,0)&amp;""</f>
        <v>Accredible uses a Web Application Firewall (WAF) to protect against common web attacks.</v>
      </c>
      <c r="E162" s="288" t="str">
        <f>VLOOKUP($A162,'Institution Evaluation'!$A$56:$K$345,5,0)&amp;""</f>
        <v>Describe the currently implemented WAF.</v>
      </c>
      <c r="F162" s="179" t="str">
        <f>VLOOKUP($A162,'Institution Evaluation'!$A$56:$K$345,6,0)&amp;""</f>
        <v/>
      </c>
      <c r="G162" s="30" t="str">
        <f>VLOOKUP($A162,'Institution Evaluation'!$A$56:$K$345,7,0)&amp;""</f>
        <v>Yes</v>
      </c>
      <c r="H162" s="176" t="str">
        <f>VLOOKUP($A162,'Institution Evaluation'!$A$56:$K$345,8,0)&amp;""</f>
        <v/>
      </c>
      <c r="I162" s="45" t="str">
        <f>VLOOKUP($A162,'Institution Evaluation'!$A$56:$K$345,9,0)&amp;""</f>
        <v>Critical Importance</v>
      </c>
      <c r="J162" s="177" t="str">
        <f>VLOOKUP($A162,'Institution Evaluation'!$A$56:$K$345,10,0)&amp;""</f>
        <v/>
      </c>
      <c r="K162" s="48" t="str">
        <f>IF(VLOOKUP($A162,'Institution Evaluation'!$A$56:$K$345,10,0)=TRUE,'Auto Responses'!$J$3,"")</f>
        <v/>
      </c>
    </row>
    <row r="163" spans="1:11" ht="150" customHeight="1" x14ac:dyDescent="0.2">
      <c r="A163" s="19" t="s">
        <v>128</v>
      </c>
      <c r="B163" s="18" t="str">
        <f>VLOOKUP($A163,Questions!$A$2:$X$333,2,0)</f>
        <v>Are access controls for staff within your organization based on structured rules, such as RBAC, ABAC, or PBAC?</v>
      </c>
      <c r="C163" s="45" t="str">
        <f>VLOOKUP($A163,'Institution Evaluation'!$A$56:$K$345,3,0)&amp;""</f>
        <v>Yes</v>
      </c>
      <c r="D163" s="45" t="str">
        <f>VLOOKUP($A163,'Institution Evaluation'!$A$56:$K$345,4,0)&amp;""</f>
        <v>Staff access within Accredible is based on RBAC, following a least-privilege model with formal access provisioning via ticketing system.</v>
      </c>
      <c r="E163" s="288" t="str">
        <f>VLOOKUP($A163,'Institution Evaluation'!$A$56:$K$345,5,0)&amp;""</f>
        <v>This includes system administrators and third-party personnel with access to the system. PBAC would include various dynamic controls such as conditional access, risk-based access, location-based access, or system activity–based access.</v>
      </c>
      <c r="F163" s="179" t="str">
        <f>VLOOKUP($A163,'Institution Evaluation'!$A$56:$K$345,6,0)&amp;""</f>
        <v/>
      </c>
      <c r="G163" s="30" t="str">
        <f>VLOOKUP($A163,'Institution Evaluation'!$A$56:$K$345,7,0)&amp;""</f>
        <v>Yes</v>
      </c>
      <c r="H163" s="176" t="str">
        <f>VLOOKUP($A163,'Institution Evaluation'!$A$56:$K$345,8,0)&amp;""</f>
        <v/>
      </c>
      <c r="I163" s="45" t="str">
        <f>VLOOKUP($A163,'Institution Evaluation'!$A$56:$K$345,9,0)&amp;""</f>
        <v>Standard Importance</v>
      </c>
      <c r="J163" s="177" t="str">
        <f>VLOOKUP($A163,'Institution Evaluation'!$A$56:$K$345,10,0)&amp;""</f>
        <v/>
      </c>
      <c r="K163" s="48" t="str">
        <f>IF(VLOOKUP($A163,'Institution Evaluation'!$A$56:$K$345,10,0)=TRUE,'Auto Responses'!$J$3,"")</f>
        <v/>
      </c>
    </row>
    <row r="164" spans="1:11" s="1" customFormat="1" ht="18" customHeight="1" x14ac:dyDescent="0.15">
      <c r="A164" s="61" t="str">
        <f>VLOOKUP(LEFT($A165,4),'Auto Responses'!$N$4:$O$38,2,0)&amp;""</f>
        <v xml:space="preserve"> Authentication, Authorization, and Account Management</v>
      </c>
      <c r="B164" s="22"/>
      <c r="C164" s="31"/>
      <c r="D164" s="31"/>
      <c r="E164" s="289"/>
      <c r="F164" s="126" t="s">
        <v>652</v>
      </c>
      <c r="G164" s="293" t="s">
        <v>647</v>
      </c>
      <c r="H164" s="293" t="s">
        <v>648</v>
      </c>
      <c r="I164" s="293" t="s">
        <v>649</v>
      </c>
      <c r="J164" s="293" t="s">
        <v>650</v>
      </c>
      <c r="K164" s="31"/>
    </row>
    <row r="165" spans="1:11" ht="120" customHeight="1" x14ac:dyDescent="0.2">
      <c r="A165" s="19" t="s">
        <v>80</v>
      </c>
      <c r="B165" s="18" t="str">
        <f>VLOOKUP($A165,Questions!$A$2:$X$333,2,0)</f>
        <v>Does your solution support single sign-on (SSO) protocols for user and administrator authentication?*</v>
      </c>
      <c r="C165" s="45" t="str">
        <f>VLOOKUP($A165,'Institution Evaluation'!$A$56:$K$345,3,0)&amp;""</f>
        <v>Yes</v>
      </c>
      <c r="D165" s="45" t="str">
        <f>VLOOKUP($A165,'Institution Evaluation'!$A$56:$K$345,4,0)&amp;""</f>
        <v>Accredible supports SAML2 SSO for both user and administrator authentication.</v>
      </c>
      <c r="E165" s="288" t="str">
        <f>VLOOKUP($A165,'Institution Evaluation'!$A$56:$K$345,5,0)&amp;""</f>
        <v>Describe how strong authentication is enforced (e.g., complex passwords, multifactor tokens, certificates, biometrics, aging requirements, re-use policy).</v>
      </c>
      <c r="F165" s="179" t="str">
        <f>VLOOKUP($A165,'Institution Evaluation'!$A$56:$K$345,6,0)&amp;""</f>
        <v/>
      </c>
      <c r="G165" s="30" t="str">
        <f>VLOOKUP($A165,'Institution Evaluation'!$A$56:$K$345,7,0)&amp;""</f>
        <v>Yes</v>
      </c>
      <c r="H165" s="176" t="str">
        <f>VLOOKUP($A165,'Institution Evaluation'!$A$56:$K$345,8,0)&amp;""</f>
        <v/>
      </c>
      <c r="I165" s="45" t="str">
        <f>VLOOKUP($A165,'Institution Evaluation'!$A$56:$K$345,9,0)&amp;""</f>
        <v>Critical Importance</v>
      </c>
      <c r="J165" s="177" t="str">
        <f>VLOOKUP($A165,'Institution Evaluation'!$A$56:$K$345,10,0)&amp;""</f>
        <v/>
      </c>
      <c r="K165" s="48" t="str">
        <f>IF(VLOOKUP($A165,'Institution Evaluation'!$A$56:$K$345,10,0)=TRUE,'Auto Responses'!$J$3,"")</f>
        <v/>
      </c>
    </row>
    <row r="166" spans="1:11" ht="42.75" customHeight="1" x14ac:dyDescent="0.2">
      <c r="A166" s="19" t="s">
        <v>81</v>
      </c>
      <c r="B166" s="18" t="str">
        <f>VLOOKUP($A166,Questions!$A$2:$X$333,2,0)</f>
        <v>For customers not using SSO, does your solution support local authentication protocols for user and administrator authentication?*</v>
      </c>
      <c r="C166" s="45" t="str">
        <f>VLOOKUP($A166,'Institution Evaluation'!$A$56:$K$345,3,0)&amp;""</f>
        <v>Yes</v>
      </c>
      <c r="D166" s="45" t="str">
        <f>VLOOKUP($A166,'Institution Evaluation'!$A$56:$K$345,4,0)&amp;""</f>
        <v>For customers not using SSO, Accredible supports local username/password authentication over secure HTTPS connections.</v>
      </c>
      <c r="E166" s="288" t="str">
        <f>VLOOKUP($A166,'Institution Evaluation'!$A$56:$K$345,5,0)&amp;""</f>
        <v>Provide a detailed description of your local authentication mode practices.</v>
      </c>
      <c r="F166" s="179" t="str">
        <f>VLOOKUP($A166,'Institution Evaluation'!$A$56:$K$345,6,0)&amp;""</f>
        <v/>
      </c>
      <c r="G166" s="30" t="str">
        <f>VLOOKUP($A166,'Institution Evaluation'!$A$56:$K$345,7,0)&amp;""</f>
        <v>Yes</v>
      </c>
      <c r="H166" s="176" t="str">
        <f>VLOOKUP($A166,'Institution Evaluation'!$A$56:$K$345,8,0)&amp;""</f>
        <v/>
      </c>
      <c r="I166" s="45" t="str">
        <f>VLOOKUP($A166,'Institution Evaluation'!$A$56:$K$345,9,0)&amp;""</f>
        <v>Critical Importance</v>
      </c>
      <c r="J166" s="177" t="str">
        <f>VLOOKUP($A166,'Institution Evaluation'!$A$56:$K$345,10,0)&amp;""</f>
        <v/>
      </c>
      <c r="K166" s="48" t="str">
        <f>IF(VLOOKUP($A166,'Institution Evaluation'!$A$56:$K$345,10,0)=TRUE,'Auto Responses'!$J$3,"")</f>
        <v/>
      </c>
    </row>
    <row r="167" spans="1:11" ht="42.75" customHeight="1" x14ac:dyDescent="0.2">
      <c r="A167" s="19" t="s">
        <v>91</v>
      </c>
      <c r="B167" s="18" t="str">
        <f>VLOOKUP($A167,Questions!$A$2:$X$333,2,0)</f>
        <v>For customers not using SSO, does your application support integration with other authentication and authorization systems?</v>
      </c>
      <c r="C167" s="45" t="str">
        <f>VLOOKUP($A167,'Institution Evaluation'!$A$56:$K$345,3,0)&amp;""</f>
        <v>Yes</v>
      </c>
      <c r="D167" s="45" t="str">
        <f>VLOOKUP($A167,'Institution Evaluation'!$A$56:$K$345,4,0)&amp;""</f>
        <v>Accredible's application supports integration with other authentication and authorization systems via SAML2.</v>
      </c>
      <c r="E167" s="288" t="str">
        <f>VLOOKUP($A167,'Institution Evaluation'!$A$56:$K$345,5,0)&amp;""</f>
        <v>List which systems and versions supported (such as Active Directory, Kerberos, or other LDAP compatible directory) in Additional Info.</v>
      </c>
      <c r="F167" s="179" t="str">
        <f>VLOOKUP($A167,'Institution Evaluation'!$A$56:$K$345,6,0)&amp;""</f>
        <v/>
      </c>
      <c r="G167" s="30" t="str">
        <f>VLOOKUP($A167,'Institution Evaluation'!$A$56:$K$345,7,0)&amp;""</f>
        <v>Yes</v>
      </c>
      <c r="H167" s="176" t="str">
        <f>VLOOKUP($A167,'Institution Evaluation'!$A$56:$K$345,8,0)&amp;""</f>
        <v/>
      </c>
      <c r="I167" s="45" t="str">
        <f>VLOOKUP($A167,'Institution Evaluation'!$A$56:$K$345,9,0)&amp;""</f>
        <v>Standard Importance</v>
      </c>
      <c r="J167" s="177" t="str">
        <f>VLOOKUP($A167,'Institution Evaluation'!$A$56:$K$345,10,0)&amp;""</f>
        <v/>
      </c>
      <c r="K167" s="48" t="str">
        <f>IF(VLOOKUP($A167,'Institution Evaluation'!$A$56:$K$345,10,0)=TRUE,'Auto Responses'!$J$3,"")</f>
        <v/>
      </c>
    </row>
    <row r="168" spans="1:11" ht="57" customHeight="1" x14ac:dyDescent="0.2">
      <c r="A168" s="19" t="s">
        <v>92</v>
      </c>
      <c r="B168" s="18" t="str">
        <f>VLOOKUP($A168,Questions!$A$2:$X$333,2,0)</f>
        <v>Do you allow the customer to specify attribute mappings for any needed information beyond a user identifier? (e.g., Reference eduPerson, ePPA/ePPN/ePE)</v>
      </c>
      <c r="C168" s="45" t="str">
        <f>VLOOKUP($A168,'Institution Evaluation'!$A$56:$K$345,3,0)&amp;""</f>
        <v>Yes</v>
      </c>
      <c r="D168" s="45" t="str">
        <f>VLOOKUP($A168,'Institution Evaluation'!$A$56:$K$345,4,0)&amp;""</f>
        <v>Accredible supports attribute mappings for SSO, allowing institutions to specify required attribute mappings beyond user identifier.</v>
      </c>
      <c r="E168" s="288" t="str">
        <f>VLOOKUP($A168,'Institution Evaluation'!$A$56:$K$345,5,0)&amp;""</f>
        <v/>
      </c>
      <c r="F168" s="179" t="str">
        <f>VLOOKUP($A168,'Institution Evaluation'!$A$56:$K$345,6,0)&amp;""</f>
        <v/>
      </c>
      <c r="G168" s="30" t="str">
        <f>VLOOKUP($A168,'Institution Evaluation'!$A$56:$K$345,7,0)&amp;""</f>
        <v>Yes</v>
      </c>
      <c r="H168" s="176" t="str">
        <f>VLOOKUP($A168,'Institution Evaluation'!$A$56:$K$345,8,0)&amp;""</f>
        <v/>
      </c>
      <c r="I168" s="45" t="str">
        <f>VLOOKUP($A168,'Institution Evaluation'!$A$56:$K$345,9,0)&amp;""</f>
        <v>Standard Importance</v>
      </c>
      <c r="J168" s="177" t="str">
        <f>VLOOKUP($A168,'Institution Evaluation'!$A$56:$K$345,10,0)&amp;""</f>
        <v/>
      </c>
      <c r="K168" s="48" t="str">
        <f>IF(VLOOKUP($A168,'Institution Evaluation'!$A$56:$K$345,10,0)=TRUE,'Auto Responses'!$J$3,"")</f>
        <v/>
      </c>
    </row>
    <row r="169" spans="1:11" ht="57" customHeight="1" x14ac:dyDescent="0.2">
      <c r="A169" s="19" t="s">
        <v>96</v>
      </c>
      <c r="B169" s="18" t="str">
        <f>VLOOKUP($A169,Questions!$A$2:$X$333,2,0)</f>
        <v>For customers not using SSO, does your application and/or user frontend/portal support multifactor authentication (e.g., Duo, Google Authenticator, OTP, etc.)?</v>
      </c>
      <c r="C169" s="45" t="str">
        <f>VLOOKUP($A169,'Institution Evaluation'!$A$56:$K$345,3,0)&amp;""</f>
        <v>Yes</v>
      </c>
      <c r="D169" s="45" t="str">
        <f>VLOOKUP($A169,'Institution Evaluation'!$A$56:$K$345,4,0)&amp;""</f>
        <v>Accredible supports multifactor authentication including TOTP-based authenticators. MFA is required for all administrative access.</v>
      </c>
      <c r="E169" s="288" t="str">
        <f>VLOOKUP($A169,'Institution Evaluation'!$A$56:$K$345,5,0)&amp;""</f>
        <v>List all supported multifactor authentication methods, technologies, and/or solutions and provide a brief summary of each.</v>
      </c>
      <c r="F169" s="179" t="str">
        <f>VLOOKUP($A169,'Institution Evaluation'!$A$56:$K$345,6,0)&amp;""</f>
        <v/>
      </c>
      <c r="G169" s="30" t="str">
        <f>VLOOKUP($A169,'Institution Evaluation'!$A$56:$K$345,7,0)&amp;""</f>
        <v>Yes</v>
      </c>
      <c r="H169" s="176" t="str">
        <f>VLOOKUP($A169,'Institution Evaluation'!$A$56:$K$345,8,0)&amp;""</f>
        <v/>
      </c>
      <c r="I169" s="45" t="str">
        <f>VLOOKUP($A169,'Institution Evaluation'!$A$56:$K$345,9,0)&amp;""</f>
        <v>Minor Importance</v>
      </c>
      <c r="J169" s="177" t="str">
        <f>VLOOKUP($A169,'Institution Evaluation'!$A$56:$K$345,10,0)&amp;""</f>
        <v/>
      </c>
      <c r="K169" s="48" t="str">
        <f>IF(VLOOKUP($A169,'Institution Evaluation'!$A$56:$K$345,10,0)=TRUE,'Auto Responses'!$J$3,"")</f>
        <v/>
      </c>
    </row>
    <row r="170" spans="1:11" s="1" customFormat="1" ht="18" customHeight="1" x14ac:dyDescent="0.15">
      <c r="A170" s="61" t="str">
        <f>VLOOKUP(LEFT($A171,4),'Auto Responses'!$N$4:$O$38,2,0)&amp;""</f>
        <v xml:space="preserve"> Change Management</v>
      </c>
      <c r="B170" s="22"/>
      <c r="C170" s="31"/>
      <c r="D170" s="31"/>
      <c r="E170" s="289"/>
      <c r="F170" s="126" t="s">
        <v>652</v>
      </c>
      <c r="G170" s="293" t="s">
        <v>647</v>
      </c>
      <c r="H170" s="293" t="s">
        <v>648</v>
      </c>
      <c r="I170" s="293" t="s">
        <v>649</v>
      </c>
      <c r="J170" s="293" t="s">
        <v>650</v>
      </c>
      <c r="K170" s="31"/>
    </row>
    <row r="171" spans="1:11" ht="42.75" customHeight="1" x14ac:dyDescent="0.2">
      <c r="A171" s="19" t="s">
        <v>49</v>
      </c>
      <c r="B171" s="18" t="str">
        <f>VLOOKUP($A171,Questions!$A$2:$X$333,2,0)</f>
        <v>Will the institution be notified of major changes to your environment that could impact the institution's security posture?*</v>
      </c>
      <c r="C171" s="45" t="str">
        <f>VLOOKUP($A171,'Institution Evaluation'!$A$56:$K$345,3,0)&amp;""</f>
        <v>Yes</v>
      </c>
      <c r="D171" s="45" t="str">
        <f>VLOOKUP($A171,'Institution Evaluation'!$A$56:$K$345,4,0)&amp;""</f>
        <v>Accredible notifies customers of major changes that could impact security posture via email communications and release notes.</v>
      </c>
      <c r="E171" s="288" t="str">
        <f>VLOOKUP($A171,'Institution Evaluation'!$A$56:$K$345,5,0)&amp;""</f>
        <v>State how and when the institution will be notified of major changes to your environment.</v>
      </c>
      <c r="F171" s="179" t="str">
        <f>VLOOKUP($A171,'Institution Evaluation'!$A$56:$K$345,6,0)&amp;""</f>
        <v/>
      </c>
      <c r="G171" s="30" t="str">
        <f>VLOOKUP($A171,'Institution Evaluation'!$A$56:$K$345,7,0)&amp;""</f>
        <v>Yes</v>
      </c>
      <c r="H171" s="176" t="str">
        <f>VLOOKUP($A171,'Institution Evaluation'!$A$56:$K$345,8,0)&amp;""</f>
        <v/>
      </c>
      <c r="I171" s="45" t="str">
        <f>VLOOKUP($A171,'Institution Evaluation'!$A$56:$K$345,9,0)&amp;""</f>
        <v>Critical Importance</v>
      </c>
      <c r="J171" s="177" t="str">
        <f>VLOOKUP($A171,'Institution Evaluation'!$A$56:$K$345,10,0)&amp;""</f>
        <v/>
      </c>
      <c r="K171" s="48" t="str">
        <f>IF(VLOOKUP($A171,'Institution Evaluation'!$A$56:$K$345,10,0)=TRUE,'Auto Responses'!$J$3,"")</f>
        <v/>
      </c>
    </row>
    <row r="172" spans="1:11" ht="60" customHeight="1" x14ac:dyDescent="0.2">
      <c r="A172" s="19" t="s">
        <v>50</v>
      </c>
      <c r="B172" s="18" t="str">
        <f>VLOOKUP($A172,Questions!$A$2:$X$333,2,0)</f>
        <v>Does the system support client customizations from one release to another?*</v>
      </c>
      <c r="C172" s="45" t="str">
        <f>VLOOKUP($A172,'Institution Evaluation'!$A$56:$K$345,3,0)&amp;""</f>
        <v>Yes</v>
      </c>
      <c r="D172" s="45" t="str">
        <f>VLOOKUP($A172,'Institution Evaluation'!$A$56:$K$345,4,0)&amp;""</f>
        <v>As a SaaS solution, Accredible manages updates centrally. Client customizations are maintained across releases to the extent supported by the platform.</v>
      </c>
      <c r="E172" s="288" t="str">
        <f>VLOOKUP($A172,'Institution Evaluation'!$A$56:$K$345,5,0)&amp;""</f>
        <v>Describe or provide reference to your solution support strategy in regard to maintaining client customizations from one release to another.</v>
      </c>
      <c r="F172" s="179" t="str">
        <f>VLOOKUP($A172,'Institution Evaluation'!$A$56:$K$345,6,0)&amp;""</f>
        <v/>
      </c>
      <c r="G172" s="30" t="str">
        <f>VLOOKUP($A172,'Institution Evaluation'!$A$56:$K$345,7,0)&amp;""</f>
        <v>Yes</v>
      </c>
      <c r="H172" s="176" t="str">
        <f>VLOOKUP($A172,'Institution Evaluation'!$A$56:$K$345,8,0)&amp;""</f>
        <v/>
      </c>
      <c r="I172" s="45" t="str">
        <f>VLOOKUP($A172,'Institution Evaluation'!$A$56:$K$345,9,0)&amp;""</f>
        <v>Critical Importance</v>
      </c>
      <c r="J172" s="177" t="str">
        <f>VLOOKUP($A172,'Institution Evaluation'!$A$56:$K$345,10,0)&amp;""</f>
        <v/>
      </c>
      <c r="K172" s="48" t="str">
        <f>IF(VLOOKUP($A172,'Institution Evaluation'!$A$56:$K$345,10,0)=TRUE,'Auto Responses'!$J$3,"")</f>
        <v/>
      </c>
    </row>
    <row r="173" spans="1:11" s="1" customFormat="1" ht="18" customHeight="1" x14ac:dyDescent="0.15">
      <c r="A173" s="61" t="str">
        <f>VLOOKUP(LEFT($A174,4),'Auto Responses'!$N$4:$O$38,2,0)&amp;""</f>
        <v xml:space="preserve"> Data</v>
      </c>
      <c r="B173" s="22"/>
      <c r="C173" s="31"/>
      <c r="D173" s="31"/>
      <c r="E173" s="289"/>
      <c r="F173" s="126" t="s">
        <v>652</v>
      </c>
      <c r="G173" s="293" t="s">
        <v>647</v>
      </c>
      <c r="H173" s="293" t="s">
        <v>648</v>
      </c>
      <c r="I173" s="293" t="s">
        <v>649</v>
      </c>
      <c r="J173" s="293" t="s">
        <v>650</v>
      </c>
      <c r="K173" s="31"/>
    </row>
    <row r="174" spans="1:11" ht="42.75" customHeight="1" x14ac:dyDescent="0.2">
      <c r="A174" s="19" t="s">
        <v>100</v>
      </c>
      <c r="B174" s="18" t="str">
        <f>VLOOKUP($A174,Questions!$A$2:$X$333,2,0)</f>
        <v>Is the storage of sensitive data encrypted using security protocols/algorithms (e.g., disk encryption, at-rest, files, and within a running database)?*</v>
      </c>
      <c r="C174" s="45" t="str">
        <f>VLOOKUP($A174,'Institution Evaluation'!$A$56:$K$345,3,0)&amp;""</f>
        <v>Yes</v>
      </c>
      <c r="D174" s="45" t="str">
        <f>VLOOKUP($A174,'Institution Evaluation'!$A$56:$K$345,4,0)&amp;""</f>
        <v>Data at rest is encrypted using industry-standard AES-256 encryption. All Accredible backups are also encrypted with AES encryption. Encryption is verified regularly by Amazon as part of their audit process.</v>
      </c>
      <c r="E174" s="288" t="str">
        <f>VLOOKUP($A174,'Institution Evaluation'!$A$56:$K$345,5,0)&amp;""</f>
        <v>Summarize your data encryption strategy and state what encryption options are available.</v>
      </c>
      <c r="F174" s="179" t="str">
        <f>VLOOKUP($A174,'Institution Evaluation'!$A$56:$K$345,6,0)&amp;""</f>
        <v/>
      </c>
      <c r="G174" s="30" t="str">
        <f>VLOOKUP($A174,'Institution Evaluation'!$A$56:$K$345,7,0)&amp;""</f>
        <v>Yes</v>
      </c>
      <c r="H174" s="176" t="str">
        <f>VLOOKUP($A174,'Institution Evaluation'!$A$56:$K$345,8,0)&amp;""</f>
        <v/>
      </c>
      <c r="I174" s="45" t="str">
        <f>VLOOKUP($A174,'Institution Evaluation'!$A$56:$K$345,9,0)&amp;""</f>
        <v>Critical Importance</v>
      </c>
      <c r="J174" s="177" t="str">
        <f>VLOOKUP($A174,'Institution Evaluation'!$A$56:$K$345,10,0)&amp;""</f>
        <v/>
      </c>
      <c r="K174" s="48" t="str">
        <f>IF(VLOOKUP($A174,'Institution Evaluation'!$A$56:$K$345,10,0)=TRUE,'Auto Responses'!$J$3,"")</f>
        <v/>
      </c>
    </row>
    <row r="175" spans="1:11" ht="42.75" customHeight="1" x14ac:dyDescent="0.2">
      <c r="A175" s="19" t="s">
        <v>101</v>
      </c>
      <c r="B175" s="18" t="str">
        <f>VLOOKUP($A175,Questions!$A$2:$X$333,2,0)</f>
        <v>Do all cryptographic modules in use in your solution conform to the Federal Information Processing Standards (FIPS PUB 140-2 or 140-3)?*</v>
      </c>
      <c r="C175" s="45" t="str">
        <f>VLOOKUP($A175,'Institution Evaluation'!$A$56:$K$345,3,0)&amp;""</f>
        <v>No</v>
      </c>
      <c r="D175" s="45" t="str">
        <f>VLOOKUP($A175,'Institution Evaluation'!$A$56:$K$345,4,0)&amp;""</f>
        <v>Accredible uses industry-standard TLS and AES encryption. Explicit FIPS PUB 140-2/140-3 certification of all cryptographic modules is not confirmed. AWS infrastructure supports FIPS-compliant endpoints where required.</v>
      </c>
      <c r="E175" s="288" t="str">
        <f>VLOOKUP($A175,'Institution Evaluation'!$A$56:$K$345,5,0)&amp;""</f>
        <v>Provide a detailed description of all non-conforming modules.</v>
      </c>
      <c r="F175" s="179" t="str">
        <f>VLOOKUP($A175,'Institution Evaluation'!$A$56:$K$345,6,0)&amp;""</f>
        <v/>
      </c>
      <c r="G175" s="30" t="str">
        <f>VLOOKUP($A175,'Institution Evaluation'!$A$56:$K$345,7,0)&amp;""</f>
        <v>Yes</v>
      </c>
      <c r="H175" s="176" t="str">
        <f>VLOOKUP($A175,'Institution Evaluation'!$A$56:$K$345,8,0)&amp;""</f>
        <v/>
      </c>
      <c r="I175" s="45" t="str">
        <f>VLOOKUP($A175,'Institution Evaluation'!$A$56:$K$345,9,0)&amp;""</f>
        <v>Critical Importance</v>
      </c>
      <c r="J175" s="177" t="str">
        <f>VLOOKUP($A175,'Institution Evaluation'!$A$56:$K$345,10,0)&amp;""</f>
        <v/>
      </c>
      <c r="K175" s="48" t="str">
        <f>IF(VLOOKUP($A175,'Institution Evaluation'!$A$56:$K$345,10,0)=TRUE,'Auto Responses'!$J$3,"")</f>
        <v/>
      </c>
    </row>
    <row r="176" spans="1:11" ht="42.75" customHeight="1" x14ac:dyDescent="0.2">
      <c r="A176" s="19" t="s">
        <v>103</v>
      </c>
      <c r="B176" s="18" t="str">
        <f>VLOOKUP($A176,Questions!$A$2:$X$333,2,0)</f>
        <v>Are ownership rights to all data, inputs, outputs, and metadata retained even through a provider acquisition or bankruptcy event?*</v>
      </c>
      <c r="C176" s="45" t="str">
        <f>VLOOKUP($A176,'Institution Evaluation'!$A$56:$K$345,3,0)&amp;""</f>
        <v>Yes</v>
      </c>
      <c r="D176" s="45" t="str">
        <f>VLOOKUP($A176,'Institution Evaluation'!$A$56:$K$345,4,0)&amp;""</f>
        <v>Ownership rights to all data, inputs, outputs, and metadata are retained by the institution (Data Controller) through provider acquisition or bankruptcy events.</v>
      </c>
      <c r="E176" s="288" t="str">
        <f>VLOOKUP($A176,'Institution Evaluation'!$A$56:$K$345,5,0)&amp;""</f>
        <v>Provide references, as needed.</v>
      </c>
      <c r="F176" s="179" t="str">
        <f>VLOOKUP($A176,'Institution Evaluation'!$A$56:$K$345,6,0)&amp;""</f>
        <v/>
      </c>
      <c r="G176" s="30" t="str">
        <f>VLOOKUP($A176,'Institution Evaluation'!$A$56:$K$345,7,0)&amp;""</f>
        <v>Yes</v>
      </c>
      <c r="H176" s="176" t="str">
        <f>VLOOKUP($A176,'Institution Evaluation'!$A$56:$K$345,8,0)&amp;""</f>
        <v/>
      </c>
      <c r="I176" s="45" t="str">
        <f>VLOOKUP($A176,'Institution Evaluation'!$A$56:$K$345,9,0)&amp;""</f>
        <v>Critical Importance</v>
      </c>
      <c r="J176" s="177" t="str">
        <f>VLOOKUP($A176,'Institution Evaluation'!$A$56:$K$345,10,0)&amp;""</f>
        <v/>
      </c>
      <c r="K176" s="48" t="str">
        <f>IF(VLOOKUP($A176,'Institution Evaluation'!$A$56:$K$345,10,0)=TRUE,'Auto Responses'!$J$3,"")</f>
        <v/>
      </c>
    </row>
    <row r="177" spans="1:11" ht="42.75" customHeight="1" x14ac:dyDescent="0.2">
      <c r="A177" s="19" t="s">
        <v>104</v>
      </c>
      <c r="B177" s="18" t="str">
        <f>VLOOKUP($A177,Questions!$A$2:$X$333,2,0)</f>
        <v>Do backups containing the institution's data ever leave the institution's data zone either physically or via network routing?*</v>
      </c>
      <c r="C177" s="45" t="str">
        <f>VLOOKUP($A177,'Institution Evaluation'!$A$56:$K$345,3,0)&amp;""</f>
        <v>No</v>
      </c>
      <c r="D177" s="45" t="str">
        <f>VLOOKUP($A177,'Institution Evaluation'!$A$56:$K$345,4,0)&amp;""</f>
        <v>Backups remain within the designated AWS region. Data is not moved outside its hosting zone.</v>
      </c>
      <c r="E177" s="288" t="str">
        <f>VLOOKUP($A177,'Institution Evaluation'!$A$56:$K$345,5,0)&amp;""</f>
        <v/>
      </c>
      <c r="F177" s="179" t="str">
        <f>VLOOKUP($A177,'Institution Evaluation'!$A$56:$K$345,6,0)&amp;""</f>
        <v/>
      </c>
      <c r="G177" s="30" t="str">
        <f>VLOOKUP($A177,'Institution Evaluation'!$A$56:$K$345,7,0)&amp;""</f>
        <v>No</v>
      </c>
      <c r="H177" s="176" t="str">
        <f>VLOOKUP($A177,'Institution Evaluation'!$A$56:$K$345,8,0)&amp;""</f>
        <v/>
      </c>
      <c r="I177" s="45" t="str">
        <f>VLOOKUP($A177,'Institution Evaluation'!$A$56:$K$345,9,0)&amp;""</f>
        <v>Critical Importance</v>
      </c>
      <c r="J177" s="177" t="str">
        <f>VLOOKUP($A177,'Institution Evaluation'!$A$56:$K$345,10,0)&amp;""</f>
        <v/>
      </c>
      <c r="K177" s="48" t="str">
        <f>IF(VLOOKUP($A177,'Institution Evaluation'!$A$56:$K$345,10,0)=TRUE,'Auto Responses'!$J$3,"")</f>
        <v/>
      </c>
    </row>
    <row r="178" spans="1:11" ht="42.75" customHeight="1" x14ac:dyDescent="0.2">
      <c r="A178" s="19" t="s">
        <v>105</v>
      </c>
      <c r="B178" s="18" t="str">
        <f>VLOOKUP($A178,Questions!$A$2:$X$333,2,0)</f>
        <v>Is media used for long-term retention of business data and archival purposes stored in a secure, environmentally protected area?*</v>
      </c>
      <c r="C178" s="45" t="str">
        <f>VLOOKUP($A178,'Institution Evaluation'!$A$56:$K$345,3,0)&amp;""</f>
        <v>No</v>
      </c>
      <c r="D178" s="45" t="str">
        <f>VLOOKUP($A178,'Institution Evaluation'!$A$56:$K$345,4,0)&amp;""</f>
        <v>AWS data centers where Accredible data resides are secure, environmentally protected facilities meeting stringent physical and environmental standards.</v>
      </c>
      <c r="E178" s="288" t="str">
        <f>VLOOKUP($A178,'Institution Evaluation'!$A$56:$K$345,5,0)&amp;""</f>
        <v>State plans to store long-term media in environmentally protected areas.</v>
      </c>
      <c r="F178" s="179" t="str">
        <f>VLOOKUP($A178,'Institution Evaluation'!$A$56:$K$345,6,0)&amp;""</f>
        <v/>
      </c>
      <c r="G178" s="30" t="str">
        <f>VLOOKUP($A178,'Institution Evaluation'!$A$56:$K$345,7,0)&amp;""</f>
        <v>Yes</v>
      </c>
      <c r="H178" s="176" t="str">
        <f>VLOOKUP($A178,'Institution Evaluation'!$A$56:$K$345,8,0)&amp;""</f>
        <v/>
      </c>
      <c r="I178" s="45" t="str">
        <f>VLOOKUP($A178,'Institution Evaluation'!$A$56:$K$345,9,0)&amp;""</f>
        <v>Critical Importance</v>
      </c>
      <c r="J178" s="177" t="str">
        <f>VLOOKUP($A178,'Institution Evaluation'!$A$56:$K$345,10,0)&amp;""</f>
        <v/>
      </c>
      <c r="K178" s="48" t="str">
        <f>IF(VLOOKUP($A178,'Institution Evaluation'!$A$56:$K$345,10,0)=TRUE,'Auto Responses'!$J$3,"")</f>
        <v/>
      </c>
    </row>
    <row r="179" spans="1:11" ht="42.75" customHeight="1" x14ac:dyDescent="0.2">
      <c r="A179" s="19" t="s">
        <v>106</v>
      </c>
      <c r="B179" s="18" t="str">
        <f>VLOOKUP($A179,Questions!$A$2:$X$333,2,0)</f>
        <v>At the completion of this contract, will data be returned to the institution and/or deleted from all your systems and archives?</v>
      </c>
      <c r="C179" s="45" t="str">
        <f>VLOOKUP($A179,'Institution Evaluation'!$A$56:$K$345,3,0)&amp;""</f>
        <v>Yes</v>
      </c>
      <c r="D179" s="45" t="str">
        <f>VLOOKUP($A179,'Institution Evaluation'!$A$56:$K$345,4,0)&amp;""</f>
        <v>At the completion of a contract, Accredible will return data to the institution upon request and/or delete it from all systems. The specific process is outlined in the Data Processing Addendum.</v>
      </c>
      <c r="E179" s="288" t="str">
        <f>VLOOKUP($A179,'Institution Evaluation'!$A$56:$K$345,5,0)&amp;""</f>
        <v>State the length of time that the institution's data will be available in the system at the completion of the contract.</v>
      </c>
      <c r="F179" s="179" t="str">
        <f>VLOOKUP($A179,'Institution Evaluation'!$A$56:$K$345,6,0)&amp;""</f>
        <v/>
      </c>
      <c r="G179" s="30" t="str">
        <f>VLOOKUP($A179,'Institution Evaluation'!$A$56:$K$345,7,0)&amp;""</f>
        <v>Yes</v>
      </c>
      <c r="H179" s="176" t="str">
        <f>VLOOKUP($A179,'Institution Evaluation'!$A$56:$K$345,8,0)&amp;""</f>
        <v/>
      </c>
      <c r="I179" s="45" t="str">
        <f>VLOOKUP($A179,'Institution Evaluation'!$A$56:$K$345,9,0)&amp;""</f>
        <v>Standard Importance</v>
      </c>
      <c r="J179" s="177" t="str">
        <f>VLOOKUP($A179,'Institution Evaluation'!$A$56:$K$345,10,0)&amp;""</f>
        <v/>
      </c>
      <c r="K179" s="48" t="str">
        <f>IF(VLOOKUP($A179,'Institution Evaluation'!$A$56:$K$345,10,0)=TRUE,'Auto Responses'!$J$3,"")</f>
        <v/>
      </c>
    </row>
    <row r="180" spans="1:11" ht="28.5" customHeight="1" x14ac:dyDescent="0.2">
      <c r="A180" s="19" t="s">
        <v>107</v>
      </c>
      <c r="B180" s="18" t="str">
        <f>VLOOKUP($A180,Questions!$A$2:$X$333,2,0)</f>
        <v>Can the institution extract a full or partial backup of data?</v>
      </c>
      <c r="C180" s="45" t="str">
        <f>VLOOKUP($A180,'Institution Evaluation'!$A$56:$K$345,3,0)&amp;""</f>
        <v>Yes</v>
      </c>
      <c r="D180" s="45" t="str">
        <f>VLOOKUP($A180,'Institution Evaluation'!$A$56:$K$345,4,0)&amp;""</f>
        <v>Institutions can extract a full or partial backup of their credential and analytics data at any time via the Dashboard, customer support team, or API.</v>
      </c>
      <c r="E180" s="288" t="str">
        <f>VLOOKUP($A180,'Institution Evaluation'!$A$56:$K$345,5,0)&amp;""</f>
        <v>Provide a general summary of how full and partial backups of data can be extracted.</v>
      </c>
      <c r="F180" s="179" t="str">
        <f>VLOOKUP($A180,'Institution Evaluation'!$A$56:$K$345,6,0)&amp;""</f>
        <v/>
      </c>
      <c r="G180" s="30" t="str">
        <f>VLOOKUP($A180,'Institution Evaluation'!$A$56:$K$345,7,0)&amp;""</f>
        <v>Yes</v>
      </c>
      <c r="H180" s="176" t="str">
        <f>VLOOKUP($A180,'Institution Evaluation'!$A$56:$K$345,8,0)&amp;""</f>
        <v/>
      </c>
      <c r="I180" s="45" t="str">
        <f>VLOOKUP($A180,'Institution Evaluation'!$A$56:$K$345,9,0)&amp;""</f>
        <v>Standard Importance</v>
      </c>
      <c r="J180" s="177" t="str">
        <f>VLOOKUP($A180,'Institution Evaluation'!$A$56:$K$345,10,0)&amp;""</f>
        <v/>
      </c>
      <c r="K180" s="48" t="str">
        <f>IF(VLOOKUP($A180,'Institution Evaluation'!$A$56:$K$345,10,0)=TRUE,'Auto Responses'!$J$3,"")</f>
        <v/>
      </c>
    </row>
    <row r="181" spans="1:11" ht="42.75" customHeight="1" x14ac:dyDescent="0.2">
      <c r="A181" s="19" t="s">
        <v>108</v>
      </c>
      <c r="B181" s="18" t="str">
        <f>VLOOKUP($A181,Questions!$A$2:$X$333,2,0)</f>
        <v>Do current backups include all operating system software, utilities, security software, application software, and data files necessary for recovery?</v>
      </c>
      <c r="C181" s="45" t="str">
        <f>VLOOKUP($A181,'Institution Evaluation'!$A$56:$K$345,3,0)&amp;""</f>
        <v>Yes</v>
      </c>
      <c r="D181" s="45" t="str">
        <f>VLOOKUP($A181,'Institution Evaluation'!$A$56:$K$345,4,0)&amp;""</f>
        <v>Backups include all data files necessary for system recovery. Recovery procedures are documented in the Disaster Recovery Plan.</v>
      </c>
      <c r="E181" s="288" t="str">
        <f>VLOOKUP($A181,'Institution Evaluation'!$A$56:$K$345,5,0)&amp;""</f>
        <v>Describe your overall strategy to accomplish these elements.</v>
      </c>
      <c r="F181" s="179" t="str">
        <f>VLOOKUP($A181,'Institution Evaluation'!$A$56:$K$345,6,0)&amp;""</f>
        <v/>
      </c>
      <c r="G181" s="30" t="str">
        <f>VLOOKUP($A181,'Institution Evaluation'!$A$56:$K$345,7,0)&amp;""</f>
        <v>Yes</v>
      </c>
      <c r="H181" s="176" t="str">
        <f>VLOOKUP($A181,'Institution Evaluation'!$A$56:$K$345,8,0)&amp;""</f>
        <v/>
      </c>
      <c r="I181" s="45" t="str">
        <f>VLOOKUP($A181,'Institution Evaluation'!$A$56:$K$345,9,0)&amp;""</f>
        <v>Standard Importance</v>
      </c>
      <c r="J181" s="177" t="str">
        <f>VLOOKUP($A181,'Institution Evaluation'!$A$56:$K$345,10,0)&amp;""</f>
        <v/>
      </c>
      <c r="K181" s="48" t="str">
        <f>IF(VLOOKUP($A181,'Institution Evaluation'!$A$56:$K$345,10,0)=TRUE,'Auto Responses'!$J$3,"")</f>
        <v/>
      </c>
    </row>
    <row r="182" spans="1:11" ht="28.5" customHeight="1" x14ac:dyDescent="0.2">
      <c r="A182" s="19" t="s">
        <v>109</v>
      </c>
      <c r="B182" s="18" t="str">
        <f>VLOOKUP($A182,Questions!$A$2:$X$333,2,0)</f>
        <v>Are you performing off-site backups (i.e., digitally moved off site)?</v>
      </c>
      <c r="C182" s="45" t="str">
        <f>VLOOKUP($A182,'Institution Evaluation'!$A$56:$K$345,3,0)&amp;""</f>
        <v>No</v>
      </c>
      <c r="D182" s="45" t="str">
        <f>VLOOKUP($A182,'Institution Evaluation'!$A$56:$K$345,4,0)&amp;""</f>
        <v>Backups remain within the designated AWS region. Data is not moved outside its hosting zone.</v>
      </c>
      <c r="E182" s="288" t="str">
        <f>VLOOKUP($A182,'Institution Evaluation'!$A$56:$K$345,5,0)&amp;""</f>
        <v>State any plans to implement off-site virtual backups in your environment.</v>
      </c>
      <c r="F182" s="179" t="str">
        <f>VLOOKUP($A182,'Institution Evaluation'!$A$56:$K$345,6,0)&amp;""</f>
        <v/>
      </c>
      <c r="G182" s="30" t="str">
        <f>VLOOKUP($A182,'Institution Evaluation'!$A$56:$K$345,7,0)&amp;""</f>
        <v>Yes</v>
      </c>
      <c r="H182" s="176" t="str">
        <f>VLOOKUP($A182,'Institution Evaluation'!$A$56:$K$345,8,0)&amp;""</f>
        <v/>
      </c>
      <c r="I182" s="45" t="str">
        <f>VLOOKUP($A182,'Institution Evaluation'!$A$56:$K$345,9,0)&amp;""</f>
        <v>Standard Importance</v>
      </c>
      <c r="J182" s="177" t="str">
        <f>VLOOKUP($A182,'Institution Evaluation'!$A$56:$K$345,10,0)&amp;""</f>
        <v/>
      </c>
      <c r="K182" s="48" t="str">
        <f>IF(VLOOKUP($A182,'Institution Evaluation'!$A$56:$K$345,10,0)=TRUE,'Auto Responses'!$J$3,"")</f>
        <v/>
      </c>
    </row>
    <row r="183" spans="1:11" ht="28.5" customHeight="1" x14ac:dyDescent="0.2">
      <c r="A183" s="19" t="s">
        <v>110</v>
      </c>
      <c r="B183" s="18" t="str">
        <f>VLOOKUP($A183,Questions!$A$2:$X$333,2,0)</f>
        <v>Are physical backups taken off-site (i.e., physically moved off site)?</v>
      </c>
      <c r="C183" s="45" t="str">
        <f>VLOOKUP($A183,'Institution Evaluation'!$A$56:$K$345,3,0)&amp;""</f>
        <v>No</v>
      </c>
      <c r="D183" s="45" t="str">
        <f>VLOOKUP($A183,'Institution Evaluation'!$A$56:$K$345,4,0)&amp;""</f>
        <v>Accredible is a cloud-only platform. No physical backup media is taken off-site.</v>
      </c>
      <c r="E183" s="288" t="str">
        <f>VLOOKUP($A183,'Institution Evaluation'!$A$56:$K$345,5,0)&amp;""</f>
        <v>State any plans to implement off-site physical backups in your environment.</v>
      </c>
      <c r="F183" s="179" t="str">
        <f>VLOOKUP($A183,'Institution Evaluation'!$A$56:$K$345,6,0)&amp;""</f>
        <v/>
      </c>
      <c r="G183" s="30" t="str">
        <f>VLOOKUP($A183,'Institution Evaluation'!$A$56:$K$345,7,0)&amp;""</f>
        <v>Yes</v>
      </c>
      <c r="H183" s="176" t="str">
        <f>VLOOKUP($A183,'Institution Evaluation'!$A$56:$K$345,8,0)&amp;""</f>
        <v/>
      </c>
      <c r="I183" s="45" t="str">
        <f>VLOOKUP($A183,'Institution Evaluation'!$A$56:$K$345,9,0)&amp;""</f>
        <v>Standard Importance</v>
      </c>
      <c r="J183" s="177" t="str">
        <f>VLOOKUP($A183,'Institution Evaluation'!$A$56:$K$345,10,0)&amp;""</f>
        <v/>
      </c>
      <c r="K183" s="48" t="str">
        <f>IF(VLOOKUP($A183,'Institution Evaluation'!$A$56:$K$345,10,0)=TRUE,'Auto Responses'!$J$3,"")</f>
        <v/>
      </c>
    </row>
    <row r="184" spans="1:11" ht="15" customHeight="1" x14ac:dyDescent="0.2">
      <c r="A184" s="19" t="s">
        <v>111</v>
      </c>
      <c r="B184" s="18" t="str">
        <f>VLOOKUP($A184,Questions!$A$2:$X$333,2,0)</f>
        <v>Are data backups encrypted?</v>
      </c>
      <c r="C184" s="45" t="str">
        <f>VLOOKUP($A184,'Institution Evaluation'!$A$56:$K$345,3,0)&amp;""</f>
        <v>Yes</v>
      </c>
      <c r="D184" s="45" t="str">
        <f>VLOOKUP($A184,'Institution Evaluation'!$A$56:$K$345,4,0)&amp;""</f>
        <v>All Accredible backups are encrypted with AES encryption.</v>
      </c>
      <c r="E184" s="288" t="str">
        <f>VLOOKUP($A184,'Institution Evaluation'!$A$56:$K$345,5,0)&amp;""</f>
        <v>Summarize the encryption algorithm/strategy you are using to secure backups.</v>
      </c>
      <c r="F184" s="179" t="str">
        <f>VLOOKUP($A184,'Institution Evaluation'!$A$56:$K$345,6,0)&amp;""</f>
        <v/>
      </c>
      <c r="G184" s="30" t="str">
        <f>VLOOKUP($A184,'Institution Evaluation'!$A$56:$K$345,7,0)&amp;""</f>
        <v>Yes</v>
      </c>
      <c r="H184" s="176" t="str">
        <f>VLOOKUP($A184,'Institution Evaluation'!$A$56:$K$345,8,0)&amp;""</f>
        <v/>
      </c>
      <c r="I184" s="45" t="str">
        <f>VLOOKUP($A184,'Institution Evaluation'!$A$56:$K$345,9,0)&amp;""</f>
        <v>Minor Importance</v>
      </c>
      <c r="J184" s="177" t="str">
        <f>VLOOKUP($A184,'Institution Evaluation'!$A$56:$K$345,10,0)&amp;""</f>
        <v/>
      </c>
      <c r="K184" s="48" t="str">
        <f>IF(VLOOKUP($A184,'Institution Evaluation'!$A$56:$K$345,10,0)=TRUE,'Auto Responses'!$J$3,"")</f>
        <v/>
      </c>
    </row>
    <row r="185" spans="1:11" ht="71.25" customHeight="1" x14ac:dyDescent="0.2">
      <c r="A185" s="19" t="s">
        <v>112</v>
      </c>
      <c r="B185" s="18" t="str">
        <f>VLOOKUP($A185,Questions!$A$2:$X$333,2,0)</f>
        <v>Do you have a media handling process that is documented and currently implemented that meets established business needs and regulatory requirements, including end-of-life, repurposing, and data-sanitization procedures?</v>
      </c>
      <c r="C185" s="45" t="str">
        <f>VLOOKUP($A185,'Institution Evaluation'!$A$56:$K$345,3,0)&amp;""</f>
        <v>Yes</v>
      </c>
      <c r="D185" s="45" t="str">
        <f>VLOOKUP($A185,'Institution Evaluation'!$A$56:$K$345,4,0)&amp;""</f>
        <v>Accredible maintains a documented process for data lifecycle management, including secure wiping, repurposing, and destruction of data media.</v>
      </c>
      <c r="E185" s="288" t="str">
        <f>VLOOKUP($A185,'Institution Evaluation'!$A$56:$K$345,5,0)&amp;""</f>
        <v>Provide documented details of this process (link or attached).</v>
      </c>
      <c r="F185" s="179" t="str">
        <f>VLOOKUP($A185,'Institution Evaluation'!$A$56:$K$345,6,0)&amp;""</f>
        <v/>
      </c>
      <c r="G185" s="30" t="str">
        <f>VLOOKUP($A185,'Institution Evaluation'!$A$56:$K$345,7,0)&amp;""</f>
        <v>Yes</v>
      </c>
      <c r="H185" s="176" t="str">
        <f>VLOOKUP($A185,'Institution Evaluation'!$A$56:$K$345,8,0)&amp;""</f>
        <v/>
      </c>
      <c r="I185" s="45" t="str">
        <f>VLOOKUP($A185,'Institution Evaluation'!$A$56:$K$345,9,0)&amp;""</f>
        <v>Standard Importance</v>
      </c>
      <c r="J185" s="177" t="str">
        <f>VLOOKUP($A185,'Institution Evaluation'!$A$56:$K$345,10,0)&amp;""</f>
        <v/>
      </c>
      <c r="K185" s="48" t="str">
        <f>IF(VLOOKUP($A185,'Institution Evaluation'!$A$56:$K$345,10,0)=TRUE,'Auto Responses'!$J$3,"")</f>
        <v/>
      </c>
    </row>
    <row r="186" spans="1:11" ht="42.75" customHeight="1" x14ac:dyDescent="0.2">
      <c r="A186" s="19" t="s">
        <v>114</v>
      </c>
      <c r="B186" s="18" t="str">
        <f>VLOOKUP($A186,Questions!$A$2:$X$333,2,0)</f>
        <v>Does your staff (or third party) have access to institutional data (e.g., financial, PHI, or other sensitive information) through any means?</v>
      </c>
      <c r="C186" s="45" t="str">
        <f>VLOOKUP($A186,'Institution Evaluation'!$A$56:$K$345,3,0)&amp;""</f>
        <v>Limited and controlled</v>
      </c>
      <c r="D186" s="45" t="str">
        <f>VLOOKUP($A186,'Institution Evaluation'!$A$56:$K$345,4,0)&amp;""</f>
        <v>Accredible staff with authorized roles have access to institutional data for operational and support purposes. Access is governed by the least-privilege principle and a formal access provisioning process.</v>
      </c>
      <c r="E186" s="288" t="str">
        <f>VLOOKUP($A186,'Institution Evaluation'!$A$56:$K$345,5,0)&amp;""</f>
        <v/>
      </c>
      <c r="F186" s="179" t="str">
        <f>VLOOKUP($A186,'Institution Evaluation'!$A$56:$K$345,6,0)&amp;""</f>
        <v/>
      </c>
      <c r="G186" s="30" t="str">
        <f>VLOOKUP($A186,'Institution Evaluation'!$A$56:$K$345,7,0)&amp;""</f>
        <v>No</v>
      </c>
      <c r="H186" s="176" t="str">
        <f>VLOOKUP($A186,'Institution Evaluation'!$A$56:$K$345,8,0)&amp;""</f>
        <v/>
      </c>
      <c r="I186" s="45" t="str">
        <f>VLOOKUP($A186,'Institution Evaluation'!$A$56:$K$345,9,0)&amp;""</f>
        <v>Standard Importance</v>
      </c>
      <c r="J186" s="177" t="str">
        <f>VLOOKUP($A186,'Institution Evaluation'!$A$56:$K$345,10,0)&amp;""</f>
        <v/>
      </c>
      <c r="K186" s="48" t="str">
        <f>IF(VLOOKUP($A186,'Institution Evaluation'!$A$56:$K$345,10,0)=TRUE,'Auto Responses'!$J$3,"")</f>
        <v/>
      </c>
    </row>
    <row r="187" spans="1:11" ht="45" customHeight="1" x14ac:dyDescent="0.2">
      <c r="A187" s="19" t="s">
        <v>119</v>
      </c>
      <c r="B187" s="18" t="str">
        <f>VLOOKUP($A187,Questions!$A$2:$X$333,2,0)</f>
        <v>Are involatile backup copies made according to predefined schedules and securely stored and protected?</v>
      </c>
      <c r="C187" s="45" t="str">
        <f>VLOOKUP($A187,'Institution Evaluation'!$A$56:$K$345,3,0)&amp;""</f>
        <v>No</v>
      </c>
      <c r="D187" s="45" t="str">
        <f>VLOOKUP($A187,'Institution Evaluation'!$A$56:$K$345,4,0)&amp;""</f>
        <v xml:space="preserve">Accredible protects institutional data from system failures and ransomware through a layered approach that combines resilient cloud infrastructure, backup and recovery planning, and strict security controls.
Accredible’s platform is hosted on AWS, a highly redundant cloud infrastructure designed for high availability and fault tolerance. This reduces the risk of data loss due to hardware or system failure by leveraging distributed systems and managed services.   
In addition, Accredible maintains formal Business Continuity and Disaster Recovery plans, which are tested annually. These plans define procedures to restore services and recover data in the event of incidents such as system failures, outages, or malicious events.   
Data is further protected through regular backup mechanisms within the cloud environment, ensuring that recoverable copies of data are available if primary systems are impacted. These backups are stored securely and encrypted.   
To mitigate ransomware and other malicious threats, Accredible enforces strong access controls, including least-privilege access, role-based permissions, and multi-factor authentication for privileged systems. This limits the ability of unauthorized users to access or modify sensitive data.   </v>
      </c>
      <c r="E187" s="288" t="str">
        <f>VLOOKUP($A187,'Institution Evaluation'!$A$56:$K$345,5,0)&amp;""</f>
        <v>State how the institution's data is protected from system failures and ransomware.</v>
      </c>
      <c r="F187" s="179" t="str">
        <f>VLOOKUP($A187,'Institution Evaluation'!$A$56:$K$345,6,0)&amp;""</f>
        <v/>
      </c>
      <c r="G187" s="30" t="str">
        <f>VLOOKUP($A187,'Institution Evaluation'!$A$56:$K$345,7,0)&amp;""</f>
        <v>Yes</v>
      </c>
      <c r="H187" s="176" t="str">
        <f>VLOOKUP($A187,'Institution Evaluation'!$A$56:$K$345,8,0)&amp;""</f>
        <v/>
      </c>
      <c r="I187" s="45" t="str">
        <f>VLOOKUP($A187,'Institution Evaluation'!$A$56:$K$345,9,0)&amp;""</f>
        <v>Minor Importance</v>
      </c>
      <c r="J187" s="177" t="str">
        <f>VLOOKUP($A187,'Institution Evaluation'!$A$56:$K$345,10,0)&amp;""</f>
        <v/>
      </c>
      <c r="K187" s="48" t="str">
        <f>IF(VLOOKUP($A187,'Institution Evaluation'!$A$56:$K$345,10,0)=TRUE,'Auto Responses'!$J$3,"")</f>
        <v/>
      </c>
    </row>
    <row r="188" spans="1:11" ht="71.25" customHeight="1" x14ac:dyDescent="0.2">
      <c r="A188" s="19" t="s">
        <v>120</v>
      </c>
      <c r="B188" s="18" t="str">
        <f>VLOOKUP($A188,Questions!$A$2:$X$333,2,0)</f>
        <v>Do you have a cryptographic key management process (generation, exchange, storage, safeguards, use, vetting, and replacement) that is documented and currently implemented, for all system components (e.g., database, system, web, etc.)?</v>
      </c>
      <c r="C188" s="45" t="str">
        <f>VLOOKUP($A188,'Institution Evaluation'!$A$56:$K$345,3,0)&amp;""</f>
        <v>Yes</v>
      </c>
      <c r="D188" s="45" t="str">
        <f>VLOOKUP($A188,'Institution Evaluation'!$A$56:$K$345,4,0)&amp;""</f>
        <v>Accredible maintains a documented cryptographic key management process covering generation, storage, safeguarding, use, and rotation for all system components. AWS KMS is used for key management.</v>
      </c>
      <c r="E188" s="288" t="str">
        <f>VLOOKUP($A188,'Institution Evaluation'!$A$56:$K$345,5,0)&amp;""</f>
        <v>Summarize your cryptographic key management process.</v>
      </c>
      <c r="F188" s="179" t="str">
        <f>VLOOKUP($A188,'Institution Evaluation'!$A$56:$K$345,6,0)&amp;""</f>
        <v/>
      </c>
      <c r="G188" s="30" t="str">
        <f>VLOOKUP($A188,'Institution Evaluation'!$A$56:$K$345,7,0)&amp;""</f>
        <v>Yes</v>
      </c>
      <c r="H188" s="176" t="str">
        <f>VLOOKUP($A188,'Institution Evaluation'!$A$56:$K$345,8,0)&amp;""</f>
        <v/>
      </c>
      <c r="I188" s="45" t="str">
        <f>VLOOKUP($A188,'Institution Evaluation'!$A$56:$K$345,9,0)&amp;""</f>
        <v>Minor Importance</v>
      </c>
      <c r="J188" s="177" t="str">
        <f>VLOOKUP($A188,'Institution Evaluation'!$A$56:$K$345,10,0)&amp;""</f>
        <v/>
      </c>
      <c r="K188" s="48" t="str">
        <f>IF(VLOOKUP($A188,'Institution Evaluation'!$A$56:$K$345,10,0)=TRUE,'Auto Responses'!$J$3,"")</f>
        <v/>
      </c>
    </row>
    <row r="189" spans="1:11" s="1" customFormat="1" ht="18" customHeight="1" x14ac:dyDescent="0.15">
      <c r="A189" s="61" t="str">
        <f>VLOOKUP(LEFT($A190,4),'Auto Responses'!$N$4:$O$38,2,0)&amp;""</f>
        <v xml:space="preserve"> Datacenter</v>
      </c>
      <c r="B189" s="22"/>
      <c r="C189" s="31"/>
      <c r="D189" s="31"/>
      <c r="E189" s="289"/>
      <c r="F189" s="126" t="s">
        <v>652</v>
      </c>
      <c r="G189" s="293" t="s">
        <v>647</v>
      </c>
      <c r="H189" s="293" t="s">
        <v>648</v>
      </c>
      <c r="I189" s="293" t="s">
        <v>649</v>
      </c>
      <c r="J189" s="293" t="s">
        <v>650</v>
      </c>
      <c r="K189" s="31"/>
    </row>
    <row r="190" spans="1:11" ht="90" customHeight="1" x14ac:dyDescent="0.2">
      <c r="A190" s="19" t="s">
        <v>135</v>
      </c>
      <c r="B190" s="18" t="str">
        <f>VLOOKUP($A190,Questions!$A$2:$X$333,2,0)</f>
        <v>Select your hosting option.</v>
      </c>
      <c r="C190" s="45" t="str">
        <f>VLOOKUP($A190,'Institution Evaluation'!$A$56:$K$345,3,0)&amp;""</f>
        <v>AWS</v>
      </c>
      <c r="D190" s="45" t="str">
        <f>VLOOKUP($A190,'Institution Evaluation'!$A$56:$K$345,4,0)&amp;""</f>
        <v/>
      </c>
      <c r="E190" s="288" t="str">
        <f>VLOOKUP($A190,'Institution Evaluation'!$A$56:$K$345,5,0)&amp;""</f>
        <v/>
      </c>
      <c r="F190" s="179" t="str">
        <f>VLOOKUP($A190,'Institution Evaluation'!$A$56:$K$345,6,0)&amp;""</f>
        <v/>
      </c>
      <c r="G190" s="30" t="str">
        <f>VLOOKUP($A190,'Institution Evaluation'!$A$56:$K$345,7,0)&amp;""</f>
        <v>Not scored</v>
      </c>
      <c r="H190" s="176" t="str">
        <f>VLOOKUP($A190,'Institution Evaluation'!$A$56:$K$345,8,0)&amp;""</f>
        <v/>
      </c>
      <c r="I190" s="45" t="str">
        <f>VLOOKUP($A190,'Institution Evaluation'!$A$56:$K$345,9,0)&amp;""</f>
        <v/>
      </c>
      <c r="J190" s="177" t="str">
        <f>VLOOKUP($A190,'Institution Evaluation'!$A$56:$K$345,10,0)&amp;""</f>
        <v/>
      </c>
      <c r="K190" s="48" t="str">
        <f>IF(VLOOKUP($A190,'Institution Evaluation'!$A$56:$K$345,10,0)=TRUE,'Auto Responses'!$J$3,"")</f>
        <v/>
      </c>
    </row>
    <row r="191" spans="1:11" ht="28.5" customHeight="1" x14ac:dyDescent="0.2">
      <c r="A191" s="19" t="s">
        <v>137</v>
      </c>
      <c r="B191" s="18" t="str">
        <f>VLOOKUP($A191,Questions!$A$2:$X$333,2,0)</f>
        <v>Are you generally able to accommodate storing each institution's data within its geographic region?</v>
      </c>
      <c r="C191" s="45" t="str">
        <f>VLOOKUP($A191,'Institution Evaluation'!$A$56:$K$345,3,0)&amp;""</f>
        <v>Yes</v>
      </c>
      <c r="D191" s="45" t="str">
        <f>VLOOKUP($A191,'Institution Evaluation'!$A$56:$K$345,4,0)&amp;""</f>
        <v>Accredible can generally accommodate storing institution data within its geographic region. EU and US data regions are available. Data is contained to the selected region under Accredible's data residency tenancy model.</v>
      </c>
      <c r="E191" s="288" t="str">
        <f>VLOOKUP($A191,'Institution Evaluation'!$A$56:$K$345,5,0)&amp;""</f>
        <v>Please indicate which geographic regions you can provide storage in the Additional Info column.</v>
      </c>
      <c r="F191" s="179" t="str">
        <f>VLOOKUP($A191,'Institution Evaluation'!$A$56:$K$345,6,0)&amp;""</f>
        <v/>
      </c>
      <c r="G191" s="30" t="str">
        <f>VLOOKUP($A191,'Institution Evaluation'!$A$56:$K$345,7,0)&amp;""</f>
        <v>Yes</v>
      </c>
      <c r="H191" s="176" t="str">
        <f>VLOOKUP($A191,'Institution Evaluation'!$A$56:$K$345,8,0)&amp;""</f>
        <v/>
      </c>
      <c r="I191" s="45" t="str">
        <f>VLOOKUP($A191,'Institution Evaluation'!$A$56:$K$345,9,0)&amp;""</f>
        <v>Standard Importance</v>
      </c>
      <c r="J191" s="177" t="str">
        <f>VLOOKUP($A191,'Institution Evaluation'!$A$56:$K$345,10,0)&amp;""</f>
        <v/>
      </c>
      <c r="K191" s="48" t="str">
        <f>IF(VLOOKUP($A191,'Institution Evaluation'!$A$56:$K$345,10,0)=TRUE,'Auto Responses'!$J$3,"")</f>
        <v/>
      </c>
    </row>
    <row r="192" spans="1:11" s="1" customFormat="1" ht="18" customHeight="1" x14ac:dyDescent="0.15">
      <c r="A192" s="61" t="str">
        <f>VLOOKUP(LEFT($A193,4),'Auto Responses'!$N$4:$O$38,2,0)&amp;""</f>
        <v xml:space="preserve"> Firewalls, IDS, IPS, and Networking</v>
      </c>
      <c r="B192" s="22"/>
      <c r="C192" s="31"/>
      <c r="D192" s="31"/>
      <c r="E192" s="289"/>
      <c r="F192" s="126" t="s">
        <v>652</v>
      </c>
      <c r="G192" s="293" t="s">
        <v>647</v>
      </c>
      <c r="H192" s="293" t="s">
        <v>648</v>
      </c>
      <c r="I192" s="293" t="s">
        <v>649</v>
      </c>
      <c r="J192" s="293" t="s">
        <v>650</v>
      </c>
      <c r="K192" s="31"/>
    </row>
    <row r="193" spans="1:11" ht="28.5" customHeight="1" x14ac:dyDescent="0.2">
      <c r="A193" s="19" t="s">
        <v>151</v>
      </c>
      <c r="B193" s="18" t="str">
        <f>VLOOKUP($A193,Questions!$A$2:$X$333,2,0)</f>
        <v>Are you utilizing a stateful packet inspection (SPI) firewall?*</v>
      </c>
      <c r="C193" s="45" t="str">
        <f>VLOOKUP($A193,'Institution Evaluation'!$A$56:$K$345,3,0)&amp;""</f>
        <v>Yes</v>
      </c>
      <c r="D193" s="45" t="str">
        <f>VLOOKUP($A193,'Institution Evaluation'!$A$56:$K$345,4,0)&amp;""</f>
        <v>Accredible uses stateful packet inspection firewalls as part of its AWS security infrastructure.</v>
      </c>
      <c r="E193" s="288" t="str">
        <f>VLOOKUP($A193,'Institution Evaluation'!$A$56:$K$345,5,0)&amp;""</f>
        <v>Describe the currently implemented SPI firewall.</v>
      </c>
      <c r="F193" s="179" t="str">
        <f>VLOOKUP($A193,'Institution Evaluation'!$A$56:$K$345,6,0)&amp;""</f>
        <v/>
      </c>
      <c r="G193" s="30" t="str">
        <f>VLOOKUP($A193,'Institution Evaluation'!$A$56:$K$345,7,0)&amp;""</f>
        <v>Yes</v>
      </c>
      <c r="H193" s="176" t="str">
        <f>VLOOKUP($A193,'Institution Evaluation'!$A$56:$K$345,8,0)&amp;""</f>
        <v/>
      </c>
      <c r="I193" s="45" t="str">
        <f>VLOOKUP($A193,'Institution Evaluation'!$A$56:$K$345,9,0)&amp;""</f>
        <v>Critical Importance</v>
      </c>
      <c r="J193" s="177" t="str">
        <f>VLOOKUP($A193,'Institution Evaluation'!$A$56:$K$345,10,0)&amp;""</f>
        <v/>
      </c>
      <c r="K193" s="48" t="str">
        <f>IF(VLOOKUP($A193,'Institution Evaluation'!$A$56:$K$345,10,0)=TRUE,'Auto Responses'!$J$3,"")</f>
        <v/>
      </c>
    </row>
    <row r="194" spans="1:11" ht="28.5" customHeight="1" x14ac:dyDescent="0.2">
      <c r="A194" s="19" t="s">
        <v>152</v>
      </c>
      <c r="B194" s="18" t="str">
        <f>VLOOKUP($A194,Questions!$A$2:$X$333,2,0)</f>
        <v>Do you have a documented policy for firewall change requests?*</v>
      </c>
      <c r="C194" s="45" t="str">
        <f>VLOOKUP($A194,'Institution Evaluation'!$A$56:$K$345,3,0)&amp;""</f>
        <v>Yes</v>
      </c>
      <c r="D194" s="45" t="str">
        <f>VLOOKUP($A194,'Institution Evaluation'!$A$56:$K$345,4,0)&amp;""</f>
        <v>Accredible has a documented policy for firewall change requests. Changes require peer review and use infrastructure as code where applicable.</v>
      </c>
      <c r="E194" s="288" t="str">
        <f>VLOOKUP($A194,'Institution Evaluation'!$A$56:$K$345,5,0)&amp;""</f>
        <v>Describe your documented firewall change request policy.</v>
      </c>
      <c r="F194" s="179" t="str">
        <f>VLOOKUP($A194,'Institution Evaluation'!$A$56:$K$345,6,0)&amp;""</f>
        <v/>
      </c>
      <c r="G194" s="30" t="str">
        <f>VLOOKUP($A194,'Institution Evaluation'!$A$56:$K$345,7,0)&amp;""</f>
        <v>Yes</v>
      </c>
      <c r="H194" s="176" t="str">
        <f>VLOOKUP($A194,'Institution Evaluation'!$A$56:$K$345,8,0)&amp;""</f>
        <v/>
      </c>
      <c r="I194" s="45" t="str">
        <f>VLOOKUP($A194,'Institution Evaluation'!$A$56:$K$345,9,0)&amp;""</f>
        <v>Critical Importance</v>
      </c>
      <c r="J194" s="177" t="str">
        <f>VLOOKUP($A194,'Institution Evaluation'!$A$56:$K$345,10,0)&amp;""</f>
        <v/>
      </c>
      <c r="K194" s="48" t="str">
        <f>IF(VLOOKUP($A194,'Institution Evaluation'!$A$56:$K$345,10,0)=TRUE,'Auto Responses'!$J$3,"")</f>
        <v/>
      </c>
    </row>
    <row r="195" spans="1:11" ht="28.5" customHeight="1" x14ac:dyDescent="0.2">
      <c r="A195" s="19" t="s">
        <v>153</v>
      </c>
      <c r="B195" s="18" t="str">
        <f>VLOOKUP($A195,Questions!$A$2:$X$333,2,0)</f>
        <v>Have you implemented an intrusion detection system (network-based)?*</v>
      </c>
      <c r="C195" s="45" t="str">
        <f>VLOOKUP($A195,'Institution Evaluation'!$A$56:$K$345,3,0)&amp;""</f>
        <v>Yes</v>
      </c>
      <c r="D195" s="45" t="str">
        <f>VLOOKUP($A195,'Institution Evaluation'!$A$56:$K$345,4,0)&amp;""</f>
        <v>Accredible uses AWS GuardDuty for network-based intrusion detection.</v>
      </c>
      <c r="E195" s="288" t="str">
        <f>VLOOKUP($A195,'Institution Evaluation'!$A$56:$K$345,5,0)&amp;""</f>
        <v>Describe the currently implemented IDS.</v>
      </c>
      <c r="F195" s="179" t="str">
        <f>VLOOKUP($A195,'Institution Evaluation'!$A$56:$K$345,6,0)&amp;""</f>
        <v/>
      </c>
      <c r="G195" s="30" t="str">
        <f>VLOOKUP($A195,'Institution Evaluation'!$A$56:$K$345,7,0)&amp;""</f>
        <v>Yes</v>
      </c>
      <c r="H195" s="176" t="str">
        <f>VLOOKUP($A195,'Institution Evaluation'!$A$56:$K$345,8,0)&amp;""</f>
        <v/>
      </c>
      <c r="I195" s="45" t="str">
        <f>VLOOKUP($A195,'Institution Evaluation'!$A$56:$K$345,9,0)&amp;""</f>
        <v>Critical Importance</v>
      </c>
      <c r="J195" s="177" t="str">
        <f>VLOOKUP($A195,'Institution Evaluation'!$A$56:$K$345,10,0)&amp;""</f>
        <v/>
      </c>
      <c r="K195" s="48" t="str">
        <f>IF(VLOOKUP($A195,'Institution Evaluation'!$A$56:$K$345,10,0)=TRUE,'Auto Responses'!$J$3,"")</f>
        <v/>
      </c>
    </row>
    <row r="196" spans="1:11" ht="15" customHeight="1" x14ac:dyDescent="0.2">
      <c r="A196" s="19" t="s">
        <v>154</v>
      </c>
      <c r="B196" s="18" t="str">
        <f>VLOOKUP($A196,Questions!$A$2:$X$333,2,0)</f>
        <v>Do you employ host-based intrusion detection?*</v>
      </c>
      <c r="C196" s="45" t="str">
        <f>VLOOKUP($A196,'Institution Evaluation'!$A$56:$K$345,3,0)&amp;""</f>
        <v>Yes</v>
      </c>
      <c r="D196" s="45" t="str">
        <f>VLOOKUP($A196,'Institution Evaluation'!$A$56:$K$345,4,0)&amp;""</f>
        <v>Accredible employs host-based intrusion detection via continuous monitoring through Vanta and AWS GuardDuty.</v>
      </c>
      <c r="E196" s="288" t="str">
        <f>VLOOKUP($A196,'Institution Evaluation'!$A$56:$K$345,5,0)&amp;""</f>
        <v>Describe the currently implemented host-based IDS solution(s).</v>
      </c>
      <c r="F196" s="179" t="str">
        <f>VLOOKUP($A196,'Institution Evaluation'!$A$56:$K$345,6,0)&amp;""</f>
        <v/>
      </c>
      <c r="G196" s="30" t="str">
        <f>VLOOKUP($A196,'Institution Evaluation'!$A$56:$K$345,7,0)&amp;""</f>
        <v>Yes</v>
      </c>
      <c r="H196" s="176" t="str">
        <f>VLOOKUP($A196,'Institution Evaluation'!$A$56:$K$345,8,0)&amp;""</f>
        <v/>
      </c>
      <c r="I196" s="45" t="str">
        <f>VLOOKUP($A196,'Institution Evaluation'!$A$56:$K$345,9,0)&amp;""</f>
        <v>Critical Importance</v>
      </c>
      <c r="J196" s="177" t="str">
        <f>VLOOKUP($A196,'Institution Evaluation'!$A$56:$K$345,10,0)&amp;""</f>
        <v/>
      </c>
      <c r="K196" s="48" t="str">
        <f>IF(VLOOKUP($A196,'Institution Evaluation'!$A$56:$K$345,10,0)=TRUE,'Auto Responses'!$J$3,"")</f>
        <v/>
      </c>
    </row>
    <row r="197" spans="1:11" ht="28.5" customHeight="1" x14ac:dyDescent="0.2">
      <c r="A197" s="19" t="s">
        <v>155</v>
      </c>
      <c r="B197" s="18" t="str">
        <f>VLOOKUP($A197,Questions!$A$2:$X$333,2,0)</f>
        <v>Are audit logs available for all changes to the network, firewall, IDS, and IPS systems?*</v>
      </c>
      <c r="C197" s="45" t="str">
        <f>VLOOKUP($A197,'Institution Evaluation'!$A$56:$K$345,3,0)&amp;""</f>
        <v>Yes</v>
      </c>
      <c r="D197" s="45" t="str">
        <f>VLOOKUP($A197,'Institution Evaluation'!$A$56:$K$345,4,0)&amp;""</f>
        <v>Audit logs are available for all changes to the network, firewall, IDS, and IPS systems.</v>
      </c>
      <c r="E197" s="288" t="str">
        <f>VLOOKUP($A197,'Institution Evaluation'!$A$56:$K$345,5,0)&amp;""</f>
        <v>Describe your current network systems logging strategy.</v>
      </c>
      <c r="F197" s="179" t="str">
        <f>VLOOKUP($A197,'Institution Evaluation'!$A$56:$K$345,6,0)&amp;""</f>
        <v/>
      </c>
      <c r="G197" s="30" t="str">
        <f>VLOOKUP($A197,'Institution Evaluation'!$A$56:$K$345,7,0)&amp;""</f>
        <v>Yes</v>
      </c>
      <c r="H197" s="176" t="str">
        <f>VLOOKUP($A197,'Institution Evaluation'!$A$56:$K$345,8,0)&amp;""</f>
        <v/>
      </c>
      <c r="I197" s="45" t="str">
        <f>VLOOKUP($A197,'Institution Evaluation'!$A$56:$K$345,9,0)&amp;""</f>
        <v>Critical Importance</v>
      </c>
      <c r="J197" s="177" t="str">
        <f>VLOOKUP($A197,'Institution Evaluation'!$A$56:$K$345,10,0)&amp;""</f>
        <v/>
      </c>
      <c r="K197" s="48" t="str">
        <f>IF(VLOOKUP($A197,'Institution Evaluation'!$A$56:$K$345,10,0)=TRUE,'Auto Responses'!$J$3,"")</f>
        <v/>
      </c>
    </row>
    <row r="198" spans="1:11" ht="28.5" customHeight="1" x14ac:dyDescent="0.2">
      <c r="A198" s="19" t="s">
        <v>159</v>
      </c>
      <c r="B198" s="18" t="str">
        <f>VLOOKUP($A198,Questions!$A$2:$X$333,2,0)</f>
        <v>Are you employing any next-generation persistent threat (NGPT) monitoring?</v>
      </c>
      <c r="C198" s="45" t="str">
        <f>VLOOKUP($A198,'Institution Evaluation'!$A$56:$K$345,3,0)&amp;""</f>
        <v>Yes</v>
      </c>
      <c r="D198" s="45" t="str">
        <f>VLOOKUP($A198,'Institution Evaluation'!$A$56:$K$345,4,0)&amp;""</f>
        <v>AWS GuardDuty provides next-generation persistent threat monitoring for Accredible's infrastructure.</v>
      </c>
      <c r="E198" s="288" t="str">
        <f>VLOOKUP($A198,'Institution Evaluation'!$A$56:$K$345,5,0)&amp;""</f>
        <v>Describe your NGPT monitoring strategy.</v>
      </c>
      <c r="F198" s="179" t="str">
        <f>VLOOKUP($A198,'Institution Evaluation'!$A$56:$K$345,6,0)&amp;""</f>
        <v/>
      </c>
      <c r="G198" s="30" t="str">
        <f>VLOOKUP($A198,'Institution Evaluation'!$A$56:$K$345,7,0)&amp;""</f>
        <v>Yes</v>
      </c>
      <c r="H198" s="176" t="str">
        <f>VLOOKUP($A198,'Institution Evaluation'!$A$56:$K$345,8,0)&amp;""</f>
        <v/>
      </c>
      <c r="I198" s="45" t="str">
        <f>VLOOKUP($A198,'Institution Evaluation'!$A$56:$K$345,9,0)&amp;""</f>
        <v>Standard Importance</v>
      </c>
      <c r="J198" s="177" t="str">
        <f>VLOOKUP($A198,'Institution Evaluation'!$A$56:$K$345,10,0)&amp;""</f>
        <v/>
      </c>
      <c r="K198" s="48" t="str">
        <f>IF(VLOOKUP($A198,'Institution Evaluation'!$A$56:$K$345,10,0)=TRUE,'Auto Responses'!$J$3,"")</f>
        <v/>
      </c>
    </row>
    <row r="199" spans="1:11" s="1" customFormat="1" ht="18" customHeight="1" x14ac:dyDescent="0.15">
      <c r="A199" s="61" t="str">
        <f>VLOOKUP(LEFT($A200,4),'Auto Responses'!$N$4:$O$38,2,0)&amp;""</f>
        <v xml:space="preserve"> Policies, Processes, and Procedures</v>
      </c>
      <c r="B199" s="22"/>
      <c r="C199" s="31"/>
      <c r="D199" s="31"/>
      <c r="E199" s="289"/>
      <c r="F199" s="126" t="s">
        <v>652</v>
      </c>
      <c r="G199" s="293" t="s">
        <v>647</v>
      </c>
      <c r="H199" s="293" t="s">
        <v>648</v>
      </c>
      <c r="I199" s="293" t="s">
        <v>649</v>
      </c>
      <c r="J199" s="293" t="s">
        <v>650</v>
      </c>
      <c r="K199" s="31"/>
    </row>
    <row r="200" spans="1:11" ht="45" customHeight="1" x14ac:dyDescent="0.2">
      <c r="A200" s="19" t="s">
        <v>67</v>
      </c>
      <c r="B200" s="18" t="str">
        <f>VLOOKUP($A200,Questions!$A$2:$X$333,2,0)</f>
        <v>Is your company subject to the institution's geographic region's laws and regulations?*</v>
      </c>
      <c r="C200" s="45" t="str">
        <f>VLOOKUP($A200,'Institution Evaluation'!$A$56:$K$345,3,0)&amp;""</f>
        <v>Yes</v>
      </c>
      <c r="D200" s="45" t="str">
        <f>VLOOKUP($A200,'Institution Evaluation'!$A$56:$K$345,4,0)&amp;""</f>
        <v>Accredible (EdInvent Inc.) is a US-registered company subject to applicable US federal and state laws. Accredible Ltd. is subject to UK laws. Accredible complies with GDPR as a data processor for EU customers.</v>
      </c>
      <c r="E200" s="288" t="str">
        <f>VLOOKUP($A200,'Institution Evaluation'!$A$56:$K$345,5,0)&amp;""</f>
        <v>State the country that governs and regulates your company.</v>
      </c>
      <c r="F200" s="179" t="str">
        <f>VLOOKUP($A200,'Institution Evaluation'!$A$56:$K$345,6,0)&amp;""</f>
        <v/>
      </c>
      <c r="G200" s="30" t="str">
        <f>VLOOKUP($A200,'Institution Evaluation'!$A$56:$K$345,7,0)&amp;""</f>
        <v>Yes</v>
      </c>
      <c r="H200" s="176" t="str">
        <f>VLOOKUP($A200,'Institution Evaluation'!$A$56:$K$345,8,0)&amp;""</f>
        <v/>
      </c>
      <c r="I200" s="45" t="str">
        <f>VLOOKUP($A200,'Institution Evaluation'!$A$56:$K$345,9,0)&amp;""</f>
        <v>Critical Importance</v>
      </c>
      <c r="J200" s="177" t="str">
        <f>VLOOKUP($A200,'Institution Evaluation'!$A$56:$K$345,10,0)&amp;""</f>
        <v/>
      </c>
      <c r="K200" s="48" t="str">
        <f>IF(VLOOKUP($A200,'Institution Evaluation'!$A$56:$K$345,10,0)=TRUE,'Auto Responses'!$J$3,"")</f>
        <v/>
      </c>
    </row>
    <row r="201" spans="1:11" ht="28.5" customHeight="1" x14ac:dyDescent="0.2">
      <c r="A201" s="19" t="s">
        <v>68</v>
      </c>
      <c r="B201" s="18" t="str">
        <f>VLOOKUP($A201,Questions!$A$2:$X$333,2,0)</f>
        <v>Can you accommodate encryption requirements using open standards?</v>
      </c>
      <c r="C201" s="45" t="str">
        <f>VLOOKUP($A201,'Institution Evaluation'!$A$56:$K$345,3,0)&amp;""</f>
        <v>Yes</v>
      </c>
      <c r="D201" s="45" t="str">
        <f>VLOOKUP($A201,'Institution Evaluation'!$A$56:$K$345,4,0)&amp;""</f>
        <v>Accredible can accommodate encryption requirements using open, industry-standard cryptographic protocols (TLS 1.2+, AES-256).</v>
      </c>
      <c r="E201" s="288" t="str">
        <f>VLOOKUP($A201,'Institution Evaluation'!$A$56:$K$345,5,0)&amp;""</f>
        <v/>
      </c>
      <c r="F201" s="179" t="str">
        <f>VLOOKUP($A201,'Institution Evaluation'!$A$56:$K$345,6,0)&amp;""</f>
        <v/>
      </c>
      <c r="G201" s="30" t="str">
        <f>VLOOKUP($A201,'Institution Evaluation'!$A$56:$K$345,7,0)&amp;""</f>
        <v>Yes</v>
      </c>
      <c r="H201" s="176" t="str">
        <f>VLOOKUP($A201,'Institution Evaluation'!$A$56:$K$345,8,0)&amp;""</f>
        <v/>
      </c>
      <c r="I201" s="45" t="str">
        <f>VLOOKUP($A201,'Institution Evaluation'!$A$56:$K$345,9,0)&amp;""</f>
        <v>Standard Importance</v>
      </c>
      <c r="J201" s="177" t="str">
        <f>VLOOKUP($A201,'Institution Evaluation'!$A$56:$K$345,10,0)&amp;""</f>
        <v/>
      </c>
      <c r="K201" s="48" t="str">
        <f>IF(VLOOKUP($A201,'Institution Evaluation'!$A$56:$K$345,10,0)=TRUE,'Auto Responses'!$J$3,"")</f>
        <v/>
      </c>
    </row>
    <row r="202" spans="1:11" ht="28.5" customHeight="1" x14ac:dyDescent="0.2">
      <c r="A202" s="19" t="s">
        <v>74</v>
      </c>
      <c r="B202" s="18" t="str">
        <f>VLOOKUP($A202,Questions!$A$2:$X$333,2,0)</f>
        <v>Will you comply with applicable breach notification laws?</v>
      </c>
      <c r="C202" s="45" t="str">
        <f>VLOOKUP($A202,'Institution Evaluation'!$A$56:$K$345,3,0)&amp;""</f>
        <v>Yes</v>
      </c>
      <c r="D202" s="45" t="str">
        <f>VLOOKUP($A202,'Institution Evaluation'!$A$56:$K$345,4,0)&amp;""</f>
        <v>Accredible will comply with applicable breach notification laws. A Data Protection Addendum (DPA) outlines specific notification obligations at https://www.accredible.com/legal/dpa</v>
      </c>
      <c r="E202" s="288" t="str">
        <f>VLOOKUP($A202,'Institution Evaluation'!$A$56:$K$345,5,0)&amp;""</f>
        <v>State how quickly the institution will be notified of a data breach or security incident.</v>
      </c>
      <c r="F202" s="179" t="str">
        <f>VLOOKUP($A202,'Institution Evaluation'!$A$56:$K$345,6,0)&amp;""</f>
        <v/>
      </c>
      <c r="G202" s="30" t="str">
        <f>VLOOKUP($A202,'Institution Evaluation'!$A$56:$K$345,7,0)&amp;""</f>
        <v>Yes</v>
      </c>
      <c r="H202" s="176" t="str">
        <f>VLOOKUP($A202,'Institution Evaluation'!$A$56:$K$345,8,0)&amp;""</f>
        <v/>
      </c>
      <c r="I202" s="45" t="str">
        <f>VLOOKUP($A202,'Institution Evaluation'!$A$56:$K$345,9,0)&amp;""</f>
        <v>Minor Importance</v>
      </c>
      <c r="J202" s="177" t="str">
        <f>VLOOKUP($A202,'Institution Evaluation'!$A$56:$K$345,10,0)&amp;""</f>
        <v/>
      </c>
      <c r="K202" s="48" t="str">
        <f>IF(VLOOKUP($A202,'Institution Evaluation'!$A$56:$K$345,10,0)=TRUE,'Auto Responses'!$J$3,"")</f>
        <v/>
      </c>
    </row>
    <row r="203" spans="1:11" ht="28.5" customHeight="1" x14ac:dyDescent="0.2">
      <c r="A203" s="19" t="s">
        <v>75</v>
      </c>
      <c r="B203" s="18" t="str">
        <f>VLOOKUP($A203,Questions!$A$2:$X$333,2,0)</f>
        <v>Do you have an information security awareness program?</v>
      </c>
      <c r="C203" s="45" t="str">
        <f>VLOOKUP($A203,'Institution Evaluation'!$A$56:$K$345,3,0)&amp;""</f>
        <v>Yes</v>
      </c>
      <c r="D203" s="45" t="str">
        <f>VLOOKUP($A203,'Institution Evaluation'!$A$56:$K$345,4,0)&amp;""</f>
        <v>Accredible requires all staff and contractors to complete security awareness training at minimum annually. Training covers information security importance, attack types, incident recognition, and prevention.</v>
      </c>
      <c r="E203" s="288" t="str">
        <f>VLOOKUP($A203,'Institution Evaluation'!$A$56:$K$345,5,0)&amp;""</f>
        <v>Summarize your information security awareness program.</v>
      </c>
      <c r="F203" s="179" t="str">
        <f>VLOOKUP($A203,'Institution Evaluation'!$A$56:$K$345,6,0)&amp;""</f>
        <v/>
      </c>
      <c r="G203" s="30" t="str">
        <f>VLOOKUP($A203,'Institution Evaluation'!$A$56:$K$345,7,0)&amp;""</f>
        <v>Yes</v>
      </c>
      <c r="H203" s="176" t="str">
        <f>VLOOKUP($A203,'Institution Evaluation'!$A$56:$K$345,8,0)&amp;""</f>
        <v/>
      </c>
      <c r="I203" s="45" t="str">
        <f>VLOOKUP($A203,'Institution Evaluation'!$A$56:$K$345,9,0)&amp;""</f>
        <v>Minor Importance</v>
      </c>
      <c r="J203" s="177" t="str">
        <f>VLOOKUP($A203,'Institution Evaluation'!$A$56:$K$345,10,0)&amp;""</f>
        <v/>
      </c>
      <c r="K203" s="48" t="str">
        <f>IF(VLOOKUP($A203,'Institution Evaluation'!$A$56:$K$345,10,0)=TRUE,'Auto Responses'!$J$3,"")</f>
        <v/>
      </c>
    </row>
    <row r="204" spans="1:11" ht="28.5" customHeight="1" x14ac:dyDescent="0.2">
      <c r="A204" s="19" t="s">
        <v>76</v>
      </c>
      <c r="B204" s="18" t="str">
        <f>VLOOKUP($A204,Questions!$A$2:$X$333,2,0)</f>
        <v>Is security awareness training mandatory for all employees?</v>
      </c>
      <c r="C204" s="45" t="str">
        <f>VLOOKUP($A204,'Institution Evaluation'!$A$56:$K$345,3,0)&amp;""</f>
        <v>Yes</v>
      </c>
      <c r="D204" s="45" t="str">
        <f>VLOOKUP($A204,'Institution Evaluation'!$A$56:$K$345,4,0)&amp;""</f>
        <v>Security awareness training is mandatory for all employees and contractors on an annual basis, and for all new starters during onboarding.</v>
      </c>
      <c r="E204" s="288" t="str">
        <f>VLOOKUP($A204,'Institution Evaluation'!$A$56:$K$345,5,0)&amp;""</f>
        <v>Summarize your security awareness training content and state how frequently employees are required to undergo security awareness training.</v>
      </c>
      <c r="F204" s="179" t="str">
        <f>VLOOKUP($A204,'Institution Evaluation'!$A$56:$K$345,6,0)&amp;""</f>
        <v/>
      </c>
      <c r="G204" s="30" t="str">
        <f>VLOOKUP($A204,'Institution Evaluation'!$A$56:$K$345,7,0)&amp;""</f>
        <v>Yes</v>
      </c>
      <c r="H204" s="176" t="str">
        <f>VLOOKUP($A204,'Institution Evaluation'!$A$56:$K$345,8,0)&amp;""</f>
        <v/>
      </c>
      <c r="I204" s="45" t="str">
        <f>VLOOKUP($A204,'Institution Evaluation'!$A$56:$K$345,9,0)&amp;""</f>
        <v>Minor Importance</v>
      </c>
      <c r="J204" s="177" t="str">
        <f>VLOOKUP($A204,'Institution Evaluation'!$A$56:$K$345,10,0)&amp;""</f>
        <v/>
      </c>
      <c r="K204" s="48" t="str">
        <f>IF(VLOOKUP($A204,'Institution Evaluation'!$A$56:$K$345,10,0)=TRUE,'Auto Responses'!$J$3,"")</f>
        <v/>
      </c>
    </row>
    <row r="205" spans="1:11" ht="42.75" customHeight="1" x14ac:dyDescent="0.2">
      <c r="A205" s="19" t="s">
        <v>78</v>
      </c>
      <c r="B205" s="18" t="str">
        <f>VLOOKUP($A205,Questions!$A$2:$X$333,2,0)</f>
        <v>Do you have documented, and currently implemented, internal audit processes and procedures?</v>
      </c>
      <c r="C205" s="45" t="str">
        <f>VLOOKUP($A205,'Institution Evaluation'!$A$56:$K$345,3,0)&amp;""</f>
        <v>Yes</v>
      </c>
      <c r="D205" s="45" t="str">
        <f>VLOOKUP($A205,'Institution Evaluation'!$A$56:$K$345,4,0)&amp;""</f>
        <v>Accredible relies on third-party audits including annual SOC 2 audit by Prescient Assurance, annual penetration testing by Cobalt Labs, and weekly automated infrastructure scans.</v>
      </c>
      <c r="E205" s="288" t="str">
        <f>VLOOKUP($A205,'Institution Evaluation'!$A$56:$K$345,5,0)&amp;""</f>
        <v>Summarize your internal audit processes and procedures.</v>
      </c>
      <c r="F205" s="179" t="str">
        <f>VLOOKUP($A205,'Institution Evaluation'!$A$56:$K$345,6,0)&amp;""</f>
        <v/>
      </c>
      <c r="G205" s="30" t="str">
        <f>VLOOKUP($A205,'Institution Evaluation'!$A$56:$K$345,7,0)&amp;""</f>
        <v>Yes</v>
      </c>
      <c r="H205" s="176" t="str">
        <f>VLOOKUP($A205,'Institution Evaluation'!$A$56:$K$345,8,0)&amp;""</f>
        <v/>
      </c>
      <c r="I205" s="45" t="str">
        <f>VLOOKUP($A205,'Institution Evaluation'!$A$56:$K$345,9,0)&amp;""</f>
        <v>Minor Importance</v>
      </c>
      <c r="J205" s="177" t="str">
        <f>VLOOKUP($A205,'Institution Evaluation'!$A$56:$K$345,10,0)&amp;""</f>
        <v/>
      </c>
      <c r="K205" s="48" t="str">
        <f>IF(VLOOKUP($A205,'Institution Evaluation'!$A$56:$K$345,10,0)=TRUE,'Auto Responses'!$J$3,"")</f>
        <v/>
      </c>
    </row>
    <row r="206" spans="1:11" ht="28.5" customHeight="1" x14ac:dyDescent="0.2">
      <c r="A206" s="19" t="s">
        <v>79</v>
      </c>
      <c r="B206" s="18" t="str">
        <f>VLOOKUP($A206,Questions!$A$2:$X$333,2,0)</f>
        <v>Does your organization have physical security controls and policies in place?</v>
      </c>
      <c r="C206" s="45" t="str">
        <f>VLOOKUP($A206,'Institution Evaluation'!$A$56:$K$345,3,0)&amp;""</f>
        <v>Yes</v>
      </c>
      <c r="D206" s="45" t="str">
        <f>VLOOKUP($A206,'Institution Evaluation'!$A$56:$K$345,4,0)&amp;""</f>
        <v>Accredible has physical security controls in all offices including CCTV at all entrances/exits (recordings held for at least 30 days). All guests sign in and are escorted at all times.</v>
      </c>
      <c r="E206" s="288" t="str">
        <f>VLOOKUP($A206,'Institution Evaluation'!$A$56:$K$345,5,0)&amp;""</f>
        <v>Provide a copy of your physical security controls and policies along with this document (link or attached).</v>
      </c>
      <c r="F206" s="179" t="str">
        <f>VLOOKUP($A206,'Institution Evaluation'!$A$56:$K$345,6,0)&amp;""</f>
        <v/>
      </c>
      <c r="G206" s="30" t="str">
        <f>VLOOKUP($A206,'Institution Evaluation'!$A$56:$K$345,7,0)&amp;""</f>
        <v>Yes</v>
      </c>
      <c r="H206" s="176" t="str">
        <f>VLOOKUP($A206,'Institution Evaluation'!$A$56:$K$345,8,0)&amp;""</f>
        <v/>
      </c>
      <c r="I206" s="45" t="str">
        <f>VLOOKUP($A206,'Institution Evaluation'!$A$56:$K$345,9,0)&amp;""</f>
        <v>Minor Importance</v>
      </c>
      <c r="J206" s="177" t="str">
        <f>VLOOKUP($A206,'Institution Evaluation'!$A$56:$K$345,10,0)&amp;""</f>
        <v/>
      </c>
      <c r="K206" s="48" t="str">
        <f>IF(VLOOKUP($A206,'Institution Evaluation'!$A$56:$K$345,10,0)=TRUE,'Auto Responses'!$J$3,"")</f>
        <v/>
      </c>
    </row>
    <row r="207" spans="1:11" s="1" customFormat="1" ht="18" customHeight="1" x14ac:dyDescent="0.15">
      <c r="A207" s="61" t="str">
        <f>VLOOKUP(LEFT($A208,4),'Auto Responses'!$N$4:$O$38,2,0)&amp;""</f>
        <v xml:space="preserve"> Incident Handling</v>
      </c>
      <c r="B207" s="22"/>
      <c r="C207" s="31"/>
      <c r="D207" s="31"/>
      <c r="E207" s="289"/>
      <c r="F207" s="126" t="s">
        <v>652</v>
      </c>
      <c r="G207" s="293" t="s">
        <v>647</v>
      </c>
      <c r="H207" s="293" t="s">
        <v>648</v>
      </c>
      <c r="I207" s="293" t="s">
        <v>649</v>
      </c>
      <c r="J207" s="293" t="s">
        <v>650</v>
      </c>
      <c r="K207" s="31"/>
    </row>
    <row r="208" spans="1:11" ht="15" customHeight="1" x14ac:dyDescent="0.2">
      <c r="A208" s="19" t="s">
        <v>162</v>
      </c>
      <c r="B208" s="18" t="str">
        <f>VLOOKUP($A208,Questions!$A$2:$X$333,2,0)</f>
        <v>Do you have a formal incident response plan?</v>
      </c>
      <c r="C208" s="45" t="str">
        <f>VLOOKUP($A208,'Institution Evaluation'!$A$56:$K$345,3,0)&amp;""</f>
        <v>Yes</v>
      </c>
      <c r="D208" s="45" t="str">
        <f>VLOOKUP($A208,'Institution Evaluation'!$A$56:$K$345,4,0)&amp;""</f>
        <v>Accredible maintains a documented formal incident response plan including disclosure, reporting, classification, decision-making policies, and resolution procedures.</v>
      </c>
      <c r="E208" s="288" t="str">
        <f>VLOOKUP($A208,'Institution Evaluation'!$A$56:$K$345,5,0)&amp;""</f>
        <v>Summarize or provide a link to your formal incident response plan.</v>
      </c>
      <c r="F208" s="179" t="str">
        <f>VLOOKUP($A208,'Institution Evaluation'!$A$56:$K$345,6,0)&amp;""</f>
        <v/>
      </c>
      <c r="G208" s="30" t="str">
        <f>VLOOKUP($A208,'Institution Evaluation'!$A$56:$K$345,7,0)&amp;""</f>
        <v>Yes</v>
      </c>
      <c r="H208" s="176" t="str">
        <f>VLOOKUP($A208,'Institution Evaluation'!$A$56:$K$345,8,0)&amp;""</f>
        <v/>
      </c>
      <c r="I208" s="45" t="str">
        <f>VLOOKUP($A208,'Institution Evaluation'!$A$56:$K$345,9,0)&amp;""</f>
        <v>Standard Importance</v>
      </c>
      <c r="J208" s="177" t="str">
        <f>VLOOKUP($A208,'Institution Evaluation'!$A$56:$K$345,10,0)&amp;""</f>
        <v/>
      </c>
      <c r="K208" s="48" t="str">
        <f>IF(VLOOKUP($A208,'Institution Evaluation'!$A$56:$K$345,10,0)=TRUE,'Auto Responses'!$J$3,"")</f>
        <v/>
      </c>
    </row>
    <row r="209" spans="1:11" ht="28.5" customHeight="1" x14ac:dyDescent="0.2">
      <c r="A209" s="19" t="s">
        <v>163</v>
      </c>
      <c r="B209" s="18" t="str">
        <f>VLOOKUP($A209,Questions!$A$2:$X$333,2,0)</f>
        <v>Do you either have an internal incident response team or retain an external team?</v>
      </c>
      <c r="C209" s="45" t="str">
        <f>VLOOKUP($A209,'Institution Evaluation'!$A$56:$K$345,3,0)&amp;""</f>
        <v>Yes</v>
      </c>
      <c r="D209" s="45" t="str">
        <f>VLOOKUP($A209,'Institution Evaluation'!$A$56:$K$345,4,0)&amp;""</f>
        <v>Accredible has an internal incident response team capable of handling security incidents.</v>
      </c>
      <c r="E209" s="288" t="str">
        <f>VLOOKUP($A209,'Institution Evaluation'!$A$56:$K$345,5,0)&amp;""</f>
        <v>Summarize your incident response and reporting processes.</v>
      </c>
      <c r="F209" s="179" t="str">
        <f>VLOOKUP($A209,'Institution Evaluation'!$A$56:$K$345,6,0)&amp;""</f>
        <v/>
      </c>
      <c r="G209" s="30" t="str">
        <f>VLOOKUP($A209,'Institution Evaluation'!$A$56:$K$345,7,0)&amp;""</f>
        <v>Yes</v>
      </c>
      <c r="H209" s="176" t="str">
        <f>VLOOKUP($A209,'Institution Evaluation'!$A$56:$K$345,8,0)&amp;""</f>
        <v/>
      </c>
      <c r="I209" s="45" t="str">
        <f>VLOOKUP($A209,'Institution Evaluation'!$A$56:$K$345,9,0)&amp;""</f>
        <v>Minor Importance</v>
      </c>
      <c r="J209" s="177" t="str">
        <f>VLOOKUP($A209,'Institution Evaluation'!$A$56:$K$345,10,0)&amp;""</f>
        <v/>
      </c>
      <c r="K209" s="48" t="str">
        <f>IF(VLOOKUP($A209,'Institution Evaluation'!$A$56:$K$345,10,0)=TRUE,'Auto Responses'!$J$3,"")</f>
        <v/>
      </c>
    </row>
    <row r="210" spans="1:11" ht="28.5" customHeight="1" x14ac:dyDescent="0.2">
      <c r="A210" s="19" t="s">
        <v>164</v>
      </c>
      <c r="B210" s="18" t="str">
        <f>VLOOKUP($A210,Questions!$A$2:$X$333,2,0)</f>
        <v>Do you have the capability to respond to incidents on a 24 x 7 x 365 basis?</v>
      </c>
      <c r="C210" s="45" t="str">
        <f>VLOOKUP($A210,'Institution Evaluation'!$A$56:$K$345,3,0)&amp;""</f>
        <v>Yes</v>
      </c>
      <c r="D210" s="45" t="str">
        <f>VLOOKUP($A210,'Institution Evaluation'!$A$56:$K$345,4,0)&amp;""</f>
        <v>Accredible has the capability to respond to incidents on a 24x7x365 basis through automated alerting and on-call staff.</v>
      </c>
      <c r="E210" s="288" t="str">
        <f>VLOOKUP($A210,'Institution Evaluation'!$A$56:$K$345,5,0)&amp;""</f>
        <v>Summarize your internal approach or reference your third-party contractor.</v>
      </c>
      <c r="F210" s="179" t="str">
        <f>VLOOKUP($A210,'Institution Evaluation'!$A$56:$K$345,6,0)&amp;""</f>
        <v/>
      </c>
      <c r="G210" s="30" t="str">
        <f>VLOOKUP($A210,'Institution Evaluation'!$A$56:$K$345,7,0)&amp;""</f>
        <v>Yes</v>
      </c>
      <c r="H210" s="176" t="str">
        <f>VLOOKUP($A210,'Institution Evaluation'!$A$56:$K$345,8,0)&amp;""</f>
        <v/>
      </c>
      <c r="I210" s="45" t="str">
        <f>VLOOKUP($A210,'Institution Evaluation'!$A$56:$K$345,9,0)&amp;""</f>
        <v>Minor Importance</v>
      </c>
      <c r="J210" s="177" t="str">
        <f>VLOOKUP($A210,'Institution Evaluation'!$A$56:$K$345,10,0)&amp;""</f>
        <v/>
      </c>
      <c r="K210" s="48" t="str">
        <f>IF(VLOOKUP($A210,'Institution Evaluation'!$A$56:$K$345,10,0)=TRUE,'Auto Responses'!$J$3,"")</f>
        <v/>
      </c>
    </row>
    <row r="211" spans="1:11" ht="42.75" customHeight="1" x14ac:dyDescent="0.2">
      <c r="A211" s="19" t="s">
        <v>165</v>
      </c>
      <c r="B211" s="18" t="str">
        <f>VLOOKUP($A211,Questions!$A$2:$X$333,2,0)</f>
        <v>Do you carry cyber-risk insurance to protect against unforeseen service outages, data that is lost or stolen, and security incidents?</v>
      </c>
      <c r="C211" s="45" t="str">
        <f>VLOOKUP($A211,'Institution Evaluation'!$A$56:$K$345,3,0)&amp;""</f>
        <v>Yes</v>
      </c>
      <c r="D211" s="45" t="str">
        <f>VLOOKUP($A211,'Institution Evaluation'!$A$56:$K$345,4,0)&amp;""</f>
        <v>Accredible carries cyber-risk insurance covering data breaches, service outages, and security incidents.</v>
      </c>
      <c r="E211" s="288" t="str">
        <f>VLOOKUP($A211,'Institution Evaluation'!$A$56:$K$345,5,0)&amp;""</f>
        <v>Describe the coverage in place for this solution.</v>
      </c>
      <c r="F211" s="179" t="str">
        <f>VLOOKUP($A211,'Institution Evaluation'!$A$56:$K$345,6,0)&amp;""</f>
        <v/>
      </c>
      <c r="G211" s="30" t="str">
        <f>VLOOKUP($A211,'Institution Evaluation'!$A$56:$K$345,7,0)&amp;""</f>
        <v>Yes</v>
      </c>
      <c r="H211" s="176" t="str">
        <f>VLOOKUP($A211,'Institution Evaluation'!$A$56:$K$345,8,0)&amp;""</f>
        <v/>
      </c>
      <c r="I211" s="45" t="str">
        <f>VLOOKUP($A211,'Institution Evaluation'!$A$56:$K$345,9,0)&amp;""</f>
        <v>Minor Importance</v>
      </c>
      <c r="J211" s="177" t="str">
        <f>VLOOKUP($A211,'Institution Evaluation'!$A$56:$K$345,10,0)&amp;""</f>
        <v/>
      </c>
      <c r="K211" s="48" t="str">
        <f>IF(VLOOKUP($A211,'Institution Evaluation'!$A$56:$K$345,10,0)=TRUE,'Auto Responses'!$J$3,"")</f>
        <v/>
      </c>
    </row>
    <row r="212" spans="1:11" s="1" customFormat="1" ht="18" customHeight="1" x14ac:dyDescent="0.15">
      <c r="A212" s="61" t="str">
        <f>VLOOKUP(LEFT($A213,4),'Auto Responses'!$N$4:$O$38,2,0)&amp;""</f>
        <v xml:space="preserve"> Vulnerability Management</v>
      </c>
      <c r="B212" s="22"/>
      <c r="C212" s="31"/>
      <c r="D212" s="31"/>
      <c r="E212" s="289"/>
      <c r="F212" s="126" t="s">
        <v>652</v>
      </c>
      <c r="G212" s="293" t="s">
        <v>647</v>
      </c>
      <c r="H212" s="293" t="s">
        <v>648</v>
      </c>
      <c r="I212" s="293" t="s">
        <v>649</v>
      </c>
      <c r="J212" s="293" t="s">
        <v>650</v>
      </c>
      <c r="K212" s="31"/>
    </row>
    <row r="213" spans="1:11" ht="42.75" customHeight="1" x14ac:dyDescent="0.2">
      <c r="A213" s="19" t="s">
        <v>166</v>
      </c>
      <c r="B213" s="18" t="str">
        <f>VLOOKUP($A213,Questions!$A$2:$X$333,2,0)</f>
        <v>Are your systems and applications scanned with an authenticated user account for vulnerabilities (that are remediated) prior to new releases?*</v>
      </c>
      <c r="C213" s="45" t="str">
        <f>VLOOKUP($A213,'Institution Evaluation'!$A$56:$K$345,3,0)&amp;""</f>
        <v>Yes</v>
      </c>
      <c r="D213" s="45" t="str">
        <f>VLOOKUP($A213,'Institution Evaluation'!$A$56:$K$345,4,0)&amp;""</f>
        <v>Accredible scans systems and applications with authenticated accounts for vulnerabilities prior to new releases. Automated scans of production websites are performed at least every 7 days.</v>
      </c>
      <c r="E213" s="288" t="str">
        <f>VLOOKUP($A213,'Institution Evaluation'!$A$56:$K$345,5,0)&amp;""</f>
        <v>Provide a brief description.</v>
      </c>
      <c r="F213" s="179" t="str">
        <f>VLOOKUP($A213,'Institution Evaluation'!$A$56:$K$345,6,0)&amp;""</f>
        <v/>
      </c>
      <c r="G213" s="30" t="str">
        <f>VLOOKUP($A213,'Institution Evaluation'!$A$56:$K$345,7,0)&amp;""</f>
        <v>Yes</v>
      </c>
      <c r="H213" s="176" t="str">
        <f>VLOOKUP($A213,'Institution Evaluation'!$A$56:$K$345,8,0)&amp;""</f>
        <v/>
      </c>
      <c r="I213" s="45" t="str">
        <f>VLOOKUP($A213,'Institution Evaluation'!$A$56:$K$345,9,0)&amp;""</f>
        <v>Critical Importance</v>
      </c>
      <c r="J213" s="177" t="str">
        <f>VLOOKUP($A213,'Institution Evaluation'!$A$56:$K$345,10,0)&amp;""</f>
        <v/>
      </c>
      <c r="K213" s="48" t="str">
        <f>IF(VLOOKUP($A213,'Institution Evaluation'!$A$56:$K$345,10,0)=TRUE,'Auto Responses'!$J$3,"")</f>
        <v/>
      </c>
    </row>
    <row r="214" spans="1:11" ht="28.5" customHeight="1" x14ac:dyDescent="0.2">
      <c r="A214" s="19" t="s">
        <v>167</v>
      </c>
      <c r="B214" s="18" t="str">
        <f>VLOOKUP($A214,Questions!$A$2:$X$333,2,0)</f>
        <v>Will you provide results of application and system vulnerability scans to the institution?*</v>
      </c>
      <c r="C214" s="45" t="str">
        <f>VLOOKUP($A214,'Institution Evaluation'!$A$56:$K$345,3,0)&amp;""</f>
        <v>Yes</v>
      </c>
      <c r="D214" s="45" t="str">
        <f>VLOOKUP($A214,'Institution Evaluation'!$A$56:$K$345,4,0)&amp;""</f>
        <v>Accredible can provide results of vulnerability scans to the institution under NDA upon request.</v>
      </c>
      <c r="E214" s="288" t="str">
        <f>VLOOKUP($A214,'Institution Evaluation'!$A$56:$K$345,5,0)&amp;""</f>
        <v>Provide a reference to security scan documentation.</v>
      </c>
      <c r="F214" s="179" t="str">
        <f>VLOOKUP($A214,'Institution Evaluation'!$A$56:$K$345,6,0)&amp;""</f>
        <v/>
      </c>
      <c r="G214" s="30" t="str">
        <f>VLOOKUP($A214,'Institution Evaluation'!$A$56:$K$345,7,0)&amp;""</f>
        <v>Yes</v>
      </c>
      <c r="H214" s="176" t="str">
        <f>VLOOKUP($A214,'Institution Evaluation'!$A$56:$K$345,8,0)&amp;""</f>
        <v/>
      </c>
      <c r="I214" s="45" t="str">
        <f>VLOOKUP($A214,'Institution Evaluation'!$A$56:$K$345,9,0)&amp;""</f>
        <v>Critical Importance</v>
      </c>
      <c r="J214" s="177" t="str">
        <f>VLOOKUP($A214,'Institution Evaluation'!$A$56:$K$345,10,0)&amp;""</f>
        <v/>
      </c>
      <c r="K214" s="48" t="str">
        <f>IF(VLOOKUP($A214,'Institution Evaluation'!$A$56:$K$345,10,0)=TRUE,'Auto Responses'!$J$3,"")</f>
        <v/>
      </c>
    </row>
    <row r="215" spans="1:11" ht="28.5" customHeight="1" x14ac:dyDescent="0.2">
      <c r="A215" s="19" t="s">
        <v>169</v>
      </c>
      <c r="B215" s="18" t="str">
        <f>VLOOKUP($A215,Questions!$A$2:$X$333,2,0)</f>
        <v>Have your systems and applications had a third-party security assessment completed in the last year?</v>
      </c>
      <c r="C215" s="45" t="str">
        <f>VLOOKUP($A215,'Institution Evaluation'!$A$56:$K$345,3,0)&amp;""</f>
        <v>Yes</v>
      </c>
      <c r="D215" s="45" t="str">
        <f>VLOOKUP($A215,'Institution Evaluation'!$A$56:$K$345,4,0)&amp;""</f>
        <v>Accredible undergoes annual penetration testing by Cobalt Labs. The most recent test results are available under NDA upon request.</v>
      </c>
      <c r="E215" s="288" t="str">
        <f>VLOOKUP($A215,'Institution Evaluation'!$A$56:$K$345,5,0)&amp;""</f>
        <v>Provide the results with this document (link or attached), if possible. State the date of the last completed third-party security assessment.</v>
      </c>
      <c r="F215" s="179" t="str">
        <f>VLOOKUP($A215,'Institution Evaluation'!$A$56:$K$345,6,0)&amp;""</f>
        <v/>
      </c>
      <c r="G215" s="30" t="str">
        <f>VLOOKUP($A215,'Institution Evaluation'!$A$56:$K$345,7,0)&amp;""</f>
        <v>Yes</v>
      </c>
      <c r="H215" s="176" t="str">
        <f>VLOOKUP($A215,'Institution Evaluation'!$A$56:$K$345,8,0)&amp;""</f>
        <v/>
      </c>
      <c r="I215" s="45" t="str">
        <f>VLOOKUP($A215,'Institution Evaluation'!$A$56:$K$345,9,0)&amp;""</f>
        <v>Standard Importance</v>
      </c>
      <c r="J215" s="177" t="str">
        <f>VLOOKUP($A215,'Institution Evaluation'!$A$56:$K$345,10,0)&amp;""</f>
        <v/>
      </c>
      <c r="K215" s="48" t="str">
        <f>IF(VLOOKUP($A215,'Institution Evaluation'!$A$56:$K$345,10,0)=TRUE,'Auto Responses'!$J$3,"")</f>
        <v/>
      </c>
    </row>
    <row r="216" spans="1:11" ht="28.5" customHeight="1" x14ac:dyDescent="0.2">
      <c r="A216" s="19" t="s">
        <v>171</v>
      </c>
      <c r="B216" s="18" t="str">
        <f>VLOOKUP($A216,Questions!$A$2:$X$333,2,0)</f>
        <v>Are your systems and applications regularly scanned externally for vulnerabilities?</v>
      </c>
      <c r="C216" s="45" t="str">
        <f>VLOOKUP($A216,'Institution Evaluation'!$A$56:$K$345,3,0)&amp;""</f>
        <v>Yes</v>
      </c>
      <c r="D216" s="45" t="str">
        <f>VLOOKUP($A216,'Institution Evaluation'!$A$56:$K$345,4,0)&amp;""</f>
        <v>Accredible's production websites are externally scanned for vulnerabilities at least every 7 days by a third-party scanning tool.</v>
      </c>
      <c r="E216" s="288" t="str">
        <f>VLOOKUP($A216,'Institution Evaluation'!$A$56:$K$345,5,0)&amp;""</f>
        <v>Describe your external application vulnerability scanning strategy.</v>
      </c>
      <c r="F216" s="179" t="str">
        <f>VLOOKUP($A216,'Institution Evaluation'!$A$56:$K$345,6,0)&amp;""</f>
        <v/>
      </c>
      <c r="G216" s="30" t="str">
        <f>VLOOKUP($A216,'Institution Evaluation'!$A$56:$K$345,7,0)&amp;""</f>
        <v>Yes</v>
      </c>
      <c r="H216" s="176" t="str">
        <f>VLOOKUP($A216,'Institution Evaluation'!$A$56:$K$345,8,0)&amp;""</f>
        <v/>
      </c>
      <c r="I216" s="45" t="str">
        <f>VLOOKUP($A216,'Institution Evaluation'!$A$56:$K$345,9,0)&amp;""</f>
        <v>Minor Importance</v>
      </c>
      <c r="J216" s="177" t="str">
        <f>VLOOKUP($A216,'Institution Evaluation'!$A$56:$K$345,10,0)&amp;""</f>
        <v/>
      </c>
      <c r="K216" s="48" t="str">
        <f>IF(VLOOKUP($A216,'Institution Evaluation'!$A$56:$K$345,10,0)=TRUE,'Auto Responses'!$J$3,"")</f>
        <v/>
      </c>
    </row>
    <row r="217" spans="1:11" s="1" customFormat="1" ht="18" customHeight="1" x14ac:dyDescent="0.15">
      <c r="A217" s="61" t="str">
        <f>VLOOKUP(LEFT($A218,4),'Auto Responses'!$N$4:$O$38,2,0)&amp;""</f>
        <v xml:space="preserve">HIPAA Compliance </v>
      </c>
      <c r="B217" s="22"/>
      <c r="C217" s="31"/>
      <c r="D217" s="31"/>
      <c r="E217" s="289"/>
      <c r="F217" s="126" t="s">
        <v>652</v>
      </c>
      <c r="G217" s="293" t="s">
        <v>647</v>
      </c>
      <c r="H217" s="293" t="s">
        <v>648</v>
      </c>
      <c r="I217" s="293" t="s">
        <v>649</v>
      </c>
      <c r="J217" s="293" t="s">
        <v>650</v>
      </c>
      <c r="K217" s="31"/>
    </row>
    <row r="218" spans="1:11" ht="60" customHeight="1" x14ac:dyDescent="0.2">
      <c r="A218" s="19" t="s">
        <v>199</v>
      </c>
      <c r="B218" s="18" t="str">
        <f>VLOOKUP($A218,Questions!$A$2:$X$333,2,0)</f>
        <v>Do your workforce members receive regular training related to the Health Insurance Portability and Accountability Act (HIPAA) Privacy and Security Rules and the HITECH Act?*</v>
      </c>
      <c r="C218" s="45" t="str">
        <f>VLOOKUP($A218,'Institution Evaluation'!$A$56:$K$345,3,0)&amp;""</f>
        <v>N/A</v>
      </c>
      <c r="D218" s="45" t="str">
        <f>VLOOKUP($A218,'Institution Evaluation'!$A$56:$K$345,4,0)&amp;""</f>
        <v>This question does not apply.</v>
      </c>
      <c r="E218" s="288" t="str">
        <f>VLOOKUP($A218,'Institution Evaluation'!$A$56:$K$345,5,0)&amp;""</f>
        <v>Based on the response to REQU-05 on the "START HERE" tab, this question does not apply to this product or service.</v>
      </c>
      <c r="F218" s="179" t="str">
        <f>VLOOKUP($A218,'Institution Evaluation'!$A$56:$K$345,6,0)&amp;""</f>
        <v/>
      </c>
      <c r="G218" s="30" t="str">
        <f>VLOOKUP($A218,'Institution Evaluation'!$A$56:$K$345,7,0)&amp;""</f>
        <v>Yes</v>
      </c>
      <c r="H218" s="176" t="str">
        <f>VLOOKUP($A218,'Institution Evaluation'!$A$56:$K$345,8,0)&amp;""</f>
        <v/>
      </c>
      <c r="I218" s="45" t="str">
        <f>VLOOKUP($A218,'Institution Evaluation'!$A$56:$K$345,9,0)&amp;""</f>
        <v>Critical Importance</v>
      </c>
      <c r="J218" s="177" t="str">
        <f>VLOOKUP($A218,'Institution Evaluation'!$A$56:$K$345,10,0)&amp;""</f>
        <v/>
      </c>
      <c r="K218" s="48" t="str">
        <f>IF(VLOOKUP($A218,'Institution Evaluation'!$A$56:$K$345,10,0)=TRUE,'Auto Responses'!$J$3,"")</f>
        <v/>
      </c>
    </row>
    <row r="219" spans="1:11" ht="60" customHeight="1" x14ac:dyDescent="0.2">
      <c r="A219" s="19" t="s">
        <v>200</v>
      </c>
      <c r="B219" s="18" t="str">
        <f>VLOOKUP($A219,Questions!$A$2:$X$333,2,0)</f>
        <v>Have you identified areas of risk?*</v>
      </c>
      <c r="C219" s="45" t="str">
        <f>VLOOKUP($A219,'Institution Evaluation'!$A$56:$K$345,3,0)&amp;""</f>
        <v>N/A</v>
      </c>
      <c r="D219" s="45" t="str">
        <f>VLOOKUP($A219,'Institution Evaluation'!$A$56:$K$345,4,0)&amp;""</f>
        <v>This question does not apply.</v>
      </c>
      <c r="E219" s="288" t="str">
        <f>VLOOKUP($A219,'Institution Evaluation'!$A$56:$K$345,5,0)&amp;""</f>
        <v>Based on the response to REQU-05 on the "START HERE" tab, this question does not apply to this product or service.</v>
      </c>
      <c r="F219" s="179" t="str">
        <f>VLOOKUP($A219,'Institution Evaluation'!$A$56:$K$345,6,0)&amp;""</f>
        <v/>
      </c>
      <c r="G219" s="30" t="str">
        <f>VLOOKUP($A219,'Institution Evaluation'!$A$56:$K$345,7,0)&amp;""</f>
        <v>Yes</v>
      </c>
      <c r="H219" s="176" t="str">
        <f>VLOOKUP($A219,'Institution Evaluation'!$A$56:$K$345,8,0)&amp;""</f>
        <v/>
      </c>
      <c r="I219" s="45" t="str">
        <f>VLOOKUP($A219,'Institution Evaluation'!$A$56:$K$345,9,0)&amp;""</f>
        <v>Critical Importance</v>
      </c>
      <c r="J219" s="177" t="str">
        <f>VLOOKUP($A219,'Institution Evaluation'!$A$56:$K$345,10,0)&amp;""</f>
        <v/>
      </c>
      <c r="K219" s="48" t="str">
        <f>IF(VLOOKUP($A219,'Institution Evaluation'!$A$56:$K$345,10,0)=TRUE,'Auto Responses'!$J$3,"")</f>
        <v/>
      </c>
    </row>
    <row r="220" spans="1:11" ht="60" customHeight="1" x14ac:dyDescent="0.2">
      <c r="A220" s="19" t="s">
        <v>201</v>
      </c>
      <c r="B220" s="18" t="str">
        <f>VLOOKUP($A220,Questions!$A$2:$X$333,2,0)</f>
        <v>Have the relevant policies/plans been tested?*</v>
      </c>
      <c r="C220" s="45" t="str">
        <f>VLOOKUP($A220,'Institution Evaluation'!$A$56:$K$345,3,0)&amp;""</f>
        <v>N/A</v>
      </c>
      <c r="D220" s="45" t="str">
        <f>VLOOKUP($A220,'Institution Evaluation'!$A$56:$K$345,4,0)&amp;""</f>
        <v>This question does not apply.</v>
      </c>
      <c r="E220" s="288" t="str">
        <f>VLOOKUP($A220,'Institution Evaluation'!$A$56:$K$345,5,0)&amp;""</f>
        <v>Based on the response to REQU-05 on the "START HERE" tab, this question does not apply to this product or service.</v>
      </c>
      <c r="F220" s="179" t="str">
        <f>VLOOKUP($A220,'Institution Evaluation'!$A$56:$K$345,6,0)&amp;""</f>
        <v/>
      </c>
      <c r="G220" s="30" t="str">
        <f>VLOOKUP($A220,'Institution Evaluation'!$A$56:$K$345,7,0)&amp;""</f>
        <v>Yes</v>
      </c>
      <c r="H220" s="176" t="str">
        <f>VLOOKUP($A220,'Institution Evaluation'!$A$56:$K$345,8,0)&amp;""</f>
        <v/>
      </c>
      <c r="I220" s="45" t="str">
        <f>VLOOKUP($A220,'Institution Evaluation'!$A$56:$K$345,9,0)&amp;""</f>
        <v>Critical Importance</v>
      </c>
      <c r="J220" s="177" t="str">
        <f>VLOOKUP($A220,'Institution Evaluation'!$A$56:$K$345,10,0)&amp;""</f>
        <v/>
      </c>
      <c r="K220" s="48" t="str">
        <f>IF(VLOOKUP($A220,'Institution Evaluation'!$A$56:$K$345,10,0)=TRUE,'Auto Responses'!$J$3,"")</f>
        <v/>
      </c>
    </row>
    <row r="221" spans="1:11" ht="60" customHeight="1" x14ac:dyDescent="0.2">
      <c r="A221" s="19" t="s">
        <v>202</v>
      </c>
      <c r="B221" s="18" t="str">
        <f>VLOOKUP($A221,Questions!$A$2:$X$333,2,0)</f>
        <v>Have you entered into a Business Associate Agreements with all subcontractors who may have access to protected health information (PHI)?*</v>
      </c>
      <c r="C221" s="45" t="str">
        <f>VLOOKUP($A221,'Institution Evaluation'!$A$56:$K$345,3,0)&amp;""</f>
        <v>N/A</v>
      </c>
      <c r="D221" s="45" t="str">
        <f>VLOOKUP($A221,'Institution Evaluation'!$A$56:$K$345,4,0)&amp;""</f>
        <v>This question does not apply.</v>
      </c>
      <c r="E221" s="288" t="str">
        <f>VLOOKUP($A221,'Institution Evaluation'!$A$56:$K$345,5,0)&amp;""</f>
        <v>Based on the response to REQU-05 on the "START HERE" tab, this question does not apply to this product or service.</v>
      </c>
      <c r="F221" s="179" t="str">
        <f>VLOOKUP($A221,'Institution Evaluation'!$A$56:$K$345,6,0)&amp;""</f>
        <v/>
      </c>
      <c r="G221" s="30" t="str">
        <f>VLOOKUP($A221,'Institution Evaluation'!$A$56:$K$345,7,0)&amp;""</f>
        <v>Yes</v>
      </c>
      <c r="H221" s="176" t="str">
        <f>VLOOKUP($A221,'Institution Evaluation'!$A$56:$K$345,8,0)&amp;""</f>
        <v/>
      </c>
      <c r="I221" s="45" t="str">
        <f>VLOOKUP($A221,'Institution Evaluation'!$A$56:$K$345,9,0)&amp;""</f>
        <v>Critical Importance</v>
      </c>
      <c r="J221" s="177" t="str">
        <f>VLOOKUP($A221,'Institution Evaluation'!$A$56:$K$345,10,0)&amp;""</f>
        <v/>
      </c>
      <c r="K221" s="48" t="str">
        <f>IF(VLOOKUP($A221,'Institution Evaluation'!$A$56:$K$345,10,0)=TRUE,'Auto Responses'!$J$3,"")</f>
        <v/>
      </c>
    </row>
    <row r="222" spans="1:11" ht="60" customHeight="1" x14ac:dyDescent="0.2">
      <c r="A222" s="19" t="s">
        <v>203</v>
      </c>
      <c r="B222" s="18" t="str">
        <f>VLOOKUP($A222,Questions!$A$2:$X$333,2,0)</f>
        <v>Do you monitor or receive information regarding changes in HIPAA regulations?</v>
      </c>
      <c r="C222" s="45" t="str">
        <f>VLOOKUP($A222,'Institution Evaluation'!$A$56:$K$345,3,0)&amp;""</f>
        <v>N/A</v>
      </c>
      <c r="D222" s="45" t="str">
        <f>VLOOKUP($A222,'Institution Evaluation'!$A$56:$K$345,4,0)&amp;""</f>
        <v>This question does not apply.</v>
      </c>
      <c r="E222" s="288" t="str">
        <f>VLOOKUP($A222,'Institution Evaluation'!$A$56:$K$345,5,0)&amp;""</f>
        <v>Based on the response to REQU-05 on the "START HERE" tab, this question does not apply to this product or service.</v>
      </c>
      <c r="F222" s="179" t="str">
        <f>VLOOKUP($A222,'Institution Evaluation'!$A$56:$K$345,6,0)&amp;""</f>
        <v/>
      </c>
      <c r="G222" s="30" t="str">
        <f>VLOOKUP($A222,'Institution Evaluation'!$A$56:$K$345,7,0)&amp;""</f>
        <v>Yes</v>
      </c>
      <c r="H222" s="176" t="str">
        <f>VLOOKUP($A222,'Institution Evaluation'!$A$56:$K$345,8,0)&amp;""</f>
        <v/>
      </c>
      <c r="I222" s="45" t="str">
        <f>VLOOKUP($A222,'Institution Evaluation'!$A$56:$K$345,9,0)&amp;""</f>
        <v>Standard Importance</v>
      </c>
      <c r="J222" s="177" t="str">
        <f>VLOOKUP($A222,'Institution Evaluation'!$A$56:$K$345,10,0)&amp;""</f>
        <v/>
      </c>
      <c r="K222" s="48" t="str">
        <f>IF(VLOOKUP($A222,'Institution Evaluation'!$A$56:$K$345,10,0)=TRUE,'Auto Responses'!$J$3,"")</f>
        <v/>
      </c>
    </row>
    <row r="223" spans="1:11" ht="60" customHeight="1" x14ac:dyDescent="0.2">
      <c r="A223" s="19" t="s">
        <v>204</v>
      </c>
      <c r="B223" s="18" t="str">
        <f>VLOOKUP($A223,Questions!$A$2:$X$333,2,0)</f>
        <v>Has your organization designated HIPAA Privacy and Security officers as required by the rules?</v>
      </c>
      <c r="C223" s="45" t="str">
        <f>VLOOKUP($A223,'Institution Evaluation'!$A$56:$K$345,3,0)&amp;""</f>
        <v>N/A</v>
      </c>
      <c r="D223" s="45" t="str">
        <f>VLOOKUP($A223,'Institution Evaluation'!$A$56:$K$345,4,0)&amp;""</f>
        <v>This question does not apply.</v>
      </c>
      <c r="E223" s="288" t="str">
        <f>VLOOKUP($A223,'Institution Evaluation'!$A$56:$K$345,5,0)&amp;""</f>
        <v>Based on the response to REQU-05 on the "START HERE" tab, this question does not apply to this product or service.</v>
      </c>
      <c r="F223" s="179" t="str">
        <f>VLOOKUP($A223,'Institution Evaluation'!$A$56:$K$345,6,0)&amp;""</f>
        <v/>
      </c>
      <c r="G223" s="30" t="str">
        <f>VLOOKUP($A223,'Institution Evaluation'!$A$56:$K$345,7,0)&amp;""</f>
        <v>Yes</v>
      </c>
      <c r="H223" s="176" t="str">
        <f>VLOOKUP($A223,'Institution Evaluation'!$A$56:$K$345,8,0)&amp;""</f>
        <v/>
      </c>
      <c r="I223" s="45" t="str">
        <f>VLOOKUP($A223,'Institution Evaluation'!$A$56:$K$345,9,0)&amp;""</f>
        <v>Standard Importance</v>
      </c>
      <c r="J223" s="177" t="str">
        <f>VLOOKUP($A223,'Institution Evaluation'!$A$56:$K$345,10,0)&amp;""</f>
        <v/>
      </c>
      <c r="K223" s="48" t="str">
        <f>IF(VLOOKUP($A223,'Institution Evaluation'!$A$56:$K$345,10,0)=TRUE,'Auto Responses'!$J$3,"")</f>
        <v/>
      </c>
    </row>
    <row r="224" spans="1:11" ht="60" customHeight="1" x14ac:dyDescent="0.2">
      <c r="A224" s="19" t="s">
        <v>205</v>
      </c>
      <c r="B224" s="18" t="str">
        <f>VLOOKUP($A224,Questions!$A$2:$X$333,2,0)</f>
        <v>Do you comply with the requirements of the Health Information Technology for Economic and Clinical Health Act (HITECH)?</v>
      </c>
      <c r="C224" s="45" t="str">
        <f>VLOOKUP($A224,'Institution Evaluation'!$A$56:$K$345,3,0)&amp;""</f>
        <v>N/A</v>
      </c>
      <c r="D224" s="45" t="str">
        <f>VLOOKUP($A224,'Institution Evaluation'!$A$56:$K$345,4,0)&amp;""</f>
        <v>This question does not apply.</v>
      </c>
      <c r="E224" s="288" t="str">
        <f>VLOOKUP($A224,'Institution Evaluation'!$A$56:$K$345,5,0)&amp;""</f>
        <v>Based on the response to REQU-05 on the "START HERE" tab, this question does not apply to this product or service.</v>
      </c>
      <c r="F224" s="179" t="str">
        <f>VLOOKUP($A224,'Institution Evaluation'!$A$56:$K$345,6,0)&amp;""</f>
        <v/>
      </c>
      <c r="G224" s="30" t="str">
        <f>VLOOKUP($A224,'Institution Evaluation'!$A$56:$K$345,7,0)&amp;""</f>
        <v>Yes</v>
      </c>
      <c r="H224" s="176" t="str">
        <f>VLOOKUP($A224,'Institution Evaluation'!$A$56:$K$345,8,0)&amp;""</f>
        <v/>
      </c>
      <c r="I224" s="45" t="str">
        <f>VLOOKUP($A224,'Institution Evaluation'!$A$56:$K$345,9,0)&amp;""</f>
        <v>Standard Importance</v>
      </c>
      <c r="J224" s="177" t="str">
        <f>VLOOKUP($A224,'Institution Evaluation'!$A$56:$K$345,10,0)&amp;""</f>
        <v/>
      </c>
      <c r="K224" s="48" t="str">
        <f>IF(VLOOKUP($A224,'Institution Evaluation'!$A$56:$K$345,10,0)=TRUE,'Auto Responses'!$J$3,"")</f>
        <v/>
      </c>
    </row>
    <row r="225" spans="1:11" ht="60" customHeight="1" x14ac:dyDescent="0.2">
      <c r="A225" s="19" t="s">
        <v>206</v>
      </c>
      <c r="B225" s="18" t="str">
        <f>VLOOKUP($A225,Questions!$A$2:$X$333,2,0)</f>
        <v>Have you conducted a risk analysis as required under the HIPAA Security Rule?</v>
      </c>
      <c r="C225" s="45" t="str">
        <f>VLOOKUP($A225,'Institution Evaluation'!$A$56:$K$345,3,0)&amp;""</f>
        <v>N/A</v>
      </c>
      <c r="D225" s="45" t="str">
        <f>VLOOKUP($A225,'Institution Evaluation'!$A$56:$K$345,4,0)&amp;""</f>
        <v>This question does not apply.</v>
      </c>
      <c r="E225" s="288" t="str">
        <f>VLOOKUP($A225,'Institution Evaluation'!$A$56:$K$345,5,0)&amp;""</f>
        <v>Based on the response to REQU-05 on the "START HERE" tab, this question does not apply to this product or service.</v>
      </c>
      <c r="F225" s="179" t="str">
        <f>VLOOKUP($A225,'Institution Evaluation'!$A$56:$K$345,6,0)&amp;""</f>
        <v/>
      </c>
      <c r="G225" s="30" t="str">
        <f>VLOOKUP($A225,'Institution Evaluation'!$A$56:$K$345,7,0)&amp;""</f>
        <v>Yes</v>
      </c>
      <c r="H225" s="176" t="str">
        <f>VLOOKUP($A225,'Institution Evaluation'!$A$56:$K$345,8,0)&amp;""</f>
        <v/>
      </c>
      <c r="I225" s="45" t="str">
        <f>VLOOKUP($A225,'Institution Evaluation'!$A$56:$K$345,9,0)&amp;""</f>
        <v>Standard Importance</v>
      </c>
      <c r="J225" s="177" t="str">
        <f>VLOOKUP($A225,'Institution Evaluation'!$A$56:$K$345,10,0)&amp;""</f>
        <v/>
      </c>
      <c r="K225" s="48" t="str">
        <f>IF(VLOOKUP($A225,'Institution Evaluation'!$A$56:$K$345,10,0)=TRUE,'Auto Responses'!$J$3,"")</f>
        <v/>
      </c>
    </row>
    <row r="226" spans="1:11" ht="60" customHeight="1" x14ac:dyDescent="0.2">
      <c r="A226" s="19" t="s">
        <v>207</v>
      </c>
      <c r="B226" s="18" t="str">
        <f>VLOOKUP($A226,Questions!$A$2:$X$333,2,0)</f>
        <v>Have you taken actions to mitigate the identified risks?</v>
      </c>
      <c r="C226" s="45" t="str">
        <f>VLOOKUP($A226,'Institution Evaluation'!$A$56:$K$345,3,0)&amp;""</f>
        <v>N/A</v>
      </c>
      <c r="D226" s="45" t="str">
        <f>VLOOKUP($A226,'Institution Evaluation'!$A$56:$K$345,4,0)&amp;""</f>
        <v>This question does not apply.</v>
      </c>
      <c r="E226" s="288" t="str">
        <f>VLOOKUP($A226,'Institution Evaluation'!$A$56:$K$345,5,0)&amp;""</f>
        <v>Based on the response to REQU-05 on the "START HERE" tab, this question does not apply to this product or service.</v>
      </c>
      <c r="F226" s="179" t="str">
        <f>VLOOKUP($A226,'Institution Evaluation'!$A$56:$K$345,6,0)&amp;""</f>
        <v/>
      </c>
      <c r="G226" s="30" t="str">
        <f>VLOOKUP($A226,'Institution Evaluation'!$A$56:$K$345,7,0)&amp;""</f>
        <v>Yes</v>
      </c>
      <c r="H226" s="176" t="str">
        <f>VLOOKUP($A226,'Institution Evaluation'!$A$56:$K$345,8,0)&amp;""</f>
        <v/>
      </c>
      <c r="I226" s="45" t="str">
        <f>VLOOKUP($A226,'Institution Evaluation'!$A$56:$K$345,9,0)&amp;""</f>
        <v>Standard Importance</v>
      </c>
      <c r="J226" s="177" t="str">
        <f>VLOOKUP($A226,'Institution Evaluation'!$A$56:$K$345,10,0)&amp;""</f>
        <v/>
      </c>
      <c r="K226" s="48" t="str">
        <f>IF(VLOOKUP($A226,'Institution Evaluation'!$A$56:$K$345,10,0)=TRUE,'Auto Responses'!$J$3,"")</f>
        <v/>
      </c>
    </row>
    <row r="227" spans="1:11" ht="60" customHeight="1" x14ac:dyDescent="0.2">
      <c r="A227" s="19" t="s">
        <v>208</v>
      </c>
      <c r="B227" s="18" t="str">
        <f>VLOOKUP($A227,Questions!$A$2:$X$333,2,0)</f>
        <v>Does your application require user and system administrator password changes at a frequency no greater than 90 days?</v>
      </c>
      <c r="C227" s="45" t="str">
        <f>VLOOKUP($A227,'Institution Evaluation'!$A$56:$K$345,3,0)&amp;""</f>
        <v>N/A</v>
      </c>
      <c r="D227" s="45" t="str">
        <f>VLOOKUP($A227,'Institution Evaluation'!$A$56:$K$345,4,0)&amp;""</f>
        <v>This question does not apply.</v>
      </c>
      <c r="E227" s="288" t="str">
        <f>VLOOKUP($A227,'Institution Evaluation'!$A$56:$K$345,5,0)&amp;""</f>
        <v>Based on the response to REQU-05 on the "START HERE" tab, this question does not apply to this product or service.</v>
      </c>
      <c r="F227" s="179" t="str">
        <f>VLOOKUP($A227,'Institution Evaluation'!$A$56:$K$345,6,0)&amp;""</f>
        <v/>
      </c>
      <c r="G227" s="30" t="str">
        <f>VLOOKUP($A227,'Institution Evaluation'!$A$56:$K$345,7,0)&amp;""</f>
        <v>Yes</v>
      </c>
      <c r="H227" s="176" t="str">
        <f>VLOOKUP($A227,'Institution Evaluation'!$A$56:$K$345,8,0)&amp;""</f>
        <v/>
      </c>
      <c r="I227" s="45" t="str">
        <f>VLOOKUP($A227,'Institution Evaluation'!$A$56:$K$345,9,0)&amp;""</f>
        <v>Standard Importance</v>
      </c>
      <c r="J227" s="177" t="str">
        <f>VLOOKUP($A227,'Institution Evaluation'!$A$56:$K$345,10,0)&amp;""</f>
        <v/>
      </c>
      <c r="K227" s="48" t="str">
        <f>IF(VLOOKUP($A227,'Institution Evaluation'!$A$56:$K$345,10,0)=TRUE,'Auto Responses'!$J$3,"")</f>
        <v/>
      </c>
    </row>
    <row r="228" spans="1:11" ht="60" customHeight="1" x14ac:dyDescent="0.2">
      <c r="A228" s="19" t="s">
        <v>209</v>
      </c>
      <c r="B228" s="18" t="str">
        <f>VLOOKUP($A228,Questions!$A$2:$X$333,2,0)</f>
        <v>Does your application require users to set their own password after an administrator reset or on first use of the account?</v>
      </c>
      <c r="C228" s="45" t="str">
        <f>VLOOKUP($A228,'Institution Evaluation'!$A$56:$K$345,3,0)&amp;""</f>
        <v>N/A</v>
      </c>
      <c r="D228" s="45" t="str">
        <f>VLOOKUP($A228,'Institution Evaluation'!$A$56:$K$345,4,0)&amp;""</f>
        <v>This question does not apply.</v>
      </c>
      <c r="E228" s="288" t="str">
        <f>VLOOKUP($A228,'Institution Evaluation'!$A$56:$K$345,5,0)&amp;""</f>
        <v>Based on the response to REQU-05 on the "START HERE" tab, this question does not apply to this product or service.</v>
      </c>
      <c r="F228" s="179" t="str">
        <f>VLOOKUP($A228,'Institution Evaluation'!$A$56:$K$345,6,0)&amp;""</f>
        <v/>
      </c>
      <c r="G228" s="30" t="str">
        <f>VLOOKUP($A228,'Institution Evaluation'!$A$56:$K$345,7,0)&amp;""</f>
        <v>Yes</v>
      </c>
      <c r="H228" s="176" t="str">
        <f>VLOOKUP($A228,'Institution Evaluation'!$A$56:$K$345,8,0)&amp;""</f>
        <v/>
      </c>
      <c r="I228" s="45" t="str">
        <f>VLOOKUP($A228,'Institution Evaluation'!$A$56:$K$345,9,0)&amp;""</f>
        <v>Standard Importance</v>
      </c>
      <c r="J228" s="177" t="str">
        <f>VLOOKUP($A228,'Institution Evaluation'!$A$56:$K$345,10,0)&amp;""</f>
        <v/>
      </c>
      <c r="K228" s="48" t="str">
        <f>IF(VLOOKUP($A228,'Institution Evaluation'!$A$56:$K$345,10,0)=TRUE,'Auto Responses'!$J$3,"")</f>
        <v/>
      </c>
    </row>
    <row r="229" spans="1:11" ht="60" customHeight="1" x14ac:dyDescent="0.2">
      <c r="A229" s="19" t="s">
        <v>210</v>
      </c>
      <c r="B229" s="18" t="str">
        <f>VLOOKUP($A229,Questions!$A$2:$X$333,2,0)</f>
        <v>Does your application lock out an account after a number of failed login attempts?</v>
      </c>
      <c r="C229" s="45" t="str">
        <f>VLOOKUP($A229,'Institution Evaluation'!$A$56:$K$345,3,0)&amp;""</f>
        <v>N/A</v>
      </c>
      <c r="D229" s="45" t="str">
        <f>VLOOKUP($A229,'Institution Evaluation'!$A$56:$K$345,4,0)&amp;""</f>
        <v>This question does not apply.</v>
      </c>
      <c r="E229" s="288" t="str">
        <f>VLOOKUP($A229,'Institution Evaluation'!$A$56:$K$345,5,0)&amp;""</f>
        <v>Based on the response to REQU-05 on the "START HERE" tab, this question does not apply to this product or service.</v>
      </c>
      <c r="F229" s="179" t="str">
        <f>VLOOKUP($A229,'Institution Evaluation'!$A$56:$K$345,6,0)&amp;""</f>
        <v/>
      </c>
      <c r="G229" s="30" t="str">
        <f>VLOOKUP($A229,'Institution Evaluation'!$A$56:$K$345,7,0)&amp;""</f>
        <v>Yes</v>
      </c>
      <c r="H229" s="176" t="str">
        <f>VLOOKUP($A229,'Institution Evaluation'!$A$56:$K$345,8,0)&amp;""</f>
        <v/>
      </c>
      <c r="I229" s="45" t="str">
        <f>VLOOKUP($A229,'Institution Evaluation'!$A$56:$K$345,9,0)&amp;""</f>
        <v>Standard Importance</v>
      </c>
      <c r="J229" s="177" t="str">
        <f>VLOOKUP($A229,'Institution Evaluation'!$A$56:$K$345,10,0)&amp;""</f>
        <v/>
      </c>
      <c r="K229" s="48" t="str">
        <f>IF(VLOOKUP($A229,'Institution Evaluation'!$A$56:$K$345,10,0)=TRUE,'Auto Responses'!$J$3,"")</f>
        <v/>
      </c>
    </row>
    <row r="230" spans="1:11" ht="60" customHeight="1" x14ac:dyDescent="0.2">
      <c r="A230" s="19" t="s">
        <v>211</v>
      </c>
      <c r="B230" s="18" t="str">
        <f>VLOOKUP($A230,Questions!$A$2:$X$333,2,0)</f>
        <v>Does your application automatically lock or log-out an account after a period of inactivity?</v>
      </c>
      <c r="C230" s="45" t="str">
        <f>VLOOKUP($A230,'Institution Evaluation'!$A$56:$K$345,3,0)&amp;""</f>
        <v>N/A</v>
      </c>
      <c r="D230" s="45" t="str">
        <f>VLOOKUP($A230,'Institution Evaluation'!$A$56:$K$345,4,0)&amp;""</f>
        <v>This question does not apply.</v>
      </c>
      <c r="E230" s="288" t="str">
        <f>VLOOKUP($A230,'Institution Evaluation'!$A$56:$K$345,5,0)&amp;""</f>
        <v>Based on the response to REQU-05 on the "START HERE" tab, this question does not apply to this product or service.</v>
      </c>
      <c r="F230" s="179" t="str">
        <f>VLOOKUP($A230,'Institution Evaluation'!$A$56:$K$345,6,0)&amp;""</f>
        <v/>
      </c>
      <c r="G230" s="30" t="str">
        <f>VLOOKUP($A230,'Institution Evaluation'!$A$56:$K$345,7,0)&amp;""</f>
        <v>Yes</v>
      </c>
      <c r="H230" s="176" t="str">
        <f>VLOOKUP($A230,'Institution Evaluation'!$A$56:$K$345,8,0)&amp;""</f>
        <v/>
      </c>
      <c r="I230" s="45" t="str">
        <f>VLOOKUP($A230,'Institution Evaluation'!$A$56:$K$345,9,0)&amp;""</f>
        <v>Standard Importance</v>
      </c>
      <c r="J230" s="177" t="str">
        <f>VLOOKUP($A230,'Institution Evaluation'!$A$56:$K$345,10,0)&amp;""</f>
        <v/>
      </c>
      <c r="K230" s="48" t="str">
        <f>IF(VLOOKUP($A230,'Institution Evaluation'!$A$56:$K$345,10,0)=TRUE,'Auto Responses'!$J$3,"")</f>
        <v/>
      </c>
    </row>
    <row r="231" spans="1:11" ht="60" customHeight="1" x14ac:dyDescent="0.2">
      <c r="A231" s="19" t="s">
        <v>212</v>
      </c>
      <c r="B231" s="18" t="str">
        <f>VLOOKUP($A231,Questions!$A$2:$X$333,2,0)</f>
        <v>Are passwords visible in plain text, whether when stored or entered, including service level accounts (i.e., database accounts, etc.)?</v>
      </c>
      <c r="C231" s="45" t="str">
        <f>VLOOKUP($A231,'Institution Evaluation'!$A$56:$K$345,3,0)&amp;""</f>
        <v>N/A</v>
      </c>
      <c r="D231" s="45" t="str">
        <f>VLOOKUP($A231,'Institution Evaluation'!$A$56:$K$345,4,0)&amp;""</f>
        <v>This question does not apply.</v>
      </c>
      <c r="E231" s="288" t="str">
        <f>VLOOKUP($A231,'Institution Evaluation'!$A$56:$K$345,5,0)&amp;""</f>
        <v>Based on the response to REQU-05 on the "START HERE" tab, this question does not apply to this product or service.</v>
      </c>
      <c r="F231" s="179" t="str">
        <f>VLOOKUP($A231,'Institution Evaluation'!$A$56:$K$345,6,0)&amp;""</f>
        <v/>
      </c>
      <c r="G231" s="30" t="str">
        <f>VLOOKUP($A231,'Institution Evaluation'!$A$56:$K$345,7,0)&amp;""</f>
        <v>No</v>
      </c>
      <c r="H231" s="176" t="str">
        <f>VLOOKUP($A231,'Institution Evaluation'!$A$56:$K$345,8,0)&amp;""</f>
        <v/>
      </c>
      <c r="I231" s="45" t="str">
        <f>VLOOKUP($A231,'Institution Evaluation'!$A$56:$K$345,9,0)&amp;""</f>
        <v>Standard Importance</v>
      </c>
      <c r="J231" s="177" t="str">
        <f>VLOOKUP($A231,'Institution Evaluation'!$A$56:$K$345,10,0)&amp;""</f>
        <v/>
      </c>
      <c r="K231" s="48" t="str">
        <f>IF(VLOOKUP($A231,'Institution Evaluation'!$A$56:$K$345,10,0)=TRUE,'Auto Responses'!$J$3,"")</f>
        <v/>
      </c>
    </row>
    <row r="232" spans="1:11" ht="60" customHeight="1" x14ac:dyDescent="0.2">
      <c r="A232" s="19" t="s">
        <v>213</v>
      </c>
      <c r="B232" s="18" t="str">
        <f>VLOOKUP($A232,Questions!$A$2:$X$333,2,0)</f>
        <v>If the application is institution-hosted, can all service level and administrative account passwords be changed by the institution?</v>
      </c>
      <c r="C232" s="45" t="str">
        <f>VLOOKUP($A232,'Institution Evaluation'!$A$56:$K$345,3,0)&amp;""</f>
        <v>N/A</v>
      </c>
      <c r="D232" s="45" t="str">
        <f>VLOOKUP($A232,'Institution Evaluation'!$A$56:$K$345,4,0)&amp;""</f>
        <v>This question does not apply.</v>
      </c>
      <c r="E232" s="288" t="str">
        <f>VLOOKUP($A232,'Institution Evaluation'!$A$56:$K$345,5,0)&amp;""</f>
        <v>Based on the response to REQU-05 on the "START HERE" tab, this question does not apply to this product or service.</v>
      </c>
      <c r="F232" s="179" t="str">
        <f>VLOOKUP($A232,'Institution Evaluation'!$A$56:$K$345,6,0)&amp;""</f>
        <v/>
      </c>
      <c r="G232" s="30" t="str">
        <f>VLOOKUP($A232,'Institution Evaluation'!$A$56:$K$345,7,0)&amp;""</f>
        <v>Yes</v>
      </c>
      <c r="H232" s="176" t="str">
        <f>VLOOKUP($A232,'Institution Evaluation'!$A$56:$K$345,8,0)&amp;""</f>
        <v/>
      </c>
      <c r="I232" s="45" t="str">
        <f>VLOOKUP($A232,'Institution Evaluation'!$A$56:$K$345,9,0)&amp;""</f>
        <v>Standard Importance</v>
      </c>
      <c r="J232" s="177" t="str">
        <f>VLOOKUP($A232,'Institution Evaluation'!$A$56:$K$345,10,0)&amp;""</f>
        <v/>
      </c>
      <c r="K232" s="48" t="str">
        <f>IF(VLOOKUP($A232,'Institution Evaluation'!$A$56:$K$345,10,0)=TRUE,'Auto Responses'!$J$3,"")</f>
        <v/>
      </c>
    </row>
    <row r="233" spans="1:11" ht="60" customHeight="1" x14ac:dyDescent="0.2">
      <c r="A233" s="19" t="s">
        <v>214</v>
      </c>
      <c r="B233" s="18" t="str">
        <f>VLOOKUP($A233,Questions!$A$2:$X$333,2,0)</f>
        <v>Does your application provide the ability to define user access levels?</v>
      </c>
      <c r="C233" s="45" t="str">
        <f>VLOOKUP($A233,'Institution Evaluation'!$A$56:$K$345,3,0)&amp;""</f>
        <v>N/A</v>
      </c>
      <c r="D233" s="45" t="str">
        <f>VLOOKUP($A233,'Institution Evaluation'!$A$56:$K$345,4,0)&amp;""</f>
        <v>This question does not apply.</v>
      </c>
      <c r="E233" s="288" t="str">
        <f>VLOOKUP($A233,'Institution Evaluation'!$A$56:$K$345,5,0)&amp;""</f>
        <v>Based on the response to REQU-05 on the "START HERE" tab, this question does not apply to this product or service.</v>
      </c>
      <c r="F233" s="179" t="str">
        <f>VLOOKUP($A233,'Institution Evaluation'!$A$56:$K$345,6,0)&amp;""</f>
        <v/>
      </c>
      <c r="G233" s="30" t="str">
        <f>VLOOKUP($A233,'Institution Evaluation'!$A$56:$K$345,7,0)&amp;""</f>
        <v>Yes</v>
      </c>
      <c r="H233" s="176" t="str">
        <f>VLOOKUP($A233,'Institution Evaluation'!$A$56:$K$345,8,0)&amp;""</f>
        <v/>
      </c>
      <c r="I233" s="45" t="str">
        <f>VLOOKUP($A233,'Institution Evaluation'!$A$56:$K$345,9,0)&amp;""</f>
        <v>Standard Importance</v>
      </c>
      <c r="J233" s="177" t="str">
        <f>VLOOKUP($A233,'Institution Evaluation'!$A$56:$K$345,10,0)&amp;""</f>
        <v/>
      </c>
      <c r="K233" s="48" t="str">
        <f>IF(VLOOKUP($A233,'Institution Evaluation'!$A$56:$K$345,10,0)=TRUE,'Auto Responses'!$J$3,"")</f>
        <v/>
      </c>
    </row>
    <row r="234" spans="1:11" ht="60" customHeight="1" x14ac:dyDescent="0.2">
      <c r="A234" s="19" t="s">
        <v>215</v>
      </c>
      <c r="B234" s="18" t="str">
        <f>VLOOKUP($A234,Questions!$A$2:$X$333,2,0)</f>
        <v>Does your application support varying levels of access to administrative tasks defined individually per user?</v>
      </c>
      <c r="C234" s="45" t="str">
        <f>VLOOKUP($A234,'Institution Evaluation'!$A$56:$K$345,3,0)&amp;""</f>
        <v>N/A</v>
      </c>
      <c r="D234" s="45" t="str">
        <f>VLOOKUP($A234,'Institution Evaluation'!$A$56:$K$345,4,0)&amp;""</f>
        <v>This question does not apply.</v>
      </c>
      <c r="E234" s="288" t="str">
        <f>VLOOKUP($A234,'Institution Evaluation'!$A$56:$K$345,5,0)&amp;""</f>
        <v>Based on the response to REQU-05 on the "START HERE" tab, this question does not apply to this product or service.</v>
      </c>
      <c r="F234" s="179" t="str">
        <f>VLOOKUP($A234,'Institution Evaluation'!$A$56:$K$345,6,0)&amp;""</f>
        <v/>
      </c>
      <c r="G234" s="30" t="str">
        <f>VLOOKUP($A234,'Institution Evaluation'!$A$56:$K$345,7,0)&amp;""</f>
        <v>Yes</v>
      </c>
      <c r="H234" s="176" t="str">
        <f>VLOOKUP($A234,'Institution Evaluation'!$A$56:$K$345,8,0)&amp;""</f>
        <v/>
      </c>
      <c r="I234" s="45" t="str">
        <f>VLOOKUP($A234,'Institution Evaluation'!$A$56:$K$345,9,0)&amp;""</f>
        <v>Standard Importance</v>
      </c>
      <c r="J234" s="177" t="str">
        <f>VLOOKUP($A234,'Institution Evaluation'!$A$56:$K$345,10,0)&amp;""</f>
        <v/>
      </c>
      <c r="K234" s="48" t="str">
        <f>IF(VLOOKUP($A234,'Institution Evaluation'!$A$56:$K$345,10,0)=TRUE,'Auto Responses'!$J$3,"")</f>
        <v/>
      </c>
    </row>
    <row r="235" spans="1:11" ht="60" customHeight="1" x14ac:dyDescent="0.2">
      <c r="A235" s="19" t="s">
        <v>216</v>
      </c>
      <c r="B235" s="18" t="str">
        <f>VLOOKUP($A235,Questions!$A$2:$X$333,2,0)</f>
        <v>Does your application support varying levels of access to records based on user ID?</v>
      </c>
      <c r="C235" s="45" t="str">
        <f>VLOOKUP($A235,'Institution Evaluation'!$A$56:$K$345,3,0)&amp;""</f>
        <v>N/A</v>
      </c>
      <c r="D235" s="45" t="str">
        <f>VLOOKUP($A235,'Institution Evaluation'!$A$56:$K$345,4,0)&amp;""</f>
        <v>This question does not apply.</v>
      </c>
      <c r="E235" s="288" t="str">
        <f>VLOOKUP($A235,'Institution Evaluation'!$A$56:$K$345,5,0)&amp;""</f>
        <v>Based on the response to REQU-05 on the "START HERE" tab, this question does not apply to this product or service.</v>
      </c>
      <c r="F235" s="179" t="str">
        <f>VLOOKUP($A235,'Institution Evaluation'!$A$56:$K$345,6,0)&amp;""</f>
        <v/>
      </c>
      <c r="G235" s="30" t="str">
        <f>VLOOKUP($A235,'Institution Evaluation'!$A$56:$K$345,7,0)&amp;""</f>
        <v>No</v>
      </c>
      <c r="H235" s="176" t="str">
        <f>VLOOKUP($A235,'Institution Evaluation'!$A$56:$K$345,8,0)&amp;""</f>
        <v/>
      </c>
      <c r="I235" s="45" t="str">
        <f>VLOOKUP($A235,'Institution Evaluation'!$A$56:$K$345,9,0)&amp;""</f>
        <v>Standard Importance</v>
      </c>
      <c r="J235" s="177" t="str">
        <f>VLOOKUP($A235,'Institution Evaluation'!$A$56:$K$345,10,0)&amp;""</f>
        <v/>
      </c>
      <c r="K235" s="48" t="str">
        <f>IF(VLOOKUP($A235,'Institution Evaluation'!$A$56:$K$345,10,0)=TRUE,'Auto Responses'!$J$3,"")</f>
        <v/>
      </c>
    </row>
    <row r="236" spans="1:11" ht="60" customHeight="1" x14ac:dyDescent="0.2">
      <c r="A236" s="19" t="s">
        <v>217</v>
      </c>
      <c r="B236" s="18" t="str">
        <f>VLOOKUP($A236,Questions!$A$2:$X$333,2,0)</f>
        <v>Is there a limit to the number of groups to which a user can be assigned?</v>
      </c>
      <c r="C236" s="45" t="str">
        <f>VLOOKUP($A236,'Institution Evaluation'!$A$56:$K$345,3,0)&amp;""</f>
        <v>N/A</v>
      </c>
      <c r="D236" s="45" t="str">
        <f>VLOOKUP($A236,'Institution Evaluation'!$A$56:$K$345,4,0)&amp;""</f>
        <v>This question does not apply.</v>
      </c>
      <c r="E236" s="288" t="str">
        <f>VLOOKUP($A236,'Institution Evaluation'!$A$56:$K$345,5,0)&amp;""</f>
        <v>Based on the response to REQU-05 on the "START HERE" tab, this question does not apply to this product or service.</v>
      </c>
      <c r="F236" s="179" t="str">
        <f>VLOOKUP($A236,'Institution Evaluation'!$A$56:$K$345,6,0)&amp;""</f>
        <v/>
      </c>
      <c r="G236" s="30" t="str">
        <f>VLOOKUP($A236,'Institution Evaluation'!$A$56:$K$345,7,0)&amp;""</f>
        <v>Yes</v>
      </c>
      <c r="H236" s="176" t="str">
        <f>VLOOKUP($A236,'Institution Evaluation'!$A$56:$K$345,8,0)&amp;""</f>
        <v/>
      </c>
      <c r="I236" s="45" t="str">
        <f>VLOOKUP($A236,'Institution Evaluation'!$A$56:$K$345,9,0)&amp;""</f>
        <v>Standard Importance</v>
      </c>
      <c r="J236" s="177" t="str">
        <f>VLOOKUP($A236,'Institution Evaluation'!$A$56:$K$345,10,0)&amp;""</f>
        <v/>
      </c>
      <c r="K236" s="48" t="str">
        <f>IF(VLOOKUP($A236,'Institution Evaluation'!$A$56:$K$345,10,0)=TRUE,'Auto Responses'!$J$3,"")</f>
        <v/>
      </c>
    </row>
    <row r="237" spans="1:11" ht="60" customHeight="1" x14ac:dyDescent="0.2">
      <c r="A237" s="19" t="s">
        <v>218</v>
      </c>
      <c r="B237" s="18" t="str">
        <f>VLOOKUP($A237,Questions!$A$2:$X$333,2,0)</f>
        <v>Do accounts used for solution provider-supplied remote support abide by the same authentication policies and access logging as the rest of the system?</v>
      </c>
      <c r="C237" s="45" t="str">
        <f>VLOOKUP($A237,'Institution Evaluation'!$A$56:$K$345,3,0)&amp;""</f>
        <v>N/A</v>
      </c>
      <c r="D237" s="45" t="str">
        <f>VLOOKUP($A237,'Institution Evaluation'!$A$56:$K$345,4,0)&amp;""</f>
        <v>This question does not apply.</v>
      </c>
      <c r="E237" s="288" t="str">
        <f>VLOOKUP($A237,'Institution Evaluation'!$A$56:$K$345,5,0)&amp;""</f>
        <v>Based on the response to REQU-05 on the "START HERE" tab, this question does not apply to this product or service.</v>
      </c>
      <c r="F237" s="179" t="str">
        <f>VLOOKUP($A237,'Institution Evaluation'!$A$56:$K$345,6,0)&amp;""</f>
        <v/>
      </c>
      <c r="G237" s="30" t="str">
        <f>VLOOKUP($A237,'Institution Evaluation'!$A$56:$K$345,7,0)&amp;""</f>
        <v>Yes</v>
      </c>
      <c r="H237" s="176" t="str">
        <f>VLOOKUP($A237,'Institution Evaluation'!$A$56:$K$345,8,0)&amp;""</f>
        <v/>
      </c>
      <c r="I237" s="45" t="str">
        <f>VLOOKUP($A237,'Institution Evaluation'!$A$56:$K$345,9,0)&amp;""</f>
        <v>Standard Importance</v>
      </c>
      <c r="J237" s="177" t="str">
        <f>VLOOKUP($A237,'Institution Evaluation'!$A$56:$K$345,10,0)&amp;""</f>
        <v/>
      </c>
      <c r="K237" s="48" t="str">
        <f>IF(VLOOKUP($A237,'Institution Evaluation'!$A$56:$K$345,10,0)=TRUE,'Auto Responses'!$J$3,"")</f>
        <v/>
      </c>
    </row>
    <row r="238" spans="1:11" ht="60" customHeight="1" x14ac:dyDescent="0.2">
      <c r="A238" s="19" t="s">
        <v>219</v>
      </c>
      <c r="B238" s="18" t="str">
        <f>VLOOKUP($A238,Questions!$A$2:$X$333,2,0)</f>
        <v>Does the application log record access including specific user, date/time of access, and originating IP or device?</v>
      </c>
      <c r="C238" s="45" t="str">
        <f>VLOOKUP($A238,'Institution Evaluation'!$A$56:$K$345,3,0)&amp;""</f>
        <v>N/A</v>
      </c>
      <c r="D238" s="45" t="str">
        <f>VLOOKUP($A238,'Institution Evaluation'!$A$56:$K$345,4,0)&amp;""</f>
        <v>This question does not apply.</v>
      </c>
      <c r="E238" s="288" t="str">
        <f>VLOOKUP($A238,'Institution Evaluation'!$A$56:$K$345,5,0)&amp;""</f>
        <v>Based on the response to REQU-05 on the "START HERE" tab, this question does not apply to this product or service.</v>
      </c>
      <c r="F238" s="179" t="str">
        <f>VLOOKUP($A238,'Institution Evaluation'!$A$56:$K$345,6,0)&amp;""</f>
        <v/>
      </c>
      <c r="G238" s="30" t="str">
        <f>VLOOKUP($A238,'Institution Evaluation'!$A$56:$K$345,7,0)&amp;""</f>
        <v>Yes</v>
      </c>
      <c r="H238" s="176" t="str">
        <f>VLOOKUP($A238,'Institution Evaluation'!$A$56:$K$345,8,0)&amp;""</f>
        <v/>
      </c>
      <c r="I238" s="45" t="str">
        <f>VLOOKUP($A238,'Institution Evaluation'!$A$56:$K$345,9,0)&amp;""</f>
        <v>Standard Importance</v>
      </c>
      <c r="J238" s="177" t="str">
        <f>VLOOKUP($A238,'Institution Evaluation'!$A$56:$K$345,10,0)&amp;""</f>
        <v/>
      </c>
      <c r="K238" s="48" t="str">
        <f>IF(VLOOKUP($A238,'Institution Evaluation'!$A$56:$K$345,10,0)=TRUE,'Auto Responses'!$J$3,"")</f>
        <v/>
      </c>
    </row>
    <row r="239" spans="1:11" ht="60" customHeight="1" x14ac:dyDescent="0.2">
      <c r="A239" s="19" t="s">
        <v>220</v>
      </c>
      <c r="B239" s="18" t="str">
        <f>VLOOKUP($A239,Questions!$A$2:$X$333,2,0)</f>
        <v>Does the application log administrative activity, such as user account access changes and password changes, including specific user, date/time of changes, and originating IP or device?</v>
      </c>
      <c r="C239" s="45" t="str">
        <f>VLOOKUP($A239,'Institution Evaluation'!$A$56:$K$345,3,0)&amp;""</f>
        <v>N/A</v>
      </c>
      <c r="D239" s="45" t="str">
        <f>VLOOKUP($A239,'Institution Evaluation'!$A$56:$K$345,4,0)&amp;""</f>
        <v>This question does not apply.</v>
      </c>
      <c r="E239" s="288" t="str">
        <f>VLOOKUP($A239,'Institution Evaluation'!$A$56:$K$345,5,0)&amp;""</f>
        <v>Based on the response to REQU-05 on the "START HERE" tab, this question does not apply to this product or service.</v>
      </c>
      <c r="F239" s="179" t="str">
        <f>VLOOKUP($A239,'Institution Evaluation'!$A$56:$K$345,6,0)&amp;""</f>
        <v/>
      </c>
      <c r="G239" s="30" t="str">
        <f>VLOOKUP($A239,'Institution Evaluation'!$A$56:$K$345,7,0)&amp;""</f>
        <v>Yes</v>
      </c>
      <c r="H239" s="176" t="str">
        <f>VLOOKUP($A239,'Institution Evaluation'!$A$56:$K$345,8,0)&amp;""</f>
        <v/>
      </c>
      <c r="I239" s="45" t="str">
        <f>VLOOKUP($A239,'Institution Evaluation'!$A$56:$K$345,9,0)&amp;""</f>
        <v>Standard Importance</v>
      </c>
      <c r="J239" s="177" t="str">
        <f>VLOOKUP($A239,'Institution Evaluation'!$A$56:$K$345,10,0)&amp;""</f>
        <v/>
      </c>
      <c r="K239" s="48" t="str">
        <f>IF(VLOOKUP($A239,'Institution Evaluation'!$A$56:$K$345,10,0)=TRUE,'Auto Responses'!$J$3,"")</f>
        <v/>
      </c>
    </row>
    <row r="240" spans="1:11" ht="60" customHeight="1" x14ac:dyDescent="0.2">
      <c r="A240" s="19" t="s">
        <v>221</v>
      </c>
      <c r="B240" s="18" t="str">
        <f>VLOOKUP($A240,Questions!$A$2:$X$333,2,0)</f>
        <v>Do you retain logs for at least as long as required by HIPAA regulations?</v>
      </c>
      <c r="C240" s="45" t="str">
        <f>VLOOKUP($A240,'Institution Evaluation'!$A$56:$K$345,3,0)&amp;""</f>
        <v>N/A</v>
      </c>
      <c r="D240" s="45" t="str">
        <f>VLOOKUP($A240,'Institution Evaluation'!$A$56:$K$345,4,0)&amp;""</f>
        <v>This question does not apply.</v>
      </c>
      <c r="E240" s="288" t="str">
        <f>VLOOKUP($A240,'Institution Evaluation'!$A$56:$K$345,5,0)&amp;""</f>
        <v>Based on the response to REQU-05 on the "START HERE" tab, this question does not apply to this product or service.</v>
      </c>
      <c r="F240" s="179" t="str">
        <f>VLOOKUP($A240,'Institution Evaluation'!$A$56:$K$345,6,0)&amp;""</f>
        <v/>
      </c>
      <c r="G240" s="30" t="str">
        <f>VLOOKUP($A240,'Institution Evaluation'!$A$56:$K$345,7,0)&amp;""</f>
        <v>Yes</v>
      </c>
      <c r="H240" s="176" t="str">
        <f>VLOOKUP($A240,'Institution Evaluation'!$A$56:$K$345,8,0)&amp;""</f>
        <v/>
      </c>
      <c r="I240" s="45" t="str">
        <f>VLOOKUP($A240,'Institution Evaluation'!$A$56:$K$345,9,0)&amp;""</f>
        <v>Standard Importance</v>
      </c>
      <c r="J240" s="177" t="str">
        <f>VLOOKUP($A240,'Institution Evaluation'!$A$56:$K$345,10,0)&amp;""</f>
        <v/>
      </c>
      <c r="K240" s="48" t="str">
        <f>IF(VLOOKUP($A240,'Institution Evaluation'!$A$56:$K$345,10,0)=TRUE,'Auto Responses'!$J$3,"")</f>
        <v/>
      </c>
    </row>
    <row r="241" spans="1:11" ht="60" customHeight="1" x14ac:dyDescent="0.2">
      <c r="A241" s="19" t="s">
        <v>222</v>
      </c>
      <c r="B241" s="18" t="str">
        <f>VLOOKUP($A241,Questions!$A$2:$X$333,2,0)</f>
        <v>Can the application logs be archived?</v>
      </c>
      <c r="C241" s="45" t="str">
        <f>VLOOKUP($A241,'Institution Evaluation'!$A$56:$K$345,3,0)&amp;""</f>
        <v>N/A</v>
      </c>
      <c r="D241" s="45" t="str">
        <f>VLOOKUP($A241,'Institution Evaluation'!$A$56:$K$345,4,0)&amp;""</f>
        <v>This question does not apply.</v>
      </c>
      <c r="E241" s="288" t="str">
        <f>VLOOKUP($A241,'Institution Evaluation'!$A$56:$K$345,5,0)&amp;""</f>
        <v>Based on the response to REQU-05 on the "START HERE" tab, this question does not apply to this product or service.</v>
      </c>
      <c r="F241" s="179" t="str">
        <f>VLOOKUP($A241,'Institution Evaluation'!$A$56:$K$345,6,0)&amp;""</f>
        <v/>
      </c>
      <c r="G241" s="30" t="str">
        <f>VLOOKUP($A241,'Institution Evaluation'!$A$56:$K$345,7,0)&amp;""</f>
        <v>Yes</v>
      </c>
      <c r="H241" s="176" t="str">
        <f>VLOOKUP($A241,'Institution Evaluation'!$A$56:$K$345,8,0)&amp;""</f>
        <v/>
      </c>
      <c r="I241" s="45" t="str">
        <f>VLOOKUP($A241,'Institution Evaluation'!$A$56:$K$345,9,0)&amp;""</f>
        <v>Standard Importance</v>
      </c>
      <c r="J241" s="177" t="str">
        <f>VLOOKUP($A241,'Institution Evaluation'!$A$56:$K$345,10,0)&amp;""</f>
        <v/>
      </c>
      <c r="K241" s="48" t="str">
        <f>IF(VLOOKUP($A241,'Institution Evaluation'!$A$56:$K$345,10,0)=TRUE,'Auto Responses'!$J$3,"")</f>
        <v/>
      </c>
    </row>
    <row r="242" spans="1:11" ht="60" customHeight="1" x14ac:dyDescent="0.2">
      <c r="A242" s="19" t="s">
        <v>223</v>
      </c>
      <c r="B242" s="18" t="str">
        <f>VLOOKUP($A242,Questions!$A$2:$X$333,2,0)</f>
        <v>Can the application logs be saved externally?</v>
      </c>
      <c r="C242" s="45" t="str">
        <f>VLOOKUP($A242,'Institution Evaluation'!$A$56:$K$345,3,0)&amp;""</f>
        <v>N/A</v>
      </c>
      <c r="D242" s="45" t="str">
        <f>VLOOKUP($A242,'Institution Evaluation'!$A$56:$K$345,4,0)&amp;""</f>
        <v>This question does not apply.</v>
      </c>
      <c r="E242" s="288" t="str">
        <f>VLOOKUP($A242,'Institution Evaluation'!$A$56:$K$345,5,0)&amp;""</f>
        <v>Based on the response to REQU-05 on the "START HERE" tab, this question does not apply to this product or service.</v>
      </c>
      <c r="F242" s="179" t="str">
        <f>VLOOKUP($A242,'Institution Evaluation'!$A$56:$K$345,6,0)&amp;""</f>
        <v/>
      </c>
      <c r="G242" s="30" t="str">
        <f>VLOOKUP($A242,'Institution Evaluation'!$A$56:$K$345,7,0)&amp;""</f>
        <v>Yes</v>
      </c>
      <c r="H242" s="176" t="str">
        <f>VLOOKUP($A242,'Institution Evaluation'!$A$56:$K$345,8,0)&amp;""</f>
        <v/>
      </c>
      <c r="I242" s="45" t="str">
        <f>VLOOKUP($A242,'Institution Evaluation'!$A$56:$K$345,9,0)&amp;""</f>
        <v>Standard Importance</v>
      </c>
      <c r="J242" s="177" t="str">
        <f>VLOOKUP($A242,'Institution Evaluation'!$A$56:$K$345,10,0)&amp;""</f>
        <v/>
      </c>
      <c r="K242" s="48" t="str">
        <f>IF(VLOOKUP($A242,'Institution Evaluation'!$A$56:$K$345,10,0)=TRUE,'Auto Responses'!$J$3,"")</f>
        <v/>
      </c>
    </row>
    <row r="243" spans="1:11" ht="60" customHeight="1" x14ac:dyDescent="0.2">
      <c r="A243" s="19" t="s">
        <v>224</v>
      </c>
      <c r="B243" s="18" t="str">
        <f>VLOOKUP($A243,Questions!$A$2:$X$333,2,0)</f>
        <v>Do you have a disaster recovery plan and emergency mode operation plan?</v>
      </c>
      <c r="C243" s="45" t="str">
        <f>VLOOKUP($A243,'Institution Evaluation'!$A$56:$K$345,3,0)&amp;""</f>
        <v>N/A</v>
      </c>
      <c r="D243" s="45" t="str">
        <f>VLOOKUP($A243,'Institution Evaluation'!$A$56:$K$345,4,0)&amp;""</f>
        <v>This question does not apply.</v>
      </c>
      <c r="E243" s="288" t="str">
        <f>VLOOKUP($A243,'Institution Evaluation'!$A$56:$K$345,5,0)&amp;""</f>
        <v>Based on the response to REQU-05 on the "START HERE" tab, this question does not apply to this product or service.</v>
      </c>
      <c r="F243" s="179" t="str">
        <f>VLOOKUP($A243,'Institution Evaluation'!$A$56:$K$345,6,0)&amp;""</f>
        <v/>
      </c>
      <c r="G243" s="30" t="str">
        <f>VLOOKUP($A243,'Institution Evaluation'!$A$56:$K$345,7,0)&amp;""</f>
        <v>Yes</v>
      </c>
      <c r="H243" s="176" t="str">
        <f>VLOOKUP($A243,'Institution Evaluation'!$A$56:$K$345,8,0)&amp;""</f>
        <v/>
      </c>
      <c r="I243" s="45" t="str">
        <f>VLOOKUP($A243,'Institution Evaluation'!$A$56:$K$345,9,0)&amp;""</f>
        <v>Standard Importance</v>
      </c>
      <c r="J243" s="177" t="str">
        <f>VLOOKUP($A243,'Institution Evaluation'!$A$56:$K$345,10,0)&amp;""</f>
        <v/>
      </c>
      <c r="K243" s="48" t="str">
        <f>IF(VLOOKUP($A243,'Institution Evaluation'!$A$56:$K$345,10,0)=TRUE,'Auto Responses'!$J$3,"")</f>
        <v/>
      </c>
    </row>
    <row r="244" spans="1:11" ht="60" customHeight="1" x14ac:dyDescent="0.2">
      <c r="A244" s="19" t="s">
        <v>225</v>
      </c>
      <c r="B244" s="18" t="str">
        <f>VLOOKUP($A244,Questions!$A$2:$X$333,2,0)</f>
        <v>Can you provide a HIPAA compliance attestation document?</v>
      </c>
      <c r="C244" s="45" t="str">
        <f>VLOOKUP($A244,'Institution Evaluation'!$A$56:$K$345,3,0)&amp;""</f>
        <v>N/A</v>
      </c>
      <c r="D244" s="45" t="str">
        <f>VLOOKUP($A244,'Institution Evaluation'!$A$56:$K$345,4,0)&amp;""</f>
        <v>This question does not apply.</v>
      </c>
      <c r="E244" s="288" t="str">
        <f>VLOOKUP($A244,'Institution Evaluation'!$A$56:$K$345,5,0)&amp;""</f>
        <v>Based on the response to REQU-05 on the "START HERE" tab, this question does not apply to this product or service.</v>
      </c>
      <c r="F244" s="179" t="str">
        <f>VLOOKUP($A244,'Institution Evaluation'!$A$56:$K$345,6,0)&amp;""</f>
        <v/>
      </c>
      <c r="G244" s="30" t="str">
        <f>VLOOKUP($A244,'Institution Evaluation'!$A$56:$K$345,7,0)&amp;""</f>
        <v>Yes</v>
      </c>
      <c r="H244" s="176" t="str">
        <f>VLOOKUP($A244,'Institution Evaluation'!$A$56:$K$345,8,0)&amp;""</f>
        <v/>
      </c>
      <c r="I244" s="45" t="str">
        <f>VLOOKUP($A244,'Institution Evaluation'!$A$56:$K$345,9,0)&amp;""</f>
        <v>Standard Importance</v>
      </c>
      <c r="J244" s="177" t="str">
        <f>VLOOKUP($A244,'Institution Evaluation'!$A$56:$K$345,10,0)&amp;""</f>
        <v/>
      </c>
      <c r="K244" s="48" t="str">
        <f>IF(VLOOKUP($A244,'Institution Evaluation'!$A$56:$K$345,10,0)=TRUE,'Auto Responses'!$J$3,"")</f>
        <v/>
      </c>
    </row>
    <row r="245" spans="1:11" ht="60" customHeight="1" x14ac:dyDescent="0.2">
      <c r="A245" s="19" t="s">
        <v>226</v>
      </c>
      <c r="B245" s="18" t="str">
        <f>VLOOKUP($A245,Questions!$A$2:$X$333,2,0)</f>
        <v>Are you willing to enter into a Business Associate Agreement (BAA)?</v>
      </c>
      <c r="C245" s="45" t="str">
        <f>VLOOKUP($A245,'Institution Evaluation'!$A$56:$K$345,3,0)&amp;""</f>
        <v>N/A</v>
      </c>
      <c r="D245" s="45" t="str">
        <f>VLOOKUP($A245,'Institution Evaluation'!$A$56:$K$345,4,0)&amp;""</f>
        <v>This question does not apply.</v>
      </c>
      <c r="E245" s="288" t="str">
        <f>VLOOKUP($A245,'Institution Evaluation'!$A$56:$K$345,5,0)&amp;""</f>
        <v>Based on the response to REQU-05 on the "START HERE" tab, this question does not apply to this product or service.</v>
      </c>
      <c r="F245" s="179" t="str">
        <f>VLOOKUP($A245,'Institution Evaluation'!$A$56:$K$345,6,0)&amp;""</f>
        <v/>
      </c>
      <c r="G245" s="30" t="str">
        <f>VLOOKUP($A245,'Institution Evaluation'!$A$56:$K$345,7,0)&amp;""</f>
        <v>Yes</v>
      </c>
      <c r="H245" s="176" t="str">
        <f>VLOOKUP($A245,'Institution Evaluation'!$A$56:$K$345,8,0)&amp;""</f>
        <v/>
      </c>
      <c r="I245" s="45" t="str">
        <f>VLOOKUP($A245,'Institution Evaluation'!$A$56:$K$345,9,0)&amp;""</f>
        <v>Standard Importance</v>
      </c>
      <c r="J245" s="177" t="str">
        <f>VLOOKUP($A245,'Institution Evaluation'!$A$56:$K$345,10,0)&amp;""</f>
        <v/>
      </c>
      <c r="K245" s="48" t="str">
        <f>IF(VLOOKUP($A245,'Institution Evaluation'!$A$56:$K$345,10,0)=TRUE,'Auto Responses'!$J$3,"")</f>
        <v/>
      </c>
    </row>
    <row r="246" spans="1:11" ht="60" customHeight="1" x14ac:dyDescent="0.2">
      <c r="A246" s="19" t="s">
        <v>227</v>
      </c>
      <c r="B246" s="18" t="str">
        <f>VLOOKUP($A246,Questions!$A$2:$X$333,2,0)</f>
        <v>Do your data backup and retention policies and practices meet HIPAA requirements?</v>
      </c>
      <c r="C246" s="45" t="str">
        <f>VLOOKUP($A246,'Institution Evaluation'!$A$56:$K$345,3,0)&amp;""</f>
        <v>N/A</v>
      </c>
      <c r="D246" s="45" t="str">
        <f>VLOOKUP($A246,'Institution Evaluation'!$A$56:$K$345,4,0)&amp;""</f>
        <v>This question does not apply.</v>
      </c>
      <c r="E246" s="288" t="str">
        <f>VLOOKUP($A246,'Institution Evaluation'!$A$56:$K$345,5,0)&amp;""</f>
        <v>Based on the response to REQU-05 on the "START HERE" tab, this question does not apply to this product or service.</v>
      </c>
      <c r="F246" s="179" t="str">
        <f>VLOOKUP($A246,'Institution Evaluation'!$A$56:$K$345,6,0)&amp;""</f>
        <v/>
      </c>
      <c r="G246" s="30" t="str">
        <f>VLOOKUP($A246,'Institution Evaluation'!$A$56:$K$345,7,0)&amp;""</f>
        <v>Yes</v>
      </c>
      <c r="H246" s="176" t="str">
        <f>VLOOKUP($A246,'Institution Evaluation'!$A$56:$K$345,8,0)&amp;""</f>
        <v/>
      </c>
      <c r="I246" s="45" t="str">
        <f>VLOOKUP($A246,'Institution Evaluation'!$A$56:$K$345,9,0)&amp;""</f>
        <v>Minor Importance</v>
      </c>
      <c r="J246" s="177" t="str">
        <f>VLOOKUP($A246,'Institution Evaluation'!$A$56:$K$345,10,0)&amp;""</f>
        <v/>
      </c>
      <c r="K246" s="48" t="str">
        <f>IF(VLOOKUP($A246,'Institution Evaluation'!$A$56:$K$345,10,0)=TRUE,'Auto Responses'!$J$3,"")</f>
        <v/>
      </c>
    </row>
    <row r="247" spans="1:11" s="1" customFormat="1" ht="18" customHeight="1" x14ac:dyDescent="0.15">
      <c r="A247" s="61" t="str">
        <f>VLOOKUP(LEFT($A248,4),'Auto Responses'!$N$4:$O$38,2,0)&amp;""</f>
        <v xml:space="preserve"> Payment Card Industry Data Security Standard (PCI DSS)</v>
      </c>
      <c r="B247" s="22"/>
      <c r="C247" s="31"/>
      <c r="D247" s="31"/>
      <c r="E247" s="289"/>
      <c r="F247" s="126" t="s">
        <v>652</v>
      </c>
      <c r="G247" s="293" t="s">
        <v>647</v>
      </c>
      <c r="H247" s="293" t="s">
        <v>648</v>
      </c>
      <c r="I247" s="293" t="s">
        <v>649</v>
      </c>
      <c r="J247" s="293" t="s">
        <v>650</v>
      </c>
      <c r="K247" s="31"/>
    </row>
    <row r="248" spans="1:11" ht="45" customHeight="1" x14ac:dyDescent="0.2">
      <c r="A248" s="19" t="s">
        <v>228</v>
      </c>
      <c r="B248" s="18" t="str">
        <f>VLOOKUP($A248,Questions!$A$2:$X$333,2,0)</f>
        <v>Do you have a current, executed within the past year, Attestation of Compliance (AoC) or Report on Compliance (RoC)?*</v>
      </c>
      <c r="C248" s="45" t="str">
        <f>VLOOKUP($A248,'Institution Evaluation'!$A$56:$K$345,3,0)&amp;""</f>
        <v>N/A</v>
      </c>
      <c r="D248" s="45" t="str">
        <f>VLOOKUP($A248,'Institution Evaluation'!$A$56:$K$345,4,0)&amp;""</f>
        <v>This question does not apply.</v>
      </c>
      <c r="E248" s="288" t="str">
        <f>VLOOKUP($A248,'Institution Evaluation'!$A$56:$K$345,5,0)&amp;""</f>
        <v>Based on the response to REQU-06 on the "START HERE" tab, this question does not apply to this product or service.</v>
      </c>
      <c r="F248" s="179" t="str">
        <f>VLOOKUP($A248,'Institution Evaluation'!$A$56:$K$345,6,0)&amp;""</f>
        <v/>
      </c>
      <c r="G248" s="30" t="str">
        <f>VLOOKUP($A248,'Institution Evaluation'!$A$56:$K$345,7,0)&amp;""</f>
        <v>Yes</v>
      </c>
      <c r="H248" s="176" t="str">
        <f>VLOOKUP($A248,'Institution Evaluation'!$A$56:$K$345,8,0)&amp;""</f>
        <v/>
      </c>
      <c r="I248" s="45" t="str">
        <f>VLOOKUP($A248,'Institution Evaluation'!$A$56:$K$345,9,0)&amp;""</f>
        <v>Critical Importance</v>
      </c>
      <c r="J248" s="177" t="str">
        <f>VLOOKUP($A248,'Institution Evaluation'!$A$56:$K$345,10,0)&amp;""</f>
        <v/>
      </c>
      <c r="K248" s="48" t="str">
        <f>IF(VLOOKUP($A248,'Institution Evaluation'!$A$56:$K$345,10,0)=TRUE,'Auto Responses'!$J$3,"")</f>
        <v/>
      </c>
    </row>
    <row r="249" spans="1:11" ht="45" customHeight="1" x14ac:dyDescent="0.2">
      <c r="A249" s="19" t="s">
        <v>229</v>
      </c>
      <c r="B249" s="18" t="str">
        <f>VLOOKUP($A249,Questions!$A$2:$X$333,2,0)</f>
        <v>Is the application listed as an approved Payment Application Data Security Standard (PA-DSS) application?*</v>
      </c>
      <c r="C249" s="45" t="str">
        <f>VLOOKUP($A249,'Institution Evaluation'!$A$56:$K$345,3,0)&amp;""</f>
        <v>N/A</v>
      </c>
      <c r="D249" s="45" t="str">
        <f>VLOOKUP($A249,'Institution Evaluation'!$A$56:$K$345,4,0)&amp;""</f>
        <v>This question does not apply.</v>
      </c>
      <c r="E249" s="288" t="str">
        <f>VLOOKUP($A249,'Institution Evaluation'!$A$56:$K$345,5,0)&amp;""</f>
        <v>Based on the response to REQU-06 on the "START HERE" tab, this question does not apply to this product or service.</v>
      </c>
      <c r="F249" s="179" t="str">
        <f>VLOOKUP($A249,'Institution Evaluation'!$A$56:$K$345,6,0)&amp;""</f>
        <v/>
      </c>
      <c r="G249" s="30" t="str">
        <f>VLOOKUP($A249,'Institution Evaluation'!$A$56:$K$345,7,0)&amp;""</f>
        <v>No</v>
      </c>
      <c r="H249" s="176" t="str">
        <f>VLOOKUP($A249,'Institution Evaluation'!$A$56:$K$345,8,0)&amp;""</f>
        <v/>
      </c>
      <c r="I249" s="45" t="str">
        <f>VLOOKUP($A249,'Institution Evaluation'!$A$56:$K$345,9,0)&amp;""</f>
        <v>Critical Importance</v>
      </c>
      <c r="J249" s="177" t="str">
        <f>VLOOKUP($A249,'Institution Evaluation'!$A$56:$K$345,10,0)&amp;""</f>
        <v/>
      </c>
      <c r="K249" s="48" t="str">
        <f>IF(VLOOKUP($A249,'Institution Evaluation'!$A$56:$K$345,10,0)=TRUE,'Auto Responses'!$J$3,"")</f>
        <v/>
      </c>
    </row>
    <row r="250" spans="1:11" ht="45" customHeight="1" x14ac:dyDescent="0.2">
      <c r="A250" s="19" t="s">
        <v>230</v>
      </c>
      <c r="B250" s="18" t="str">
        <f>VLOOKUP($A250,Questions!$A$2:$X$333,2,0)</f>
        <v>Does the system or solutions use a third party to collect, store, process, or transmit cardholder (payment/credit/debt card) data?*</v>
      </c>
      <c r="C250" s="45" t="str">
        <f>VLOOKUP($A250,'Institution Evaluation'!$A$56:$K$345,3,0)&amp;""</f>
        <v>N/A</v>
      </c>
      <c r="D250" s="45" t="str">
        <f>VLOOKUP($A250,'Institution Evaluation'!$A$56:$K$345,4,0)&amp;""</f>
        <v>This question does not apply.</v>
      </c>
      <c r="E250" s="288" t="str">
        <f>VLOOKUP($A250,'Institution Evaluation'!$A$56:$K$345,5,0)&amp;""</f>
        <v>Based on the response to REQU-06 on the "START HERE" tab, this question does not apply to this product or service.</v>
      </c>
      <c r="F250" s="179" t="str">
        <f>VLOOKUP($A250,'Institution Evaluation'!$A$56:$K$345,6,0)&amp;""</f>
        <v/>
      </c>
      <c r="G250" s="30" t="str">
        <f>VLOOKUP($A250,'Institution Evaluation'!$A$56:$K$345,7,0)&amp;""</f>
        <v>No</v>
      </c>
      <c r="H250" s="176" t="str">
        <f>VLOOKUP($A250,'Institution Evaluation'!$A$56:$K$345,8,0)&amp;""</f>
        <v/>
      </c>
      <c r="I250" s="45" t="str">
        <f>VLOOKUP($A250,'Institution Evaluation'!$A$56:$K$345,9,0)&amp;""</f>
        <v>Critical Importance</v>
      </c>
      <c r="J250" s="177" t="str">
        <f>VLOOKUP($A250,'Institution Evaluation'!$A$56:$K$345,10,0)&amp;""</f>
        <v/>
      </c>
      <c r="K250" s="48" t="str">
        <f>IF(VLOOKUP($A250,'Institution Evaluation'!$A$56:$K$345,10,0)=TRUE,'Auto Responses'!$J$3,"")</f>
        <v/>
      </c>
    </row>
    <row r="251" spans="1:11" ht="45" customHeight="1" x14ac:dyDescent="0.2">
      <c r="A251" s="19" t="s">
        <v>231</v>
      </c>
      <c r="B251" s="18" t="str">
        <f>VLOOKUP($A251,Questions!$A$2:$X$333,2,0)</f>
        <v>Do your systems or solutions store, process, or transmit cardholder (payment/credit/debt card) data?</v>
      </c>
      <c r="C251" s="45" t="str">
        <f>VLOOKUP($A251,'Institution Evaluation'!$A$56:$K$345,3,0)&amp;""</f>
        <v>N/A</v>
      </c>
      <c r="D251" s="45" t="str">
        <f>VLOOKUP($A251,'Institution Evaluation'!$A$56:$K$345,4,0)&amp;""</f>
        <v>This question does not apply.</v>
      </c>
      <c r="E251" s="288" t="str">
        <f>VLOOKUP($A251,'Institution Evaluation'!$A$56:$K$345,5,0)&amp;""</f>
        <v>Based on the response to REQU-06 on the "START HERE" tab, this question does not apply to this product or service.</v>
      </c>
      <c r="F251" s="179" t="str">
        <f>VLOOKUP($A251,'Institution Evaluation'!$A$56:$K$345,6,0)&amp;""</f>
        <v/>
      </c>
      <c r="G251" s="30" t="str">
        <f>VLOOKUP($A251,'Institution Evaluation'!$A$56:$K$345,7,0)&amp;""</f>
        <v>Yes</v>
      </c>
      <c r="H251" s="176" t="str">
        <f>VLOOKUP($A251,'Institution Evaluation'!$A$56:$K$345,8,0)&amp;""</f>
        <v/>
      </c>
      <c r="I251" s="45" t="str">
        <f>VLOOKUP($A251,'Institution Evaluation'!$A$56:$K$345,9,0)&amp;""</f>
        <v>Standard Importance</v>
      </c>
      <c r="J251" s="177" t="str">
        <f>VLOOKUP($A251,'Institution Evaluation'!$A$56:$K$345,10,0)&amp;""</f>
        <v/>
      </c>
      <c r="K251" s="48" t="str">
        <f>IF(VLOOKUP($A251,'Institution Evaluation'!$A$56:$K$345,10,0)=TRUE,'Auto Responses'!$J$3,"")</f>
        <v/>
      </c>
    </row>
    <row r="252" spans="1:11" ht="45" customHeight="1" x14ac:dyDescent="0.2">
      <c r="A252" s="19" t="s">
        <v>232</v>
      </c>
      <c r="B252" s="18" t="str">
        <f>VLOOKUP($A252,Questions!$A$2:$X$333,2,0)</f>
        <v>Are you compliant with the Payment Card Industry Data Security Standard (PCI DSS)?</v>
      </c>
      <c r="C252" s="45" t="str">
        <f>VLOOKUP($A252,'Institution Evaluation'!$A$56:$K$345,3,0)&amp;""</f>
        <v>N/A</v>
      </c>
      <c r="D252" s="45" t="str">
        <f>VLOOKUP($A252,'Institution Evaluation'!$A$56:$K$345,4,0)&amp;""</f>
        <v>This question does not apply.</v>
      </c>
      <c r="E252" s="288" t="str">
        <f>VLOOKUP($A252,'Institution Evaluation'!$A$56:$K$345,5,0)&amp;""</f>
        <v>Based on the response to REQU-06 on the "START HERE" tab, this question does not apply to this product or service.</v>
      </c>
      <c r="F252" s="179" t="str">
        <f>VLOOKUP($A252,'Institution Evaluation'!$A$56:$K$345,6,0)&amp;""</f>
        <v/>
      </c>
      <c r="G252" s="30" t="str">
        <f>VLOOKUP($A252,'Institution Evaluation'!$A$56:$K$345,7,0)&amp;""</f>
        <v>Yes</v>
      </c>
      <c r="H252" s="176" t="str">
        <f>VLOOKUP($A252,'Institution Evaluation'!$A$56:$K$345,8,0)&amp;""</f>
        <v/>
      </c>
      <c r="I252" s="45" t="str">
        <f>VLOOKUP($A252,'Institution Evaluation'!$A$56:$K$345,9,0)&amp;""</f>
        <v>Standard Importance</v>
      </c>
      <c r="J252" s="177" t="str">
        <f>VLOOKUP($A252,'Institution Evaluation'!$A$56:$K$345,10,0)&amp;""</f>
        <v/>
      </c>
      <c r="K252" s="48" t="str">
        <f>IF(VLOOKUP($A252,'Institution Evaluation'!$A$56:$K$345,10,0)=TRUE,'Auto Responses'!$J$3,"")</f>
        <v/>
      </c>
    </row>
    <row r="253" spans="1:11" ht="45" customHeight="1" x14ac:dyDescent="0.2">
      <c r="A253" s="19" t="s">
        <v>233</v>
      </c>
      <c r="B253" s="18" t="str">
        <f>VLOOKUP($A253,Questions!$A$2:$X$333,2,0)</f>
        <v>Are you classified as a service provider?</v>
      </c>
      <c r="C253" s="45" t="str">
        <f>VLOOKUP($A253,'Institution Evaluation'!$A$56:$K$345,3,0)&amp;""</f>
        <v>N/A</v>
      </c>
      <c r="D253" s="45" t="str">
        <f>VLOOKUP($A253,'Institution Evaluation'!$A$56:$K$345,4,0)&amp;""</f>
        <v>This question does not apply.</v>
      </c>
      <c r="E253" s="288" t="str">
        <f>VLOOKUP($A253,'Institution Evaluation'!$A$56:$K$345,5,0)&amp;""</f>
        <v>Based on the response to REQU-06 on the "START HERE" tab, this question does not apply to this product or service.</v>
      </c>
      <c r="F253" s="179" t="str">
        <f>VLOOKUP($A253,'Institution Evaluation'!$A$56:$K$345,6,0)&amp;""</f>
        <v/>
      </c>
      <c r="G253" s="30" t="str">
        <f>VLOOKUP($A253,'Institution Evaluation'!$A$56:$K$345,7,0)&amp;""</f>
        <v>Yes</v>
      </c>
      <c r="H253" s="176" t="str">
        <f>VLOOKUP($A253,'Institution Evaluation'!$A$56:$K$345,8,0)&amp;""</f>
        <v/>
      </c>
      <c r="I253" s="45" t="str">
        <f>VLOOKUP($A253,'Institution Evaluation'!$A$56:$K$345,9,0)&amp;""</f>
        <v>Standard Importance</v>
      </c>
      <c r="J253" s="177" t="str">
        <f>VLOOKUP($A253,'Institution Evaluation'!$A$56:$K$345,10,0)&amp;""</f>
        <v/>
      </c>
      <c r="K253" s="48" t="str">
        <f>IF(VLOOKUP($A253,'Institution Evaluation'!$A$56:$K$345,10,0)=TRUE,'Auto Responses'!$J$3,"")</f>
        <v/>
      </c>
    </row>
    <row r="254" spans="1:11" ht="45" customHeight="1" x14ac:dyDescent="0.2">
      <c r="A254" s="19" t="s">
        <v>234</v>
      </c>
      <c r="B254" s="18" t="str">
        <f>VLOOKUP($A254,Questions!$A$2:$X$333,2,0)</f>
        <v>Are you on the list of Visa approved service providers?</v>
      </c>
      <c r="C254" s="45" t="str">
        <f>VLOOKUP($A254,'Institution Evaluation'!$A$56:$K$345,3,0)&amp;""</f>
        <v>N/A</v>
      </c>
      <c r="D254" s="45" t="str">
        <f>VLOOKUP($A254,'Institution Evaluation'!$A$56:$K$345,4,0)&amp;""</f>
        <v>This question does not apply.</v>
      </c>
      <c r="E254" s="288" t="str">
        <f>VLOOKUP($A254,'Institution Evaluation'!$A$56:$K$345,5,0)&amp;""</f>
        <v>Based on the response to REQU-06 on the "START HERE" tab, this question does not apply to this product or service.</v>
      </c>
      <c r="F254" s="179" t="str">
        <f>VLOOKUP($A254,'Institution Evaluation'!$A$56:$K$345,6,0)&amp;""</f>
        <v/>
      </c>
      <c r="G254" s="30" t="str">
        <f>VLOOKUP($A254,'Institution Evaluation'!$A$56:$K$345,7,0)&amp;""</f>
        <v>Yes</v>
      </c>
      <c r="H254" s="176" t="str">
        <f>VLOOKUP($A254,'Institution Evaluation'!$A$56:$K$345,8,0)&amp;""</f>
        <v/>
      </c>
      <c r="I254" s="45" t="str">
        <f>VLOOKUP($A254,'Institution Evaluation'!$A$56:$K$345,9,0)&amp;""</f>
        <v>Standard Importance</v>
      </c>
      <c r="J254" s="177" t="str">
        <f>VLOOKUP($A254,'Institution Evaluation'!$A$56:$K$345,10,0)&amp;""</f>
        <v/>
      </c>
      <c r="K254" s="48" t="str">
        <f>IF(VLOOKUP($A254,'Institution Evaluation'!$A$56:$K$345,10,0)=TRUE,'Auto Responses'!$J$3,"")</f>
        <v/>
      </c>
    </row>
    <row r="255" spans="1:11" ht="45" customHeight="1" x14ac:dyDescent="0.2">
      <c r="A255" s="19" t="s">
        <v>235</v>
      </c>
      <c r="B255" s="18" t="str">
        <f>VLOOKUP($A255,Questions!$A$2:$X$333,2,0)</f>
        <v>Are you classified as a merchant? If so, what level (1, 2, 3, 4)?</v>
      </c>
      <c r="C255" s="45" t="str">
        <f>VLOOKUP($A255,'Institution Evaluation'!$A$56:$K$345,3,0)&amp;""</f>
        <v>N/A</v>
      </c>
      <c r="D255" s="45" t="str">
        <f>VLOOKUP($A255,'Institution Evaluation'!$A$56:$K$345,4,0)&amp;""</f>
        <v>This question does not apply.</v>
      </c>
      <c r="E255" s="288" t="str">
        <f>VLOOKUP($A255,'Institution Evaluation'!$A$56:$K$345,5,0)&amp;""</f>
        <v>Based on the response to REQU-06 on the "START HERE" tab, this question does not apply to this product or service.</v>
      </c>
      <c r="F255" s="179" t="str">
        <f>VLOOKUP($A255,'Institution Evaluation'!$A$56:$K$345,6,0)&amp;""</f>
        <v/>
      </c>
      <c r="G255" s="30" t="str">
        <f>VLOOKUP($A255,'Institution Evaluation'!$A$56:$K$345,7,0)&amp;""</f>
        <v>Yes</v>
      </c>
      <c r="H255" s="176" t="str">
        <f>VLOOKUP($A255,'Institution Evaluation'!$A$56:$K$345,8,0)&amp;""</f>
        <v/>
      </c>
      <c r="I255" s="45" t="str">
        <f>VLOOKUP($A255,'Institution Evaluation'!$A$56:$K$345,9,0)&amp;""</f>
        <v>Standard Importance</v>
      </c>
      <c r="J255" s="177" t="str">
        <f>VLOOKUP($A255,'Institution Evaluation'!$A$56:$K$345,10,0)&amp;""</f>
        <v/>
      </c>
      <c r="K255" s="48" t="str">
        <f>IF(VLOOKUP($A255,'Institution Evaluation'!$A$56:$K$345,10,0)=TRUE,'Auto Responses'!$J$3,"")</f>
        <v/>
      </c>
    </row>
    <row r="256" spans="1:11" ht="45" customHeight="1" x14ac:dyDescent="0.2">
      <c r="A256" s="19" t="s">
        <v>236</v>
      </c>
      <c r="B256" s="18" t="str">
        <f>VLOOKUP($A256,Questions!$A$2:$X$333,2,0)</f>
        <v>Describe the architecture employed by the system to verify and authorize credit card transactions.</v>
      </c>
      <c r="C256" s="45" t="str">
        <f>VLOOKUP($A256,'Institution Evaluation'!$A$56:$K$345,3,0)&amp;""</f>
        <v>N/A</v>
      </c>
      <c r="D256" s="45" t="str">
        <f>VLOOKUP($A256,'Institution Evaluation'!$A$56:$K$345,4,0)&amp;""</f>
        <v>This question does not apply.</v>
      </c>
      <c r="E256" s="288" t="str">
        <f>VLOOKUP($A256,'Institution Evaluation'!$A$56:$K$345,5,0)&amp;""</f>
        <v>Based on the response to REQU-06 on the "START HERE" tab, this question does not apply to this product or service.</v>
      </c>
      <c r="F256" s="179" t="str">
        <f>VLOOKUP($A256,'Institution Evaluation'!$A$56:$K$345,6,0)&amp;""</f>
        <v/>
      </c>
      <c r="G256" s="30" t="str">
        <f>VLOOKUP($A256,'Institution Evaluation'!$A$56:$K$345,7,0)&amp;""</f>
        <v>Not scored</v>
      </c>
      <c r="H256" s="176" t="str">
        <f>VLOOKUP($A256,'Institution Evaluation'!$A$56:$K$345,8,0)&amp;""</f>
        <v/>
      </c>
      <c r="I256" s="45" t="str">
        <f>VLOOKUP($A256,'Institution Evaluation'!$A$56:$K$345,9,0)&amp;""</f>
        <v/>
      </c>
      <c r="J256" s="177" t="str">
        <f>VLOOKUP($A256,'Institution Evaluation'!$A$56:$K$345,10,0)&amp;""</f>
        <v/>
      </c>
      <c r="K256" s="48" t="str">
        <f>IF(VLOOKUP($A256,'Institution Evaluation'!$A$56:$K$345,10,0)=TRUE,'Auto Responses'!$J$3,"")</f>
        <v/>
      </c>
    </row>
    <row r="257" spans="1:13" ht="45" customHeight="1" x14ac:dyDescent="0.2">
      <c r="A257" s="19" t="s">
        <v>237</v>
      </c>
      <c r="B257" s="18" t="str">
        <f>VLOOKUP($A257,Questions!$A$2:$X$333,2,0)</f>
        <v>What payment processors/gateways does the system support?</v>
      </c>
      <c r="C257" s="45" t="str">
        <f>VLOOKUP($A257,'Institution Evaluation'!$A$56:$K$345,3,0)&amp;""</f>
        <v>N/A</v>
      </c>
      <c r="D257" s="45" t="str">
        <f>VLOOKUP($A257,'Institution Evaluation'!$A$56:$K$345,4,0)&amp;""</f>
        <v>This question does not apply.</v>
      </c>
      <c r="E257" s="288" t="str">
        <f>VLOOKUP($A257,'Institution Evaluation'!$A$56:$K$345,5,0)&amp;""</f>
        <v>Based on the response to REQU-06 on the "START HERE" tab, this question does not apply to this product or service.</v>
      </c>
      <c r="F257" s="179" t="str">
        <f>VLOOKUP($A257,'Institution Evaluation'!$A$56:$K$345,6,0)&amp;""</f>
        <v/>
      </c>
      <c r="G257" s="30" t="str">
        <f>VLOOKUP($A257,'Institution Evaluation'!$A$56:$K$345,7,0)&amp;""</f>
        <v>Not scored</v>
      </c>
      <c r="H257" s="176" t="str">
        <f>VLOOKUP($A257,'Institution Evaluation'!$A$56:$K$345,8,0)&amp;""</f>
        <v/>
      </c>
      <c r="I257" s="45" t="str">
        <f>VLOOKUP($A257,'Institution Evaluation'!$A$56:$K$345,9,0)&amp;""</f>
        <v/>
      </c>
      <c r="J257" s="177" t="str">
        <f>VLOOKUP($A257,'Institution Evaluation'!$A$56:$K$345,10,0)&amp;""</f>
        <v/>
      </c>
      <c r="K257" s="48" t="str">
        <f>IF(VLOOKUP($A257,'Institution Evaluation'!$A$56:$K$345,10,0)=TRUE,'Auto Responses'!$J$3,"")</f>
        <v/>
      </c>
    </row>
    <row r="258" spans="1:13" ht="45" customHeight="1" x14ac:dyDescent="0.2">
      <c r="A258" s="19" t="s">
        <v>238</v>
      </c>
      <c r="B258" s="18" t="str">
        <f>VLOOKUP($A258,Questions!$A$2:$X$333,2,0)</f>
        <v>Can the application be installed in a PCI DSS–compliant manner?</v>
      </c>
      <c r="C258" s="45" t="str">
        <f>VLOOKUP($A258,'Institution Evaluation'!$A$56:$K$345,3,0)&amp;""</f>
        <v>N/A</v>
      </c>
      <c r="D258" s="45" t="str">
        <f>VLOOKUP($A258,'Institution Evaluation'!$A$56:$K$345,4,0)&amp;""</f>
        <v>This question does not apply.</v>
      </c>
      <c r="E258" s="288" t="str">
        <f>VLOOKUP($A258,'Institution Evaluation'!$A$56:$K$345,5,0)&amp;""</f>
        <v>Based on the response to REQU-06 on the "START HERE" tab, this question does not apply to this product or service.</v>
      </c>
      <c r="F258" s="179" t="str">
        <f>VLOOKUP($A258,'Institution Evaluation'!$A$56:$K$345,6,0)&amp;""</f>
        <v/>
      </c>
      <c r="G258" s="30" t="str">
        <f>VLOOKUP($A258,'Institution Evaluation'!$A$56:$K$345,7,0)&amp;""</f>
        <v>Yes</v>
      </c>
      <c r="H258" s="176" t="str">
        <f>VLOOKUP($A258,'Institution Evaluation'!$A$56:$K$345,8,0)&amp;""</f>
        <v/>
      </c>
      <c r="I258" s="45" t="str">
        <f>VLOOKUP($A258,'Institution Evaluation'!$A$56:$K$345,9,0)&amp;""</f>
        <v>Minor Importance</v>
      </c>
      <c r="J258" s="177" t="str">
        <f>VLOOKUP($A258,'Institution Evaluation'!$A$56:$K$345,10,0)&amp;""</f>
        <v/>
      </c>
      <c r="K258" s="48" t="str">
        <f>IF(VLOOKUP($A258,'Institution Evaluation'!$A$56:$K$345,10,0)=TRUE,'Auto Responses'!$J$3,"")</f>
        <v/>
      </c>
    </row>
    <row r="259" spans="1:13" ht="71.25" customHeight="1" x14ac:dyDescent="0.15">
      <c r="A259" s="19" t="s">
        <v>239</v>
      </c>
      <c r="B259" s="18" t="str">
        <f>VLOOKUP($A259,Questions!$A$2:$X$333,2,0)</f>
        <v>Include documentation describing the system's abilities to comply with the PCI DSS and any features or capabilities of the system that must be added or changed in order to operate in compliance with the standards.</v>
      </c>
      <c r="C259" s="45" t="str">
        <f>VLOOKUP($A259,'Institution Evaluation'!$A$56:$K$345,3,0)&amp;""</f>
        <v>N/A</v>
      </c>
      <c r="D259" s="45" t="str">
        <f>VLOOKUP($A259,'Institution Evaluation'!$A$56:$K$345,4,0)&amp;""</f>
        <v>This question does not apply.</v>
      </c>
      <c r="E259" s="288" t="str">
        <f>VLOOKUP($A259,'Institution Evaluation'!$A$56:$K$345,5,0)&amp;""</f>
        <v>Based on the response to REQU-06 on the "START HERE" tab, this question does not apply to this product or service.</v>
      </c>
      <c r="F259" s="179" t="str">
        <f>VLOOKUP($A259,'Institution Evaluation'!$A$56:$K$345,6,0)&amp;""</f>
        <v/>
      </c>
      <c r="G259" s="30" t="str">
        <f>VLOOKUP($A259,'Institution Evaluation'!$A$56:$K$345,7,0)&amp;""</f>
        <v>Not scored</v>
      </c>
      <c r="H259" s="176" t="str">
        <f>VLOOKUP($A259,'Institution Evaluation'!$A$56:$K$345,8,0)&amp;""</f>
        <v/>
      </c>
      <c r="I259" s="45" t="str">
        <f>VLOOKUP($A259,'Institution Evaluation'!$A$56:$K$345,9,0)&amp;""</f>
        <v/>
      </c>
      <c r="J259" s="177" t="str">
        <f>VLOOKUP($A259,'Institution Evaluation'!$A$56:$K$345,10,0)&amp;""</f>
        <v/>
      </c>
      <c r="K259" s="48" t="str">
        <f>IF(VLOOKUP($A259,'Institution Evaluation'!$A$56:$K$345,10,0)=TRUE,'Auto Responses'!$J$3,"")</f>
        <v/>
      </c>
      <c r="M259" s="228" t="s">
        <v>361</v>
      </c>
    </row>
    <row r="260" spans="1:13" ht="47.25" customHeight="1" x14ac:dyDescent="0.2">
      <c r="A260" s="41" t="s">
        <v>2</v>
      </c>
    </row>
    <row r="261" spans="1:13" ht="34.5" hidden="1" customHeight="1" x14ac:dyDescent="0.2"/>
    <row r="262" spans="1:13" ht="34.5" hidden="1" customHeight="1" x14ac:dyDescent="0.2"/>
    <row r="263" spans="1:13" ht="34.5" hidden="1" customHeight="1" x14ac:dyDescent="0.2"/>
    <row r="264" spans="1:13" ht="34.5" hidden="1" customHeight="1" x14ac:dyDescent="0.2"/>
    <row r="265" spans="1:13" ht="34.5" hidden="1" customHeight="1" x14ac:dyDescent="0.2"/>
  </sheetData>
  <mergeCells count="1">
    <mergeCell ref="A19:C19"/>
  </mergeCells>
  <conditionalFormatting sqref="F21:G31">
    <cfRule type="dataBar" priority="2">
      <dataBar>
        <cfvo type="num" val="0"/>
        <cfvo type="num" val="1"/>
        <color rgb="FFD0DAF0"/>
      </dataBar>
    </cfRule>
  </conditionalFormatting>
  <conditionalFormatting sqref="H31:I31">
    <cfRule type="dataBar" priority="1">
      <dataBar>
        <cfvo type="num" val="0"/>
        <cfvo type="num" val="1"/>
        <color rgb="FF638EC6"/>
      </dataBar>
    </cfRule>
  </conditionalFormatting>
  <dataValidations count="3">
    <dataValidation allowBlank="1" showInputMessage="1" showErrorMessage="1" prompt="This answer has been populated from the &quot;START HERE&quot; tab and does not need to be re-entered." sqref="C11:C17" xr:uid="{00000000-0002-0000-0A00-000000000000}"/>
    <dataValidation allowBlank="1" showInputMessage="1" showErrorMessage="1" prompt="The HECVAT is built using a number of complex formulas. Editing this cell can break the functionality of the tool. " sqref="A3:A10 A11:B17 A35:K44 B2:J10 B20:I31" xr:uid="{00000000-0002-0000-0A00-000001000000}"/>
    <dataValidation allowBlank="1" showInputMessage="1" showErrorMessage="1" promptTitle="Warning!" prompt="The HECVAT is built using a number of complex formulas. Editing this cell can break the functionality of the tool. " sqref="A45:E120 G46:G120 G130 G135 G142 G145 G150 G160 G164 G170 G173 G189 G192 G199 G207 G212 G217 G247 I46:I120 I130 I135 I142 I145 I150 I160 I164 I170 I173 I189 I192 I199 I207 I212 I217 I247" xr:uid="{00000000-0002-0000-0A00-000002000000}"/>
  </dataValidations>
  <hyperlinks>
    <hyperlink ref="A10" r:id="rId1" display="http://www.educause.edu/HECVAT" xr:uid="{00000000-0004-0000-0A00-000000000000}"/>
    <hyperlink ref="G21" location="'Privacy Analyst Evaluation'!A47" display="'Privacy Analyst Evaluation'!A47" xr:uid="{00000000-0004-0000-0A00-000001000000}"/>
    <hyperlink ref="G22" location="'Privacy Analyst Evaluation'!A47" display="'Privacy Analyst Evaluation'!A47" xr:uid="{00000000-0004-0000-0A00-000002000000}"/>
    <hyperlink ref="G23" location="'Privacy Analyst Evaluation'!A47" display="'Privacy Analyst Evaluation'!A47" xr:uid="{00000000-0004-0000-0A00-000003000000}"/>
    <hyperlink ref="G24" location="'Privacy Analyst Evaluation'!A47" display="'Privacy Analyst Evaluation'!A47" xr:uid="{00000000-0004-0000-0A00-000004000000}"/>
    <hyperlink ref="G25" location="'Privacy Analyst Evaluation'!A47" display="'Privacy Analyst Evaluation'!A47" xr:uid="{00000000-0004-0000-0A00-000005000000}"/>
    <hyperlink ref="G26" location="'Privacy Analyst Evaluation'!A47" display="'Privacy Analyst Evaluation'!A47" xr:uid="{00000000-0004-0000-0A00-000006000000}"/>
    <hyperlink ref="G27" location="'Privacy Analyst Evaluation'!A47" display="'Privacy Analyst Evaluation'!A47" xr:uid="{00000000-0004-0000-0A00-000007000000}"/>
    <hyperlink ref="G28" location="'Privacy Analyst Evaluation'!A47" display="'Privacy Analyst Evaluation'!A47" xr:uid="{00000000-0004-0000-0A00-000008000000}"/>
    <hyperlink ref="G29" location="'Privacy Analyst Evaluation'!A47" display="'Privacy Analyst Evaluation'!A47" xr:uid="{00000000-0004-0000-0A00-000009000000}"/>
    <hyperlink ref="G30" location="'Privacy Analyst Evaluation'!A47" display="'Privacy Analyst Evaluation'!A47" xr:uid="{00000000-0004-0000-0A00-00000A000000}"/>
    <hyperlink ref="F46" location="'Privacy Analyst Evaluation'!A1" display="Back to Scorecard" xr:uid="{00000000-0004-0000-0A00-00000B000000}"/>
    <hyperlink ref="F52" location="'Privacy Analyst Evaluation'!A1" display="Back to Scorecard" xr:uid="{00000000-0004-0000-0A00-00000C000000}"/>
    <hyperlink ref="F57" location="'Privacy Analyst Evaluation'!A1" display="Back to Scorecard" xr:uid="{00000000-0004-0000-0A00-00000D000000}"/>
    <hyperlink ref="F61" location="'Privacy Analyst Evaluation'!A1" display="Back to Scorecard" xr:uid="{00000000-0004-0000-0A00-00000E000000}"/>
    <hyperlink ref="F64" location="'Privacy Analyst Evaluation'!A1" display="Back to Scorecard" xr:uid="{00000000-0004-0000-0A00-00000F000000}"/>
    <hyperlink ref="F67" location="'Privacy Analyst Evaluation'!A1" display="Back to Scorecard" xr:uid="{00000000-0004-0000-0A00-000010000000}"/>
    <hyperlink ref="F76" location="'Privacy Analyst Evaluation'!A1" display="Back to Scorecard" xr:uid="{00000000-0004-0000-0A00-000011000000}"/>
    <hyperlink ref="F90" location="'Privacy Analyst Evaluation'!A1" display="Back to Scorecard" xr:uid="{00000000-0004-0000-0A00-000012000000}"/>
    <hyperlink ref="F96" location="'Privacy Analyst Evaluation'!A1" display="Back to Scorecard" xr:uid="{00000000-0004-0000-0A00-000013000000}"/>
    <hyperlink ref="F112" location="'Privacy Analyst Evaluation'!A1" display="Back to Scorecard" xr:uid="{00000000-0004-0000-0A00-000014000000}"/>
    <hyperlink ref="F125" location="'Privacy Analyst Evaluation'!A1" display="Back to Scorecard" xr:uid="{00000000-0004-0000-0A00-000015000000}"/>
    <hyperlink ref="F130" location="'Privacy Analyst Evaluation'!A1" display="Back to Scorecard" xr:uid="{00000000-0004-0000-0A00-000016000000}"/>
    <hyperlink ref="F135" location="'Privacy Analyst Evaluation'!A1" display="Back to Scorecard" xr:uid="{00000000-0004-0000-0A00-000017000000}"/>
    <hyperlink ref="F142" location="'Privacy Analyst Evaluation'!A1" display="Back to Scorecard" xr:uid="{00000000-0004-0000-0A00-000018000000}"/>
    <hyperlink ref="F145" location="'Privacy Analyst Evaluation'!A1" display="Back to Scorecard" xr:uid="{00000000-0004-0000-0A00-000019000000}"/>
    <hyperlink ref="F150" location="'Privacy Analyst Evaluation'!A1" display="Back to Scorecard" xr:uid="{00000000-0004-0000-0A00-00001A000000}"/>
    <hyperlink ref="F160" location="'Privacy Analyst Evaluation'!A1" display="Back to Scorecard" xr:uid="{00000000-0004-0000-0A00-00001B000000}"/>
    <hyperlink ref="F164" location="'Privacy Analyst Evaluation'!A1" display="Back to Scorecard" xr:uid="{00000000-0004-0000-0A00-00001C000000}"/>
    <hyperlink ref="F170" location="'Privacy Analyst Evaluation'!A1" display="Back to Scorecard" xr:uid="{00000000-0004-0000-0A00-00001D000000}"/>
    <hyperlink ref="F173" location="'Privacy Analyst Evaluation'!A1" display="Back to Scorecard" xr:uid="{00000000-0004-0000-0A00-00001E000000}"/>
    <hyperlink ref="F189" location="'Privacy Analyst Evaluation'!A1" display="Back to Scorecard" xr:uid="{00000000-0004-0000-0A00-00001F000000}"/>
    <hyperlink ref="F192" location="'Privacy Analyst Evaluation'!A1" display="Back to Scorecard" xr:uid="{00000000-0004-0000-0A00-000020000000}"/>
    <hyperlink ref="F199" location="'Privacy Analyst Evaluation'!A1" display="Back to Scorecard" xr:uid="{00000000-0004-0000-0A00-000021000000}"/>
    <hyperlink ref="F207" location="'Privacy Analyst Evaluation'!A1" display="Back to Scorecard" xr:uid="{00000000-0004-0000-0A00-000022000000}"/>
    <hyperlink ref="F212" location="'Privacy Analyst Evaluation'!A1" display="Back to Scorecard" xr:uid="{00000000-0004-0000-0A00-000023000000}"/>
    <hyperlink ref="F217" location="'Privacy Analyst Evaluation'!A1" display="Back to Scorecard" xr:uid="{00000000-0004-0000-0A00-000024000000}"/>
    <hyperlink ref="F247" location="'Privacy Analyst Evaluation'!A1" display="Back to Scorecard" xr:uid="{00000000-0004-0000-0A00-000025000000}"/>
  </hyperlinks>
  <pageMargins left="0.7" right="0.7" top="0.75" bottom="0.75" header="0.3" footer="0.3"/>
  <pageSetup orientation="portrait"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ECCA0"/>
  </sheetPr>
  <dimension ref="A1:F385"/>
  <sheetViews>
    <sheetView showZeros="0" topLeftCell="A2" zoomScale="80" zoomScaleNormal="80" workbookViewId="0">
      <selection activeCell="A2" sqref="A2"/>
    </sheetView>
  </sheetViews>
  <sheetFormatPr baseColWidth="10" defaultColWidth="0" defaultRowHeight="16" zeroHeight="1" x14ac:dyDescent="0.15"/>
  <cols>
    <col min="1" max="1" width="11.125" style="55" customWidth="1"/>
    <col min="2" max="2" width="57.75" style="52" customWidth="1"/>
    <col min="3" max="3" width="71.125" style="53" customWidth="1"/>
    <col min="4" max="4" width="80.25" style="54" customWidth="1"/>
    <col min="5" max="5" width="6.625" style="55" customWidth="1"/>
    <col min="6" max="6" width="0" style="55" hidden="1" customWidth="1"/>
    <col min="7" max="7" width="6.625" style="55" hidden="1" customWidth="1"/>
    <col min="8" max="16384" width="6.625" style="55" hidden="1"/>
  </cols>
  <sheetData>
    <row r="1" spans="1:5" ht="180" hidden="1" customHeight="1" x14ac:dyDescent="0.15">
      <c r="A1" s="55" t="s">
        <v>0</v>
      </c>
    </row>
    <row r="2" spans="1:5" ht="24.75" customHeight="1" x14ac:dyDescent="0.2">
      <c r="A2" s="172" t="s">
        <v>1</v>
      </c>
      <c r="B2" s="172"/>
      <c r="C2" s="172"/>
      <c r="D2" s="253" t="s">
        <v>2</v>
      </c>
    </row>
    <row r="3" spans="1:5" ht="18" customHeight="1" x14ac:dyDescent="0.2">
      <c r="A3" s="223" t="s">
        <v>3</v>
      </c>
      <c r="B3" s="63"/>
      <c r="C3" s="63"/>
      <c r="D3" s="254"/>
    </row>
    <row r="4" spans="1:5" ht="18" customHeight="1" x14ac:dyDescent="0.2">
      <c r="A4" s="225" t="s">
        <v>4</v>
      </c>
      <c r="B4" s="63"/>
      <c r="C4" s="63"/>
      <c r="D4" s="254"/>
    </row>
    <row r="5" spans="1:5" s="227" customFormat="1" ht="18" customHeight="1" x14ac:dyDescent="0.2">
      <c r="A5" s="226" t="s">
        <v>5</v>
      </c>
      <c r="B5" s="63"/>
      <c r="C5" s="63"/>
      <c r="D5" s="254"/>
    </row>
    <row r="6" spans="1:5" s="227" customFormat="1" ht="18" customHeight="1" x14ac:dyDescent="0.2">
      <c r="A6" s="226" t="s">
        <v>6</v>
      </c>
      <c r="B6" s="63"/>
      <c r="C6" s="63"/>
      <c r="D6" s="255"/>
    </row>
    <row r="7" spans="1:5" ht="18" customHeight="1" x14ac:dyDescent="0.2">
      <c r="A7" s="224" t="str">
        <f>VLOOKUP(LEFT($A8,4),'Auto Responses'!$N$4:$O$38,2,0)&amp;""</f>
        <v xml:space="preserve"> General Information</v>
      </c>
      <c r="B7" s="61"/>
      <c r="C7" s="56" t="str">
        <f>Questions!$S$2</f>
        <v>Reason for Question</v>
      </c>
      <c r="D7" s="56" t="str">
        <f>Questions!$T$2</f>
        <v>Follow-Up Inquiries/Responses</v>
      </c>
    </row>
    <row r="8" spans="1:5" x14ac:dyDescent="0.2">
      <c r="A8" s="57" t="s">
        <v>7</v>
      </c>
      <c r="B8" s="57" t="str">
        <f>VLOOKUP($A8,Questions!$A$3:$X$333,2,0)&amp;""</f>
        <v>Solution Provider Name</v>
      </c>
      <c r="C8" s="57" t="str">
        <f>VLOOKUP($A8,Questions!$A$3:$X$333,19,0)&amp;""</f>
        <v/>
      </c>
      <c r="D8" s="57" t="str">
        <f>VLOOKUP($A8,Questions!$A$3:$X$333,20,0)&amp;""</f>
        <v/>
      </c>
    </row>
    <row r="9" spans="1:5" x14ac:dyDescent="0.2">
      <c r="A9" s="57" t="s">
        <v>8</v>
      </c>
      <c r="B9" s="57" t="str">
        <f>VLOOKUP($A9,Questions!$A$3:$X$333,2,0)&amp;""</f>
        <v>Solution Name</v>
      </c>
      <c r="C9" s="57" t="str">
        <f>VLOOKUP($A9,Questions!$A$3:$X$333,19,0)&amp;""</f>
        <v/>
      </c>
      <c r="D9" s="57" t="str">
        <f>VLOOKUP($A9,Questions!$A$3:$X$333,20,0)&amp;""</f>
        <v/>
      </c>
    </row>
    <row r="10" spans="1:5" x14ac:dyDescent="0.2">
      <c r="A10" s="57" t="s">
        <v>9</v>
      </c>
      <c r="B10" s="57" t="str">
        <f>VLOOKUP($A10,Questions!$A$3:$X$333,2,0)&amp;""</f>
        <v>Solution Description</v>
      </c>
      <c r="C10" s="57" t="str">
        <f>VLOOKUP($A10,Questions!$A$3:$X$333,19,0)&amp;""</f>
        <v/>
      </c>
      <c r="D10" s="57" t="str">
        <f>VLOOKUP($A10,Questions!$A$3:$X$333,20,0)&amp;""</f>
        <v/>
      </c>
    </row>
    <row r="11" spans="1:5" x14ac:dyDescent="0.2">
      <c r="A11" s="57" t="s">
        <v>10</v>
      </c>
      <c r="B11" s="57" t="str">
        <f>VLOOKUP($A11,Questions!$A$3:$X$333,2,0)&amp;""</f>
        <v>Solution Provider Contact Name</v>
      </c>
      <c r="C11" s="57" t="str">
        <f>VLOOKUP($A11,Questions!$A$3:$X$333,19,0)&amp;""</f>
        <v/>
      </c>
      <c r="D11" s="57" t="str">
        <f>VLOOKUP($A11,Questions!$A$3:$X$333,20,0)&amp;""</f>
        <v/>
      </c>
    </row>
    <row r="12" spans="1:5" x14ac:dyDescent="0.2">
      <c r="A12" s="57" t="s">
        <v>11</v>
      </c>
      <c r="B12" s="57" t="str">
        <f>VLOOKUP($A12,Questions!$A$3:$X$333,2,0)&amp;""</f>
        <v>Solution Provider Contact Title</v>
      </c>
      <c r="C12" s="57" t="str">
        <f>VLOOKUP($A12,Questions!$A$3:$X$333,19,0)&amp;""</f>
        <v/>
      </c>
      <c r="D12" s="57" t="str">
        <f>VLOOKUP($A12,Questions!$A$3:$X$333,20,0)&amp;""</f>
        <v/>
      </c>
    </row>
    <row r="13" spans="1:5" x14ac:dyDescent="0.2">
      <c r="A13" s="57" t="s">
        <v>12</v>
      </c>
      <c r="B13" s="57" t="str">
        <f>VLOOKUP($A13,Questions!$A$3:$X$333,2,0)&amp;""</f>
        <v>Solution Provider Contact Email</v>
      </c>
      <c r="C13" s="57" t="str">
        <f>VLOOKUP($A13,Questions!$A$3:$X$333,19,0)&amp;""</f>
        <v/>
      </c>
      <c r="D13" s="57" t="str">
        <f>VLOOKUP($A13,Questions!$A$3:$X$333,20,0)&amp;""</f>
        <v/>
      </c>
    </row>
    <row r="14" spans="1:5" x14ac:dyDescent="0.2">
      <c r="A14" s="57" t="s">
        <v>13</v>
      </c>
      <c r="B14" s="57" t="str">
        <f>VLOOKUP($A14,Questions!$A$3:$X$333,2,0)&amp;""</f>
        <v>Solution Provider Contact Phone Number</v>
      </c>
      <c r="C14" s="57" t="str">
        <f>VLOOKUP($A14,Questions!$A$3:$X$333,19,0)&amp;""</f>
        <v/>
      </c>
      <c r="D14" s="57" t="str">
        <f>VLOOKUP($A14,Questions!$A$3:$X$333,20,0)&amp;""</f>
        <v/>
      </c>
    </row>
    <row r="15" spans="1:5" x14ac:dyDescent="0.2">
      <c r="A15" s="57" t="s">
        <v>14</v>
      </c>
      <c r="B15" s="57" t="str">
        <f>VLOOKUP($A15,Questions!$A$3:$X$333,2,0)&amp;""</f>
        <v>Country of Company Headquarters</v>
      </c>
      <c r="C15" s="57" t="str">
        <f>VLOOKUP($A15,Questions!$A$3:$X$333,19,0)&amp;""</f>
        <v/>
      </c>
      <c r="D15" s="57" t="str">
        <f>VLOOKUP($A15,Questions!$A$3:$X$333,20,0)&amp;""</f>
        <v/>
      </c>
    </row>
    <row r="16" spans="1:5" x14ac:dyDescent="0.15">
      <c r="A16" s="57" t="s">
        <v>15</v>
      </c>
      <c r="B16" s="57" t="str">
        <f>VLOOKUP($A16,Questions!$A$3:$X$333,2,0)&amp;""</f>
        <v>Employee Work Locations (all)</v>
      </c>
      <c r="C16" s="57" t="str">
        <f>VLOOKUP($A16,Questions!$A$3:$X$333,19,0)&amp;""</f>
        <v>Determines where solution provider employees will be physically located.</v>
      </c>
      <c r="D16" s="57" t="str">
        <f>VLOOKUP($A16,Questions!$A$3:$X$333,20,0)&amp;""</f>
        <v>Follow-up inquiries will be institution/implementation specific.</v>
      </c>
      <c r="E16" s="228" t="s">
        <v>16</v>
      </c>
    </row>
    <row r="17" spans="1:5" ht="18" customHeight="1" x14ac:dyDescent="0.2">
      <c r="A17" s="61" t="str">
        <f>VLOOKUP(LEFT($A18,4),'Auto Responses'!$N$4:$O$38,2,0)&amp;""</f>
        <v xml:space="preserve"> Company Information</v>
      </c>
      <c r="B17" s="61"/>
      <c r="C17" s="56" t="str">
        <f>Questions!$S$2</f>
        <v>Reason for Question</v>
      </c>
      <c r="D17" s="56" t="str">
        <f>Questions!$T$2</f>
        <v>Follow-Up Inquiries/Responses</v>
      </c>
    </row>
    <row r="18" spans="1:5" ht="71.25" customHeight="1" x14ac:dyDescent="0.2">
      <c r="A18" s="57" t="s">
        <v>17</v>
      </c>
      <c r="B18" s="57" t="str">
        <f>VLOOKUP($A18,Questions!$A$3:$X$333,2,0)&amp;""</f>
        <v>Do you have a dedicated software and system development team(s) (e.g., customer support, implementation, product management, etc.)?*</v>
      </c>
      <c r="C18" s="57" t="str">
        <f>VLOOKUP($A18,Questions!$A$3:$X$333,19,0)&amp;""</f>
        <v>Understanding the development team size (and capabilities) of a solution provider has a significant impact on their ability to produce and maintain code, adhering to secure coding best practices. The size of a solution provider will determine their use of dedicated development teams, or lack thereof. Use the knowledge of this response when evaluating other solution provider statements.</v>
      </c>
      <c r="D18" s="57" t="str">
        <f>VLOOKUP($A18,Questions!$A$3:$X$333,20,0)&amp;""</f>
        <v>Follow-up inquiries for solution provider team strategies will be unique to your institution and may depend on the underlying infrastructures needed to support a system for your specific use case.</v>
      </c>
    </row>
    <row r="19" spans="1:5" ht="43.5" customHeight="1" x14ac:dyDescent="0.2">
      <c r="A19" s="57" t="s">
        <v>18</v>
      </c>
      <c r="B19" s="57" t="str">
        <f>VLOOKUP($A19,Questions!$A$3:$X$333,2,0)&amp;""</f>
        <v>Describe your organization’s business background and ownership structure, including all parent and subsidiary relationships.</v>
      </c>
      <c r="C19" s="57" t="str">
        <f>VLOOKUP($A19,Questions!$A$3:$X$333,19,0)&amp;""</f>
        <v>This information defines the scale of company (support, resources, skillsets), general information about the organization that may be concerning.</v>
      </c>
      <c r="D19" s="57" t="str">
        <f>VLOOKUP($A19,Questions!$A$3:$X$333,20,0)&amp;""</f>
        <v>Follow-up responses to this one are normally unique to their response. Vague answers here usually result in some footprinting of a solution provider to determine their "reputation."</v>
      </c>
    </row>
    <row r="20" spans="1:5" ht="67.5" customHeight="1" x14ac:dyDescent="0.2">
      <c r="A20" s="57" t="s">
        <v>19</v>
      </c>
      <c r="B20" s="57" t="str">
        <f>VLOOKUP($A20,Questions!$A$3:$X$333,2,0)&amp;""</f>
        <v>Have you operated without unplanned disruptions to this solution in the past 12 months?</v>
      </c>
      <c r="C20" s="57" t="str">
        <f>VLOOKUP($A20,Questions!$A$3:$X$333,19,0)&amp;""</f>
        <v>We want transparency from the solution provider, and an honest answer to this question, regardless of the response, is a good step in building trust.</v>
      </c>
      <c r="D20" s="57" t="str">
        <f>VLOOKUP($A20,Questions!$A$3:$X$333,20,0)&amp;""</f>
        <v>If a solution provider says "yes," it is taken at face value. If your organization is capable of conducting reconnaissance, it is encouraged. If a solution provider has experienced a breach, evaluate the circumstances of the incident and what the solution provider has done in response to the breach.</v>
      </c>
    </row>
    <row r="21" spans="1:5" ht="67.5" customHeight="1" x14ac:dyDescent="0.2">
      <c r="A21" s="57" t="s">
        <v>20</v>
      </c>
      <c r="B21" s="57" t="str">
        <f>VLOOKUP($A21,Questions!$A$3:$X$333,2,0)&amp;""</f>
        <v>Do you have a dedicated information security staff or office?</v>
      </c>
      <c r="C21" s="57" t="str">
        <f>VLOOKUP($A21,Questions!$A$3:$X$333,19,0)&amp;""</f>
        <v>The size and capabilities of a solution provider's security program have a significant impact on its ability to respond effectively to a security incident. The size of a solution provider will determine their security operation size or lack thereof. Use the knowledge of this response when evaluating other solution provider statements.</v>
      </c>
      <c r="D21" s="57" t="str">
        <f>VLOOKUP($A21,Questions!$A$3:$X$333,20,0)&amp;""</f>
        <v>Vague responses to this question should be investigated further. Solution Providers without dedicated security personnel commonly have no security or security is embedded or dual-homed within operations (administrators). Ask about separation of duties, principle of least privilege, etc. There are many ways to get additional program state information from the solution provider.</v>
      </c>
    </row>
    <row r="22" spans="1:5" ht="64.5" customHeight="1" x14ac:dyDescent="0.15">
      <c r="A22" s="57" t="s">
        <v>21</v>
      </c>
      <c r="B22" s="57" t="str">
        <f>VLOOKUP($A22,Questions!$A$3:$X$333,2,0)&amp;""</f>
        <v>Use this area to share information about your environment that will assist those who are assessing your company's data security program.</v>
      </c>
      <c r="C22" s="57" t="str">
        <f>VLOOKUP($A22,Questions!$A$3:$X$333,19,0)&amp;""</f>
        <v>For the 20% that HECVAT may not cover, this gives the solution provider a chance to support their other responses. Beware when this area is populated with sales hype or other irrelevant information. Thorough documentation, supporting evidence, and/or robust responses go a long way in building trust in this assessment process.</v>
      </c>
      <c r="D22" s="57" t="str">
        <f>VLOOKUP($A22,Questions!$A$3:$X$333,20,0)&amp;""</f>
        <v>This is a freebie to help the solution provider state their case. If a solution provider does not add anything here (or it is just sales stuff), we can assume it was filled out by a sales engineer and questions will be evaluated with higher scrutiny.</v>
      </c>
      <c r="E22" s="228" t="s">
        <v>16</v>
      </c>
    </row>
    <row r="23" spans="1:5" ht="18" customHeight="1" x14ac:dyDescent="0.2">
      <c r="A23" s="61" t="str">
        <f>VLOOKUP(LEFT($A24,4),'Auto Responses'!$N$4:$O$38,2,0)&amp;""</f>
        <v xml:space="preserve"> Required Questions</v>
      </c>
      <c r="B23" s="61"/>
      <c r="C23" s="56" t="str">
        <f>Questions!$S$2</f>
        <v>Reason for Question</v>
      </c>
      <c r="D23" s="56" t="str">
        <f>Questions!$T$2</f>
        <v>Follow-Up Inquiries/Responses</v>
      </c>
    </row>
    <row r="24" spans="1:5" s="264" customFormat="1" ht="18" customHeight="1" x14ac:dyDescent="0.2">
      <c r="A24" s="265" t="s">
        <v>22</v>
      </c>
      <c r="B24" s="262"/>
      <c r="C24" s="263"/>
      <c r="D24" s="263"/>
    </row>
    <row r="25" spans="1:5" ht="36.75" customHeight="1" x14ac:dyDescent="0.2">
      <c r="A25" s="57" t="s">
        <v>23</v>
      </c>
      <c r="B25" s="57" t="str">
        <f>VLOOKUP($A25,Questions!$A$3:$X$333,2,0)&amp;""</f>
        <v>Are you offering a cloud-based product?</v>
      </c>
      <c r="C25" s="57" t="s">
        <v>24</v>
      </c>
      <c r="D25" s="57" t="str">
        <f>VLOOKUP($A25,Questions!$A$3:$X$333,19,0)&amp;""</f>
        <v/>
      </c>
    </row>
    <row r="26" spans="1:5" ht="38.25" customHeight="1" x14ac:dyDescent="0.2">
      <c r="A26" s="57" t="s">
        <v>25</v>
      </c>
      <c r="B26" s="57" t="str">
        <f>VLOOKUP($A26,Questions!$A$3:$X$333,2,0)&amp;""</f>
        <v>Does your product or service have an interface?</v>
      </c>
      <c r="C26" s="57" t="s">
        <v>26</v>
      </c>
      <c r="D26" s="57" t="str">
        <f>VLOOKUP($A26,Questions!$A$3:$X$333,19,0)&amp;""</f>
        <v/>
      </c>
    </row>
    <row r="27" spans="1:5" x14ac:dyDescent="0.2">
      <c r="A27" s="57" t="s">
        <v>27</v>
      </c>
      <c r="B27" s="57" t="str">
        <f>VLOOKUP($A27,Questions!$A$3:$X$333,2,0)&amp;""</f>
        <v>Are you providing consulting services?</v>
      </c>
      <c r="C27" s="57" t="s">
        <v>28</v>
      </c>
      <c r="D27" s="57" t="str">
        <f>VLOOKUP($A27,Questions!$A$3:$X$333,19,0)&amp;""</f>
        <v/>
      </c>
    </row>
    <row r="28" spans="1:5" ht="28.5" customHeight="1" x14ac:dyDescent="0.2">
      <c r="A28" s="57" t="s">
        <v>29</v>
      </c>
      <c r="B28" s="57" t="str">
        <f>VLOOKUP($A28,Questions!$A$3:$X$333,2,0)&amp;""</f>
        <v>Does your solution have AI features, or are there plans to implement AI features in the next 12 months?</v>
      </c>
      <c r="C28" s="57" t="s">
        <v>30</v>
      </c>
      <c r="D28" s="57" t="str">
        <f>VLOOKUP($A28,Questions!$A$3:$X$333,19,0)&amp;""</f>
        <v/>
      </c>
    </row>
    <row r="29" spans="1:5" ht="42.75" customHeight="1" x14ac:dyDescent="0.2">
      <c r="A29" s="57" t="s">
        <v>31</v>
      </c>
      <c r="B29" s="57" t="str">
        <f>VLOOKUP($A29,Questions!$A$3:$X$333,2,0)&amp;""</f>
        <v>Does your solution process protected health information (PHI) or any data covered by the Health Insurance Portability and Accountability Act (HIPAA)?</v>
      </c>
      <c r="C29" s="57" t="s">
        <v>32</v>
      </c>
      <c r="D29" s="57" t="str">
        <f>VLOOKUP($A29,Questions!$A$3:$X$333,19,0)&amp;""</f>
        <v/>
      </c>
    </row>
    <row r="30" spans="1:5" ht="33.75" customHeight="1" x14ac:dyDescent="0.2">
      <c r="A30" s="57" t="s">
        <v>33</v>
      </c>
      <c r="B30" s="57" t="str">
        <f>VLOOKUP($A30,Questions!$A$3:$X$333,2,0)&amp;""</f>
        <v>Is the solution designed to process, store, or transmit credit card information?</v>
      </c>
      <c r="C30" s="57" t="s">
        <v>34</v>
      </c>
      <c r="D30" s="57" t="str">
        <f>VLOOKUP($A30,Questions!$A$3:$X$333,19,0)&amp;""</f>
        <v/>
      </c>
    </row>
    <row r="31" spans="1:5" ht="66.75" customHeight="1" x14ac:dyDescent="0.15">
      <c r="A31" s="57" t="s">
        <v>35</v>
      </c>
      <c r="B31" s="57" t="str">
        <f>VLOOKUP($A31,Questions!$A$3:$X$333,2,0)&amp;""</f>
        <v>Does operating your solution require the institution to operate a physical or virtual appliance in their own environment or to provide inbound firewall exceptions to allow your employees to remotely administer systems in the institution's environment?</v>
      </c>
      <c r="C31" s="57" t="s">
        <v>36</v>
      </c>
      <c r="D31" s="57" t="str">
        <f>VLOOKUP($A31,Questions!$A$3:$X$333,19,0)&amp;""</f>
        <v/>
      </c>
      <c r="E31" s="228" t="s">
        <v>16</v>
      </c>
    </row>
    <row r="32" spans="1:5" ht="18" customHeight="1" x14ac:dyDescent="0.2">
      <c r="A32" s="61" t="str">
        <f>VLOOKUP(LEFT($A33,4),'Auto Responses'!$N$4:$O$38,2,0)&amp;""</f>
        <v xml:space="preserve"> Documentation</v>
      </c>
      <c r="B32" s="61"/>
      <c r="C32" s="56" t="str">
        <f>Questions!$S$2</f>
        <v>Reason for Question</v>
      </c>
      <c r="D32" s="56" t="str">
        <f>Questions!$T$2</f>
        <v>Follow-Up Inquiries/Responses</v>
      </c>
    </row>
    <row r="33" spans="1:5" ht="57" customHeight="1" x14ac:dyDescent="0.2">
      <c r="A33" s="57" t="s">
        <v>37</v>
      </c>
      <c r="B33" s="57" t="str">
        <f>VLOOKUP($A33,Questions!$A$3:$X$333,2,0)&amp;""</f>
        <v>Do you have a well-documented business continuity plan (BCP), with a clear owner, that is tested annually?*</v>
      </c>
      <c r="C33" s="57" t="str">
        <f>VLOOKUP($A33,Questions!$A$3:$X$333,19,0)&amp;""</f>
        <v>Testing a business continuity plan is an important action that improves the efficiency and accuracy of a solution provider's continuity plans. Vague responses to this question should be met with concern and appropriate follow-up, based on your institutions risk tolerance.</v>
      </c>
      <c r="D33" s="57" t="str">
        <f>VLOOKUP($A33,Questions!$A$3:$X$333,20,0)&amp;""</f>
        <v/>
      </c>
    </row>
    <row r="34" spans="1:5" ht="57" customHeight="1" x14ac:dyDescent="0.2">
      <c r="A34" s="57" t="s">
        <v>38</v>
      </c>
      <c r="B34" s="57" t="str">
        <f>VLOOKUP($A34,Questions!$A$3:$X$333,2,0)&amp;""</f>
        <v>Do you have a well-documented disaster recovery plan (DRP), with a clear owner, that is tested annually?*</v>
      </c>
      <c r="C34" s="57" t="str">
        <f>VLOOKUP($A34,Questions!$A$3:$X$333,19,0)&amp;""</f>
        <v>Testing a disaster recovery plan is an important action that improves the efficiency and accuracy of a solution provider's recovery plans. Vague responses to this question should be met with concern and appropriate follow-up, based on your institutions risk tolerance.</v>
      </c>
      <c r="D34" s="57" t="str">
        <f>VLOOKUP($A34,Questions!$A$3:$X$333,20,0)&amp;""</f>
        <v/>
      </c>
    </row>
    <row r="35" spans="1:5" ht="35.25" customHeight="1" x14ac:dyDescent="0.2">
      <c r="A35" s="57" t="s">
        <v>39</v>
      </c>
      <c r="B35" s="57" t="str">
        <f>VLOOKUP($A35,Questions!$A$3:$X$333,2,0)&amp;""</f>
        <v>Have you undergone a SSAE 18/SOC 2 audit?</v>
      </c>
      <c r="C35" s="57" t="str">
        <f>VLOOKUP($A35,Questions!$A$3:$X$333,19,0)&amp;""</f>
        <v>SSAE 18 and SOC2 audits are standard documentation, relevant to institutions requiring a solution provider to undergo SSAE 18 audits.</v>
      </c>
      <c r="D35" s="57" t="str">
        <f>VLOOKUP($A35,Questions!$A$3:$X$333,20,0)&amp;""</f>
        <v>Follow-up inquiries for SSAE 18 content will be institution/implementation specific.</v>
      </c>
    </row>
    <row r="36" spans="1:5" ht="57" customHeight="1" x14ac:dyDescent="0.2">
      <c r="A36" s="57" t="s">
        <v>40</v>
      </c>
      <c r="B36" s="57" t="str">
        <f>VLOOKUP($A36,Questions!$A$3:$X$333,2,0)&amp;""</f>
        <v>Do you conform with a specific industry standard security framework (e.g., NIST Cybersecurity Framework, CIS Controls, ISO 27001, etc.)?</v>
      </c>
      <c r="C36" s="57" t="str">
        <f>VLOOKUP($A36,Questions!$A$3:$X$333,19,0)&amp;""</f>
        <v>The details of the standard are not the focus here; it is the fact that a solution provider builds their environment around a standard and that they continually evaluate and assess their security programs.</v>
      </c>
      <c r="D36" s="57" t="str">
        <f>VLOOKUP($A36,Questions!$A$3:$X$333,20,0)&amp;""</f>
        <v>In an ideal world, a solution provider will conform to an industry framework that is adopted by an institution. When this synergy does not exist, the interpretation of the solution provider's responses must be interpreted in the context of the institution's environment. Follow-up inquires for industry frameworks (and levels of adoption) will be institution/implementation specific.</v>
      </c>
    </row>
    <row r="37" spans="1:5" ht="64.5" customHeight="1" x14ac:dyDescent="0.2">
      <c r="A37" s="57" t="s">
        <v>41</v>
      </c>
      <c r="B37" s="57" t="str">
        <f>VLOOKUP($A37,Questions!$A$3:$X$333,2,0)&amp;""</f>
        <v>Can you provide overall system and/or application architecture diagrams, including a full description of the data flow for all components of the system?</v>
      </c>
      <c r="C37" s="57" t="str">
        <f>VLOOKUP($A37,Questions!$A$3:$X$333,19,0)&amp;""</f>
        <v>Managing and protecting institution data is the reason organizations perform security and risk assessments. Privacy policies outline how solution providers will obtain, use, share, and protect institutional data and as such, should be robust in its language. Beware of vaguely worded privacy policies.</v>
      </c>
      <c r="D37" s="57" t="str">
        <f>VLOOKUP($A37,Questions!$A$3:$X$333,20,0)&amp;""</f>
        <v>Inquire about any privacy language the solution provider may have. It may not be ideal but there may be something available to assess or enough to have your legal counsel or policy/privacy professionals review.</v>
      </c>
    </row>
    <row r="38" spans="1:5" ht="63.75" customHeight="1" x14ac:dyDescent="0.2">
      <c r="A38" s="57" t="s">
        <v>42</v>
      </c>
      <c r="B38" s="57" t="str">
        <f>VLOOKUP($A38,Questions!$A$3:$X$333,2,0)&amp;""</f>
        <v>Does your organization have a data privacy policy?</v>
      </c>
      <c r="C38" s="57" t="str">
        <f>VLOOKUP($A38,Questions!$A$3:$X$333,19,0)&amp;""</f>
        <v>Managing and protecting institutional data is the reason organizations perform security and risk assessments. Privacy policies outline how solution providers will obtain, use, share, and protect institutional data and as such, should be robust in its language. Beware of vaguely worded privacy policies.</v>
      </c>
      <c r="D38" s="57" t="str">
        <f>VLOOKUP($A38,Questions!$A$3:$X$333,20,0)&amp;""</f>
        <v>Inquire about any privacy language the solution provider may have. It may not be ideal but there may be something available to assess or enough to have your legal counsel or policy/privacy professionals review.</v>
      </c>
    </row>
    <row r="39" spans="1:5" ht="78" customHeight="1" x14ac:dyDescent="0.15">
      <c r="A39" s="57" t="s">
        <v>43</v>
      </c>
      <c r="B39" s="57" t="str">
        <f>VLOOKUP($A39,Questions!$A$3:$X$333,2,0)&amp;""</f>
        <v>Do you have a documented, and currently implemented, employee onboarding and offboarding policy?</v>
      </c>
      <c r="C39" s="57" t="str">
        <f>VLOOKUP($A39,Questions!$A$3:$X$333,19,0)&amp;""</f>
        <v>Managing and protecting a solution provider's assets through appropriate human resource management is of upmost importance. Knowing how roles and access controls are implemented (directed by policy) within a solution provider's infrastructure during the onboarding and offboarding processes is indicative of how access control is regarded in other areas on the provider (solution provider).</v>
      </c>
      <c r="D39" s="57" t="str">
        <f>VLOOKUP($A39,Questions!$A$3:$X$333,20,0)&amp;""</f>
        <v>Unsatisfactory answers should be met with questions about access control authority, roles and responsibilities (of access grantors), administrative privileges within the solution provider's infrastructure(s), etc.</v>
      </c>
      <c r="E39" s="228" t="s">
        <v>16</v>
      </c>
    </row>
    <row r="40" spans="1:5" ht="18" customHeight="1" x14ac:dyDescent="0.2">
      <c r="A40" s="61" t="str">
        <f>VLOOKUP(LEFT($A41,4),'Auto Responses'!$N$4:$O$38,2,0)&amp;""</f>
        <v xml:space="preserve"> Assessment of Third Parties</v>
      </c>
      <c r="B40" s="61"/>
      <c r="C40" s="56" t="str">
        <f>Questions!$S$2</f>
        <v>Reason for Question</v>
      </c>
      <c r="D40" s="56" t="str">
        <f>Questions!$T$2</f>
        <v>Follow-Up Inquiries/Responses</v>
      </c>
    </row>
    <row r="41" spans="1:5" ht="57" customHeight="1" x14ac:dyDescent="0.2">
      <c r="A41" s="57" t="s">
        <v>44</v>
      </c>
      <c r="B41" s="57" t="str">
        <f>VLOOKUP($A41,Questions!$A$3:$X$333,2,0)&amp;""</f>
        <v>Do you perform security assessments of third-party companies with which you share data (e.g., hosting providers, cloud services, PaaS, IaaS, SaaS)?*</v>
      </c>
      <c r="C41" s="57" t="str">
        <f>VLOOKUP($A41,Questions!$A$3:$X$333,19,0)&amp;""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41" s="57" t="str">
        <f>VLOOKUP($A41,Questions!$A$3:$X$333,20,0)&amp;""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42" spans="1:5" ht="42.75" customHeight="1" x14ac:dyDescent="0.2">
      <c r="A42" s="57" t="s">
        <v>45</v>
      </c>
      <c r="B42" s="57" t="str">
        <f>VLOOKUP($A42,Questions!$A$3:$X$333,2,0)&amp;""</f>
        <v>Do you have contractual language in place with third parties governing access to institutional data?*</v>
      </c>
      <c r="C42" s="57" t="str">
        <f>VLOOKUP($A42,Questions!$A$3:$X$333,19,0)&amp;""</f>
        <v>The sharing of institutional data to fourth-parties may increase the risk to the institution and thus, we want to know who gets what data, when they get that data, and why they get that data.</v>
      </c>
      <c r="D42" s="57" t="str">
        <f>VLOOKUP($A42,Questions!$A$3:$X$333,20,0)&amp;""</f>
        <v>Follow-up inquiries concerning third-party data sharing will be institution/implementation specific.</v>
      </c>
    </row>
    <row r="43" spans="1:5" ht="28.5" customHeight="1" x14ac:dyDescent="0.2">
      <c r="A43" s="57" t="s">
        <v>46</v>
      </c>
      <c r="B43" s="57" t="str">
        <f>VLOOKUP($A43,Questions!$A$3:$X$333,2,0)&amp;""</f>
        <v>Do the contracts in place with these third parties address liability in the event of a data breach?*</v>
      </c>
      <c r="C43" s="57" t="str">
        <f>VLOOKUP($A43,Questions!$A$3:$X$333,19,0)&amp;""</f>
        <v>Knowing the protections and legal agreements in place for third-party data sharing may assist analysts in determining residual risk.</v>
      </c>
      <c r="D43" s="57" t="str">
        <f>VLOOKUP($A43,Questions!$A$3:$X$333,20,0)&amp;""</f>
        <v>Follow-up inquiries concerning legal agreements with third parties will be institution/implementation specific.</v>
      </c>
    </row>
    <row r="44" spans="1:5" ht="114" customHeight="1" x14ac:dyDescent="0.2">
      <c r="A44" s="57" t="s">
        <v>47</v>
      </c>
      <c r="B44" s="57" t="str">
        <f>VLOOKUP($A44,Questions!$A$3:$X$333,2,0)&amp;""</f>
        <v>Do you have an implemented third-party management strategy?*</v>
      </c>
      <c r="C44" s="57" t="str">
        <f>VLOOKUP($A44,Questions!$A$3:$X$333,19,0)&amp;""</f>
        <v>Every organization needs to actively understand and manage its supply chain. The solution provider's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44" s="57" t="str">
        <f>VLOOKUP($A44,Questions!$A$3:$X$333,20,0)&amp;""</f>
        <v>If "No," inquire if there are plans to implement these processes. Ask the solution provider to summarize their decision behind not scanning their assets for vulnerabilities. Be sure that the solution provider answers for both systems AND applications. Do not let good practices in one overshadow deficiencies in the other.</v>
      </c>
    </row>
    <row r="45" spans="1:5" ht="80.25" customHeight="1" x14ac:dyDescent="0.2">
      <c r="A45" s="57" t="s">
        <v>48</v>
      </c>
      <c r="B45" s="57" t="str">
        <f>VLOOKUP($A45,Questions!$A$3:$X$333,2,0)&amp;""</f>
        <v>Do you have a process and implemented procedures for managing your hardware supply chain (e.g., telecommunications equipment, export licensing, computing devices)?</v>
      </c>
      <c r="C45" s="57" t="str">
        <f>VLOOKUP($A45,Questions!$A$3:$X$333,19,0)&amp;""</f>
        <v>Understanding a solution provider's hardware supply chain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45" s="57" t="str">
        <f>VLOOKUP($A45,Questions!$A$3:$X$333,20,0)&amp;""</f>
        <v>Follow-up inquiries concerning hardware supply chain will be institution/implementation specific.</v>
      </c>
    </row>
    <row r="46" spans="1:5" ht="18" customHeight="1" x14ac:dyDescent="0.2">
      <c r="A46" s="61" t="str">
        <f>VLOOKUP(LEFT($A47,4),'Auto Responses'!$N$4:$O$38,2,0)&amp;""</f>
        <v xml:space="preserve"> Change Management</v>
      </c>
      <c r="B46" s="61"/>
      <c r="C46" s="56" t="str">
        <f>Questions!$S$2</f>
        <v>Reason for Question</v>
      </c>
      <c r="D46" s="56" t="str">
        <f>Questions!$T$2</f>
        <v>Follow-Up Inquiries/Responses</v>
      </c>
    </row>
    <row r="47" spans="1:5" ht="55.5" customHeight="1" x14ac:dyDescent="0.2">
      <c r="A47" s="57" t="s">
        <v>49</v>
      </c>
      <c r="B47" s="57" t="str">
        <f>VLOOKUP($A47,Questions!$A$3:$X$333,2,0)&amp;""</f>
        <v>Will the institution be notified of major changes to your environment that could impact the institution's security posture?*</v>
      </c>
      <c r="C47" s="57" t="str">
        <f>VLOOKUP($A47,Questions!$A$3:$X$333,19,0)&amp;""</f>
        <v>Notification expectations should be set earlier in the contract/assessment process. Timelines, correspondence medium, and playbook details are all aspects to keep in mind when assessing this response.</v>
      </c>
      <c r="D47" s="57" t="str">
        <f>VLOOKUP($A47,Questions!$A$3:$X$333,20,0)&amp;""</f>
        <v>If the solution provider's response does not cover the details outlined in the reasoning, follow up and get specific responses for each, as needed.</v>
      </c>
    </row>
    <row r="48" spans="1:5" ht="42.75" customHeight="1" x14ac:dyDescent="0.2">
      <c r="A48" s="57" t="s">
        <v>50</v>
      </c>
      <c r="B48" s="57" t="str">
        <f>VLOOKUP($A48,Questions!$A$3:$X$333,2,0)&amp;""</f>
        <v>Does the system support client customizations from one release to another?*</v>
      </c>
      <c r="C48" s="57" t="str">
        <f>VLOOKUP($A48,Questions!$A$3:$X$333,19,0)&amp;""</f>
        <v>The solution provider's solution characteristics and the institution's use case will determine the relevancy of this question. The purpose of this question is to understand the underlying infrastructure and how it is maintained across all customers.</v>
      </c>
      <c r="D48" s="57" t="str">
        <f>VLOOKUP($A48,Questions!$A$3:$X$333,20,0)&amp;""</f>
        <v>In cases where the solution is customized for customer use cases, ensure the solution provider's response covers all aspects of code migration, including backups, data conversions, local resources from the institution, etc., as it relates to code upgrades and/or version adoptions.</v>
      </c>
    </row>
    <row r="49" spans="1:5" ht="59.25" customHeight="1" x14ac:dyDescent="0.2">
      <c r="A49" s="57" t="s">
        <v>51</v>
      </c>
      <c r="B49" s="57" t="str">
        <f>VLOOKUP($A49,Questions!$A$3:$X$333,2,0)&amp;""</f>
        <v>Do you have an implemented system configuration management process (e.g., secure "gold" images, etc.)?*</v>
      </c>
      <c r="C49" s="57" t="str">
        <f>VLOOKUP($A49,Questions!$A$3:$X$333,19,0)&amp;""</f>
        <v>Hardware lifecycles and continuous software updates creates an always-changing landscape in information technology. The focus of this question is the integrity of a solution provider's infrastructure. Mismanagement of system configurations can lead to breakdowns in layers of security.</v>
      </c>
      <c r="D49" s="57" t="str">
        <f>VLOOKUP($A49,Questions!$A$3:$X$333,20,0)&amp;""</f>
        <v>Solution Providers should have robust documentation when it comes to configuration management. Vague answers to this question should be met with concern. Inquire about the device management tools in use, system lifecycles, complexity of systems, etc., and evaluate the response in the context of company capabilities (see Company Background section).</v>
      </c>
    </row>
    <row r="50" spans="1:5" ht="42.75" customHeight="1" x14ac:dyDescent="0.2">
      <c r="A50" s="57" t="s">
        <v>52</v>
      </c>
      <c r="B50" s="57" t="str">
        <f>VLOOKUP($A50,Questions!$A$3:$X$333,2,0)&amp;""</f>
        <v>Do you have a documented change management process?</v>
      </c>
      <c r="C50" s="57" t="str">
        <f>VLOOKUP($A50,Questions!$A$3:$X$333,19,0)&amp;""</f>
        <v>The lack of a change management function is indicative of immature program processes. Answers to this question can provide insight into how well their responses (on the HECVAT) represent their actual environment(s).</v>
      </c>
      <c r="D50" s="57" t="str">
        <f>VLOOKUP($A50,Questions!$A$3:$X$333,20,0)&amp;""</f>
        <v>If a weak response is given to this answer, response scrutiny should be increased. Questions about configuration management, system authority, and documentation are appropriate.</v>
      </c>
    </row>
    <row r="51" spans="1:5" ht="44.25" customHeight="1" x14ac:dyDescent="0.2">
      <c r="A51" s="57" t="s">
        <v>53</v>
      </c>
      <c r="B51" s="57" t="str">
        <f>VLOOKUP($A51,Questions!$A$3:$X$333,2,0)&amp;""</f>
        <v>Does your change management process minimally include authorization, impact analysis, testing, and validation before moving changes to production?</v>
      </c>
      <c r="C51" s="57" t="str">
        <f>VLOOKUP($A51,Questions!$A$3:$X$333,19,0)&amp;""</f>
        <v>This question outlines a mature change management process. Changes should be analyzed for impact, officially approved, tested, and performed by authorized users.</v>
      </c>
      <c r="D51" s="57" t="str">
        <f>VLOOKUP($A51,Questions!$A$3:$X$333,20,0)&amp;""</f>
        <v>If the solution provider's response does not cover the details outlined in the reasoning, follow up and get specific responses, as needed.</v>
      </c>
    </row>
    <row r="52" spans="1:5" ht="51" customHeight="1" x14ac:dyDescent="0.2">
      <c r="A52" s="57" t="s">
        <v>54</v>
      </c>
      <c r="B52" s="57" t="str">
        <f>VLOOKUP($A52,Questions!$A$3:$X$333,2,0)&amp;""</f>
        <v>Does your change management process verify that all required third-party libraries and dependencies are still supported with each major change?</v>
      </c>
      <c r="C52" s="57" t="str">
        <f>VLOOKUP($A52,Questions!$A$3:$X$333,19,0)&amp;""</f>
        <v>This question is fundamentally about supply chain. The solution provider should be able to document its procedures around tracking libraries maintained by third parties.</v>
      </c>
      <c r="D52" s="57" t="str">
        <f>VLOOKUP($A52,Questions!$A$3:$X$333,20,0)&amp;""</f>
        <v>If the solution provider's response does not cover the details outlined in the reasoning, follow-up and get specific responses for each, as needed.</v>
      </c>
    </row>
    <row r="53" spans="1:5" ht="39" customHeight="1" x14ac:dyDescent="0.2">
      <c r="A53" s="57" t="s">
        <v>55</v>
      </c>
      <c r="B53" s="57" t="str">
        <f>VLOOKUP($A53,Questions!$A$3:$X$333,2,0)&amp;""</f>
        <v>Do you have policy and procedure, currently implemented, managing how critical patches are applied to all systems and applications?</v>
      </c>
      <c r="C53" s="57" t="str">
        <f>VLOOKUP($A53,Questions!$A$3:$X$333,19,0)&amp;""</f>
        <v>Answers to this question will reveal the solution provider’s knowledge of their IT assets and their ability to respond to notifications about their systems and software.</v>
      </c>
      <c r="D53" s="57" t="str">
        <f>VLOOKUP($A53,Questions!$A$3:$X$333,20,0)&amp;""</f>
        <v>Follow-up inquiries for the solution provider’s patching practices will be institution/implementation specific.</v>
      </c>
    </row>
    <row r="54" spans="1:5" ht="63.75" customHeight="1" x14ac:dyDescent="0.2">
      <c r="A54" s="57" t="s">
        <v>56</v>
      </c>
      <c r="B54" s="57" t="str">
        <f>VLOOKUP($A54,Questions!$A$3:$X$333,2,0)&amp;""</f>
        <v>Have you implemented policies and procedures that guide how security risks are mitigated until patches can be applied?</v>
      </c>
      <c r="C54" s="57" t="str">
        <f>VLOOKUP($A54,Questions!$A$3:$X$333,19,0)&amp;""</f>
        <v>New vulnerabilities are published every day, and solution providers have a responsibility to maintain their software(s). The fundamental nature of operation will expose some risks to the system, but it is crucial that a solution provider recognize its responsibilities and have a plan to implement them, when this time arrives.</v>
      </c>
      <c r="D54" s="57" t="str">
        <f>VLOOKUP($A54,Questions!$A$3:$X$333,20,0)&amp;""</f>
        <v>Follow-up inquiries for the solution providers patching practices will be institution/implementation specific.</v>
      </c>
    </row>
    <row r="55" spans="1:5" ht="71.25" customHeight="1" x14ac:dyDescent="0.2">
      <c r="A55" s="57" t="s">
        <v>57</v>
      </c>
      <c r="B55" s="57" t="str">
        <f>VLOOKUP($A55,Questions!$A$3:$X$333,2,0)&amp;""</f>
        <v>Do clients have the option to not participate in or postpone an upgrade to a new release?</v>
      </c>
      <c r="C55" s="57" t="str">
        <f>VLOOKUP($A55,Questions!$A$3:$X$333,19,0)&amp;""</f>
        <v>Unplanned and/or unexpected changes in a complex environment can introduce intolerable risks to the institution. Based on the operating environment of the institution, it may be necessary to postpone (or properly plan) the change to a system. The solution provider's response should clarify their use of a "one code base" method or the ability to run multiple versions concurrently.</v>
      </c>
      <c r="D55" s="57" t="str">
        <f>VLOOKUP($A55,Questions!$A$3:$X$333,20,0)&amp;""</f>
        <v>Follow-up inquiries for solution version releases will be institution/implementation specific.</v>
      </c>
    </row>
    <row r="56" spans="1:5" ht="51" customHeight="1" x14ac:dyDescent="0.2">
      <c r="A56" s="57" t="s">
        <v>58</v>
      </c>
      <c r="B56" s="57" t="str">
        <f>VLOOKUP($A56,Questions!$A$3:$X$333,2,0)&amp;""</f>
        <v>Do you have a fully implemented solution support strategy that defines how many concurrent versions you support?</v>
      </c>
      <c r="C56" s="57" t="str">
        <f>VLOOKUP($A56,Questions!$A$3:$X$333,19,0)&amp;""</f>
        <v>Supporting multiple versions of a solution is challenging. Understanding the solution provider’s strategy and resources will provide insight into its ability to adequately support their customers.</v>
      </c>
      <c r="D56" s="57" t="str">
        <f>VLOOKUP($A56,Questions!$A$3:$X$333,20,0)&amp;""</f>
        <v>Follow-up inquiries for the solution provider’s support of concurrent versions will be institution/implementation specific.</v>
      </c>
    </row>
    <row r="57" spans="1:5" ht="52.5" customHeight="1" x14ac:dyDescent="0.2">
      <c r="A57" s="57" t="s">
        <v>59</v>
      </c>
      <c r="B57" s="57" t="str">
        <f>VLOOKUP($A57,Questions!$A$3:$X$333,2,0)&amp;""</f>
        <v>Do you have a release schedule for product updates?</v>
      </c>
      <c r="C57" s="57" t="str">
        <f>VLOOKUP($A57,Questions!$A$3:$X$333,19,0)&amp;""</f>
        <v>Answers to this question will reveal the solution provider’s ability to plan in the short term. This is valuable information for customers so they can anticipate updates and potential bug fixes.</v>
      </c>
      <c r="D57" s="57" t="str">
        <f>VLOOKUP($A57,Questions!$A$3:$X$333,20,0)&amp;""</f>
        <v>Follow-up inquiries for the solution provider’s solution update practices will be institution/implementation specific.</v>
      </c>
    </row>
    <row r="58" spans="1:5" ht="28.5" customHeight="1" x14ac:dyDescent="0.15">
      <c r="A58" s="57" t="s">
        <v>60</v>
      </c>
      <c r="B58" s="57" t="str">
        <f>VLOOKUP($A58,Questions!$A$3:$X$333,2,0)&amp;""</f>
        <v>Do you have a technology roadmap, for at least the next two years, for enhancements and bug fixes for the solution being assessed?</v>
      </c>
      <c r="C58" s="57" t="str">
        <f>VLOOKUP($A58,Questions!$A$3:$X$333,19,0)&amp;""</f>
        <v>Answers to this question will reveal the solution provider’s ability to plan for the future of their solution.</v>
      </c>
      <c r="D58" s="57" t="str">
        <f>VLOOKUP($A58,Questions!$A$3:$X$333,20,0)&amp;""</f>
        <v>Follow-up inquiries for the solution provider’s technology planning practices will be institution/implementation specific.</v>
      </c>
      <c r="E58" s="228" t="s">
        <v>16</v>
      </c>
    </row>
    <row r="59" spans="1:5" ht="71.25" customHeight="1" x14ac:dyDescent="0.2">
      <c r="A59" s="57" t="s">
        <v>61</v>
      </c>
      <c r="B59" s="57" t="str">
        <f>VLOOKUP($A59,Questions!$A$3:$X$333,2,0)&amp;""</f>
        <v>Can solution updates be completed without institutional involvement (i.e., technically or organizationally)?</v>
      </c>
      <c r="C59" s="57" t="str">
        <f>VLOOKUP($A59,Questions!$A$3:$X$333,19,0)&amp;""</f>
        <v>The response to this question allows the institution to understand the information technology resources required to properly maintain the solution provider's system. Initial acquisition and setup is important to assess, but the long-term maintenance (and the risks that come with it) should be clearly defined. Use the response to this question to pivot to other questions and/or verify other solution provider responses.</v>
      </c>
      <c r="D59" s="57" t="str">
        <f>VLOOKUP($A59,Questions!$A$3:$X$333,20,0)&amp;""</f>
        <v>Vague responses to this question should be investigated further. Ask for additional documentation for customer responsibilities (in the context of information technology/security).</v>
      </c>
    </row>
    <row r="60" spans="1:5" ht="65.25" customHeight="1" x14ac:dyDescent="0.2">
      <c r="A60" s="57" t="s">
        <v>62</v>
      </c>
      <c r="B60" s="57" t="str">
        <f>VLOOKUP($A60,Questions!$A$3:$X$333,2,0)&amp;""</f>
        <v>Are upgrades or system changes installed during off-peak hours or in a manner that does not impact the customer?</v>
      </c>
      <c r="C60" s="57" t="str">
        <f>VLOOKUP($A60,Questions!$A$3:$X$333,19,0)&amp;""</f>
        <v>Restricting system updates to a standard maintenance timeframe is important for ensuring that changes to production systems do not impact operations. It’s also important for troubleshooting any problems that may occur as a result of the changes.</v>
      </c>
      <c r="D60" s="57" t="str">
        <f>VLOOKUP($A60,Questions!$A$3:$X$333,20,0)&amp;""</f>
        <v>If the solution provider's response does not cover the details outlined in the reasoning, follow up and get specific responses, as needed.</v>
      </c>
    </row>
    <row r="61" spans="1:5" ht="52.5" customHeight="1" x14ac:dyDescent="0.2">
      <c r="A61" s="57" t="s">
        <v>63</v>
      </c>
      <c r="B61" s="57" t="str">
        <f>VLOOKUP($A61,Questions!$A$3:$X$333,2,0)&amp;""</f>
        <v>Do procedures exist to provide that emergency changes are documented and authorized (including after-the-fact approval)?</v>
      </c>
      <c r="C61" s="57" t="str">
        <f>VLOOKUP($A61,Questions!$A$3:$X$333,19,0)&amp;""</f>
        <v>In the context of the CIA triad, this question is focused on system integrity, ensuring that system changes are only executed by authorized users. In the event of emergency changes, accountability and post-action review are expected.</v>
      </c>
      <c r="D61" s="57" t="str">
        <f>VLOOKUP($A61,Questions!$A$3:$X$333,20,0)&amp;""</f>
        <v>Follow up with a robust question set if a solution provider cannot clearly state full control of the integrity of their system(s).</v>
      </c>
    </row>
    <row r="62" spans="1:5" ht="66.75" customHeight="1" x14ac:dyDescent="0.2">
      <c r="A62" s="57" t="s">
        <v>64</v>
      </c>
      <c r="B62" s="57" t="str">
        <f>VLOOKUP($A62,Questions!$A$3:$X$333,2,0)&amp;""</f>
        <v>Do you have a systems management and configuration strategy that encompasses servers, appliances, cloud services, applications, and mobile devices (company and employee owned)?</v>
      </c>
      <c r="C62" s="57" t="str">
        <f>VLOOKUP($A62,Questions!$A$3:$X$333,19,0)&amp;""</f>
        <v>In the context of the CIA triad, this question is focused on system integrity, ensuring that system changes are only executed by authorized users. Additionally, it is expected that devices (for administrators, solution provider staff, and affiliates) that are used to access the solution provider's systems are properly managed and secured.</v>
      </c>
      <c r="D62" s="57" t="str">
        <f>VLOOKUP($A62,Questions!$A$3:$X$333,20,0)&amp;""</f>
        <v>Follow up with a robust question set if the solution provider cannot clearly state full control of the integrity of their system(s). Questions about administrator access on end-user devices and other maintenance and patching type questions are appropriate.</v>
      </c>
    </row>
    <row r="63" spans="1:5" ht="18" customHeight="1" x14ac:dyDescent="0.2">
      <c r="A63" s="61" t="str">
        <f>VLOOKUP(LEFT($A64,4),'Auto Responses'!$N$4:$O$38,2,0)&amp;""</f>
        <v xml:space="preserve"> Policies, Processes, and Procedures</v>
      </c>
      <c r="B63" s="61"/>
      <c r="C63" s="56" t="str">
        <f>Questions!$S$2</f>
        <v>Reason for Question</v>
      </c>
      <c r="D63" s="56" t="str">
        <f>Questions!$T$2</f>
        <v>Follow-Up Inquiries/Responses</v>
      </c>
    </row>
    <row r="64" spans="1:5" ht="75" customHeight="1" x14ac:dyDescent="0.15">
      <c r="A64" s="57" t="s">
        <v>65</v>
      </c>
      <c r="B64" s="57" t="str">
        <f>VLOOKUP($A64,Questions!$A$3:$X$333,2,0)&amp;""</f>
        <v>Do you have a documented patch management process?*</v>
      </c>
      <c r="C64" s="57" t="str">
        <f>VLOOKUP($A64,Questions!$A$3:$X$333,19,0)&amp;""</f>
        <v>In the context of the CIA triad, this question is focused on system integrity, ensuring that system changes are only executed according to policy. Additionally, it is expected that devices used to access the solution provider's systems are properly managed and secured.</v>
      </c>
      <c r="D64" s="57" t="str">
        <f>VLOOKUP($A64,Questions!$A$3:$X$333,20,0)&amp;""</f>
        <v>Follow up with a robust question set if the solution provider cannot clearly state full control of their system patching strategy. Questions about patch testing, testing environments, threat mitigation, incident remediation, etc., are appropriate.</v>
      </c>
      <c r="E64" s="228" t="s">
        <v>16</v>
      </c>
    </row>
    <row r="65" spans="1:5" ht="49.5" customHeight="1" x14ac:dyDescent="0.2">
      <c r="A65" s="57" t="s">
        <v>66</v>
      </c>
      <c r="B65" s="57" t="str">
        <f>VLOOKUP($A65,Questions!$A$3:$X$333,2,0)&amp;""</f>
        <v>Can your organization comply with institutional policies on privacy and data protection with regard to users of institutional systems, if required?*</v>
      </c>
      <c r="C65" s="57" t="str">
        <f>VLOOKUP($A65,Questions!$A$3:$X$333,19,0)&amp;""</f>
        <v>This is a general inquiry to determine if the solution provider has reviewed the institution's policies and is committed to complying with them.</v>
      </c>
      <c r="D65" s="57" t="str">
        <f>VLOOKUP($A65,Questions!$A$3:$X$333,20,0)&amp;""</f>
        <v>If a solution provider is vague in their response, follow up with direct questions about the institution's policies and ensure the expectation of compliance is clear with the solution provider.</v>
      </c>
    </row>
    <row r="66" spans="1:5" ht="51" customHeight="1" x14ac:dyDescent="0.2">
      <c r="A66" s="57" t="s">
        <v>67</v>
      </c>
      <c r="B66" s="57" t="str">
        <f>VLOOKUP($A66,Questions!$A$3:$X$333,2,0)&amp;""</f>
        <v>Is your company subject to the institution's geographic region's laws and regulations?*</v>
      </c>
      <c r="C66" s="57" t="str">
        <f>VLOOKUP($A66,Questions!$A$3:$X$333,19,0)&amp;""</f>
        <v>This is a general inquiry to determine if the solution provider is well-versed in applicable laws and regulations that apply in the institution's region of business operation.</v>
      </c>
      <c r="D66" s="57" t="str">
        <f>VLOOKUP($A66,Questions!$A$3:$X$333,20,0)&amp;""</f>
        <v>If a solution provider is vague in their response, follow up with direct questions about doing business in your state/region/country and any laws that are pertinent to the institution.</v>
      </c>
    </row>
    <row r="67" spans="1:5" ht="70.5" customHeight="1" x14ac:dyDescent="0.2">
      <c r="A67" s="57" t="s">
        <v>68</v>
      </c>
      <c r="B67" s="57" t="str">
        <f>VLOOKUP($A67,Questions!$A$3:$X$333,2,0)&amp;""</f>
        <v>Can you accommodate encryption requirements using open standards?</v>
      </c>
      <c r="C67" s="57" t="str">
        <f>VLOOKUP($A67,Questions!$A$3:$X$333,19,0)&amp;""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67" s="57" t="str">
        <f>VLOOKUP($A67,Questions!$A$3:$X$333,20,0)&amp;""</f>
        <v>If the solution provider cannot accommodate open standards encryption requirements, direct them to NIST's Cryptographic Standards and Guidelines document &lt;https://csrc.nist.gov/Projects/Cryptographic-Standards-and-Guidelines&gt;.</v>
      </c>
    </row>
    <row r="68" spans="1:5" ht="42.75" customHeight="1" x14ac:dyDescent="0.2">
      <c r="A68" s="57" t="s">
        <v>69</v>
      </c>
      <c r="B68" s="57" t="str">
        <f>VLOOKUP($A68,Questions!$A$3:$X$333,2,0)&amp;""</f>
        <v>Do you have a documented systems development life cycle (SDLC)?</v>
      </c>
      <c r="C68" s="57" t="str">
        <f>VLOOKUP($A68,Questions!$A$3:$X$333,19,0)&amp;""</f>
        <v>Mature solution lifecycle management can position a solution provider to sufficiently plan, implement, and manage systems that better protect institutional data.</v>
      </c>
      <c r="D68" s="57" t="str">
        <f>VLOOKUP($A68,Questions!$A$3:$X$333,20,0)&amp;""</f>
        <v>Although withdrawn by NIST, the Security Considerations in the Systems Development Life Cycle (SP 800-64r2) document is an excellent resource to provide guidance to solution providers (i.e., set expectations). Follow-up questions to SDLC use will be institution/implementation specific.</v>
      </c>
    </row>
    <row r="69" spans="1:5" ht="65.25" customHeight="1" x14ac:dyDescent="0.2">
      <c r="A69" s="57" t="s">
        <v>70</v>
      </c>
      <c r="B69" s="57" t="str">
        <f>VLOOKUP($A69,Questions!$A$3:$X$333,2,0)&amp;""</f>
        <v>Do you perform background screenings or multi-state background checks on all employees prior to their first day of work?</v>
      </c>
      <c r="C69" s="57" t="str">
        <f>VLOOKUP($A69,Questions!$A$3:$X$333,19,0)&amp;""</f>
        <v>The use of detective and preventive controls in the hiring process serves a valuable role in protecting institutional data. As these are often HR documented policies, a solution provider should have their practices well-documented and ready for review, upon request.</v>
      </c>
      <c r="D69" s="57" t="str">
        <f>VLOOKUP($A69,Questions!$A$3:$X$333,20,0)&amp;""</f>
        <v>Ask the solution provider if background checks and/or screening are conducted in any capacity, at any time during the employment period. Ask about the precautions they take to ensure the intellectual property is secured and inquire if user data is treated in an appropriate manner.</v>
      </c>
    </row>
    <row r="70" spans="1:5" ht="71.25" customHeight="1" x14ac:dyDescent="0.2">
      <c r="A70" s="57" t="s">
        <v>71</v>
      </c>
      <c r="B70" s="57" t="str">
        <f>VLOOKUP($A70,Questions!$A$3:$X$333,2,0)&amp;""</f>
        <v>Do you require new employees to fill out agreements and review policies?</v>
      </c>
      <c r="C70" s="57" t="str">
        <f>VLOOKUP($A70,Questions!$A$3:$X$333,19,0)&amp;""</f>
        <v>Setting the expectation of performance and increasing awareness of security-related responsibilities are part of these initial-hiring documents. Oftentimes these agreements and reviews are conducted during orientation for new employees.</v>
      </c>
      <c r="D70" s="57" t="str">
        <f>VLOOKUP($A70,Questions!$A$3:$X$333,20,0)&amp;""</f>
        <v>If a solution provider's practices are not clear, inquire about training requirements for employees, especially the frequency and scope of content.</v>
      </c>
    </row>
    <row r="71" spans="1:5" ht="128.25" customHeight="1" x14ac:dyDescent="0.2">
      <c r="A71" s="57" t="s">
        <v>72</v>
      </c>
      <c r="B71" s="57" t="str">
        <f>VLOOKUP($A71,Questions!$A$3:$X$333,2,0)&amp;""</f>
        <v>Do you have a documented information security policy?</v>
      </c>
      <c r="C71" s="57" t="str">
        <f>VLOOKUP($A71,Questions!$A$3:$X$333,19,0)&amp;""</f>
        <v>A shared security [responsibility] environment is expected of solution providers in today's world. Security offices alone cannot protect an institution's data. Information security, ingrained in an organization, is the best case scenario for the protection of institutional data. Security awareness and practice start in a solution provider's policies. The ability for the solution provider to respond effectively (and quickly) to a security incident is of the utmost importance. The size of a solution provider's security office will determine its capabilities during a security incident, but the incident response plan will oftentimes determine its effectiveness. Use the knowledge of this response when evaluating other solution provider statements, particularly when discussing degraded operation states.</v>
      </c>
      <c r="D71" s="57" t="str">
        <f>VLOOKUP($A71,Questions!$A$3:$X$333,20,0)&amp;""</f>
        <v>If the solution provider does not have an incident response plan, point them to the NIST Computer Security Incident Handling Guide &lt;https://csrc.nist.gov/publications/detail/sp/800-61/rev-2/final&gt;.</v>
      </c>
    </row>
    <row r="72" spans="1:5" s="58" customFormat="1" ht="67.5" customHeight="1" x14ac:dyDescent="0.2">
      <c r="A72" s="57" t="s">
        <v>73</v>
      </c>
      <c r="B72" s="57" t="str">
        <f>VLOOKUP($A72,Questions!$A$3:$X$333,2,0)&amp;""</f>
        <v>Are information security principles designed into the product lifecycle?</v>
      </c>
      <c r="C72" s="57" t="str">
        <f>VLOOKUP($A72,Questions!$A$3:$X$333,19,0)&amp;""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72" s="57" t="str">
        <f>VLOOKUP($A72,Questions!$A$3:$X$333,20,0)&amp;""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73" spans="1:5" ht="62.25" customHeight="1" x14ac:dyDescent="0.2">
      <c r="A73" s="57" t="s">
        <v>74</v>
      </c>
      <c r="B73" s="57" t="str">
        <f>VLOOKUP($A73,Questions!$A$3:$X$333,2,0)&amp;""</f>
        <v>Will you comply with applicable breach notification laws?</v>
      </c>
      <c r="C73" s="57" t="str">
        <f>VLOOKUP($A73,Questions!$A$3:$X$333,19,0)&amp;""</f>
        <v>This is a general inquiry to determine if the solution provider is well-versed in applicable laws and regulations that apply in the institution's region of business operation.</v>
      </c>
      <c r="D73" s="57" t="str">
        <f>VLOOKUP($A73,Questions!$A$3:$X$333,20,0)&amp;""</f>
        <v>If a solution provider is vague in their response, follow up with direct questions about doing business in your state/region/country and any laws that are pertinent to the institution.</v>
      </c>
    </row>
    <row r="74" spans="1:5" s="58" customFormat="1" ht="70.5" customHeight="1" x14ac:dyDescent="0.15">
      <c r="A74" s="57" t="s">
        <v>75</v>
      </c>
      <c r="B74" s="57" t="str">
        <f>VLOOKUP($A74,Questions!$A$3:$X$333,2,0)&amp;""</f>
        <v>Do you have an information security awareness program?</v>
      </c>
      <c r="C74" s="57" t="str">
        <f>VLOOKUP($A74,Questions!$A$3:$X$333,19,0)&amp;""</f>
        <v>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v>
      </c>
      <c r="D74" s="57" t="str">
        <f>VLOOKUP($A74,Questions!$A$3:$X$333,20,0)&amp;""</f>
        <v>Follow-up inquiries for information security awareness programs will be institution/implementation specific.</v>
      </c>
      <c r="E74" s="228" t="s">
        <v>16</v>
      </c>
    </row>
    <row r="75" spans="1:5" ht="57" customHeight="1" x14ac:dyDescent="0.2">
      <c r="A75" s="57" t="s">
        <v>76</v>
      </c>
      <c r="B75" s="57" t="str">
        <f>VLOOKUP($A75,Questions!$A$3:$X$333,2,0)&amp;""</f>
        <v>Is security awareness training mandatory for all employees?</v>
      </c>
      <c r="C75" s="57" t="str">
        <f>VLOOKUP($A75,Questions!$A$3:$X$333,19,0)&amp;""</f>
        <v>Setting the expectation of security-related responsibilities throughout an organization is favored in an information security awareness program. Solution Providers without an information security awareness campaign should be met with scrutiny on how security policies and procedures are implemented in their environment.</v>
      </c>
      <c r="D75" s="57" t="str">
        <f>VLOOKUP($A75,Questions!$A$3:$X$333,20,0)&amp;""</f>
        <v>Follow-up inquiries for information security awareness programs will be institution/implementation specific.</v>
      </c>
    </row>
    <row r="76" spans="1:5" ht="72" customHeight="1" x14ac:dyDescent="0.2">
      <c r="A76" s="57" t="s">
        <v>77</v>
      </c>
      <c r="B76" s="57" t="str">
        <f>VLOOKUP($A76,Questions!$A$3:$X$333,2,0)&amp;""</f>
        <v>Do you have process and procedure(s) documented, and currently followed, that require a review and update of the access list(s) for privileged accounts?</v>
      </c>
      <c r="C76" s="57" t="str">
        <f>VLOOKUP($A76,Questions!$A$3:$X$333,19,0)&amp;""</f>
        <v>Protecting privileged accounts is crucial to maintaining system integrity in any environment. This question is targeting privilege creep and unmanaged privileged accounts to determine if the solution provider properly manages access control in their application/system environments.</v>
      </c>
      <c r="D76" s="57" t="str">
        <f>VLOOKUP($A76,Questions!$A$3:$X$333,20,0)&amp;""</f>
        <v>Ask the solution provider to summarize their implemented policies and/or procedures.</v>
      </c>
    </row>
    <row r="77" spans="1:5" ht="72" customHeight="1" x14ac:dyDescent="0.2">
      <c r="A77" s="57" t="s">
        <v>78</v>
      </c>
      <c r="B77" s="57" t="str">
        <f>VLOOKUP($A77,Questions!$A$3:$X$333,2,0)&amp;""</f>
        <v>Do you have documented, and currently implemented, internal audit processes and procedures?</v>
      </c>
      <c r="C77" s="57" t="str">
        <f>VLOOKUP($A77,Questions!$A$3:$X$333,19,0)&amp;""</f>
        <v>The role of an internal auditor is to verify implemented controls and highlight areas in need of improvement. Solution Providers without internal audit processes and procedures should be met with scrutiny on how security policies and procedures are monitored and verified in their environment.</v>
      </c>
      <c r="D77" s="57" t="str">
        <f>VLOOKUP($A77,Questions!$A$3:$X$333,20,0)&amp;""</f>
        <v>Follow-up inquiries for internal audit processes and procedures will be institution/implementation specific.</v>
      </c>
    </row>
    <row r="78" spans="1:5" ht="54.75" customHeight="1" x14ac:dyDescent="0.2">
      <c r="A78" s="57" t="s">
        <v>79</v>
      </c>
      <c r="B78" s="57" t="str">
        <f>VLOOKUP($A78,Questions!$A$3:$X$333,2,0)&amp;""</f>
        <v>Does your organization have physical security controls and policies in place?</v>
      </c>
      <c r="C78" s="57" t="str">
        <f>VLOOKUP($A78,Questions!$A$3:$X$333,19,0)&amp;""</f>
        <v>This question aims to understand the physical security state of the solution provider's operating environment and whether or not physical assets are appropriately protected.</v>
      </c>
      <c r="D78" s="57" t="str">
        <f>VLOOKUP($A78,Questions!$A$3:$X$333,20,0)&amp;""</f>
        <v>Follow-up inquiries for physical security controls and policies will be institution/implementation specific.</v>
      </c>
    </row>
    <row r="79" spans="1:5" ht="18" customHeight="1" x14ac:dyDescent="0.2">
      <c r="A79" s="61" t="str">
        <f>VLOOKUP(LEFT($A80,4),'Auto Responses'!$N$4:$O$38,2,0)&amp;""</f>
        <v xml:space="preserve"> Authentication, Authorization, and Account Management</v>
      </c>
      <c r="B79" s="61"/>
      <c r="C79" s="56" t="str">
        <f>Questions!$S$2</f>
        <v>Reason for Question</v>
      </c>
      <c r="D79" s="56" t="str">
        <f>Questions!$T$2</f>
        <v>Follow-Up Inquiries/Responses</v>
      </c>
    </row>
    <row r="80" spans="1:5" ht="75" customHeight="1" x14ac:dyDescent="0.2">
      <c r="A80" s="57" t="s">
        <v>80</v>
      </c>
      <c r="B80" s="57" t="str">
        <f>VLOOKUP($A80,Questions!$A$3:$X$333,2,0)&amp;""</f>
        <v>Does your solution support single sign-on (SSO) protocols for user and administrator authentication?*</v>
      </c>
      <c r="C80" s="57" t="str">
        <f>VLOOKUP($A80,Questions!$A$3:$X$333,19,0)&amp;""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80" s="57" t="str">
        <f>VLOOKUP($A80,Questions!$A$3:$X$333,20,0)&amp;""</f>
        <v>Follow-up inquiries for IAM requirements will be institution/implementation specific.</v>
      </c>
    </row>
    <row r="81" spans="1:5" ht="67.5" customHeight="1" x14ac:dyDescent="0.2">
      <c r="A81" s="57" t="s">
        <v>81</v>
      </c>
      <c r="B81" s="57" t="str">
        <f>VLOOKUP($A81,Questions!$A$3:$X$333,2,0)&amp;""</f>
        <v>For customers not using SSO, does your solution support local authentication protocols for user and administrator authentication?*</v>
      </c>
      <c r="C81" s="57" t="str">
        <f>VLOOKUP($A81,Questions!$A$3:$X$333,19,0)&amp;""</f>
        <v xml:space="preserve">The purpose of this question is understand the solution provider's authentication infrastructure so that additional questions can be formulated for the institution's use case. If you will be using SSO, consider marking this question as "Do Not Score" in column J of the evaluation tab. </v>
      </c>
      <c r="D81" s="57" t="str">
        <f>VLOOKUP($A81,Questions!$A$3:$X$333,20,0)&amp;""</f>
        <v>The content of this response may or may not have value for the type of use case on the institution. Follow-up inquiries for authentication modes will be institution/implementation specific.</v>
      </c>
    </row>
    <row r="82" spans="1:5" s="58" customFormat="1" ht="53.25" customHeight="1" x14ac:dyDescent="0.2">
      <c r="A82" s="57" t="s">
        <v>82</v>
      </c>
      <c r="B82" s="57" t="str">
        <f>VLOOKUP($A82,Questions!$A$3:$X$333,2,0)&amp;""</f>
        <v>For customers not using SSO, can you enforce password/passphrase complexity requirements (provided by the institution)?*</v>
      </c>
      <c r="C82" s="57" t="str">
        <f>VLOOKUP($A82,Questions!$A$3:$X$333,19,0)&amp;""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2" s="57" t="str">
        <f>VLOOKUP($A82,Questions!$A$3:$X$333,20,0)&amp;""</f>
        <v>Follow-up inquiries for password/passphrase complexity requirements will be institution/implementation specific.</v>
      </c>
    </row>
    <row r="83" spans="1:5" ht="59.25" customHeight="1" x14ac:dyDescent="0.2">
      <c r="A83" s="57" t="s">
        <v>83</v>
      </c>
      <c r="B83" s="57" t="str">
        <f>VLOOKUP($A83,Questions!$A$3:$X$333,2,0)&amp;""</f>
        <v>For customers not using SSO, does the system have password complexity or length limitations and/or restrictions?*</v>
      </c>
      <c r="C83" s="57" t="str">
        <f>VLOOKUP($A83,Questions!$A$3:$X$333,19,0)&amp;""</f>
        <v xml:space="preserve">Many institutions have a policy focused on passwords/passphrases, and this question confirms the capacity of a solution provider's solution to comply. If you will be using SSO, consider marking this question as "Do Not Score" in column J of the evaluation tab. </v>
      </c>
      <c r="D83" s="57" t="str">
        <f>VLOOKUP($A83,Questions!$A$3:$X$333,20,0)&amp;""</f>
        <v>Follow-up inquiries for password/passphrase limitations and/or restrictions will be institution/implementation specific.</v>
      </c>
    </row>
    <row r="84" spans="1:5" ht="72.75" customHeight="1" x14ac:dyDescent="0.2">
      <c r="A84" s="57" t="s">
        <v>84</v>
      </c>
      <c r="B84" s="57" t="str">
        <f>VLOOKUP($A84,Questions!$A$3:$X$333,2,0)&amp;""</f>
        <v>For customers not using SSO, do you have documented password/passphrase reset procedures that are currently implemented in the system and/or customer support?*</v>
      </c>
      <c r="C84" s="57" t="str">
        <f>VLOOKUP($A84,Questions!$A$3:$X$333,19,0)&amp;""</f>
        <v xml:space="preserve">Account management can be a time-consuming part of an information system. Account reset capabilities, built into a system, can reduce burden on institutional support services. If you will be using SSO, consider marking this question as "Do Not Score" in column J of the evaluation tab. </v>
      </c>
      <c r="D84" s="57" t="str">
        <f>VLOOKUP($A84,Questions!$A$3:$X$333,20,0)&amp;""</f>
        <v>Ask the solution provider how end users will be supported. Ask for training documentation or knowledgebase content. Confirm solution provider and institution responsibilities in this support area (and others).</v>
      </c>
    </row>
    <row r="85" spans="1:5" ht="63" customHeight="1" x14ac:dyDescent="0.2">
      <c r="A85" s="57" t="s">
        <v>85</v>
      </c>
      <c r="B85" s="57" t="str">
        <f>VLOOKUP($A85,Questions!$A$3:$X$333,2,0)&amp;""</f>
        <v>Does your organization participate in InCommon or another eduGAIN-affiliated trust federation?*</v>
      </c>
      <c r="C85" s="57" t="str">
        <f>VLOOKUP($A85,Questions!$A$3:$X$333,19,0)&amp;""</f>
        <v>This question defines the solution provider's scope of federated identity practices and their willingness to embrace higher education requirements.</v>
      </c>
      <c r="D85" s="57" t="str">
        <f>VLOOKUP($A85,Questions!$A$3:$X$333,20,0)&amp;""</f>
        <v>If a solution provider indicates that a system is stand-alone and cannot integrate with community standards, follow up with maturity questions and ask about other commodity type functions or other system requirements your institution may have.</v>
      </c>
      <c r="E85" s="51"/>
    </row>
    <row r="86" spans="1:5" ht="52.5" customHeight="1" x14ac:dyDescent="0.2">
      <c r="A86" s="57" t="s">
        <v>86</v>
      </c>
      <c r="B86" s="57" t="str">
        <f>VLOOKUP($A86,Questions!$A$3:$X$333,2,0)&amp;""</f>
        <v>Are there any passwords/passphrases hard-coded into your systems or solutions?*</v>
      </c>
      <c r="C86" s="57" t="str">
        <f>VLOOKUP($A86,Questions!$A$3:$X$333,19,0)&amp;""</f>
        <v>The response to this question can reveal the use (or not) of coding best practices. If passwords/passphrases are hard-coded into systems/productions, the solution provider should provide robust details supporting why this is required.</v>
      </c>
      <c r="D86" s="57" t="str">
        <f>VLOOKUP($A86,Questions!$A$3:$X$333,20,0)&amp;""</f>
        <v>Vague responses to this question should be met with concern. Repeat the question if the first answer is insufficient. Ask pointedly to ensure the solution provider is not misunderstanding.</v>
      </c>
      <c r="E86" s="51"/>
    </row>
    <row r="87" spans="1:5" ht="55.5" customHeight="1" x14ac:dyDescent="0.2">
      <c r="A87" s="57" t="s">
        <v>87</v>
      </c>
      <c r="B87" s="57" t="str">
        <f>VLOOKUP($A87,Questions!$A$3:$X$333,2,0)&amp;""</f>
        <v>Are you storing any passwords in plaintext?*</v>
      </c>
      <c r="C87" s="57" t="str">
        <f>VLOOKUP($A87,Questions!$A$3:$X$333,19,0)&amp;""</f>
        <v>The focus of this question is confidentiality. It is a straightforward question confirming the encryption of user authentication details.</v>
      </c>
      <c r="D87" s="57" t="str">
        <f>VLOOKUP($A87,Questions!$A$3:$X$333,20,0)&amp;""</f>
        <v>Follow-up inquiries for password/passphrase encrypted storage will be institution/implementation specific.</v>
      </c>
    </row>
    <row r="88" spans="1:5" ht="58.5" customHeight="1" x14ac:dyDescent="0.2">
      <c r="A88" s="57" t="s">
        <v>88</v>
      </c>
      <c r="B88" s="57" t="str">
        <f>VLOOKUP($A88,Questions!$A$3:$X$333,2,0)&amp;""</f>
        <v>Are audit logs available that include AT LEAST all of the following: login, logout, actions performed, and source IP address?*</v>
      </c>
      <c r="C88" s="57" t="str">
        <f>VLOOKUP($A88,Questions!$A$3:$X$333,19,0)&amp;""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88" s="57" t="str">
        <f>VLOOKUP($A88,Questions!$A$3:$X$333,20,0)&amp;""</f>
        <v>If a weak response is given, it is appropriate to ask directed questions to get specific information. Ensure that questions are targeted to ensure responses will come from the appropriate party within the solution provider.</v>
      </c>
    </row>
    <row r="89" spans="1:5" ht="89.25" customHeight="1" x14ac:dyDescent="0.15">
      <c r="A89" s="57" t="s">
        <v>89</v>
      </c>
      <c r="B89" s="57" t="str">
        <f>VLOOKUP($A89,Questions!$A$3:$X$333,2,0)&amp;""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89" s="57" t="str">
        <f>VLOOKUP($A89,Questions!$A$3:$X$333,19,0)&amp;""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89" s="57" t="str">
        <f>VLOOKUP($A89,Questions!$A$3:$X$333,20,0)&amp;""</f>
        <v>If a weak response is given, it is appropriate to ask directed questions to get specific information. Ensure that questions are targeted to ensure responses will come from the appropriate party within the solution provider.</v>
      </c>
      <c r="E89" s="228" t="s">
        <v>16</v>
      </c>
    </row>
    <row r="90" spans="1:5" ht="69.75" customHeight="1" x14ac:dyDescent="0.2">
      <c r="A90" s="57" t="s">
        <v>90</v>
      </c>
      <c r="B90" s="57" t="str">
        <f>VLOOKUP($A90,Questions!$A$3:$X$333,2,0)&amp;""</f>
        <v>Can you provide the institution documentation regarding the retention period for those logs, how logs are protected, and whether they are accessible to the customer (and if so, how)?*</v>
      </c>
      <c r="C90" s="57" t="str">
        <f>VLOOKUP($A90,Questions!$A$3:$X$333,19,0)&amp;""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90" s="57" t="str">
        <f>VLOOKUP($A90,Questions!$A$3:$X$333,20,0)&amp;""</f>
        <v>Follow-up inquiries for logging details will be institution/implementation specific.</v>
      </c>
    </row>
    <row r="91" spans="1:5" ht="78" customHeight="1" x14ac:dyDescent="0.2">
      <c r="A91" s="57" t="s">
        <v>91</v>
      </c>
      <c r="B91" s="57" t="str">
        <f>VLOOKUP($A91,Questions!$A$3:$X$333,2,0)&amp;""</f>
        <v>For customers not using SSO, does your application support integration with other authentication and authorization systems?</v>
      </c>
      <c r="C91" s="57" t="str">
        <f>VLOOKUP($A91,Questions!$A$3:$X$333,19,0)&amp;""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91" s="57" t="str">
        <f>VLOOKUP($A91,Questions!$A$3:$X$333,20,0)&amp;""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92" spans="1:5" ht="46.5" customHeight="1" x14ac:dyDescent="0.2">
      <c r="A92" s="57" t="s">
        <v>92</v>
      </c>
      <c r="B92" s="57" t="str">
        <f>VLOOKUP($A92,Questions!$A$3:$X$333,2,0)&amp;""</f>
        <v>Do you allow the customer to specify attribute mappings for any needed information beyond a user identifier? (e.g., Reference eduPerson, ePPA/ePPN/ePE)</v>
      </c>
      <c r="C92" s="57" t="str">
        <f>VLOOKUP($A92,Questions!$A$3:$X$333,19,0)&amp;""</f>
        <v>This questions allows an institution to know solution provider system limitations and to help them gauge the resources (that may be needed to implement) required to successfully integrate the solution with institution systems.</v>
      </c>
      <c r="D92" s="57" t="str">
        <f>VLOOKUP($A92,Questions!$A$3:$X$333,20,0)&amp;""</f>
        <v>Follow-up inquiries for attribute mapping requirements will be institution/implementation specific.</v>
      </c>
    </row>
    <row r="93" spans="1:5" ht="71.25" customHeight="1" x14ac:dyDescent="0.2">
      <c r="A93" s="57" t="s">
        <v>93</v>
      </c>
      <c r="B93" s="57" t="str">
        <f>VLOOKUP($A93,Questions!$A$3:$X$333,2,0)&amp;""</f>
        <v>For customers not using SSO, does your application support directory integration for user accounts?</v>
      </c>
      <c r="C93" s="57" t="str">
        <f>VLOOKUP($A93,Questions!$A$3:$X$333,19,0)&amp;""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93" s="57" t="str">
        <f>VLOOKUP($A93,Questions!$A$3:$X$333,20,0)&amp;""</f>
        <v>Follow-up inquiries for system authentication will be unique to your institution (e.g., policy, infrastructure, etc.).</v>
      </c>
    </row>
    <row r="94" spans="1:5" ht="57" customHeight="1" x14ac:dyDescent="0.2">
      <c r="A94" s="57" t="s">
        <v>94</v>
      </c>
      <c r="B94" s="57" t="str">
        <f>VLOOKUP($A94,Questions!$A$3:$X$333,2,0)&amp;""</f>
        <v>Does your solution support any of the following web SSO standards: SAML2 (with redirect flow), OIDC, CAS, or other?</v>
      </c>
      <c r="C94" s="57" t="str">
        <f>VLOOKUP($A94,Questions!$A$3:$X$333,19,0)&amp;""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94" s="57" t="str">
        <f>VLOOKUP($A94,Questions!$A$3:$X$333,20,0)&amp;""</f>
        <v>Follow-up inquiries for IAM requirements will be institution/implementation specific.</v>
      </c>
    </row>
    <row r="95" spans="1:5" ht="57" customHeight="1" x14ac:dyDescent="0.2">
      <c r="A95" s="57" t="s">
        <v>95</v>
      </c>
      <c r="B95" s="57" t="str">
        <f>VLOOKUP($A95,Questions!$A$3:$X$333,2,0)&amp;""</f>
        <v>Do you support differentiation between email address and user identifier?</v>
      </c>
      <c r="C95" s="57" t="str">
        <f>VLOOKUP($A95,Questions!$A$3:$X$333,19,0)&amp;""</f>
        <v>This questions allows an institution to know solution provider system limitations and to help them gauge the resources (that may be needed to implement) required to successfully integrate the solution with institution systems.</v>
      </c>
      <c r="D95" s="57" t="str">
        <f>VLOOKUP($A95,Questions!$A$3:$X$333,20,0)&amp;""</f>
        <v>Follow-up inquiries for identifier requirements will be institution/implementation specific.</v>
      </c>
    </row>
    <row r="96" spans="1:5" ht="67.5" customHeight="1" x14ac:dyDescent="0.2">
      <c r="A96" s="57" t="s">
        <v>96</v>
      </c>
      <c r="B96" s="57" t="str">
        <f>VLOOKUP($A96,Questions!$A$3:$X$333,2,0)&amp;""</f>
        <v>For customers not using SSO, does your application and/or user frontend/portal support multifactor authentication (e.g., Duo, Google Authenticator, OTP, etc.)?</v>
      </c>
      <c r="C96" s="57" t="str">
        <f>VLOOKUP($A96,Questions!$A$3:$X$333,19,0)&amp;""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96" s="57" t="str">
        <f>VLOOKUP($A96,Questions!$A$3:$X$333,20,0)&amp;""</f>
        <v>Ask the solution provider about hardware and software options, future roadmap for implementations and support, etc.</v>
      </c>
    </row>
    <row r="97" spans="1:5" ht="28.5" customHeight="1" x14ac:dyDescent="0.2">
      <c r="A97" s="57" t="s">
        <v>97</v>
      </c>
      <c r="B97" s="57" t="str">
        <f>VLOOKUP($A97,Questions!$A$3:$X$333,2,0)&amp;""</f>
        <v>Does your application automatically lock the session or log out an account after a period of inactivity?</v>
      </c>
      <c r="C97" s="57" t="str">
        <f>VLOOKUP($A97,Questions!$A$3:$X$333,19,0)&amp;""</f>
        <v>This is a question to ensure account integrity and institutional data confidentiality.</v>
      </c>
      <c r="D97" s="57" t="str">
        <f>VLOOKUP($A97,Questions!$A$3:$X$333,20,0)&amp;""</f>
        <v>Follow-up inquiries for inactivity protections will be institution/implementation specific.</v>
      </c>
    </row>
    <row r="98" spans="1:5" ht="35.25" customHeight="1" x14ac:dyDescent="0.2">
      <c r="A98" s="57" t="s">
        <v>87</v>
      </c>
      <c r="B98" s="57" t="str">
        <f>VLOOKUP($A98,Questions!$A$3:$X$333,2,0)&amp;""</f>
        <v>Are you storing any passwords in plaintext?*</v>
      </c>
      <c r="C98" s="57" t="str">
        <f>VLOOKUP($A98,Questions!$A$3:$X$333,19,0)&amp;""</f>
        <v>The focus of this question is confidentiality. It is a straightforward question confirming the encryption of user authentication details.</v>
      </c>
      <c r="D98" s="57" t="str">
        <f>VLOOKUP($A98,Questions!$A$3:$X$333,20,0)&amp;""</f>
        <v>Follow-up inquiries for password/passphrase encrypted storage will be institution/implementation specific.</v>
      </c>
    </row>
    <row r="99" spans="1:5" ht="72.75" customHeight="1" x14ac:dyDescent="0.2">
      <c r="A99" s="57" t="s">
        <v>88</v>
      </c>
      <c r="B99" s="57" t="str">
        <f>VLOOKUP($A99,Questions!$A$3:$X$333,2,0)&amp;""</f>
        <v>Are audit logs available that include AT LEAST all of the following: login, logout, actions performed, and source IP address?*</v>
      </c>
      <c r="C99" s="57" t="str">
        <f>VLOOKUP($A99,Questions!$A$3:$X$333,19,0)&amp;""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99" s="57" t="str">
        <f>VLOOKUP($A99,Questions!$A$3:$X$333,20,0)&amp;""</f>
        <v>If a weak response is given, it is appropriate to ask directed questions to get specific information. Ensure that questions are targeted to ensure responses will come from the appropriate party within the solution provider.</v>
      </c>
    </row>
    <row r="100" spans="1:5" ht="92.25" customHeight="1" x14ac:dyDescent="0.2">
      <c r="A100" s="57" t="s">
        <v>89</v>
      </c>
      <c r="B100" s="57" t="str">
        <f>VLOOKUP($A100,Questions!$A$3:$X$333,2,0)&amp;""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00" s="57" t="str">
        <f>VLOOKUP($A100,Questions!$A$3:$X$333,19,0)&amp;""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system-related logs (including but not limited to events, state changes, control modification, etc.).</v>
      </c>
      <c r="D100" s="57" t="str">
        <f>VLOOKUP($A100,Questions!$A$3:$X$333,20,0)&amp;""</f>
        <v>If a weak response is given, it is appropriate to ask directed questions to get specific information. Ensure that questions are targeted to ensure responses will come from the appropriate party within the solution provider.</v>
      </c>
    </row>
    <row r="101" spans="1:5" ht="65.25" customHeight="1" x14ac:dyDescent="0.2">
      <c r="A101" s="57" t="s">
        <v>90</v>
      </c>
      <c r="B101" s="57" t="str">
        <f>VLOOKUP($A101,Questions!$A$3:$X$333,2,0)&amp;""</f>
        <v>Can you provide the institution documentation regarding the retention period for those logs, how logs are protected, and whether they are accessible to the customer (and if so, how)?*</v>
      </c>
      <c r="C101" s="57" t="str">
        <f>VLOOKUP($A101,Questions!$A$3:$X$333,19,0)&amp;""</f>
        <v>There are multiple components of this question. When assessing, ensure that the solution provider responds to them all. Logs that are not properly managed may not be available when needed. The purpose of this question is to ensure that the solution provider has a proper security mindset to ensure proper monitoring practices.</v>
      </c>
      <c r="D101" s="57" t="str">
        <f>VLOOKUP($A101,Questions!$A$3:$X$333,20,0)&amp;""</f>
        <v>Follow-up inquiries for logging details will be institution/implementation specific.</v>
      </c>
    </row>
    <row r="102" spans="1:5" ht="77.25" customHeight="1" x14ac:dyDescent="0.2">
      <c r="A102" s="57" t="s">
        <v>91</v>
      </c>
      <c r="B102" s="57" t="str">
        <f>VLOOKUP($A102,Questions!$A$3:$X$333,2,0)&amp;""</f>
        <v>For customers not using SSO, does your application support integration with other authentication and authorization systems?</v>
      </c>
      <c r="C102" s="57" t="str">
        <f>VLOOKUP($A102,Questions!$A$3:$X$333,19,0)&amp;""</f>
        <v xml:space="preserve">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 If you will be using SSO, consider marking this question as "Do Not Score" in column J of the evaluation tab. </v>
      </c>
      <c r="D102" s="57" t="str">
        <f>VLOOKUP($A102,Questions!$A$3:$X$333,20,0)&amp;""</f>
        <v>If a solution provider indicates that a system is stand-alone and cannot integrate with the institution's infrastructure, follow up with maturity questions and ask about other commodity type functions or other system requirements your institution may have.</v>
      </c>
    </row>
    <row r="103" spans="1:5" ht="57.75" customHeight="1" x14ac:dyDescent="0.2">
      <c r="A103" s="57" t="s">
        <v>92</v>
      </c>
      <c r="B103" s="57" t="str">
        <f>VLOOKUP($A103,Questions!$A$3:$X$333,2,0)&amp;""</f>
        <v>Do you allow the customer to specify attribute mappings for any needed information beyond a user identifier? (e.g., Reference eduPerson, ePPA/ePPN/ePE)</v>
      </c>
      <c r="C103" s="57" t="str">
        <f>VLOOKUP($A103,Questions!$A$3:$X$333,19,0)&amp;""</f>
        <v>This questions allows an institution to know solution provider system limitations and to help them gauge the resources (that may be needed to implement) required to successfully integrate the solution with institution systems.</v>
      </c>
      <c r="D103" s="57" t="str">
        <f>VLOOKUP($A103,Questions!$A$3:$X$333,20,0)&amp;""</f>
        <v>Follow-up inquiries for attribute mapping requirements will be institution/implementation specific.</v>
      </c>
      <c r="E103" s="51"/>
    </row>
    <row r="104" spans="1:5" ht="74.25" customHeight="1" x14ac:dyDescent="0.2">
      <c r="A104" s="57" t="s">
        <v>93</v>
      </c>
      <c r="B104" s="57" t="str">
        <f>VLOOKUP($A104,Questions!$A$3:$X$333,2,0)&amp;""</f>
        <v>For customers not using SSO, does your application support directory integration for user accounts?</v>
      </c>
      <c r="C104" s="57" t="str">
        <f>VLOOKUP($A104,Questions!$A$3:$X$333,19,0)&amp;""</f>
        <v xml:space="preserve">System (technical and security) administration is complex, and it is important to understand a system's capabilities to integrate with existing security and access systems. Having to maintain additional accounts increases overhead and may impact your institution's risk footprint. If you will be using SSO, consider marking this question as "Do Not Score" in column J of the evaluation tab. </v>
      </c>
      <c r="D104" s="57" t="str">
        <f>VLOOKUP($A104,Questions!$A$3:$X$333,20,0)&amp;""</f>
        <v>Follow-up inquiries for system authentication will be unique to your institution (e.g., policy, infrastructure, etc.).</v>
      </c>
    </row>
    <row r="105" spans="1:5" ht="67.5" customHeight="1" x14ac:dyDescent="0.2">
      <c r="A105" s="57" t="s">
        <v>94</v>
      </c>
      <c r="B105" s="57" t="str">
        <f>VLOOKUP($A105,Questions!$A$3:$X$333,2,0)&amp;""</f>
        <v>Does your solution support any of the following web SSO standards: SAML2 (with redirect flow), OIDC, CAS, or other?</v>
      </c>
      <c r="C105" s="57" t="str">
        <f>VLOOKUP($A105,Questions!$A$3:$X$333,19,0)&amp;""</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105" s="57" t="str">
        <f>VLOOKUP($A105,Questions!$A$3:$X$333,20,0)&amp;""</f>
        <v>Follow-up inquiries for IAM requirements will be institution/implementation specific.</v>
      </c>
    </row>
    <row r="106" spans="1:5" ht="52.5" customHeight="1" x14ac:dyDescent="0.2">
      <c r="A106" s="57" t="s">
        <v>95</v>
      </c>
      <c r="B106" s="57" t="str">
        <f>VLOOKUP($A106,Questions!$A$3:$X$333,2,0)&amp;""</f>
        <v>Do you support differentiation between email address and user identifier?</v>
      </c>
      <c r="C106" s="57" t="str">
        <f>VLOOKUP($A106,Questions!$A$3:$X$333,19,0)&amp;""</f>
        <v>This questions allows an institution to know solution provider system limitations and to help them gauge the resources (that may be needed to implement) required to successfully integrate the solution with institution systems.</v>
      </c>
      <c r="D106" s="57" t="str">
        <f>VLOOKUP($A106,Questions!$A$3:$X$333,20,0)&amp;""</f>
        <v>Follow-up inquiries for identifier requirements will be institution/implementation specific.</v>
      </c>
    </row>
    <row r="107" spans="1:5" ht="63.75" customHeight="1" x14ac:dyDescent="0.2">
      <c r="A107" s="57" t="s">
        <v>96</v>
      </c>
      <c r="B107" s="57" t="str">
        <f>VLOOKUP($A107,Questions!$A$3:$X$333,2,0)&amp;""</f>
        <v>For customers not using SSO, does your application and/or user frontend/portal support multifactor authentication (e.g., Duo, Google Authenticator, OTP, etc.)?</v>
      </c>
      <c r="C107" s="57" t="str">
        <f>VLOOKUP($A107,Questions!$A$3:$X$333,19,0)&amp;""</f>
        <v xml:space="preserve">2FA/MFA, implemented correctly, strengthens the security state of a system. 2FA/MFA is commonly implemented and in many use cases is a requirement for account protection purposes. If you will be using SSO, consider marking this question as "Do Not Score" in column J of the evaluation tab. </v>
      </c>
      <c r="D107" s="57" t="str">
        <f>VLOOKUP($A107,Questions!$A$3:$X$333,20,0)&amp;""</f>
        <v>Ask the solution provider about hardware and software options, future roadmap for implementations and support, etc.</v>
      </c>
    </row>
    <row r="108" spans="1:5" ht="36.75" customHeight="1" x14ac:dyDescent="0.15">
      <c r="A108" s="57" t="s">
        <v>97</v>
      </c>
      <c r="B108" s="57" t="str">
        <f>VLOOKUP($A108,Questions!$A$3:$X$333,2,0)&amp;""</f>
        <v>Does your application automatically lock the session or log out an account after a period of inactivity?</v>
      </c>
      <c r="C108" s="57" t="str">
        <f>VLOOKUP($A108,Questions!$A$3:$X$333,19,0)&amp;""</f>
        <v>This is a question to ensure account integrity and institutional data confidentiality.</v>
      </c>
      <c r="D108" s="57" t="str">
        <f>VLOOKUP($A108,Questions!$A$3:$X$333,20,0)&amp;""</f>
        <v>Follow-up inquiries for inactivity protections will be institution/implementation specific.</v>
      </c>
      <c r="E108" s="228" t="s">
        <v>16</v>
      </c>
    </row>
    <row r="109" spans="1:5" ht="18" customHeight="1" x14ac:dyDescent="0.2">
      <c r="A109" s="61" t="str">
        <f>VLOOKUP(LEFT($A110,4),'Auto Responses'!$N$4:$O$38,2,0)&amp;""</f>
        <v xml:space="preserve"> Data</v>
      </c>
      <c r="B109" s="61"/>
      <c r="C109" s="56" t="str">
        <f>Questions!$S$2</f>
        <v>Reason for Question</v>
      </c>
      <c r="D109" s="56" t="str">
        <f>Questions!$T$2</f>
        <v>Follow-Up Inquiries/Responses</v>
      </c>
    </row>
    <row r="110" spans="1:5" ht="51" customHeight="1" x14ac:dyDescent="0.2">
      <c r="A110" s="57" t="s">
        <v>98</v>
      </c>
      <c r="B110" s="57" t="str">
        <f>VLOOKUP($A110,Questions!$A$3:$X$333,2,0)&amp;""</f>
        <v>Will the institution's data be stored on any devices (database servers, file servers, SAN, NAS, etc.) configured with non-RFC 1918/4193 (i.e., publicly routable) IP addresses?*</v>
      </c>
      <c r="C110" s="57" t="str">
        <f>VLOOKUP($A110,Questions!$A$3:$X$333,19,0)&amp;""</f>
        <v>Systems that are directly exposed to public internet resources are at greater risk than those that are not. Understanding the requirements for this configuration is important, particularly when assessing compensating controls.</v>
      </c>
      <c r="D110" s="57" t="str">
        <f>VLOOKUP($A110,Questions!$A$3:$X$333,20,0)&amp;""</f>
        <v>Ask the solution provider about its infrastructure and if there is a solution that eliminates the need for this environment.</v>
      </c>
    </row>
    <row r="111" spans="1:5" ht="57" customHeight="1" x14ac:dyDescent="0.2">
      <c r="A111" s="57" t="s">
        <v>99</v>
      </c>
      <c r="B111" s="57" t="str">
        <f>VLOOKUP($A111,Questions!$A$3:$X$333,2,0)&amp;""</f>
        <v>Is the transport of sensitive data encrypted using security protocols/algorithms (e.g., system-to-client)?*</v>
      </c>
      <c r="C111" s="57" t="str">
        <f>VLOOKUP($A111,Questions!$A$3:$X$333,19,0)&amp;""</f>
        <v>The need for encryption in transport is unique to your institution's implementation of a system. In particular, the data flow between the system and the end users of the solution.</v>
      </c>
      <c r="D111" s="57" t="str">
        <f>VLOOKUP($A111,Questions!$A$3:$X$333,20,0)&amp;""</f>
        <v>Follow-up inquiries for data encryption between the system and end-users will be institution/implementation specific.</v>
      </c>
    </row>
    <row r="112" spans="1:5" ht="75.75" customHeight="1" x14ac:dyDescent="0.2">
      <c r="A112" s="57" t="s">
        <v>100</v>
      </c>
      <c r="B112" s="57" t="str">
        <f>VLOOKUP($A112,Questions!$A$3:$X$333,2,0)&amp;""</f>
        <v>Is the storage of sensitive data encrypted using security protocols/algorithms (e.g., disk encryption, at-rest, files, and within a running database)?*</v>
      </c>
      <c r="C112" s="57" t="str">
        <f>VLOOKUP($A112,Questions!$A$3:$X$333,19,0)&amp;""</f>
        <v>The need for encryption at-rest is unique to your institution's implementation of a system. In particular, system components, architectures, and data flows all factor into the need for this control.</v>
      </c>
      <c r="D112" s="57" t="str">
        <f>VLOOKUP($A112,Questions!$A$3:$X$333,20,0)&amp;""</f>
        <v>Follow-up inquiries for data encryption at-rest will be institution/implementation specific.</v>
      </c>
    </row>
    <row r="113" spans="1:5" ht="68.25" customHeight="1" x14ac:dyDescent="0.2">
      <c r="A113" s="57" t="s">
        <v>101</v>
      </c>
      <c r="B113" s="57" t="str">
        <f>VLOOKUP($A113,Questions!$A$3:$X$333,2,0)&amp;""</f>
        <v>Do all cryptographic modules in use in your solution conform to the Federal Information Processing Standards (FIPS PUB 140-2 or 140-3)?*</v>
      </c>
      <c r="C113" s="57" t="str">
        <f>VLOOKUP($A113,Questions!$A$3:$X$333,19,0)&amp;""</f>
        <v>Beware the use of proprietary encryption implementations. Open standard encryption, preferably mature, is often preferred. Although there may be cases in which that is not the case, be sure to understand the solution provider's infrastructure and the true security of a solution provider's solution.</v>
      </c>
      <c r="D113" s="57" t="str">
        <f>VLOOKUP($A113,Questions!$A$3:$X$333,20,0)&amp;""</f>
        <v>If the solution provider cannot accommodate open standards encryption requirements, direct them to NIST's Cryptographic Standards and Guidelines document &lt;https://csrc.nist.gov/Projects/Cryptographic-Standards-and-Guidelines&gt;.</v>
      </c>
      <c r="E113" s="51"/>
    </row>
    <row r="114" spans="1:5" ht="54" customHeight="1" x14ac:dyDescent="0.2">
      <c r="A114" s="57" t="s">
        <v>102</v>
      </c>
      <c r="B114" s="57" t="str">
        <f>VLOOKUP($A114,Questions!$A$3:$X$333,2,0)&amp;""</f>
        <v>Will the institution's data be available within the system for a period of time at the completion of this contract?*</v>
      </c>
      <c r="C114" s="57" t="str">
        <f>VLOOKUP($A114,Questions!$A$3:$X$333,19,0)&amp;""</f>
        <v>When cancelling a solution, an institution will commonly want all institutional data that was provided to a solution provider. This questions allows the solution provider to state their general practices when a customer leaves their environment.</v>
      </c>
      <c r="D114" s="57" t="str">
        <f>VLOOKUP($A114,Questions!$A$3:$X$333,20,0)&amp;""</f>
        <v>A solution provider's response should be clear and concise. Be wary of vague responses to this questions and inquire about export specifics, as needed.</v>
      </c>
      <c r="E114" s="51"/>
    </row>
    <row r="115" spans="1:5" ht="51" customHeight="1" x14ac:dyDescent="0.2">
      <c r="A115" s="57" t="s">
        <v>103</v>
      </c>
      <c r="B115" s="57" t="str">
        <f>VLOOKUP($A115,Questions!$A$3:$X$333,2,0)&amp;""</f>
        <v>Are ownership rights to all data, inputs, outputs, and metadata retained even through a provider acquisition or bankruptcy event?*</v>
      </c>
      <c r="C115" s="57" t="str">
        <f>VLOOKUP($A115,Questions!$A$3:$X$333,19,0)&amp;""</f>
        <v>This question clarifies the position of the institution in the case of acquisition or bankruptcy. Expect clear responses to this question. If they are vague, be sure to follow up based on institutional counsel guidance.</v>
      </c>
      <c r="D115" s="57" t="str">
        <f>VLOOKUP($A115,Questions!$A$3:$X$333,20,0)&amp;""</f>
        <v>If a solution provider's response is unsatisfactory, engage institutional counsel to appropriately address any ownership concerns.</v>
      </c>
    </row>
    <row r="116" spans="1:5" ht="61.5" customHeight="1" x14ac:dyDescent="0.2">
      <c r="A116" s="57" t="s">
        <v>104</v>
      </c>
      <c r="B116" s="57" t="str">
        <f>VLOOKUP($A116,Questions!$A$3:$X$333,2,0)&amp;""</f>
        <v>Do backups containing the institution's data ever leave the institution's data zone either physically or via network routing?*</v>
      </c>
      <c r="C116" s="57" t="str">
        <f>VLOOKUP($A116,Questions!$A$3:$X$333,19,0)&amp;""</f>
        <v>Data exposure is a risk if sensitive data is in any way transported (physically or electronically) into a data zone that is not authorized by the institution. Depending on the criticality of data and institution policy, full control of data confidentiality may be highly valued.</v>
      </c>
      <c r="D116" s="57" t="str">
        <f>VLOOKUP($A116,Questions!$A$3:$X$333,20,0)&amp;""</f>
        <v>Follow-up inquiries for data backup procedures/practices will be institution/implementation specific.</v>
      </c>
    </row>
    <row r="117" spans="1:5" ht="66.75" customHeight="1" x14ac:dyDescent="0.2">
      <c r="A117" s="57" t="s">
        <v>105</v>
      </c>
      <c r="B117" s="57" t="str">
        <f>VLOOKUP($A117,Questions!$A$3:$X$333,2,0)&amp;""</f>
        <v>Is media used for long-term retention of business data and archival purposes stored in a secure, environmentally protected area?*</v>
      </c>
      <c r="C117" s="57" t="str">
        <f>VLOOKUP($A117,Questions!$A$3:$X$333,19,0)&amp;""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17" s="57" t="str">
        <f>VLOOKUP($A117,Questions!$A$3:$X$333,20,0)&amp;""</f>
        <v>Vague responses to this question should be investigated further. Ask for additional documentation and verify that procedure (and possibly training) exists to ensure proper media handling activity.</v>
      </c>
    </row>
    <row r="118" spans="1:5" ht="86.25" customHeight="1" x14ac:dyDescent="0.2">
      <c r="A118" s="57" t="s">
        <v>106</v>
      </c>
      <c r="B118" s="57" t="str">
        <f>VLOOKUP($A118,Questions!$A$3:$X$333,2,0)&amp;""</f>
        <v>At the completion of this contract, will data be returned to the institution and/or deleted from all your systems and archives?</v>
      </c>
      <c r="C118" s="57" t="str">
        <f>VLOOKUP($A118,Questions!$A$3:$X$333,19,0)&amp;""</f>
        <v>When cancelling a solution, an institution will commonly want all institutional data that was provided to a solution provider. This question allows the solution provider to state its general practices when a customer leaves its environment.</v>
      </c>
      <c r="D118" s="57" t="str">
        <f>VLOOKUP($A118,Questions!$A$3:$X$333,20,0)&amp;""</f>
        <v>A solution provider's response should be clear and concise. Be wary of vague responses to this questions and inquire about export specifics, as needed.</v>
      </c>
    </row>
    <row r="119" spans="1:5" ht="42.75" customHeight="1" x14ac:dyDescent="0.2">
      <c r="A119" s="57" t="s">
        <v>107</v>
      </c>
      <c r="B119" s="57" t="str">
        <f>VLOOKUP($A119,Questions!$A$3:$X$333,2,0)&amp;""</f>
        <v>Can the institution extract a full or partial backup of data?</v>
      </c>
      <c r="C119" s="57" t="str">
        <f>VLOOKUP($A119,Questions!$A$3:$X$333,19,0)&amp;""</f>
        <v>When cancelling a solution, an institution will commonly want all institutional data that was provided to a solution provider. The solution provider's response should verify if the institution can extract data or if it is a manual extraction by solution provider staff.</v>
      </c>
      <c r="D119" s="57" t="str">
        <f>VLOOKUP($A119,Questions!$A$3:$X$333,20,0)&amp;""</f>
        <v>A solution provider's response should be clear and concise. Be wary of vague responses to this questions and inquire about export specifics, as needed.</v>
      </c>
    </row>
    <row r="120" spans="1:5" ht="49.5" customHeight="1" x14ac:dyDescent="0.2">
      <c r="A120" s="57" t="s">
        <v>108</v>
      </c>
      <c r="B120" s="57" t="str">
        <f>VLOOKUP($A120,Questions!$A$3:$X$333,2,0)&amp;""</f>
        <v>Do current backups include all operating system software, utilities, security software, application software, and data files necessary for recovery?</v>
      </c>
      <c r="C120" s="57" t="str">
        <f>VLOOKUP($A120,Questions!$A$3:$X$333,19,0)&amp;""</f>
        <v>The purpose of this question is to define the scope of backup operations and the scope at which a solution provider may readily recover when backup restoration is required.</v>
      </c>
      <c r="D120" s="57" t="str">
        <f>VLOOKUP($A120,Questions!$A$3:$X$333,20,0)&amp;""</f>
        <v>Follow-up inquiries for backup content scope will be institution/implementation specific.</v>
      </c>
    </row>
    <row r="121" spans="1:5" ht="64.5" customHeight="1" x14ac:dyDescent="0.2">
      <c r="A121" s="57" t="s">
        <v>109</v>
      </c>
      <c r="B121" s="57" t="str">
        <f>VLOOKUP($A121,Questions!$A$3:$X$333,2,0)&amp;""</f>
        <v>Are you performing off-site backups (i.e., digitally moved off site)?</v>
      </c>
      <c r="C121" s="57" t="str">
        <f>VLOOKUP($A121,Questions!$A$3:$X$333,19,0)&amp;""</f>
        <v>When data is moved digitally (e.g., cloud provider, solution provider-owned facility, etc.) off-site, the policies and implemented procedures are important to know. The protections implemented to prevent compromise will be technical in nature and should be well-documented.</v>
      </c>
      <c r="D121" s="57" t="str">
        <f>VLOOKUP($A121,Questions!$A$3:$X$333,20,0)&amp;""</f>
        <v>Follow-up inquiries for off-site, digital backups will be institution/implementation specific.</v>
      </c>
    </row>
    <row r="122" spans="1:5" ht="60.75" customHeight="1" x14ac:dyDescent="0.2">
      <c r="A122" s="57" t="s">
        <v>110</v>
      </c>
      <c r="B122" s="57" t="str">
        <f>VLOOKUP($A122,Questions!$A$3:$X$333,2,0)&amp;""</f>
        <v>Are physical backups taken off-site (i.e., physically moved off site)?</v>
      </c>
      <c r="C122" s="57" t="str">
        <f>VLOOKUP($A122,Questions!$A$3:$X$333,19,0)&amp;""</f>
        <v>When data is moved physically (e.g., print, etc.) off-site, the policies and implemented procedures are important to know. Unencrypted data taken outside secured areas introduces unnecessary risks.</v>
      </c>
      <c r="D122" s="57" t="str">
        <f>VLOOKUP($A122,Questions!$A$3:$X$333,20,0)&amp;""</f>
        <v>Follow-up inquiries for off-site, physical backups will be institution/implementation specific.</v>
      </c>
    </row>
    <row r="123" spans="1:5" ht="58.5" customHeight="1" x14ac:dyDescent="0.2">
      <c r="A123" s="57" t="s">
        <v>111</v>
      </c>
      <c r="B123" s="57" t="str">
        <f>VLOOKUP($A123,Questions!$A$3:$X$333,2,0)&amp;""</f>
        <v>Are data backups encrypted?</v>
      </c>
      <c r="C123" s="57" t="str">
        <f>VLOOKUP($A123,Questions!$A$3:$X$333,19,0)&amp;""</f>
        <v>The need for encryption at rest (for backups) is unique to your institution's implementation of a system. In particular, system components, architectures, and data flows all factor into the need for this control.</v>
      </c>
      <c r="D123" s="57" t="str">
        <f>VLOOKUP($A123,Questions!$A$3:$X$333,20,0)&amp;""</f>
        <v>Follow-up inquiries for data backup encryption at-rest will be institution/implementation specific.</v>
      </c>
    </row>
    <row r="124" spans="1:5" ht="57" customHeight="1" x14ac:dyDescent="0.2">
      <c r="A124" s="57" t="s">
        <v>112</v>
      </c>
      <c r="B124" s="57" t="str">
        <f>VLOOKUP($A124,Questions!$A$3:$X$333,2,0)&amp;""</f>
        <v>Do you have a media handling process that is documented and currently implemented that meets established business needs and regulatory requirements, including end-of-life, repurposing, and data-sanitization procedures?</v>
      </c>
      <c r="C124" s="57" t="str">
        <f>VLOOKUP($A124,Questions!$A$3:$X$333,19,0)&amp;""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24" s="57" t="str">
        <f>VLOOKUP($A124,Questions!$A$3:$X$333,20,0)&amp;""</f>
        <v>Vague responses to this question should be investigated further. Ask for additional documentation and verify that procedure (and possibly training) exists to ensure proper media handling activity.</v>
      </c>
    </row>
    <row r="125" spans="1:5" ht="66.75" customHeight="1" x14ac:dyDescent="0.15">
      <c r="A125" s="57" t="s">
        <v>113</v>
      </c>
      <c r="B125" s="57" t="str">
        <f>VLOOKUP($A125,Questions!$A$3:$X$333,2,0)&amp;""</f>
        <v>Does the process described in DATA-15 adhere to DoD 5220.22-M and/or NIST SP 800-88 standards?</v>
      </c>
      <c r="C125" s="57" t="str">
        <f>VLOOKUP($A125,Questions!$A$3:$X$333,19,0)&amp;""</f>
        <v>Managing media (and the data within) throughout its lifecycle is crucial to the protection of institutional data. The focus of this question is confidentiality, ensuring that media that may store institutional data is protected by well-established policy and procedure.</v>
      </c>
      <c r="D125" s="57" t="str">
        <f>VLOOKUP($A125,Questions!$A$3:$X$333,20,0)&amp;""</f>
        <v>Follow-up inquiries for DoD 5220.22-M and/or SP800-88 standards will be institution specific.</v>
      </c>
      <c r="E125" s="228" t="s">
        <v>16</v>
      </c>
    </row>
    <row r="126" spans="1:5" ht="57" customHeight="1" x14ac:dyDescent="0.2">
      <c r="A126" s="57" t="s">
        <v>114</v>
      </c>
      <c r="B126" s="57" t="str">
        <f>VLOOKUP($A126,Questions!$A$3:$X$333,2,0)&amp;""</f>
        <v>Does your staff (or third party) have access to institutional data (e.g., financial, PHI, or other sensitive information) through any means?</v>
      </c>
      <c r="C126" s="57" t="str">
        <f>VLOOKUP($A126,Questions!$A$3:$X$333,19,0)&amp;""</f>
        <v>Confidentiality is the focus of this question. Based on the capabilities of solution provider administrators, the institution may require additional safeguards to protect the confidentiality of data stored by or shared with a solution provider (e.g., additional layer of encryption, etc.).</v>
      </c>
      <c r="D126" s="57" t="str">
        <f>VLOOKUP($A126,Questions!$A$3:$X$333,20,0)&amp;""</f>
        <v>If institutional data is visible by the solution provider's system administrators, follow up with the solution provider to understand the scope of visibility, process/procedure that administrators follow, and use cases when administrators are allowed to access (view) institutional data.</v>
      </c>
    </row>
    <row r="127" spans="1:5" ht="143.25" customHeight="1" x14ac:dyDescent="0.2">
      <c r="A127" s="57" t="s">
        <v>115</v>
      </c>
      <c r="B127" s="57" t="str">
        <f>VLOOKUP($A127,Questions!$A$3:$X$333,2,0)&amp;""</f>
        <v>Do you have a documented and currently implemented strategy for securing employee workstations when they work remotely (i.e., not in a trusted computing environment)?</v>
      </c>
      <c r="C127" s="57" t="str">
        <f>VLOOKUP($A127,Questions!$A$3:$X$333,19,0)&amp;""</f>
        <v>Telecommuting in the IT world is the norm, and an institution should know that proper safeguards are in place when remote access is allowed. Solution Provider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solution provider's response to this question will provide insight into their overall business process. Solution Provider business activity that poses additional security risks should be met with increased concern.</v>
      </c>
      <c r="D127" s="57" t="str">
        <f>VLOOKUP($A127,Questions!$A$3:$X$333,20,0)&amp;""</f>
        <v>Vague responses to this question should be investigated further. Ask for additional documentation and verify that procedure (and possibly training) exists to ensure proper customer data handling activity.</v>
      </c>
    </row>
    <row r="128" spans="1:5" ht="91.5" customHeight="1" x14ac:dyDescent="0.2">
      <c r="A128" s="57" t="s">
        <v>116</v>
      </c>
      <c r="B128" s="57" t="str">
        <f>VLOOKUP($A128,Questions!$A$3:$X$333,2,0)&amp;""</f>
        <v>Does the environment provide for dedicated single-tenant capabilities? If not, describe how your solution or environment separates data from different customers (e.g., logically, physically, single tenancy, multi-tenancy).</v>
      </c>
      <c r="C128" s="57" t="str">
        <f>VLOOKUP($A128,Questions!$A$3:$X$333,19,0)&amp;""</f>
        <v>A solution provider's response to this question can reveal a system's infrastructure quickly. Off-point responses are common here, so general follow-up is often needed. Understanding how a solution provider segments its customers' data (or doesn't) affects various other controls, including network settings, use of encryption, access controls, etc. A solution provider's response here will influence potential follow-up inquiries for other HECVAT questions.</v>
      </c>
      <c r="D128" s="57" t="str">
        <f>VLOOKUP($A128,Questions!$A$3:$X$333,20,0)&amp;""</f>
        <v>Follow-up inquiries for dedicated single-tenant capabilities will be institution/implementation specific.</v>
      </c>
    </row>
    <row r="129" spans="1:5" ht="73.5" customHeight="1" x14ac:dyDescent="0.2">
      <c r="A129" s="57" t="s">
        <v>117</v>
      </c>
      <c r="B129" s="57" t="str">
        <f>VLOOKUP($A129,Questions!$A$3:$X$333,2,0)&amp;""</f>
        <v>Are ownership rights to all data, inputs, outputs, and metadata retained by the institution?</v>
      </c>
      <c r="C129" s="57" t="str">
        <f>VLOOKUP($A129,Questions!$A$3:$X$333,19,0)&amp;""</f>
        <v>This question clarifies the operating model of a solution provider and provides insight into the solution provider-customer paradigm of a company. Knowing whether the institution is of value to a solution provider or if the institution's data is of value to a solution provider should weigh heavily in the decision-making process.</v>
      </c>
      <c r="D129" s="57" t="str">
        <f>VLOOKUP($A129,Questions!$A$3:$X$333,20,0)&amp;""</f>
        <v>If a solution provider's response is unsatisfactory, engage institutional counsel to appropriately address any ownership concerns.</v>
      </c>
      <c r="E129" s="51"/>
    </row>
    <row r="130" spans="1:5" ht="64.5" customHeight="1" x14ac:dyDescent="0.2">
      <c r="A130" s="57" t="s">
        <v>118</v>
      </c>
      <c r="B130" s="57" t="str">
        <f>VLOOKUP($A130,Questions!$A$3:$X$333,2,0)&amp;""</f>
        <v>In the event of imminent bankruptcy, closing of business, or retirement of service, will you provide 90 days for customers to get their data out of the system and migrate applications?</v>
      </c>
      <c r="C130" s="57" t="str">
        <f>VLOOKUP($A130,Questions!$A$3:$X$333,19,0)&amp;""</f>
        <v>This question clarifies the position of the institution in the case of acquisition or bankruptcy. Expect clear responses to this question. If they are vague, be sure to follow up based on institutional counsel guidance.</v>
      </c>
      <c r="D130" s="57" t="str">
        <f>VLOOKUP($A130,Questions!$A$3:$X$333,20,0)&amp;""</f>
        <v>If a solution provider's response is unsatisfactory, engage institutional counsel to appropriately address any ownership concerns.</v>
      </c>
      <c r="E130" s="51"/>
    </row>
    <row r="131" spans="1:5" ht="66.75" customHeight="1" x14ac:dyDescent="0.2">
      <c r="A131" s="57" t="s">
        <v>119</v>
      </c>
      <c r="B131" s="57" t="str">
        <f>VLOOKUP($A131,Questions!$A$3:$X$333,2,0)&amp;""</f>
        <v>Are involatile backup copies made according to predefined schedules and securely stored and protected?</v>
      </c>
      <c r="C131" s="57" t="str">
        <f>VLOOKUP($A131,Questions!$A$3:$X$333,19,0)&amp;""</f>
        <v>Restricting system updates to a standard maintenance timeframe is important for ensuring that changes to production systems do not impact operations. It’s also important for troubleshooting any problems that may occur as a result of the changes. Availability is the focus of this question.</v>
      </c>
      <c r="D131" s="57" t="str">
        <f>VLOOKUP($A131,Questions!$A$3:$X$333,20,0)&amp;""</f>
        <v>An institution's use case will drive the requirements for backup strategy. Ensure that the institution's use case and risk tolerance can be met by solution provider systems.</v>
      </c>
    </row>
    <row r="132" spans="1:5" ht="81.75" customHeight="1" x14ac:dyDescent="0.2">
      <c r="A132" s="57" t="s">
        <v>120</v>
      </c>
      <c r="B132" s="57" t="str">
        <f>VLOOKUP($A132,Questions!$A$3:$X$333,2,0)&amp;""</f>
        <v>Do you have a cryptographic key management process (generation, exchange, storage, safeguards, use, vetting, and replacement) that is documented and currently implemented, for all system components (e.g., database, system, web, etc.)?</v>
      </c>
      <c r="C132" s="57" t="str">
        <f>VLOOKUP($A132,Questions!$A$3:$X$333,19,0)&amp;""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32" s="57" t="str">
        <f>VLOOKUP($A132,Questions!$A$3:$X$333,20,0)&amp;""</f>
        <v>Follow up with the solution provider to ensure that all components of the system are considered. This includes system-to-system, system-to-client, applications, system accounts, etc.</v>
      </c>
    </row>
    <row r="133" spans="1:5" ht="18" customHeight="1" x14ac:dyDescent="0.2">
      <c r="A133" s="61" t="str">
        <f>VLOOKUP(LEFT($A134,4),'Auto Responses'!$N$4:$O$38,2,0)&amp;""</f>
        <v xml:space="preserve"> Application/Service Security</v>
      </c>
      <c r="B133" s="61"/>
      <c r="C133" s="56" t="str">
        <f>Questions!$S$2</f>
        <v>Reason for Question</v>
      </c>
      <c r="D133" s="56" t="str">
        <f>Questions!$T$2</f>
        <v>Follow-Up Inquiries/Responses</v>
      </c>
    </row>
    <row r="134" spans="1:5" ht="80.25" customHeight="1" x14ac:dyDescent="0.2">
      <c r="A134" s="62" t="s">
        <v>121</v>
      </c>
      <c r="B134" s="57" t="str">
        <f>VLOOKUP($A134,Questions!$A$3:$X$333,2,0)&amp;""</f>
        <v>Are access controls for institutional accounts based on structured rules, such as role-based access control (RBAC), attribute-based access control (ABAC), or policy-based access control (PBAC)?*</v>
      </c>
      <c r="C134" s="57" t="str">
        <f>VLOOKUP($A134,Questions!$A$3:$X$333,19,0)&amp;""</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solution under review. This question is specific to end users.</v>
      </c>
      <c r="D134" s="57" t="str">
        <f>VLOOKUP($A134,Questions!$A$3:$X$333,20,0)&amp;""</f>
        <v>Ask the solution provider to summarize the best practices to restrict/control the access given to the institution's end users without the use of RBAC. Make sure to understand the administrative requirements/overhead introduced in the solution provider's environment.</v>
      </c>
    </row>
    <row r="135" spans="1:5" ht="84" customHeight="1" x14ac:dyDescent="0.2">
      <c r="A135" s="57" t="s">
        <v>122</v>
      </c>
      <c r="B135" s="57" t="str">
        <f>VLOOKUP($A135,Questions!$A$3:$X$333,2,0)&amp;""</f>
        <v>Are you using a web application firewall (WAF)?*</v>
      </c>
      <c r="C135" s="57" t="str">
        <f>VLOOKUP($A135,Questions!$A$3:$X$333,19,0)&amp;""</f>
        <v>The use case, solution provider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solution provider has limited access to the code infrastructure.</v>
      </c>
      <c r="D135" s="57" t="str">
        <f>VLOOKUP($A135,Questions!$A$3:$X$333,20,0)&amp;""</f>
        <v>If a solution provider states that they outsource their code development and do not run a WAF, there is elevated reason for concern. Verify how code is tested, monitored, and controlled in production environments.</v>
      </c>
    </row>
    <row r="136" spans="1:5" ht="71.25" customHeight="1" x14ac:dyDescent="0.2">
      <c r="A136" s="57" t="s">
        <v>123</v>
      </c>
      <c r="B136" s="57" t="str">
        <f>VLOOKUP($A136,Questions!$A$3:$X$333,2,0)&amp;""</f>
        <v>Are only currently supported operating system(s), software, and libraries leveraged by the system(s)/application(s) that will have access to institution's data?*</v>
      </c>
      <c r="C136" s="57" t="str">
        <f>VLOOKUP($A136,Questions!$A$3:$X$333,19,0)&amp;""</f>
        <v>Solution Provider responses to this question provide clarity on environment constraints that may exist and/or influence future development, configurations, infrastructure, etc. Although the solution provider response may not directly affect end users, the risks of the underlying infrastructure are better understood.</v>
      </c>
      <c r="D136" s="57" t="str">
        <f>VLOOKUP($A136,Questions!$A$3:$X$333,20,0)&amp;""</f>
        <v>Follow-up inquiries for operating systems leveraged by the solution provider will be institution/implementation specific.</v>
      </c>
    </row>
    <row r="137" spans="1:5" ht="46.5" customHeight="1" x14ac:dyDescent="0.2">
      <c r="A137" s="57" t="s">
        <v>124</v>
      </c>
      <c r="B137" s="57" t="str">
        <f>VLOOKUP($A137,Questions!$A$3:$X$333,2,0)&amp;""</f>
        <v>Does your application require access to location or GPS data?*</v>
      </c>
      <c r="C137" s="57" t="str">
        <f>VLOOKUP($A137,Questions!$A$3:$X$333,19,0)&amp;""</f>
        <v>Sharing location data significantly increases risk factors for users. It's important to understand if this is required.</v>
      </c>
      <c r="D137" s="57" t="str">
        <f>VLOOKUP($A137,Questions!$A$3:$X$333,20,0)&amp;""</f>
        <v>Ask the solution provider about the need for this requirement, and understand any mitigation strategies that may be possible.</v>
      </c>
    </row>
    <row r="138" spans="1:5" ht="74.25" customHeight="1" x14ac:dyDescent="0.2">
      <c r="A138" s="57" t="s">
        <v>125</v>
      </c>
      <c r="B138" s="57" t="str">
        <f>VLOOKUP($A138,Questions!$A$3:$X$333,2,0)&amp;""</f>
        <v>Does your application provide separation of duties between security administration, system administration, and standard user functions?*</v>
      </c>
      <c r="C138" s="57" t="str">
        <f>VLOOKUP($A138,Questions!$A$3:$X$333,19,0)&amp;""</f>
        <v>Managing a solution may rely on various teams to administrate a system. In this question, it is security operations and systems administration. This question is focused on how system(s) administration, and the segregation of duties, are implemented in the solution provider's organization, so that system administrators do not also have security responsibilities (e.g., monitoring, mitigating, reporting, etc.).</v>
      </c>
      <c r="D138" s="57" t="str">
        <f>VLOOKUP($A138,Questions!$A$3:$X$333,20,0)&amp;""</f>
        <v>Ask the solution provider to summarize their best practices for securing their system(s) administratively without the use of RBAC. Make sure to understand the administrative requirements/overhead introduced in the solution provider's environment.</v>
      </c>
    </row>
    <row r="139" spans="1:5" ht="79.5" customHeight="1" x14ac:dyDescent="0.2">
      <c r="A139" s="57" t="s">
        <v>126</v>
      </c>
      <c r="B139" s="57" t="str">
        <f>VLOOKUP($A139,Questions!$A$3:$X$333,2,0)&amp;""</f>
        <v>Do you subject your code to static code analysis and/or static application security testing prior to release?*</v>
      </c>
      <c r="C139" s="57" t="str">
        <f>VLOOKUP($A139,Questions!$A$3:$X$333,19,0)&amp;""</f>
        <v>Code analysis (prior to implementation) can decrease the number of vulnerabilities within a system. Depending on the insight a solution provider has into their code, code testing should be expected. When a solution provider outsources their coding efforts, the use of a web application firewall may be appropriate. In this case, reference the solution provider's response to their use of a WAF.</v>
      </c>
      <c r="D139" s="57" t="str">
        <f>VLOOKUP($A139,Questions!$A$3:$X$333,20,0)&amp;""</f>
        <v>Ask the solution provider what types of tools they use in testing and who performs the testing of the code. Are developers the ones running the security tests? If static code analysis and/or static application security testing is not conducted, point the solution provider to OWASP's Testing Guide &lt;https://www.owasp.org/index.php/OWASP_Testing_Guide_v4_Table_of_Contents&gt;.</v>
      </c>
    </row>
    <row r="140" spans="1:5" ht="56.25" customHeight="1" x14ac:dyDescent="0.2">
      <c r="A140" s="57" t="s">
        <v>127</v>
      </c>
      <c r="B140" s="57" t="str">
        <f>VLOOKUP($A140,Questions!$A$3:$X$333,2,0)&amp;""</f>
        <v>Do you have software testing processes (dynamic or static) that are established and followed?*</v>
      </c>
      <c r="C140" s="57" t="str">
        <f>VLOOKUP($A140,Questions!$A$3:$X$333,19,0)&amp;""</f>
        <v>Code analysis (prior to implementation) can decrease the number of vulnerabilities within a system. Depending on the insight a solution provider has into their code, code testing should be expected.</v>
      </c>
      <c r="D140" s="57" t="str">
        <f>VLOOKUP($A140,Questions!$A$3:$X$333,20,0)&amp;""</f>
        <v>If software testing processes are not established and followed, point the solution provider to OWASP's Testing Guide &lt;https://www.owasp.org/index.php/OWASP_Testing_Guide_v4_Table_of_Contents&gt;.</v>
      </c>
    </row>
    <row r="141" spans="1:5" ht="63.75" customHeight="1" x14ac:dyDescent="0.2">
      <c r="A141" s="57" t="s">
        <v>128</v>
      </c>
      <c r="B141" s="57" t="str">
        <f>VLOOKUP($A141,Questions!$A$3:$X$333,2,0)&amp;""</f>
        <v>Are access controls for staff within your organization based on structured rules, such as RBAC, ABAC, or PBAC?</v>
      </c>
      <c r="C141" s="57" t="str">
        <f>VLOOKUP($A141,Questions!$A$3:$X$333,19,0)&amp;""</f>
        <v>Managing a solution may rely on various professionals to administer a system. This question is focused on how administration, and the segregation of functions, is implemented within the solution provider's infrastructure.</v>
      </c>
      <c r="D141" s="57" t="str">
        <f>VLOOKUP($A141,Questions!$A$3:$X$333,20,0)&amp;""</f>
        <v>Managing a complex infrastructure requires diligence in protecting access and authority. Unsatisfactory responses may indicate the lack of maturity with a solution provider and/or a flat infrastructure with few individuals with broad authority. Inquire about separation of duties and look for areas of inappropriate functional overlap.</v>
      </c>
    </row>
    <row r="142" spans="1:5" ht="74.25" customHeight="1" x14ac:dyDescent="0.2">
      <c r="A142" s="57" t="s">
        <v>129</v>
      </c>
      <c r="B142" s="57" t="str">
        <f>VLOOKUP($A142,Questions!$A$3:$X$333,2,0)&amp;""</f>
        <v>Does the system provide data input validation and error messages?</v>
      </c>
      <c r="C142" s="57" t="str">
        <f>VLOOKUP($A142,Questions!$A$3:$X$333,19,0)&amp;""</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142" s="57" t="str">
        <f>VLOOKUP($A142,Questions!$A$3:$X$333,20,0)&amp;""</f>
        <v>Inquire about any planned improvements to these capabilities. Ask about their product roadmap, and try to understand how they prioritize security concerns in their environment.</v>
      </c>
    </row>
    <row r="143" spans="1:5" ht="90" customHeight="1" x14ac:dyDescent="0.2">
      <c r="A143" s="57" t="s">
        <v>130</v>
      </c>
      <c r="B143" s="57" t="str">
        <f>VLOOKUP($A143,Questions!$A$3:$X$333,2,0)&amp;""</f>
        <v>Do you have a process and implemented procedures for managing your software supply chain (e.g., libraries, repositories, frameworks, etc.)?</v>
      </c>
      <c r="C143" s="57" t="str">
        <f>VLOOKUP($A143,Questions!$A$3:$X$333,19,0)&amp;""</f>
        <v>Understanding system requirements and/or dependencies (e.g., libraries, repositories, frameworks, toolkits, modules, etc.) can reveal infrastructure risks that may not be apparent by other means. In some cases, the use of trusted components may be favorable. In others, it may initiate the assessment of the solution provider's environment in more detail and/or expand the scope of the institution's assessment.</v>
      </c>
      <c r="D143" s="57" t="str">
        <f>VLOOKUP($A143,Questions!$A$3:$X$333,20,0)&amp;""</f>
        <v>Follow-up inquiries concerning software supply chain will be institution/implementation specific.</v>
      </c>
    </row>
    <row r="144" spans="1:5" ht="75.75" customHeight="1" x14ac:dyDescent="0.2">
      <c r="A144" s="57" t="s">
        <v>131</v>
      </c>
      <c r="B144" s="57" t="str">
        <f>VLOOKUP($A144,Questions!$A$3:$X$333,2,0)&amp;""</f>
        <v>Have your developers been trained in secure coding techniques?</v>
      </c>
      <c r="C144" s="57" t="str">
        <f>VLOOKUP($A144,Questions!$A$3:$X$333,19,0)&amp;""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44" s="57" t="str">
        <f>VLOOKUP($A144,Questions!$A$3:$X$333,20,0)&amp;""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45" spans="1:5" ht="76.5" customHeight="1" x14ac:dyDescent="0.2">
      <c r="A145" s="57" t="s">
        <v>132</v>
      </c>
      <c r="B145" s="57" t="str">
        <f>VLOOKUP($A145,Questions!$A$3:$X$333,2,0)&amp;""</f>
        <v>Was your application developed using secure coding techniques?</v>
      </c>
      <c r="C145" s="57" t="str">
        <f>VLOOKUP($A145,Questions!$A$3:$X$333,19,0)&amp;""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v>
      </c>
      <c r="D145" s="57" t="str">
        <f>VLOOKUP($A145,Questions!$A$3:$X$333,20,0)&amp;""</f>
        <v>If information security principles are not designed into the product lifecycle, point the solution provider to OWASP's Secure Coding Practices - Quick Reference Guide &lt;https://www.owasp.org/index.php/OWASP_Secure_Coding_Practices_-_Quick_Reference_Guide&gt;.</v>
      </c>
    </row>
    <row r="146" spans="1:5" ht="61.5" customHeight="1" x14ac:dyDescent="0.2">
      <c r="A146" s="57" t="s">
        <v>133</v>
      </c>
      <c r="B146" s="57" t="str">
        <f>VLOOKUP($A146,Questions!$A$3:$X$333,2,0)&amp;""</f>
        <v>If mobile, is the application available from a trusted source (e.g., App Store, Google Play Store)?</v>
      </c>
      <c r="C146" s="57" t="str">
        <f>VLOOKUP($A146,Questions!$A$3:$X$333,19,0)&amp;""</f>
        <v>Distributing application via known, moderately vetted application platform decreases the chances of malicious code distribution. Stand-alone deployments (nontrusted sources) should be looked at more closely.</v>
      </c>
      <c r="D146" s="57" t="str">
        <f>VLOOKUP($A146,Questions!$A$3:$X$333,20,0)&amp;""</f>
        <v>Ask the solution provider why this deployment strategy is used. Ask if it is a restriction of the app store platform or some other environment restriction.</v>
      </c>
    </row>
    <row r="147" spans="1:5" ht="60.75" customHeight="1" x14ac:dyDescent="0.2">
      <c r="A147" s="57" t="s">
        <v>134</v>
      </c>
      <c r="B147" s="57" t="str">
        <f>VLOOKUP($A147,Questions!$A$3:$X$333,2,0)&amp;""</f>
        <v>Do you have a fully implemented policy or procedure that details how your employees obtain administrator access to institutional instance of the application?</v>
      </c>
      <c r="C147" s="57" t="str">
        <f>VLOOKUP($A147,Questions!$A$3:$X$333,19,0)&amp;""</f>
        <v>Protecting administrative accounts is crucial to maintaining system integrity in any environment. This question is targeting privilege creep and unmanaged privileged accounts to determine if the solution provider properly manages access control in their application/system environments.</v>
      </c>
      <c r="D147" s="57" t="str">
        <f>VLOOKUP($A147,Questions!$A$3:$X$333,20,0)&amp;""</f>
        <v>Ask the solution provider to summarize their implemented policies and/or procedures</v>
      </c>
    </row>
    <row r="148" spans="1:5" ht="18" customHeight="1" x14ac:dyDescent="0.2">
      <c r="A148" s="61" t="str">
        <f>VLOOKUP(LEFT($A149,4),'Auto Responses'!$N$4:$O$38,2,0)&amp;""</f>
        <v xml:space="preserve"> Datacenter</v>
      </c>
      <c r="B148" s="61"/>
      <c r="C148" s="56" t="str">
        <f>Questions!$S$2</f>
        <v>Reason for Question</v>
      </c>
      <c r="D148" s="56" t="str">
        <f>Questions!$T$2</f>
        <v>Follow-Up Inquiries/Responses</v>
      </c>
    </row>
    <row r="149" spans="1:5" ht="57.75" customHeight="1" x14ac:dyDescent="0.15">
      <c r="A149" s="57" t="s">
        <v>135</v>
      </c>
      <c r="B149" s="57" t="str">
        <f>VLOOKUP($A149,Questions!$A$3:$X$333,2,0)&amp;""</f>
        <v>Select your hosting option.</v>
      </c>
      <c r="C149" s="57" t="str">
        <f>VLOOKUP($A149,Questions!$A$3:$X$333,19,0)&amp;""</f>
        <v>Understanding the hosting environment may reveal infrastructure risks that may not be apparent by other means and provides context to the responses provided throughout this HECVAT.</v>
      </c>
      <c r="D149" s="57" t="str">
        <f>VLOOKUP($A149,Questions!$A$3:$X$333,20,0)&amp;""</f>
        <v>Follow-up inquiries for hosting options will be institution/implementation specific.</v>
      </c>
      <c r="E149" s="228" t="s">
        <v>16</v>
      </c>
    </row>
    <row r="150" spans="1:5" ht="129" customHeight="1" x14ac:dyDescent="0.2">
      <c r="A150" s="57" t="s">
        <v>136</v>
      </c>
      <c r="B150" s="57" t="str">
        <f>VLOOKUP($A150,Questions!$A$3:$X$333,2,0)&amp;""</f>
        <v>Is a SOC 2 Type 2 report available for the hosting environment?</v>
      </c>
      <c r="C150" s="57" t="str">
        <f>VLOOKUP($A150,Questions!$A$3:$X$333,19,0)&amp;""</f>
        <v>This question is relative to the response above. Understanding the ownership structure of the facility that will host institutional data is important for setting availability expectations and ensuring that proper contract terms are in place to protect the institution due to use of third parties. If a solution provider uses a third-party solution provider to provide data center solutions, having that solution provider's SOC 2 Type 2 provides additional insight. The ability to assess these "forth-party" solution providers is based on your institution's resources. The solution provider is responsible for providing this information; ensure that they handle their solution providers properly.</v>
      </c>
      <c r="D150" s="57" t="str">
        <f>VLOOKUP($A150,Questions!$A$3:$X$333,20,0)&amp;""</f>
        <v>Follow-up inquiries for additional solution provider's SOC 2 Type 2 reports will be institution/implementation specific.</v>
      </c>
    </row>
    <row r="151" spans="1:5" ht="90" customHeight="1" x14ac:dyDescent="0.2">
      <c r="A151" s="57" t="s">
        <v>137</v>
      </c>
      <c r="B151" s="57" t="str">
        <f>VLOOKUP($A151,Questions!$A$3:$X$333,2,0)&amp;""</f>
        <v>Are you generally able to accommodate storing each institution's data within its geographic region?</v>
      </c>
      <c r="C151" s="57" t="str">
        <f>VLOOKUP($A151,Questions!$A$3:$X$333,19,0)&amp;""</f>
        <v>An institution's location will dictate what laws and regulations apply. Because solution providers may not know where all of their customers reside, it is imperative that solution providers are able to accommodate geographic requirements for their customers. Although it is unfair to expect support for all geographic regions in common infrastructure/platform/software-as-a-service, solution providers are expected to be absolutely clear about the regions they leverage and/or support.</v>
      </c>
      <c r="D151" s="57" t="str">
        <f>VLOOKUP($A151,Questions!$A$3:$X$333,20,0)&amp;""</f>
        <v>If a solution provider is unable to accommodate storing/processing institutional data within specific regions, ask them why they are unable to. Try to determine if it's an infrastructure issue (scalability), a cost-reduction strategy (size/maturity), or some other issue.</v>
      </c>
    </row>
    <row r="152" spans="1:5" ht="75" customHeight="1" x14ac:dyDescent="0.2">
      <c r="A152" s="57" t="s">
        <v>138</v>
      </c>
      <c r="B152" s="57" t="str">
        <f>VLOOKUP($A152,Questions!$A$3:$X$333,2,0)&amp;""</f>
        <v>Are the data centers staffed 24 hours a day, seven days a week (i.e., 24 x 7 x 365)?</v>
      </c>
      <c r="C152" s="57" t="str">
        <f>VLOOKUP($A152,Questions!$A$3:$X$333,19,0)&amp;""</f>
        <v>Solution Providers that operate their own datacenter(s) can implement their own monitoring strategy. Use the solution provider's response to this questions to verify/validate other responses related to ownership/co-location/physical security.</v>
      </c>
      <c r="D152" s="57" t="str">
        <f>VLOOKUP($A152,Questions!$A$3:$X$333,20,0)&amp;""</f>
        <v>Follow-up inquiries for data center staffing will be institution/implementation specific.</v>
      </c>
    </row>
    <row r="153" spans="1:5" ht="75" customHeight="1" x14ac:dyDescent="0.2">
      <c r="A153" s="57" t="s">
        <v>139</v>
      </c>
      <c r="B153" s="57" t="str">
        <f>VLOOKUP($A153,Questions!$A$3:$X$333,2,0)&amp;""</f>
        <v>Are your servers separated from other companies via a physical barrier, such as a cage or hard walls?</v>
      </c>
      <c r="C153" s="57" t="str">
        <f>VLOOKUP($A153,Questions!$A$3:$X$333,19,0)&amp;""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3" s="57" t="str">
        <f>VLOOKUP($A153,Questions!$A$3:$X$333,20,0)&amp;""</f>
        <v>Follow-up inquiries for system physical security will be institution/implementation specific.</v>
      </c>
      <c r="E153" s="51"/>
    </row>
    <row r="154" spans="1:5" ht="64.5" customHeight="1" x14ac:dyDescent="0.2">
      <c r="A154" s="57" t="s">
        <v>140</v>
      </c>
      <c r="B154" s="57" t="str">
        <f>VLOOKUP($A154,Questions!$A$3:$X$333,2,0)&amp;""</f>
        <v>Does a physical barrier fully enclose the physical space, preventing unauthorized physical contact with any of your devices?*</v>
      </c>
      <c r="C154" s="57" t="str">
        <f>VLOOKUP($A154,Questions!$A$3:$X$333,19,0)&amp;""</f>
        <v>This question is primarily focused on system integrity. If institutional data is stored in a system that is not physically secured from unauthorized access, the need for compensating controls is often higher. Depending on the use case or solution provider infrastructure, this may not be relevant.</v>
      </c>
      <c r="D154" s="57" t="str">
        <f>VLOOKUP($A154,Questions!$A$3:$X$333,20,0)&amp;""</f>
        <v>Follow-up inquiries for system physical security will be institution/implementation specific.</v>
      </c>
      <c r="E154" s="51"/>
    </row>
    <row r="155" spans="1:5" ht="72" customHeight="1" x14ac:dyDescent="0.2">
      <c r="A155" s="57" t="s">
        <v>141</v>
      </c>
      <c r="B155" s="57" t="str">
        <f>VLOOKUP($A155,Questions!$A$3:$X$333,2,0)&amp;""</f>
        <v>Are your primary and secondary data centers geographically diverse?</v>
      </c>
      <c r="C155" s="57" t="str">
        <f>VLOOKUP($A155,Questions!$A$3:$X$333,19,0)&amp;""</f>
        <v>When planning for business continuity and disaster recovery, considering geographic diversity of a solution provider's operating environment will help analysts better understand risk due to widespread technical issues as well as weather and environmental considerations.</v>
      </c>
      <c r="D155" s="57" t="str">
        <f>VLOOKUP($A155,Questions!$A$3:$X$333,20,0)&amp;""</f>
        <v>Follow-up inquiries for geographic diversity in datacenters will be institution/implementation specific.</v>
      </c>
    </row>
    <row r="156" spans="1:5" ht="54.75" customHeight="1" x14ac:dyDescent="0.2">
      <c r="A156" s="57" t="s">
        <v>142</v>
      </c>
      <c r="B156" s="57" t="str">
        <f>VLOOKUP($A156,Questions!$A$3:$X$333,2,0)&amp;""</f>
        <v>Is the service hosted in a high-availability environment?</v>
      </c>
      <c r="C156" s="57" t="str">
        <f>VLOOKUP($A156,Questions!$A$3:$X$333,19,0)&amp;""</f>
        <v>In the context of the CIA triad, this question is focused on the availability of a system (or set of systems).</v>
      </c>
      <c r="D156" s="57" t="str">
        <f>VLOOKUP($A156,Questions!$A$3:$X$333,20,0)&amp;""</f>
        <v>The weight placed on the solution provider's response will be specific to the institution's use case and solution requirements.</v>
      </c>
    </row>
    <row r="157" spans="1:5" ht="48" customHeight="1" x14ac:dyDescent="0.2">
      <c r="A157" s="57" t="s">
        <v>143</v>
      </c>
      <c r="B157" s="57" t="str">
        <f>VLOOKUP($A157,Questions!$A$3:$X$333,2,0)&amp;""</f>
        <v>Is redundant power available for all data centers where institutional data will reside?</v>
      </c>
      <c r="C157" s="57" t="str">
        <f>VLOOKUP($A157,Questions!$A$3:$X$333,19,0)&amp;""</f>
        <v>In the context of the CIA triad, this question is focused on the availability of a system (or set of systems).</v>
      </c>
      <c r="D157" s="57" t="str">
        <f>VLOOKUP($A157,Questions!$A$3:$X$333,20,0)&amp;""</f>
        <v>The weight placed on the solution provider's response will be specific to the institution's use case and solution requirements.</v>
      </c>
    </row>
    <row r="158" spans="1:5" ht="59.25" customHeight="1" x14ac:dyDescent="0.2">
      <c r="A158" s="57" t="s">
        <v>144</v>
      </c>
      <c r="B158" s="57" t="str">
        <f>VLOOKUP($A158,Questions!$A$3:$X$333,2,0)&amp;""</f>
        <v>Are redundant power strategies tested?*</v>
      </c>
      <c r="C158" s="57" t="str">
        <f>VLOOKUP($A158,Questions!$A$3:$X$333,19,0)&amp;""</f>
        <v>Installing (potential) redundant power and regularly testing strategies to ensure they will work when needed are very different. Vague responses to this question should be met with concern and appropriate follow up, based on your institution's risk tolerance.</v>
      </c>
      <c r="D158" s="57" t="str">
        <f>VLOOKUP($A158,Questions!$A$3:$X$333,20,0)&amp;""</f>
        <v>Follow-up inquiries for redundant power testing details will be institution/implementation specific.</v>
      </c>
    </row>
    <row r="159" spans="1:5" ht="48" customHeight="1" x14ac:dyDescent="0.2">
      <c r="A159" s="57" t="s">
        <v>145</v>
      </c>
      <c r="B159" s="57" t="str">
        <f>VLOOKUP($A159,Questions!$A$3:$X$333,2,0)&amp;""</f>
        <v>Does the center where the data will reside have cooling and fire-suppression systems that are active and regularly tested?</v>
      </c>
      <c r="C159" s="57" t="str">
        <f>VLOOKUP($A159,Questions!$A$3:$X$333,19,0)&amp;""</f>
        <v>Installing appropriate environmental controls is crucial to maintaining the integrity of the hosting site. Vague responses to this question should be met with concern and appropriate follow up, based on your institutions risk tolerance.</v>
      </c>
      <c r="D159" s="57" t="str">
        <f>VLOOKUP($A159,Questions!$A$3:$X$333,20,0)&amp;""</f>
        <v>Follow-up inquiries for cooling and fire suppression systems will be institution/implementation specific.</v>
      </c>
    </row>
    <row r="160" spans="1:5" ht="45" customHeight="1" x14ac:dyDescent="0.2">
      <c r="A160" s="57" t="s">
        <v>146</v>
      </c>
      <c r="B160" s="57" t="str">
        <f>VLOOKUP($A160,Questions!$A$3:$X$333,2,0)&amp;""</f>
        <v>Do you have Internet Service Provider (ISP) redundancy?</v>
      </c>
      <c r="C160" s="57" t="str">
        <f>VLOOKUP($A160,Questions!$A$3:$X$333,19,0)&amp;""</f>
        <v>In the context of the CIA triad, this question is focused on the availability of a system (or set of systems).</v>
      </c>
      <c r="D160" s="57" t="str">
        <f>VLOOKUP($A160,Questions!$A$3:$X$333,20,0)&amp;""</f>
        <v>The weight placed on the solution provider's response will be specific to the institution's use case and solution requirements.</v>
      </c>
    </row>
    <row r="161" spans="1:5" ht="53.25" customHeight="1" x14ac:dyDescent="0.2">
      <c r="A161" s="57" t="s">
        <v>147</v>
      </c>
      <c r="B161" s="57" t="str">
        <f>VLOOKUP($A161,Questions!$A$3:$X$333,2,0)&amp;""</f>
        <v>Does every data center where the institution's data will reside have multiple telephone company or network provider entrances to the facility?</v>
      </c>
      <c r="C161" s="57" t="str">
        <f>VLOOKUP($A161,Questions!$A$3:$X$333,19,0)&amp;""</f>
        <v>In the context of the CIA triad, this question is focused on the availability of a system (or set of systems).</v>
      </c>
      <c r="D161" s="57" t="str">
        <f>VLOOKUP($A161,Questions!$A$3:$X$333,20,0)&amp;""</f>
        <v>The weight placed on the solution provider's response will be specific to the institution's use case and solution requirements.</v>
      </c>
    </row>
    <row r="162" spans="1:5" ht="52.5" customHeight="1" x14ac:dyDescent="0.2">
      <c r="A162" s="57" t="s">
        <v>148</v>
      </c>
      <c r="B162" s="57" t="str">
        <f>VLOOKUP($A162,Questions!$A$3:$X$333,2,0)&amp;""</f>
        <v>Do you require multifactor authentication for all administrative accounts in your environment?</v>
      </c>
      <c r="C162" s="57" t="str">
        <f>VLOOKUP($A162,Questions!$A$3:$X$333,19,0)&amp;""</f>
        <v>2FA/MFA, implemented correctly, strengthens the security state of a system. 2FA/MFA is commonly implemented and in many use cases is a requirement for account protection purposes.</v>
      </c>
      <c r="D162" s="57" t="str">
        <f>VLOOKUP($A162,Questions!$A$3:$X$333,20,0)&amp;""</f>
        <v>Ask the solution provider about hardware and software options, future roadmap for implementations and support, etc.</v>
      </c>
    </row>
    <row r="163" spans="1:5" ht="39" customHeight="1" x14ac:dyDescent="0.2">
      <c r="A163" s="57" t="s">
        <v>149</v>
      </c>
      <c r="B163" s="57" t="str">
        <f>VLOOKUP($A163,Questions!$A$3:$X$333,2,0)&amp;""</f>
        <v>Are you using your cloud provider's available hardening tools or pre-hardened images?</v>
      </c>
      <c r="C163" s="57" t="str">
        <f>VLOOKUP($A163,Questions!$A$3:$X$333,19,0)&amp;""</f>
        <v>In the context of the CIA triad, this question is focused on the integrity of a system (or set of systems).</v>
      </c>
      <c r="D163" s="57" t="str">
        <f>VLOOKUP($A163,Questions!$A$3:$X$333,20,0)&amp;""</f>
        <v>Ask the solution provider about their system lifecycle practices and security methodology.</v>
      </c>
    </row>
    <row r="164" spans="1:5" ht="75.75" customHeight="1" x14ac:dyDescent="0.2">
      <c r="A164" s="57" t="s">
        <v>150</v>
      </c>
      <c r="B164" s="57" t="str">
        <f>VLOOKUP($A164,Questions!$A$3:$X$333,2,0)&amp;""</f>
        <v>Does your cloud solution provider have access to your encryption keys?</v>
      </c>
      <c r="C164" s="57" t="str">
        <f>VLOOKUP($A164,Questions!$A$3:$X$333,19,0)&amp;""</f>
        <v>Understanding how key management is handled and the safeguards implemented by the solution provider to ensure key confidentiality in all components of a system(s) can provide insight into other complex details of a solution provider's infrastructure. Use solution provider responses to this question as a way to pivot to other infrastructure specifics, as needed to clarify potential risks.</v>
      </c>
      <c r="D164" s="57" t="str">
        <f>VLOOKUP($A164,Questions!$A$3:$X$333,20,0)&amp;""</f>
        <v>Follow up with the solution provider to ensure that all components of the system are considered. This includes system-to-system, system-to-client, applications, system accounts, etc.</v>
      </c>
    </row>
    <row r="165" spans="1:5" ht="18" customHeight="1" x14ac:dyDescent="0.2">
      <c r="A165" s="61" t="str">
        <f>VLOOKUP(LEFT($A166,4),'Auto Responses'!$N$4:$O$38,2,0)&amp;""</f>
        <v xml:space="preserve"> Firewalls, IDS, IPS, and Networking</v>
      </c>
      <c r="B165" s="61"/>
      <c r="C165" s="56" t="str">
        <f>Questions!$S$2</f>
        <v>Reason for Question</v>
      </c>
      <c r="D165" s="56" t="str">
        <f>Questions!$T$2</f>
        <v>Follow-Up Inquiries/Responses</v>
      </c>
    </row>
    <row r="166" spans="1:5" ht="67.5" customHeight="1" x14ac:dyDescent="0.2">
      <c r="A166" s="57" t="s">
        <v>151</v>
      </c>
      <c r="B166" s="57" t="str">
        <f>VLOOKUP($A166,Questions!$A$3:$X$333,2,0)&amp;""</f>
        <v>Are you utilizing a stateful packet inspection (SPI) firewall?*</v>
      </c>
      <c r="C166" s="57" t="str">
        <f>VLOOKUP($A166,Questions!$A$3:$X$333,19,0)&amp;""</f>
        <v>The use case, vendor infrastructure, and types of services offered will greatly affect the need for various firewalling devices. The focus of this question is integrity, ensuring that the systems hosting institutional data are limited in need-only communications.</v>
      </c>
      <c r="D166" s="57" t="str">
        <f>VLOOKUP($A166,Questions!$A$3:$X$333,20,0)&amp;""</f>
        <v>Follow-up inquiries for firewall capabilities will be institution/implementation specific.</v>
      </c>
    </row>
    <row r="167" spans="1:5" ht="60" customHeight="1" x14ac:dyDescent="0.2">
      <c r="A167" s="57" t="s">
        <v>152</v>
      </c>
      <c r="B167" s="57" t="str">
        <f>VLOOKUP($A167,Questions!$A$3:$X$333,2,0)&amp;""</f>
        <v>Do you have a documented policy for firewall change requests?*</v>
      </c>
      <c r="C167" s="57" t="str">
        <f>VLOOKUP($A167,Questions!$A$3:$X$333,19,0)&amp;""</f>
        <v>In the context of the CIA triad, this question is focused on system integrity, ensuring that system changes are only executed by authorized users. Any change to a verified, known, secure environment should be carefully evaluated by stakeholders in a structured manner.</v>
      </c>
      <c r="D167" s="57" t="str">
        <f>VLOOKUP($A167,Questions!$A$3:$X$333,20,0)&amp;""</f>
        <v>Follow-up inquiries for firewall change requests will be institution/implementation specific.</v>
      </c>
    </row>
    <row r="168" spans="1:5" ht="59.25" customHeight="1" x14ac:dyDescent="0.2">
      <c r="A168" s="57" t="s">
        <v>153</v>
      </c>
      <c r="B168" s="57" t="str">
        <f>VLOOKUP($A168,Questions!$A$3:$X$333,2,0)&amp;""</f>
        <v>Have you implemented an intrusion detection system (network-based)?*</v>
      </c>
      <c r="C168" s="57" t="str">
        <f>VLOOKUP($A168,Questions!$A$3:$X$333,19,0)&amp;""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68" s="57" t="str">
        <f>VLOOKUP($A168,Questions!$A$3:$X$333,20,0)&amp;""</f>
        <v>A security program with limited resources for event detection is not effective. Inquiries should include training for staff, reasoning behind not using IDS technologies, and how systems are monitored. Additional questions about a SIEM and other tool may be appropriate.</v>
      </c>
    </row>
    <row r="169" spans="1:5" ht="63.75" customHeight="1" x14ac:dyDescent="0.2">
      <c r="A169" s="57" t="s">
        <v>154</v>
      </c>
      <c r="B169" s="57" t="str">
        <f>VLOOKUP($A169,Questions!$A$3:$X$333,2,0)&amp;""</f>
        <v>Do you employ host-based intrusion detection?*</v>
      </c>
      <c r="C169" s="57" t="str">
        <f>VLOOKUP($A169,Questions!$A$3:$X$333,19,0)&amp;""</f>
        <v>It is important to have detective capabilities in an information system to protect institutional data. Because this is somewhat expected in information systems, solution providers without IDSs implemented should raise concerns. Compensating controls need future evaluation, if provided by the solution provider.</v>
      </c>
      <c r="D169" s="57" t="str">
        <f>VLOOKUP($A169,Questions!$A$3:$X$333,20,0)&amp;""</f>
        <v>Ask the solution provider to summarize why host-based intrusion detection tools are not implemented in their environment. What compensating controls are in place to detect configuration changes and/or failures of integrity?</v>
      </c>
      <c r="E169" s="51"/>
    </row>
    <row r="170" spans="1:5" ht="71.25" customHeight="1" x14ac:dyDescent="0.2">
      <c r="A170" s="57" t="s">
        <v>155</v>
      </c>
      <c r="B170" s="57" t="str">
        <f>VLOOKUP($A170,Questions!$A$3:$X$333,2,0)&amp;""</f>
        <v>Are audit logs available for all changes to the network, firewall, IDS, and IPS systems?*</v>
      </c>
      <c r="C170" s="57" t="str">
        <f>VLOOKUP($A170,Questions!$A$3:$X$333,19,0)&amp;""</f>
        <v>Strong logging capabilities are vital to the proper management of a network. Implementing an immature system that lacks sufficient logging capabilities exposes an institution to great risk.</v>
      </c>
      <c r="D170" s="57" t="str">
        <f>VLOOKUP($A170,Questions!$A$3:$X$333,20,0)&amp;""</f>
        <v>If a weak response is given to this answer, it is an indicator that a nontechnical representative populated the document and response scrutiny should be increased. If a solution provider does not answer appropriately, a follow-up request to have the question fully answered is appropriate.</v>
      </c>
      <c r="E170" s="51"/>
    </row>
    <row r="171" spans="1:5" ht="72" customHeight="1" x14ac:dyDescent="0.2">
      <c r="A171" s="57" t="s">
        <v>156</v>
      </c>
      <c r="B171" s="57" t="str">
        <f>VLOOKUP($A171,Questions!$A$3:$X$333,2,0)&amp;""</f>
        <v>Is authority for firewall change approval documented? Please list approver names or titles in Additional Info.</v>
      </c>
      <c r="C171" s="57" t="str">
        <f>VLOOKUP($A171,Questions!$A$3:$X$333,19,0)&amp;""</f>
        <v>Modifications to firewall rule sets can have significant repercussions. To ensure the integrity of the rule set, this question targets the individual (or responsible party) for changes and the reasoning behind their authority.</v>
      </c>
      <c r="D171" s="57" t="str">
        <f>VLOOKUP($A171,Questions!$A$3:$X$333,20,0)&amp;""</f>
        <v>Ensure that a separation of duties exists in network security configurations. Pay close attention to responsibility overlap in small organizations, where staff often fill multiple roles.</v>
      </c>
    </row>
    <row r="172" spans="1:5" ht="67.5" customHeight="1" x14ac:dyDescent="0.2">
      <c r="A172" s="57" t="s">
        <v>157</v>
      </c>
      <c r="B172" s="57" t="str">
        <f>VLOOKUP($A172,Questions!$A$3:$X$333,2,0)&amp;""</f>
        <v>Have you implemented an intrusion prevention system (network-based)?</v>
      </c>
      <c r="C172" s="57" t="str">
        <f>VLOOKUP($A172,Questions!$A$3:$X$333,19,0)&amp;""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2" s="57" t="str">
        <f>VLOOKUP($A172,Questions!$A$3:$X$333,20,0)&amp;""</f>
        <v>A security program with limited resources for active prevention is inefficient. Inquiries should include training for staff, reasoning behind not using IPS technologies, and how systems are actively protected and how malicious activity is stopped.</v>
      </c>
    </row>
    <row r="173" spans="1:5" ht="60.75" customHeight="1" x14ac:dyDescent="0.2">
      <c r="A173" s="57" t="s">
        <v>158</v>
      </c>
      <c r="B173" s="57" t="str">
        <f>VLOOKUP($A173,Questions!$A$3:$X$333,2,0)&amp;""</f>
        <v>Do you employ host-based intrusion prevention?</v>
      </c>
      <c r="C173" s="57" t="str">
        <f>VLOOKUP($A173,Questions!$A$3:$X$333,19,0)&amp;""</f>
        <v>It is important to have preventive capabilities in an information system to protect institutional data. Because this is somewhat expected in information systems, solution providers without IPSs implemented should raise concerns. Compensating controls need future evaluation, if provided by the solution provider.</v>
      </c>
      <c r="D173" s="57" t="str">
        <f>VLOOKUP($A173,Questions!$A$3:$X$333,20,0)&amp;""</f>
        <v>Ask the solution provider to summarize why host-based intrusion prevention tools are not implemented in their environment. What compensating controls are in place to detect malicious activity and to actively prevent its function?</v>
      </c>
    </row>
    <row r="174" spans="1:5" ht="72.75" customHeight="1" x14ac:dyDescent="0.2">
      <c r="A174" s="57" t="s">
        <v>159</v>
      </c>
      <c r="B174" s="57" t="str">
        <f>VLOOKUP($A174,Questions!$A$3:$X$333,2,0)&amp;""</f>
        <v>Are you employing any next-generation persistent threat (NGPT) monitoring?</v>
      </c>
      <c r="C174" s="57" t="str">
        <f>VLOOKUP($A174,Questions!$A$3:$X$333,19,0)&amp;""</f>
        <v>This question is primarily focused on determining the maturity of a solution provider's security program and their ability to implement and operate cutting-edge technologies. Investment in advanced technologies may indicate appropriate security program capabilities.</v>
      </c>
      <c r="D174" s="57" t="str">
        <f>VLOOKUP($A174,Questions!$A$3:$X$333,20,0)&amp;""</f>
        <v>Follow-up inquiries for next-generation persistent threat monitoring will be institution/implementation specific.</v>
      </c>
    </row>
    <row r="175" spans="1:5" ht="72.75" customHeight="1" x14ac:dyDescent="0.2">
      <c r="A175" s="57" t="s">
        <v>160</v>
      </c>
      <c r="B175" s="57" t="str">
        <f>VLOOKUP($A175,Questions!$A$3:$X$333,2,0)&amp;""</f>
        <v>Is intrusion monitoring performed internally or by a third-party service?</v>
      </c>
      <c r="C175" s="57" t="str">
        <f>VLOOKUP($A175,Questions!$A$3:$X$333,19,0)&amp;""</f>
        <v>This question is primarily focused on the capability of a solution provider's security program. Understanding the size and skillsets of a solution provider (taken from other responses) is needed to determine the appropriateness of the solution provider's response to this question.</v>
      </c>
      <c r="D175" s="57" t="str">
        <f>VLOOKUP($A175,Questions!$A$3:$X$333,20,0)&amp;""</f>
        <v>Follow-up inquiries for intrusion monitoring will be institution/implementation specific.</v>
      </c>
    </row>
    <row r="176" spans="1:5" ht="66.75" customHeight="1" x14ac:dyDescent="0.2">
      <c r="A176" s="57" t="s">
        <v>161</v>
      </c>
      <c r="B176" s="57" t="str">
        <f>VLOOKUP($A176,Questions!$A$3:$X$333,2,0)&amp;""</f>
        <v>Do you monitor for intrusions on a 24 x 7 x 365 basis?</v>
      </c>
      <c r="C176" s="57" t="str">
        <f>VLOOKUP($A176,Questions!$A$3:$X$333,19,0)&amp;""</f>
        <v>This question is primarily focused on system(s) integrity. If institutional data is stored in a system that is not physically secured from unauthorized access, the need for compensating controls is often higher. Depending on the use case or solution provider infrastructure, this may not be relevant.</v>
      </c>
      <c r="D176" s="57" t="str">
        <f>VLOOKUP($A176,Questions!$A$3:$X$333,20,0)&amp;""</f>
        <v>Follow-up inquiries for 24 x 7 x 365 monitoring will be institution/implementation specific.</v>
      </c>
    </row>
    <row r="177" spans="1:5" ht="18" customHeight="1" x14ac:dyDescent="0.2">
      <c r="A177" s="61" t="str">
        <f>VLOOKUP(LEFT($A178,4),'Auto Responses'!$N$4:$O$38,2,0)&amp;""</f>
        <v xml:space="preserve"> Incident Handling</v>
      </c>
      <c r="B177" s="61"/>
      <c r="C177" s="56" t="str">
        <f>Questions!$S$2</f>
        <v>Reason for Question</v>
      </c>
      <c r="D177" s="56" t="str">
        <f>Questions!$T$2</f>
        <v>Follow-Up Inquiries/Responses</v>
      </c>
    </row>
    <row r="178" spans="1:5" ht="100.5" customHeight="1" x14ac:dyDescent="0.15">
      <c r="A178" s="57" t="s">
        <v>162</v>
      </c>
      <c r="B178" s="57" t="str">
        <f>VLOOKUP($A178,Questions!$A$3:$X$333,2,0)&amp;""</f>
        <v>Do you have a formal incident response plan?</v>
      </c>
      <c r="C178" s="57" t="str">
        <f>VLOOKUP($A178,Questions!$A$3:$X$333,19,0)&amp;""</f>
        <v>The ability for the solution provider to respond effectively (and quickly) to a security incident is of the utmost importance. The size of a solution provider's security office will determine their capabilities during a security incident, but the incident response plan will oftentimes determine their effectiveness. Use the knowledge of this response when evaluating other solution provider statements, particularly when discussing degraded operation states.</v>
      </c>
      <c r="D178" s="57" t="str">
        <f>VLOOKUP($A178,Questions!$A$3:$X$333,20,0)&amp;""</f>
        <v>If the solution provider does not have an incident response plan, direct them to the NIST Computer Security Incident Handling Guide &lt;https://csrc.nist.gov/publications/detail/sp/800-61/rev-2/final&gt;.</v>
      </c>
      <c r="E178" s="228" t="s">
        <v>16</v>
      </c>
    </row>
    <row r="179" spans="1:5" ht="60.75" customHeight="1" x14ac:dyDescent="0.2">
      <c r="A179" s="57" t="s">
        <v>163</v>
      </c>
      <c r="B179" s="57" t="str">
        <f>VLOOKUP($A179,Questions!$A$3:$X$333,2,0)&amp;""</f>
        <v>Do you either have an internal incident response team or retain an external team?</v>
      </c>
      <c r="C179" s="57" t="str">
        <f>VLOOKUP($A179,Questions!$A$3:$X$333,19,0)&amp;""</f>
        <v>The ability for the solution provider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79" s="57" t="str">
        <f>VLOOKUP($A179,Questions!$A$3:$X$333,20,0)&amp;""</f>
        <v>If the solution provider does not have an incident response plan, direct them to the NIST Computer Security Incident Handling Guide &lt;https://csrc.nist.gov/publications/detail/sp/800-61/rev-2/final&gt;.</v>
      </c>
    </row>
    <row r="180" spans="1:5" ht="69" customHeight="1" x14ac:dyDescent="0.2">
      <c r="A180" s="57" t="s">
        <v>164</v>
      </c>
      <c r="B180" s="57" t="str">
        <f>VLOOKUP($A180,Questions!$A$3:$X$333,2,0)&amp;""</f>
        <v>Do you have the capability to respond to incidents on a 24 x 7 x 365 basis?</v>
      </c>
      <c r="C180" s="57" t="str">
        <f>VLOOKUP($A180,Questions!$A$3:$X$333,19,0)&amp;""</f>
        <v>The incident team structure (internal vs. external), size, and capabilities of a solution provider have a significant impact on their ability to respond to and protect an institution's data. Use the knowledge of this response when evaluating other solution provider statements.</v>
      </c>
      <c r="D180" s="57" t="str">
        <f>VLOOKUP($A180,Questions!$A$3:$X$333,20,0)&amp;""</f>
        <v>If the solution provider does not have an incident response team, direct them to the NIST Computer Security Incident Handling Guide &lt;https://csrc.nist.gov/publications/detail/sp/800-61/rev-2/final&gt;.</v>
      </c>
    </row>
    <row r="181" spans="1:5" ht="78" customHeight="1" x14ac:dyDescent="0.2">
      <c r="A181" s="57" t="s">
        <v>165</v>
      </c>
      <c r="B181" s="57" t="str">
        <f>VLOOKUP($A181,Questions!$A$3:$X$333,2,0)&amp;""</f>
        <v>Do you carry cyber-risk insurance to protect against unforeseen service outages, data that is lost or stolen, and security incidents?</v>
      </c>
      <c r="C181" s="57" t="str">
        <f>VLOOKUP($A181,Questions!$A$3:$X$333,19,0)&amp;""</f>
        <v>The capacity for the solution provider to respond effectively (and quickly) to a security incident is of the utmost importance. The size and talent of a solution provider's incident response team will determine their capabilities during a security incident. Use the knowledge of this response when evaluating other solution provider statements, particularly when discussing degraded operation states.</v>
      </c>
      <c r="D181" s="57" t="str">
        <f>VLOOKUP($A181,Questions!$A$3:$X$333,20,0)&amp;""</f>
        <v>If the solution provider does not have an incident response plan, point them to the NIST Computer Security Incident Handling Guide &lt;https://csrc.nist.gov/publications/detail/sp/800-61/rev-2/final&gt;.</v>
      </c>
      <c r="E181" s="51"/>
    </row>
    <row r="182" spans="1:5" ht="18" customHeight="1" x14ac:dyDescent="0.2">
      <c r="A182" s="61" t="str">
        <f>VLOOKUP(LEFT($A183,4),'Auto Responses'!$N$4:$O$38,2,0)&amp;""</f>
        <v xml:space="preserve"> Vulnerability Management</v>
      </c>
      <c r="B182" s="61"/>
      <c r="C182" s="56" t="str">
        <f>Questions!$S$2</f>
        <v>Reason for Question</v>
      </c>
      <c r="D182" s="56" t="str">
        <f>Questions!$T$2</f>
        <v>Follow-Up Inquiries/Responses</v>
      </c>
      <c r="E182" s="51"/>
    </row>
    <row r="183" spans="1:5" ht="65.25" customHeight="1" x14ac:dyDescent="0.2">
      <c r="A183" s="57" t="s">
        <v>166</v>
      </c>
      <c r="B183" s="57" t="str">
        <f>VLOOKUP($A183,Questions!$A$3:$X$333,2,0)&amp;""</f>
        <v>Are your systems and applications scanned with an authenticated user account for vulnerabilities (that are remediated) prior to new releases?*</v>
      </c>
      <c r="C183" s="57" t="str">
        <f>VLOOKUP($A183,Questions!$A$3:$X$333,19,0)&amp;""</f>
        <v>Modern technologies allow for rapid deployment of features, and with them come changes to an established code environment. The focus of this question is to verify a solution provider's practice of regression testing their code and verifying that previously nonexistent risks are not introduced into a known, secured environment.</v>
      </c>
      <c r="D183" s="57" t="str">
        <f>VLOOKUP($A183,Questions!$A$3:$X$333,20,0)&amp;""</f>
        <v>Ask if there are plans to implement these processes. Ask the solution provider to summarize their decision behind not scanning their applications for vulnerabilities prior to release.</v>
      </c>
    </row>
    <row r="184" spans="1:5" ht="58.5" customHeight="1" x14ac:dyDescent="0.2">
      <c r="A184" s="57" t="s">
        <v>167</v>
      </c>
      <c r="B184" s="57" t="str">
        <f>VLOOKUP($A184,Questions!$A$3:$X$333,2,0)&amp;""</f>
        <v>Will you provide results of application and system vulnerability scans to the institution?*</v>
      </c>
      <c r="C184" s="57" t="str">
        <f>VLOOKUP($A184,Questions!$A$3:$X$333,19,0)&amp;""</f>
        <v>If a solution provider is scanning its applications and/or systems, oftentimes an institution will want to review the report, if possible. Preferably, any finding on the reports will have a matching mitigation action.</v>
      </c>
      <c r="D184" s="57" t="str">
        <f>VLOOKUP($A184,Questions!$A$3:$X$333,20,0)&amp;""</f>
        <v>If a solution provider is hesitant to share the report, ask for a summarized version; some insight is better than none.</v>
      </c>
    </row>
    <row r="185" spans="1:5" ht="65.25" customHeight="1" x14ac:dyDescent="0.2">
      <c r="A185" s="57" t="s">
        <v>168</v>
      </c>
      <c r="B185" s="57" t="str">
        <f>VLOOKUP($A185,Questions!$A$3:$X$333,2,0)&amp;""</f>
        <v>Will you allow the institution to perform its own vulnerability testing and/or scanning of your systems and/or application, provided that testing is performed at a mutually agreed upon time and date?*</v>
      </c>
      <c r="C185" s="57" t="str">
        <f>VLOOKUP($A185,Questions!$A$3:$X$333,19,0)&amp;""</f>
        <v>Many higher education institutions are capable of performing vulnerability assessments and/or penetration testing on their solution providers' infrastructures. This question confirms the possibility of conducting these actions against the solution provider's infrastructure.</v>
      </c>
      <c r="D185" s="57" t="str">
        <f>VLOOKUP($A185,Questions!$A$3:$X$333,20,0)&amp;""</f>
        <v>Follow-up inquiries for vulnerability scanning and penetration testing will be institution/implementation specific.</v>
      </c>
    </row>
    <row r="186" spans="1:5" ht="85.5" customHeight="1" x14ac:dyDescent="0.2">
      <c r="A186" s="57" t="s">
        <v>169</v>
      </c>
      <c r="B186" s="57" t="str">
        <f>VLOOKUP($A186,Questions!$A$3:$X$333,2,0)&amp;""</f>
        <v>Have your systems and applications had a third-party security assessment completed in the last year?</v>
      </c>
      <c r="C186" s="57" t="str">
        <f>VLOOKUP($A186,Questions!$A$3:$X$333,19,0)&amp;""</f>
        <v>External verification of system and application security controls are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86" s="57" t="str">
        <f>VLOOKUP($A186,Questions!$A$3:$X$333,20,0)&amp;""</f>
        <v>Ask if there has ever been a vulnerability scan. A short lapse in external assessment validity can be understood (if there is a planned assessment), but a significant time lapse or no scan whatsoever is cause for elevated levels of concern.</v>
      </c>
    </row>
    <row r="187" spans="1:5" ht="71.25" customHeight="1" x14ac:dyDescent="0.2">
      <c r="A187" s="57" t="s">
        <v>170</v>
      </c>
      <c r="B187" s="57" t="str">
        <f>VLOOKUP($A187,Questions!$A$3:$X$333,2,0)&amp;""</f>
        <v>Do you regularly scan for common web application security vulnerabilities (e.g., SQL injection, XSS, XSRF, etc.)?</v>
      </c>
      <c r="C187" s="57" t="str">
        <f>VLOOKUP($A187,Questions!$A$3:$X$333,19,0)&amp;""</f>
        <v>The adherence to secure coding best practices better positions a solution provider to maintain the CIA triad. Use the knowledge of this response when evaluating other solution provider statements, particularly those focused on development and the protection of communications. Solution Providers should be monitoring for and addressing these issues in their solutions.</v>
      </c>
      <c r="D187" s="57" t="str">
        <f>VLOOKUP($A187,Questions!$A$3:$X$333,20,0)&amp;""</f>
        <v>If information security principles are not designed into the product lifecycle, point the solution provider to OWASP's Secure Coding Practices - Quick Reference Guide &lt;https://www.owasp.org/index.php/OWASP_Secure_Coding_Practices_-_Quick_Reference_Guide&gt;. Inquire about the tools a solution provider uses, the interval at which systems are monitored/mitigated, and who is responsible for the process/procedure in place for this monitoring.</v>
      </c>
    </row>
    <row r="188" spans="1:5" ht="91.5" customHeight="1" x14ac:dyDescent="0.2">
      <c r="A188" s="57" t="s">
        <v>171</v>
      </c>
      <c r="B188" s="57" t="str">
        <f>VLOOKUP($A188,Questions!$A$3:$X$333,2,0)&amp;""</f>
        <v>Are your systems and applications regularly scanned externally for vulnerabilities?</v>
      </c>
      <c r="C188" s="57" t="str">
        <f>VLOOKUP($A188,Questions!$A$3:$X$333,19,0)&amp;""</f>
        <v>External verification of application security controls is important when managing a system. Trust, but verify, is the focus of this question. HECVAT responses are taken at face value and verified within reason, in most cases. When a solution provider can attest to and provide externally provided evidence supporting that attestation, it goes a long way in building trust that the solution provider will appropriately protect institutional data.</v>
      </c>
      <c r="D188" s="57" t="str">
        <f>VLOOKUP($A188,Questions!$A$3:$X$333,20,0)&amp;""</f>
        <v>If "no," inquire if there has ever been a vulnerability scan. A short lapse in external assessment validity can be understood (if there is a planned assessment), but a significant time lapse or no scan whatsoever is cause for elevated levels of concern.</v>
      </c>
    </row>
    <row r="189" spans="1:5" ht="18" customHeight="1" x14ac:dyDescent="0.2">
      <c r="A189" s="61" t="str">
        <f>VLOOKUP(LEFT($A190,4),'Auto Responses'!$N$4:$O$38,2,0)&amp;""</f>
        <v xml:space="preserve"> IT Accessibility</v>
      </c>
      <c r="B189" s="61"/>
      <c r="C189" s="56" t="str">
        <f>Questions!$S$2</f>
        <v>Reason for Question</v>
      </c>
      <c r="D189" s="56" t="str">
        <f>Questions!$T$2</f>
        <v>Follow-Up Inquiries/Responses</v>
      </c>
    </row>
    <row r="190" spans="1:5" x14ac:dyDescent="0.2">
      <c r="A190" s="57" t="s">
        <v>172</v>
      </c>
      <c r="B190" s="57" t="str">
        <f>VLOOKUP($A190,Questions!$A$3:$X$333,2,0)&amp;""</f>
        <v>Solution Provider Accessibility Contact Name</v>
      </c>
      <c r="C190" s="57" t="str">
        <f>VLOOKUP($A190,Questions!$A$3:$X$333,19,0)&amp;""</f>
        <v/>
      </c>
      <c r="D190" s="57" t="str">
        <f>VLOOKUP($A190,Questions!$A$3:$X$333,20,0)&amp;""</f>
        <v/>
      </c>
    </row>
    <row r="191" spans="1:5" x14ac:dyDescent="0.2">
      <c r="A191" s="57" t="s">
        <v>173</v>
      </c>
      <c r="B191" s="57" t="str">
        <f>VLOOKUP($A191,Questions!$A$3:$X$333,2,0)&amp;""</f>
        <v>Solution Provider Accessibility Contact Title</v>
      </c>
      <c r="C191" s="57" t="str">
        <f>VLOOKUP($A191,Questions!$A$3:$X$333,19,0)&amp;""</f>
        <v/>
      </c>
      <c r="D191" s="57" t="str">
        <f>VLOOKUP($A191,Questions!$A$3:$X$333,20,0)&amp;""</f>
        <v/>
      </c>
    </row>
    <row r="192" spans="1:5" x14ac:dyDescent="0.2">
      <c r="A192" s="57" t="s">
        <v>174</v>
      </c>
      <c r="B192" s="57" t="str">
        <f>VLOOKUP($A192,Questions!$A$3:$X$333,2,0)&amp;""</f>
        <v>Solution Provider Accessibility Contact Email</v>
      </c>
      <c r="C192" s="57" t="str">
        <f>VLOOKUP($A192,Questions!$A$3:$X$333,19,0)&amp;""</f>
        <v/>
      </c>
      <c r="D192" s="57" t="str">
        <f>VLOOKUP($A192,Questions!$A$3:$X$333,20,0)&amp;""</f>
        <v/>
      </c>
    </row>
    <row r="193" spans="1:5" x14ac:dyDescent="0.2">
      <c r="A193" s="57" t="s">
        <v>175</v>
      </c>
      <c r="B193" s="57" t="str">
        <f>VLOOKUP($A193,Questions!$A$3:$X$333,2,0)&amp;""</f>
        <v>Solution Provider Accessibility Contact Phone Number</v>
      </c>
      <c r="C193" s="57" t="str">
        <f>VLOOKUP($A193,Questions!$A$3:$X$333,19,0)&amp;""</f>
        <v/>
      </c>
      <c r="D193" s="57" t="str">
        <f>VLOOKUP($A193,Questions!$A$3:$X$333,20,0)&amp;""</f>
        <v/>
      </c>
      <c r="E193" s="51"/>
    </row>
    <row r="194" spans="1:5" x14ac:dyDescent="0.15">
      <c r="A194" s="57" t="s">
        <v>176</v>
      </c>
      <c r="B194" s="57" t="str">
        <f>VLOOKUP($A194,Questions!$A$3:$X$333,2,0)&amp;""</f>
        <v>Web Link to Accessibility Statement or VPAT</v>
      </c>
      <c r="C194" s="57" t="str">
        <f>VLOOKUP($A194,Questions!$A$3:$X$333,19,0)&amp;""</f>
        <v/>
      </c>
      <c r="D194" s="57" t="str">
        <f>VLOOKUP($A194,Questions!$A$3:$X$333,20,0)&amp;""</f>
        <v/>
      </c>
      <c r="E194" s="228" t="s">
        <v>16</v>
      </c>
    </row>
    <row r="195" spans="1:5" ht="85.5" customHeight="1" x14ac:dyDescent="0.2">
      <c r="A195" s="57" t="s">
        <v>177</v>
      </c>
      <c r="B195" s="57" t="str">
        <f>VLOOKUP($A195,Questions!$A$3:$X$333,2,0)&amp;""</f>
        <v>Has a VPAT or ACR been created or updated for the solution and version under consideration within the past 12 months?*</v>
      </c>
      <c r="C195" s="57" t="str">
        <f>VLOOKUP($A195,Questions!$A$3:$X$333,19,0)&amp;""</f>
        <v>VPATs (Voluntary Product Accessibility Template) / ACRs (Accessibility Conformance Report, a completed VPAT) are standard accessibility reporting formats from the ITIC &lt;https://www.itic.org/policy/accessibility/vpat&gt;. They can be self-assessments from a solution provider, though higher confidence is given if completed by expert third parties. It is important to confirm the version of the product tested and reported on for the VPAT matches the one under consideration.</v>
      </c>
      <c r="D195" s="57" t="str">
        <f>VLOOKUP($A195,Questions!$A$3:$X$333,20,0)&amp;""</f>
        <v>Cross-reference Accessibility Conformance Reports (ACR) with any answers from ITAC-14 about product roadmaps for accessibility improvements.</v>
      </c>
    </row>
    <row r="196" spans="1:5" ht="74.25" customHeight="1" x14ac:dyDescent="0.2">
      <c r="A196" s="57" t="s">
        <v>178</v>
      </c>
      <c r="B196" s="57" t="str">
        <f>VLOOKUP($A196,Questions!$A$3:$X$333,2,0)&amp;""</f>
        <v>Will your company agree to meet your stated accessibility standard or WCAG 2.1 AA as part of your contractual agreement for the solution?*</v>
      </c>
      <c r="C196" s="57" t="str">
        <f>VLOOKUP($A196,Questions!$A$3:$X$333,19,0)&amp;""</f>
        <v xml:space="preserve">Federal regulation requires that technology products conform to WCAG 2.1 AA. Technology platforms that do not substantially conform to this standard put schools at risk of not complying with these requirements. </v>
      </c>
      <c r="D196" s="57" t="str">
        <f>VLOOKUP($A196,Questions!$A$3:$X$333,20,0)&amp;""</f>
        <v/>
      </c>
    </row>
    <row r="197" spans="1:5" ht="57.75" customHeight="1" x14ac:dyDescent="0.2">
      <c r="A197" s="57" t="s">
        <v>179</v>
      </c>
      <c r="B197" s="57" t="str">
        <f>VLOOKUP($A197,Questions!$A$3:$X$333,2,0)&amp;""</f>
        <v>Does the solution substantially conform to WCAG 2.1 AA?*</v>
      </c>
      <c r="C197" s="57" t="str">
        <f>VLOOKUP($A197,Questions!$A$3:$X$333,19,0)&amp;""</f>
        <v xml:space="preserve">Federal regulation requires that technology products conform to WCAG 2.1 AA. Technology platforms that do not substantially conform to this standard put schools at risk of not complying with these requirements. </v>
      </c>
      <c r="D197" s="57" t="str">
        <f>VLOOKUP($A197,Questions!$A$3:$X$333,20,0)&amp;""</f>
        <v/>
      </c>
    </row>
    <row r="198" spans="1:5" ht="74.25" customHeight="1" x14ac:dyDescent="0.2">
      <c r="A198" s="57" t="s">
        <v>180</v>
      </c>
      <c r="B198" s="57" t="str">
        <f>VLOOKUP($A198,Questions!$A$3:$X$333,2,0)&amp;""</f>
        <v>Do you have a documented and implemented process for reporting and tracking accessibility issues?*</v>
      </c>
      <c r="C198" s="57" t="str">
        <f>VLOOKUP($A198,Questions!$A$3:$X$333,19,0)&amp;""</f>
        <v/>
      </c>
      <c r="D198" s="57" t="str">
        <f>VLOOKUP($A198,Questions!$A$3:$X$333,20,0)&amp;""</f>
        <v>What is the prioritization of accessibility issues received, and how are they tracked? Is there a regular cadence for tracking and addressing accessibility barriers?</v>
      </c>
    </row>
    <row r="199" spans="1:5" ht="81" customHeight="1" x14ac:dyDescent="0.15">
      <c r="A199" s="57" t="s">
        <v>181</v>
      </c>
      <c r="B199" s="57" t="str">
        <f>VLOOKUP($A199,Questions!$A$3:$X$333,2,0)&amp;""</f>
        <v>Do you have documentation to support the accessibility features of your solution?</v>
      </c>
      <c r="C199" s="57" t="str">
        <f>VLOOKUP($A199,Questions!$A$3:$X$333,19,0)&amp;""</f>
        <v>Has the solution provider documented any additional information needed by users in order to create accessible products with the solution? Are there tutorials, if needed, on how assistive technology users can best use the solution (platforms tested and works best, shortcuts) etc.? In other words, are they taking care of the end users? Accessibility is more than completing checklists.</v>
      </c>
      <c r="D199" s="57" t="str">
        <f>VLOOKUP($A199,Questions!$A$3:$X$333,20,0)&amp;""</f>
        <v>If claims are made about accessibility and there is no supporting documentation on how they can be achieved, ensure that intended configurations and uses of the product in question were assessed for any accessibility documentation or claims.</v>
      </c>
      <c r="E199" s="228" t="s">
        <v>16</v>
      </c>
    </row>
    <row r="200" spans="1:5" ht="57" customHeight="1" x14ac:dyDescent="0.2">
      <c r="A200" s="57" t="s">
        <v>182</v>
      </c>
      <c r="B200" s="57" t="str">
        <f>VLOOKUP($A200,Questions!$A$3:$X$333,2,0)&amp;""</f>
        <v>Has a third-party expert conducted an audit of the most recent version of your solution?</v>
      </c>
      <c r="C200" s="57" t="str">
        <f>VLOOKUP($A200,Questions!$A$3:$X$333,19,0)&amp;""</f>
        <v xml:space="preserve">Third-party test results lend more credence to accessibility claims in documentation. It is possible that well-qualified first parties may still deliver meaningful results via a VPAT/ACR. Ensuring results for the most recent versions means purchasing decisions are not made with outdated information. </v>
      </c>
      <c r="D200" s="57" t="str">
        <f>VLOOKUP($A200,Questions!$A$3:$X$333,20,0)&amp;""</f>
        <v/>
      </c>
    </row>
    <row r="201" spans="1:5" ht="99.75" customHeight="1" x14ac:dyDescent="0.2">
      <c r="A201" s="57" t="s">
        <v>183</v>
      </c>
      <c r="B201" s="57" t="str">
        <f>VLOOKUP($A201,Questions!$A$3:$X$333,2,0)&amp;""</f>
        <v>Do you have a documented and implemented process for verifying accessibility conformance?</v>
      </c>
      <c r="C201" s="57" t="str">
        <f>VLOOKUP($A201,Questions!$A$3:$X$333,19,0)&amp;""</f>
        <v>The goal of accessibility is ultimately usability by persons with disabilities. Expert staff and automated testing are important, but automated tools can only detect ~25% of issues so must be supplemented with additional methodologies. Best practice would include testing by people with disabilities. At minimum, some manual testing needs to be conducted in the verification process. The use of overlays or AI plugin solutions to help products "automatically conform" with accessibility guidelines is presently inadequate and should impact scores negatively.</v>
      </c>
      <c r="D201" s="57" t="str">
        <f>VLOOKUP($A201,Questions!$A$3:$X$333,20,0)&amp;""</f>
        <v/>
      </c>
    </row>
    <row r="202" spans="1:5" ht="62.25" customHeight="1" x14ac:dyDescent="0.2">
      <c r="A202" s="57" t="s">
        <v>184</v>
      </c>
      <c r="B202" s="57" t="str">
        <f>VLOOKUP($A202,Questions!$A$3:$X$333,2,0)&amp;""</f>
        <v>Have you adopted a technical or legal standard of conformance for the solution?</v>
      </c>
      <c r="C202" s="57" t="str">
        <f>VLOOKUP($A202,Questions!$A$3:$X$333,19,0)&amp;""</f>
        <v xml:space="preserve">Knowing the standard solution providers aim for ensures aligned goals. For example, WCAG 2.0 or §508 specify accessibility standards from 2008 that may not meet present needs. WCAG 2.2 is the most current, and 2.1 AA is the most commonly cited current technical accessibility standard. </v>
      </c>
      <c r="D202" s="57" t="str">
        <f>VLOOKUP($A202,Questions!$A$3:$X$333,20,0)&amp;""</f>
        <v/>
      </c>
    </row>
    <row r="203" spans="1:5" ht="66" customHeight="1" x14ac:dyDescent="0.2">
      <c r="A203" s="57" t="s">
        <v>185</v>
      </c>
      <c r="B203" s="57" t="str">
        <f>VLOOKUP($A203,Questions!$A$3:$X$333,2,0)&amp;""</f>
        <v>Can you provide a current, detailed accessibility roadmap with delivery timelines?</v>
      </c>
      <c r="C203" s="57" t="str">
        <f>VLOOKUP($A203,Questions!$A$3:$X$333,19,0)&amp;""</f>
        <v>If solution do not fully conform to accessibility standards, it is important that solution providers have a roadmap specifying how they will work to achieve it. A roadmap with delivery timelines is best supported by evidence of prior delivery on such timelines. Analysts can better predict time to conformance and institutions can plan accordingly.</v>
      </c>
      <c r="D203" s="57" t="str">
        <f>VLOOKUP($A203,Questions!$A$3:$X$333,20,0)&amp;""</f>
        <v>If no roadmap is available, seek additional information from the solution provider such as release notes that address accessibility and any feedback from users that address the accessibility of the solution.</v>
      </c>
    </row>
    <row r="204" spans="1:5" ht="98.25" customHeight="1" x14ac:dyDescent="0.2">
      <c r="A204" s="57" t="s">
        <v>186</v>
      </c>
      <c r="B204" s="57" t="str">
        <f>VLOOKUP($A204,Questions!$A$3:$X$333,2,0)&amp;""</f>
        <v>Do you expect your staff to maintain a current skill set in IT accessibility?</v>
      </c>
      <c r="C204" s="57" t="str">
        <f>VLOOKUP($A204,Questions!$A$3:$X$333,19,0)&amp;""</f>
        <v>Having accessibility expertise within the staff supports the proactive development of accessible solutions. If staff lack sufficient accessibility expertise, then accessibility improvements may only be the result of the solution provider reacting to issues or reports of access barriers submitted by clients of the solution provider.</v>
      </c>
      <c r="D204" s="57" t="str">
        <f>VLOOKUP($A204,Questions!$A$3:$X$333,20,0)&amp;""</f>
        <v/>
      </c>
    </row>
    <row r="205" spans="1:5" ht="81" customHeight="1" x14ac:dyDescent="0.2">
      <c r="A205" s="57" t="s">
        <v>187</v>
      </c>
      <c r="B205" s="57" t="str">
        <f>VLOOKUP($A205,Questions!$A$3:$X$333,2,0)&amp;""</f>
        <v>Do you have documented processes and procedures for implementing accessibility into your development lifecycle?</v>
      </c>
      <c r="C205" s="57" t="str">
        <f>VLOOKUP($A205,Questions!$A$3:$X$333,19,0)&amp;""</f>
        <v>This question is designed to understand how accessibility is included in new versions and features of solutions, particularly with solution providers that implement Agile or similar methodologies where software is updated frequently and continuously.</v>
      </c>
      <c r="D205" s="57" t="str">
        <f>VLOOKUP($A205,Questions!$A$3:$X$333,20,0)&amp;""</f>
        <v/>
      </c>
    </row>
    <row r="206" spans="1:5" ht="89.25" customHeight="1" x14ac:dyDescent="0.15">
      <c r="A206" s="57" t="s">
        <v>188</v>
      </c>
      <c r="B206" s="57" t="str">
        <f>VLOOKUP($A206,Questions!$A$3:$X$333,2,0)&amp;""</f>
        <v>Can all functions of the application or service be performed using only the keyboard?</v>
      </c>
      <c r="C206" s="57" t="str">
        <f>VLOOKUP($A206,Questions!$A$3:$X$333,19,0)&amp;""</f>
        <v>One critical accessibility requirement is the full use of a product using only the keyboard, -no mouse or trackpad. This requirement is easy for a nontechnical or non-accessibility expert to understand and verify.</v>
      </c>
      <c r="D206" s="57" t="str">
        <f>VLOOKUP($A206,Questions!$A$3:$X$333,20,0)&amp;""</f>
        <v>To confirm keyboard-only claims, follow the how-to at Minimum Expectations for applications webpage &lt;https://go.iu.edu/minimum-expectations&gt; from Indiana University or reference WebAIM’s Keyboard Testing guidance &lt;https://webaim.org/techniques/keyboard/#testing&gt;.</v>
      </c>
      <c r="E206" s="228" t="s">
        <v>16</v>
      </c>
    </row>
    <row r="207" spans="1:5" ht="71.25" customHeight="1" x14ac:dyDescent="0.2">
      <c r="A207" s="57" t="s">
        <v>189</v>
      </c>
      <c r="B207" s="57" t="str">
        <f>VLOOKUP($A207,Questions!$A$3:$X$333,2,0)&amp;""</f>
        <v>Does your product rely on activating a special "accessibility mode," a "lite version," or using an alternate interface (including “overlay” or AI-based alternates)  for accessibility purposes?</v>
      </c>
      <c r="C207" s="57" t="str">
        <f>VLOOKUP($A207,Questions!$A$3:$X$333,19,0)&amp;""</f>
        <v>Third-party overlays or add-ons are not sufficient for products to conform with accessibility Standards (more information at &lt;https://overlayfactsheet.com&gt;). Lite or alternate versions for accessibility versions are typically not feature equivalent and are less maintained. Plans should be shared on how a provider intends to bridge such a gap and work toward accessibility on the primary product path.</v>
      </c>
      <c r="D207" s="57" t="str">
        <f>VLOOKUP($A207,Questions!$A$3:$X$333,20,0)&amp;""</f>
        <v/>
      </c>
    </row>
    <row r="208" spans="1:5" ht="18" customHeight="1" x14ac:dyDescent="0.2">
      <c r="A208" s="61" t="str">
        <f>VLOOKUP(LEFT($A209,4),'Auto Responses'!$N$4:$O$38,2,0)&amp;""</f>
        <v xml:space="preserve"> Consulting Services</v>
      </c>
      <c r="B208" s="61"/>
      <c r="C208" s="56" t="str">
        <f>Questions!$S$2</f>
        <v>Reason for Question</v>
      </c>
      <c r="D208" s="56" t="str">
        <f>Questions!$T$2</f>
        <v>Follow-Up Inquiries/Responses</v>
      </c>
    </row>
    <row r="209" spans="1:5" ht="57" customHeight="1" x14ac:dyDescent="0.2">
      <c r="A209" s="57" t="s">
        <v>190</v>
      </c>
      <c r="B209" s="57" t="str">
        <f>VLOOKUP($A209,Questions!$A$3:$X$333,2,0)&amp;""</f>
        <v>Will the consultant require access to the institution's network resources?*</v>
      </c>
      <c r="C209" s="57" t="str">
        <f>VLOOKUP($A209,Questions!$A$3:$X$333,19,0)&amp;""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09" s="57" t="str">
        <f>VLOOKUP($A209,Questions!$A$3:$X$333,20,0)&amp;""</f>
        <v>Follow-up inquiries will be institution/implementation specific.</v>
      </c>
    </row>
    <row r="210" spans="1:5" ht="57" customHeight="1" x14ac:dyDescent="0.2">
      <c r="A210" s="57" t="s">
        <v>191</v>
      </c>
      <c r="B210" s="57" t="str">
        <f>VLOOKUP($A210,Questions!$A$3:$X$333,2,0)&amp;""</f>
        <v>Has the consultant received training on (sensitive, HIPAA, PCI, etc.) data handling?*</v>
      </c>
      <c r="C210" s="57" t="str">
        <f>VLOOKUP($A210,Questions!$A$3:$X$333,19,0)&amp;""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0" s="57" t="str">
        <f>VLOOKUP($A210,Questions!$A$3:$X$333,20,0)&amp;""</f>
        <v>Follow-up inquiries will be institution/implementation specific.</v>
      </c>
      <c r="E210" s="51"/>
    </row>
    <row r="211" spans="1:5" ht="57" customHeight="1" x14ac:dyDescent="0.2">
      <c r="A211" s="57" t="s">
        <v>192</v>
      </c>
      <c r="B211" s="57" t="str">
        <f>VLOOKUP($A211,Questions!$A$3:$X$333,2,0)&amp;""</f>
        <v>Is the data encrypted (at rest) while in the consultant's possession?*</v>
      </c>
      <c r="C211" s="57" t="str">
        <f>VLOOKUP($A211,Questions!$A$3:$X$333,19,0)&amp;""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1" s="57" t="str">
        <f>VLOOKUP($A211,Questions!$A$3:$X$333,20,0)&amp;""</f>
        <v>Follow-up inquiries will be institution/implementation specific.</v>
      </c>
    </row>
    <row r="212" spans="1:5" ht="57" customHeight="1" x14ac:dyDescent="0.2">
      <c r="A212" s="57" t="s">
        <v>193</v>
      </c>
      <c r="B212" s="57" t="str">
        <f>VLOOKUP($A212,Questions!$A$3:$X$333,2,0)&amp;""</f>
        <v>Can access be restricted based on source IP address?*</v>
      </c>
      <c r="C212" s="57" t="str">
        <f>VLOOKUP($A212,Questions!$A$3:$X$333,19,0)&amp;""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2" s="57" t="str">
        <f>VLOOKUP($A212,Questions!$A$3:$X$333,20,0)&amp;""</f>
        <v>Follow-up inquiries will be institution/implementation specific.</v>
      </c>
    </row>
    <row r="213" spans="1:5" ht="57" customHeight="1" x14ac:dyDescent="0.2">
      <c r="A213" s="57" t="s">
        <v>194</v>
      </c>
      <c r="B213" s="57" t="str">
        <f>VLOOKUP($A213,Questions!$A$3:$X$333,2,0)&amp;""</f>
        <v>Will the consulting take place on-premises?</v>
      </c>
      <c r="C213" s="57" t="str">
        <f>VLOOKUP($A213,Questions!$A$3:$X$333,19,0)&amp;""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3" s="57" t="str">
        <f>VLOOKUP($A213,Questions!$A$3:$X$333,20,0)&amp;""</f>
        <v>Follow-up inquiries will be institution/implementation specific.</v>
      </c>
    </row>
    <row r="214" spans="1:5" ht="57" customHeight="1" x14ac:dyDescent="0.2">
      <c r="A214" s="57" t="s">
        <v>195</v>
      </c>
      <c r="B214" s="57" t="str">
        <f>VLOOKUP($A214,Questions!$A$3:$X$333,2,0)&amp;""</f>
        <v>Will the consultant require access to hardware in the institution's data centers?</v>
      </c>
      <c r="C214" s="57" t="str">
        <f>VLOOKUP($A214,Questions!$A$3:$X$333,19,0)&amp;""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4" s="57" t="str">
        <f>VLOOKUP($A214,Questions!$A$3:$X$333,20,0)&amp;""</f>
        <v>Follow-up inquiries will be institution/implementation specific.</v>
      </c>
    </row>
    <row r="215" spans="1:5" ht="57" customHeight="1" x14ac:dyDescent="0.2">
      <c r="A215" s="57" t="s">
        <v>196</v>
      </c>
      <c r="B215" s="57" t="str">
        <f>VLOOKUP($A215,Questions!$A$3:$X$333,2,0)&amp;""</f>
        <v>Will the consultant require an account within the institution's domain (@*.edu)?</v>
      </c>
      <c r="C215" s="57" t="str">
        <f>VLOOKUP($A215,Questions!$A$3:$X$333,19,0)&amp;""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5" s="57" t="str">
        <f>VLOOKUP($A215,Questions!$A$3:$X$333,20,0)&amp;""</f>
        <v>Follow-up inquiries will be institution/implementation specific.</v>
      </c>
      <c r="E215" s="51"/>
    </row>
    <row r="216" spans="1:5" ht="57" customHeight="1" x14ac:dyDescent="0.2">
      <c r="A216" s="57" t="s">
        <v>197</v>
      </c>
      <c r="B216" s="57" t="str">
        <f>VLOOKUP($A216,Questions!$A$3:$X$333,2,0)&amp;""</f>
        <v>Will any data be transferred to the consultant's possession?</v>
      </c>
      <c r="C216" s="57" t="str">
        <f>VLOOKUP($A216,Questions!$A$3:$X$333,19,0)&amp;""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6" s="57" t="str">
        <f>VLOOKUP($A216,Questions!$A$3:$X$333,20,0)&amp;""</f>
        <v>Follow-up inquiries will be institution/implementation specific.</v>
      </c>
    </row>
    <row r="217" spans="1:5" ht="57" customHeight="1" x14ac:dyDescent="0.2">
      <c r="A217" s="57" t="s">
        <v>198</v>
      </c>
      <c r="B217" s="57" t="str">
        <f>VLOOKUP($A217,Questions!$A$3:$X$333,2,0)&amp;""</f>
        <v>Will the consultant need remote access to the institution's network or systems?</v>
      </c>
      <c r="C217" s="57" t="str">
        <f>VLOOKUP($A217,Questions!$A$3:$X$333,19,0)&amp;""</f>
        <v>Consultants are often used to implement, maintain, fix, and assess technology environments. In these cases, third-party consultants have access to institutional data, and appropriate access, whether remote or onsite, must be protected during the consulting engagement.</v>
      </c>
      <c r="D217" s="57" t="str">
        <f>VLOOKUP($A217,Questions!$A$3:$X$333,20,0)&amp;""</f>
        <v>Follow-up inquiries will be institution/implementation specific.</v>
      </c>
    </row>
    <row r="218" spans="1:5" ht="42.75" customHeight="1" x14ac:dyDescent="0.2">
      <c r="A218" s="61" t="str">
        <f>VLOOKUP(LEFT($A219,4),'Auto Responses'!$N$4:$O$38,2,0)&amp;""</f>
        <v xml:space="preserve">HIPAA Compliance </v>
      </c>
      <c r="B218" s="61"/>
      <c r="C218" s="56" t="str">
        <f>Questions!$S$2</f>
        <v>Reason for Question</v>
      </c>
      <c r="D218" s="56" t="str">
        <f>Questions!$T$2</f>
        <v>Follow-Up Inquiries/Responses</v>
      </c>
    </row>
    <row r="219" spans="1:5" ht="53.25" customHeight="1" x14ac:dyDescent="0.2">
      <c r="A219" s="57" t="s">
        <v>199</v>
      </c>
      <c r="B219" s="57" t="str">
        <f>VLOOKUP($A219,Questions!$A$3:$X$333,2,0)&amp;""</f>
        <v>Do your workforce members receive regular training related to the Health Insurance Portability and Accountability Act (HIPAA) Privacy and Security Rules and the HITECH Act?*</v>
      </c>
      <c r="C219" s="57" t="str">
        <f>VLOOKUP($A219,Questions!$A$3:$X$333,19,0)&amp;""</f>
        <v>HIPAA</v>
      </c>
      <c r="D219" s="57" t="str">
        <f>VLOOKUP($A219,Questions!$A$3:$X$333,20,0)&amp;""</f>
        <v>Refer to HIPAA documentation or your institution's Chief HIPAA Security Officer.</v>
      </c>
    </row>
    <row r="220" spans="1:5" ht="39.75" customHeight="1" x14ac:dyDescent="0.2">
      <c r="A220" s="57" t="s">
        <v>200</v>
      </c>
      <c r="B220" s="57" t="str">
        <f>VLOOKUP($A220,Questions!$A$3:$X$333,2,0)&amp;""</f>
        <v>Have you identified areas of risk?*</v>
      </c>
      <c r="C220" s="57" t="str">
        <f>VLOOKUP($A220,Questions!$A$3:$X$333,19,0)&amp;""</f>
        <v>HIPAA</v>
      </c>
      <c r="D220" s="57" t="str">
        <f>VLOOKUP($A220,Questions!$A$3:$X$333,20,0)&amp;""</f>
        <v>Refer to HIPAA documentation or your institution's Chief HIPAA Security Officer.</v>
      </c>
    </row>
    <row r="221" spans="1:5" ht="40.5" customHeight="1" x14ac:dyDescent="0.2">
      <c r="A221" s="57" t="s">
        <v>201</v>
      </c>
      <c r="B221" s="57" t="str">
        <f>VLOOKUP($A221,Questions!$A$3:$X$333,2,0)&amp;""</f>
        <v>Have the relevant policies/plans been tested?*</v>
      </c>
      <c r="C221" s="57" t="str">
        <f>VLOOKUP($A221,Questions!$A$3:$X$333,19,0)&amp;""</f>
        <v>HIPAA</v>
      </c>
      <c r="D221" s="57" t="str">
        <f>VLOOKUP($A221,Questions!$A$3:$X$333,20,0)&amp;""</f>
        <v>Refer to HIPAA documentation or your institution's Chief HIPAA Security Officer.</v>
      </c>
      <c r="E221" s="51"/>
    </row>
    <row r="222" spans="1:5" ht="39" customHeight="1" x14ac:dyDescent="0.2">
      <c r="A222" s="57" t="s">
        <v>202</v>
      </c>
      <c r="B222" s="57" t="str">
        <f>VLOOKUP($A222,Questions!$A$3:$X$333,2,0)&amp;""</f>
        <v>Have you entered into a Business Associate Agreements with all subcontractors who may have access to protected health information (PHI)?*</v>
      </c>
      <c r="C222" s="57" t="str">
        <f>VLOOKUP($A222,Questions!$A$3:$X$333,19,0)&amp;""</f>
        <v>HIPAA</v>
      </c>
      <c r="D222" s="57" t="str">
        <f>VLOOKUP($A222,Questions!$A$3:$X$333,20,0)&amp;""</f>
        <v>Refer to HIPAA documentation or your institution's Chief HIPAA Security Officer.</v>
      </c>
    </row>
    <row r="223" spans="1:5" ht="23.25" customHeight="1" x14ac:dyDescent="0.2">
      <c r="A223" s="57" t="s">
        <v>203</v>
      </c>
      <c r="B223" s="57" t="str">
        <f>VLOOKUP($A223,Questions!$A$3:$X$333,2,0)&amp;""</f>
        <v>Do you monitor or receive information regarding changes in HIPAA regulations?</v>
      </c>
      <c r="C223" s="57" t="str">
        <f>VLOOKUP($A223,Questions!$A$3:$X$333,19,0)&amp;""</f>
        <v>HIPAA</v>
      </c>
      <c r="D223" s="57" t="str">
        <f>VLOOKUP($A223,Questions!$A$3:$X$333,20,0)&amp;""</f>
        <v>Refer to HIPAA documentation or your institution's Chief HIPAA Security Officer.</v>
      </c>
    </row>
    <row r="224" spans="1:5" ht="39.75" customHeight="1" x14ac:dyDescent="0.2">
      <c r="A224" s="57" t="s">
        <v>204</v>
      </c>
      <c r="B224" s="57" t="str">
        <f>VLOOKUP($A224,Questions!$A$3:$X$333,2,0)&amp;""</f>
        <v>Has your organization designated HIPAA Privacy and Security officers as required by the rules?</v>
      </c>
      <c r="C224" s="57" t="str">
        <f>VLOOKUP($A224,Questions!$A$3:$X$333,19,0)&amp;""</f>
        <v>HIPAA</v>
      </c>
      <c r="D224" s="57" t="str">
        <f>VLOOKUP($A224,Questions!$A$3:$X$333,20,0)&amp;""</f>
        <v>Refer to HIPAA documentation or your institution's Chief HIPAA Security Officer.</v>
      </c>
    </row>
    <row r="225" spans="1:5" ht="38.25" customHeight="1" x14ac:dyDescent="0.2">
      <c r="A225" s="57" t="s">
        <v>205</v>
      </c>
      <c r="B225" s="57" t="str">
        <f>VLOOKUP($A225,Questions!$A$3:$X$333,2,0)&amp;""</f>
        <v>Do you comply with the requirements of the Health Information Technology for Economic and Clinical Health Act (HITECH)?</v>
      </c>
      <c r="C225" s="57" t="str">
        <f>VLOOKUP($A225,Questions!$A$3:$X$333,19,0)&amp;""</f>
        <v>HIPAA</v>
      </c>
      <c r="D225" s="57" t="str">
        <f>VLOOKUP($A225,Questions!$A$3:$X$333,20,0)&amp;""</f>
        <v>Refer to HIPAA documentation or your institution's Chief HIPAA Security Officer.</v>
      </c>
    </row>
    <row r="226" spans="1:5" ht="36" customHeight="1" x14ac:dyDescent="0.2">
      <c r="A226" s="57" t="s">
        <v>206</v>
      </c>
      <c r="B226" s="57" t="str">
        <f>VLOOKUP($A226,Questions!$A$3:$X$333,2,0)&amp;""</f>
        <v>Have you conducted a risk analysis as required under the HIPAA Security Rule?</v>
      </c>
      <c r="C226" s="57" t="str">
        <f>VLOOKUP($A226,Questions!$A$3:$X$333,19,0)&amp;""</f>
        <v>HIPAA</v>
      </c>
      <c r="D226" s="57" t="str">
        <f>VLOOKUP($A226,Questions!$A$3:$X$333,20,0)&amp;""</f>
        <v>Refer to HIPAA documentation or your institution's Chief HIPAA Security Officer.</v>
      </c>
    </row>
    <row r="227" spans="1:5" x14ac:dyDescent="0.2">
      <c r="A227" s="57" t="s">
        <v>207</v>
      </c>
      <c r="B227" s="57" t="str">
        <f>VLOOKUP($A227,Questions!$A$3:$X$333,2,0)&amp;""</f>
        <v>Have you taken actions to mitigate the identified risks?</v>
      </c>
      <c r="C227" s="57" t="str">
        <f>VLOOKUP($A227,Questions!$A$3:$X$333,19,0)&amp;""</f>
        <v>HIPAA</v>
      </c>
      <c r="D227" s="57" t="str">
        <f>VLOOKUP($A227,Questions!$A$3:$X$333,20,0)&amp;""</f>
        <v>Refer to HIPAA documentation or your institution's Chief HIPAA Security Officer.</v>
      </c>
    </row>
    <row r="228" spans="1:5" ht="34.5" customHeight="1" x14ac:dyDescent="0.2">
      <c r="A228" s="57" t="s">
        <v>208</v>
      </c>
      <c r="B228" s="57" t="str">
        <f>VLOOKUP($A228,Questions!$A$3:$X$333,2,0)&amp;""</f>
        <v>Does your application require user and system administrator password changes at a frequency no greater than 90 days?</v>
      </c>
      <c r="C228" s="57" t="str">
        <f>VLOOKUP($A228,Questions!$A$3:$X$333,19,0)&amp;""</f>
        <v>HIPAA</v>
      </c>
      <c r="D228" s="57" t="str">
        <f>VLOOKUP($A228,Questions!$A$3:$X$333,20,0)&amp;""</f>
        <v>Refer to HIPAA documentation or your institution's Chief HIPAA Security Officer.</v>
      </c>
      <c r="E228" s="51"/>
    </row>
    <row r="229" spans="1:5" ht="52.5" customHeight="1" x14ac:dyDescent="0.2">
      <c r="A229" s="57" t="s">
        <v>209</v>
      </c>
      <c r="B229" s="57" t="str">
        <f>VLOOKUP($A229,Questions!$A$3:$X$333,2,0)&amp;""</f>
        <v>Does your application require users to set their own password after an administrator reset or on first use of the account?</v>
      </c>
      <c r="C229" s="57" t="str">
        <f>VLOOKUP($A229,Questions!$A$3:$X$333,19,0)&amp;""</f>
        <v>HIPAA</v>
      </c>
      <c r="D229" s="57" t="str">
        <f>VLOOKUP($A229,Questions!$A$3:$X$333,20,0)&amp;""</f>
        <v>Refer to HIPAA documentation or your institution's Chief HIPAA Security Officer.</v>
      </c>
    </row>
    <row r="230" spans="1:5" ht="21" customHeight="1" x14ac:dyDescent="0.2">
      <c r="A230" s="57" t="s">
        <v>210</v>
      </c>
      <c r="B230" s="57" t="str">
        <f>VLOOKUP($A230,Questions!$A$3:$X$333,2,0)&amp;""</f>
        <v>Does your application lock out an account after a number of failed login attempts?</v>
      </c>
      <c r="C230" s="57" t="str">
        <f>VLOOKUP($A230,Questions!$A$3:$X$333,19,0)&amp;""</f>
        <v>HIPAA</v>
      </c>
      <c r="D230" s="57" t="str">
        <f>VLOOKUP($A230,Questions!$A$3:$X$333,20,0)&amp;""</f>
        <v>Refer to HIPAA documentation or your institution's Chief HIPAA Security Officer.</v>
      </c>
    </row>
    <row r="231" spans="1:5" ht="23.25" customHeight="1" x14ac:dyDescent="0.2">
      <c r="A231" s="57" t="s">
        <v>211</v>
      </c>
      <c r="B231" s="57" t="str">
        <f>VLOOKUP($A231,Questions!$A$3:$X$333,2,0)&amp;""</f>
        <v>Does your application automatically lock or log-out an account after a period of inactivity?</v>
      </c>
      <c r="C231" s="57" t="str">
        <f>VLOOKUP($A231,Questions!$A$3:$X$333,19,0)&amp;""</f>
        <v>HIPAA</v>
      </c>
      <c r="D231" s="57" t="str">
        <f>VLOOKUP($A231,Questions!$A$3:$X$333,20,0)&amp;""</f>
        <v>Refer to HIPAA documentation or your institution's Chief HIPAA Security Officer.</v>
      </c>
    </row>
    <row r="232" spans="1:5" ht="24.75" customHeight="1" x14ac:dyDescent="0.2">
      <c r="A232" s="57" t="s">
        <v>212</v>
      </c>
      <c r="B232" s="57" t="str">
        <f>VLOOKUP($A232,Questions!$A$3:$X$333,2,0)&amp;""</f>
        <v>Are passwords visible in plain text, whether when stored or entered, including service level accounts (i.e., database accounts, etc.)?</v>
      </c>
      <c r="C232" s="57" t="str">
        <f>VLOOKUP($A232,Questions!$A$3:$X$333,19,0)&amp;""</f>
        <v>HIPAA</v>
      </c>
      <c r="D232" s="57" t="str">
        <f>VLOOKUP($A232,Questions!$A$3:$X$333,20,0)&amp;""</f>
        <v>Refer to HIPAA documentation or your institution's Chief HIPAA Security Officer.</v>
      </c>
    </row>
    <row r="233" spans="1:5" ht="39" customHeight="1" x14ac:dyDescent="0.2">
      <c r="A233" s="57" t="s">
        <v>213</v>
      </c>
      <c r="B233" s="57" t="str">
        <f>VLOOKUP($A233,Questions!$A$3:$X$333,2,0)&amp;""</f>
        <v>If the application is institution-hosted, can all service level and administrative account passwords be changed by the institution?</v>
      </c>
      <c r="C233" s="57" t="str">
        <f>VLOOKUP($A233,Questions!$A$3:$X$333,19,0)&amp;""</f>
        <v>HIPAA</v>
      </c>
      <c r="D233" s="57" t="str">
        <f>VLOOKUP($A233,Questions!$A$3:$X$333,20,0)&amp;""</f>
        <v>Refer to HIPAA documentation or your institution's Chief HIPAA Security Officer.</v>
      </c>
    </row>
    <row r="234" spans="1:5" ht="23.25" customHeight="1" x14ac:dyDescent="0.2">
      <c r="A234" s="57" t="s">
        <v>214</v>
      </c>
      <c r="B234" s="57" t="str">
        <f>VLOOKUP($A234,Questions!$A$3:$X$333,2,0)&amp;""</f>
        <v>Does your application provide the ability to define user access levels?</v>
      </c>
      <c r="C234" s="57" t="str">
        <f>VLOOKUP($A234,Questions!$A$3:$X$333,19,0)&amp;""</f>
        <v>HIPAA</v>
      </c>
      <c r="D234" s="57" t="str">
        <f>VLOOKUP($A234,Questions!$A$3:$X$333,20,0)&amp;""</f>
        <v>Refer to HIPAA documentation or your institution's Chief HIPAA Security Officer.</v>
      </c>
    </row>
    <row r="235" spans="1:5" ht="22.5" customHeight="1" x14ac:dyDescent="0.2">
      <c r="A235" s="57" t="s">
        <v>215</v>
      </c>
      <c r="B235" s="57" t="str">
        <f>VLOOKUP($A235,Questions!$A$3:$X$333,2,0)&amp;""</f>
        <v>Does your application support varying levels of access to administrative tasks defined individually per user?</v>
      </c>
      <c r="C235" s="57" t="str">
        <f>VLOOKUP($A235,Questions!$A$3:$X$333,19,0)&amp;""</f>
        <v>HIPAA</v>
      </c>
      <c r="D235" s="57" t="str">
        <f>VLOOKUP($A235,Questions!$A$3:$X$333,20,0)&amp;""</f>
        <v>Refer to HIPAA documentation or your institution's Chief HIPAA Security Officer.</v>
      </c>
    </row>
    <row r="236" spans="1:5" ht="33" customHeight="1" x14ac:dyDescent="0.15">
      <c r="A236" s="57" t="s">
        <v>216</v>
      </c>
      <c r="B236" s="57" t="str">
        <f>VLOOKUP($A236,Questions!$A$3:$X$333,2,0)&amp;""</f>
        <v>Does your application support varying levels of access to records based on user ID?</v>
      </c>
      <c r="C236" s="57" t="str">
        <f>VLOOKUP($A236,Questions!$A$3:$X$333,19,0)&amp;""</f>
        <v>HIPAA</v>
      </c>
      <c r="D236" s="57" t="str">
        <f>VLOOKUP($A236,Questions!$A$3:$X$333,20,0)&amp;""</f>
        <v>Refer to HIPAA documentation or your institution's Chief HIPAA Security Officer.</v>
      </c>
      <c r="E236" s="228" t="s">
        <v>16</v>
      </c>
    </row>
    <row r="237" spans="1:5" x14ac:dyDescent="0.2">
      <c r="A237" s="57" t="s">
        <v>217</v>
      </c>
      <c r="B237" s="57" t="str">
        <f>VLOOKUP($A237,Questions!$A$3:$X$333,2,0)&amp;""</f>
        <v>Is there a limit to the number of groups to which a user can be assigned?</v>
      </c>
      <c r="C237" s="57" t="str">
        <f>VLOOKUP($A237,Questions!$A$3:$X$333,19,0)&amp;""</f>
        <v>HIPAA</v>
      </c>
      <c r="D237" s="57" t="str">
        <f>VLOOKUP($A237,Questions!$A$3:$X$333,20,0)&amp;""</f>
        <v>Refer to HIPAA documentation or your institution's Chief HIPAA Security Officer.</v>
      </c>
    </row>
    <row r="238" spans="1:5" ht="36" customHeight="1" x14ac:dyDescent="0.2">
      <c r="A238" s="57" t="s">
        <v>218</v>
      </c>
      <c r="B238" s="57" t="str">
        <f>VLOOKUP($A238,Questions!$A$3:$X$333,2,0)&amp;""</f>
        <v>Do accounts used for solution provider-supplied remote support abide by the same authentication policies and access logging as the rest of the system?</v>
      </c>
      <c r="C238" s="57" t="str">
        <f>VLOOKUP($A238,Questions!$A$3:$X$333,19,0)&amp;""</f>
        <v>HIPAA</v>
      </c>
      <c r="D238" s="57" t="str">
        <f>VLOOKUP($A238,Questions!$A$3:$X$333,20,0)&amp;""</f>
        <v>Refer to HIPAA documentation or your institution's Chief HIPAA Security Officer.</v>
      </c>
    </row>
    <row r="239" spans="1:5" ht="36.75" customHeight="1" x14ac:dyDescent="0.2">
      <c r="A239" s="57" t="s">
        <v>219</v>
      </c>
      <c r="B239" s="57" t="str">
        <f>VLOOKUP($A239,Questions!$A$3:$X$333,2,0)&amp;""</f>
        <v>Does the application log record access including specific user, date/time of access, and originating IP or device?</v>
      </c>
      <c r="C239" s="57" t="str">
        <f>VLOOKUP($A239,Questions!$A$3:$X$333,19,0)&amp;""</f>
        <v>HIPAA</v>
      </c>
      <c r="D239" s="57" t="str">
        <f>VLOOKUP($A239,Questions!$A$3:$X$333,20,0)&amp;""</f>
        <v>Refer to HIPAA documentation or your institution's Chief HIPAA Security Officer.</v>
      </c>
    </row>
    <row r="240" spans="1:5" ht="40.5" customHeight="1" x14ac:dyDescent="0.2">
      <c r="A240" s="57" t="s">
        <v>220</v>
      </c>
      <c r="B240" s="57" t="str">
        <f>VLOOKUP($A240,Questions!$A$3:$X$333,2,0)&amp;""</f>
        <v>Does the application log administrative activity, such as user account access changes and password changes, including specific user, date/time of changes, and originating IP or device?</v>
      </c>
      <c r="C240" s="57" t="str">
        <f>VLOOKUP($A240,Questions!$A$3:$X$333,19,0)&amp;""</f>
        <v>HIPAA</v>
      </c>
      <c r="D240" s="57" t="str">
        <f>VLOOKUP($A240,Questions!$A$3:$X$333,20,0)&amp;""</f>
        <v>Refer to HIPAA documentation or your institution's Chief HIPAA Security Officer.</v>
      </c>
    </row>
    <row r="241" spans="1:5" ht="39" customHeight="1" x14ac:dyDescent="0.2">
      <c r="A241" s="57" t="s">
        <v>221</v>
      </c>
      <c r="B241" s="57" t="str">
        <f>VLOOKUP($A241,Questions!$A$3:$X$333,2,0)&amp;""</f>
        <v>Do you retain logs for at least as long as required by HIPAA regulations?</v>
      </c>
      <c r="C241" s="57" t="str">
        <f>VLOOKUP($A241,Questions!$A$3:$X$333,19,0)&amp;""</f>
        <v>HIPAA</v>
      </c>
      <c r="D241" s="57" t="str">
        <f>VLOOKUP($A241,Questions!$A$3:$X$333,20,0)&amp;""</f>
        <v>Refer to HIPAA documentation or your institution's Chief HIPAA Security Officer.</v>
      </c>
    </row>
    <row r="242" spans="1:5" ht="38.25" customHeight="1" x14ac:dyDescent="0.2">
      <c r="A242" s="57" t="s">
        <v>222</v>
      </c>
      <c r="B242" s="57" t="str">
        <f>VLOOKUP($A242,Questions!$A$3:$X$333,2,0)&amp;""</f>
        <v>Can the application logs be archived?</v>
      </c>
      <c r="C242" s="57" t="str">
        <f>VLOOKUP($A242,Questions!$A$3:$X$333,19,0)&amp;""</f>
        <v>HIPAA</v>
      </c>
      <c r="D242" s="57" t="str">
        <f>VLOOKUP($A242,Questions!$A$3:$X$333,20,0)&amp;""</f>
        <v>Refer to HIPAA documentation or your institution's Chief HIPAA Security Officer.</v>
      </c>
    </row>
    <row r="243" spans="1:5" ht="28.5" customHeight="1" x14ac:dyDescent="0.2">
      <c r="A243" s="57" t="s">
        <v>223</v>
      </c>
      <c r="B243" s="57" t="str">
        <f>VLOOKUP($A243,Questions!$A$3:$X$333,2,0)&amp;""</f>
        <v>Can the application logs be saved externally?</v>
      </c>
      <c r="C243" s="57" t="str">
        <f>VLOOKUP($A243,Questions!$A$3:$X$333,19,0)&amp;""</f>
        <v>HIPAA</v>
      </c>
      <c r="D243" s="57" t="str">
        <f>VLOOKUP($A243,Questions!$A$3:$X$333,20,0)&amp;""</f>
        <v>Refer to HIPAA documentation or your institution's Chief HIPAA Security Officer.</v>
      </c>
    </row>
    <row r="244" spans="1:5" ht="29.25" customHeight="1" x14ac:dyDescent="0.2">
      <c r="A244" s="57" t="s">
        <v>224</v>
      </c>
      <c r="B244" s="57" t="str">
        <f>VLOOKUP($A244,Questions!$A$3:$X$333,2,0)&amp;""</f>
        <v>Do you have a disaster recovery plan and emergency mode operation plan?</v>
      </c>
      <c r="C244" s="57" t="str">
        <f>VLOOKUP($A244,Questions!$A$3:$X$333,19,0)&amp;""</f>
        <v>HIPAA</v>
      </c>
      <c r="D244" s="57" t="str">
        <f>VLOOKUP($A244,Questions!$A$3:$X$333,20,0)&amp;""</f>
        <v>Refer to HIPAA documentation or your institution's Chief HIPAA Security Officer.</v>
      </c>
    </row>
    <row r="245" spans="1:5" ht="26.25" customHeight="1" x14ac:dyDescent="0.2">
      <c r="A245" s="57" t="s">
        <v>225</v>
      </c>
      <c r="B245" s="57" t="str">
        <f>VLOOKUP($A245,Questions!$A$3:$X$333,2,0)&amp;""</f>
        <v>Can you provide a HIPAA compliance attestation document?</v>
      </c>
      <c r="C245" s="57" t="str">
        <f>VLOOKUP($A245,Questions!$A$3:$X$333,19,0)&amp;""</f>
        <v>HIPAA</v>
      </c>
      <c r="D245" s="57" t="str">
        <f>VLOOKUP($A245,Questions!$A$3:$X$333,20,0)&amp;""</f>
        <v>Refer to HIPAA documentation or your institution's Chief HIPAA Security Officer.</v>
      </c>
    </row>
    <row r="246" spans="1:5" ht="36.75" customHeight="1" x14ac:dyDescent="0.2">
      <c r="A246" s="57" t="s">
        <v>226</v>
      </c>
      <c r="B246" s="57" t="str">
        <f>VLOOKUP($A246,Questions!$A$3:$X$333,2,0)&amp;""</f>
        <v>Are you willing to enter into a Business Associate Agreement (BAA)?</v>
      </c>
      <c r="C246" s="57" t="str">
        <f>VLOOKUP($A246,Questions!$A$3:$X$333,19,0)&amp;""</f>
        <v>HIPAA</v>
      </c>
      <c r="D246" s="57" t="str">
        <f>VLOOKUP($A246,Questions!$A$3:$X$333,20,0)&amp;""</f>
        <v>Refer to HIPAA documentation or your institution's Chief HIPAA Security Officer.</v>
      </c>
    </row>
    <row r="247" spans="1:5" ht="22.5" customHeight="1" x14ac:dyDescent="0.2">
      <c r="A247" s="57" t="s">
        <v>227</v>
      </c>
      <c r="B247" s="57" t="str">
        <f>VLOOKUP($A247,Questions!$A$3:$X$333,2,0)&amp;""</f>
        <v>Do your data backup and retention policies and practices meet HIPAA requirements?</v>
      </c>
      <c r="C247" s="57" t="str">
        <f>VLOOKUP($A247,Questions!$A$3:$X$333,19,0)&amp;""</f>
        <v>HIPAA</v>
      </c>
      <c r="D247" s="57" t="str">
        <f>VLOOKUP($A247,Questions!$A$3:$X$333,20,0)&amp;""</f>
        <v>Refer to HIPAA documentation or your institution's Chief HIPAA Security Officer.</v>
      </c>
    </row>
    <row r="248" spans="1:5" ht="24.75" customHeight="1" x14ac:dyDescent="0.2">
      <c r="A248" s="61" t="str">
        <f>VLOOKUP(LEFT($A249,4),'Auto Responses'!$N$4:$O$38,2,0)&amp;""</f>
        <v xml:space="preserve"> Payment Card Industry Data Security Standard (PCI DSS)</v>
      </c>
      <c r="B248" s="61"/>
      <c r="C248" s="56" t="str">
        <f>Questions!$S$2</f>
        <v>Reason for Question</v>
      </c>
      <c r="D248" s="56" t="str">
        <f>Questions!$T$2</f>
        <v>Follow-Up Inquiries/Responses</v>
      </c>
    </row>
    <row r="249" spans="1:5" ht="51" customHeight="1" x14ac:dyDescent="0.15">
      <c r="A249" s="57" t="s">
        <v>228</v>
      </c>
      <c r="B249" s="57" t="str">
        <f>VLOOKUP($A249,Questions!$A$3:$X$333,2,0)&amp;""</f>
        <v>Do you have a current, executed within the past year, Attestation of Compliance (AoC) or Report on Compliance (RoC)?*</v>
      </c>
      <c r="C249" s="57" t="str">
        <f>VLOOKUP($A249,Questions!$A$3:$X$333,19,0)&amp;""</f>
        <v>PCI DSS</v>
      </c>
      <c r="D249" s="57" t="str">
        <f>VLOOKUP($A249,Questions!$A$3:$X$333,20,0)&amp;""</f>
        <v>Refer to PCI DSS documentation or your institution's treasurer's office.</v>
      </c>
      <c r="E249" s="228" t="s">
        <v>16</v>
      </c>
    </row>
    <row r="250" spans="1:5" ht="28.5" customHeight="1" x14ac:dyDescent="0.2">
      <c r="A250" s="57" t="s">
        <v>229</v>
      </c>
      <c r="B250" s="57" t="str">
        <f>VLOOKUP($A250,Questions!$A$3:$X$333,2,0)&amp;""</f>
        <v>Is the application listed as an approved Payment Application Data Security Standard (PA-DSS) application?*</v>
      </c>
      <c r="C250" s="57" t="str">
        <f>VLOOKUP($A250,Questions!$A$3:$X$333,19,0)&amp;""</f>
        <v>PCI DSS</v>
      </c>
      <c r="D250" s="57" t="str">
        <f>VLOOKUP($A250,Questions!$A$3:$X$333,20,0)&amp;""</f>
        <v>Refer to PCI DSS documentation or your institution's treasurer's office.</v>
      </c>
    </row>
    <row r="251" spans="1:5" ht="68.25" customHeight="1" x14ac:dyDescent="0.2">
      <c r="A251" s="57" t="s">
        <v>230</v>
      </c>
      <c r="B251" s="57" t="str">
        <f>VLOOKUP($A251,Questions!$A$3:$X$333,2,0)&amp;""</f>
        <v>Does the system or solutions use a third party to collect, store, process, or transmit cardholder (payment/credit/debt card) data?*</v>
      </c>
      <c r="C251" s="57" t="str">
        <f>VLOOKUP($A251,Questions!$A$3:$X$333,19,0)&amp;""</f>
        <v>PCI DSS</v>
      </c>
      <c r="D251" s="57" t="str">
        <f>VLOOKUP($A251,Questions!$A$3:$X$333,20,0)&amp;""</f>
        <v>Refer to PCI DSS documentation or your institution's treasurer's office.</v>
      </c>
    </row>
    <row r="252" spans="1:5" ht="71.25" customHeight="1" x14ac:dyDescent="0.2">
      <c r="A252" s="57" t="s">
        <v>231</v>
      </c>
      <c r="B252" s="57" t="str">
        <f>VLOOKUP($A252,Questions!$A$3:$X$333,2,0)&amp;""</f>
        <v>Do your systems or solutions store, process, or transmit cardholder (payment/credit/debt card) data?</v>
      </c>
      <c r="C252" s="57" t="str">
        <f>VLOOKUP($A252,Questions!$A$3:$X$333,19,0)&amp;""</f>
        <v>PCI DSS</v>
      </c>
      <c r="D252" s="57" t="str">
        <f>VLOOKUP($A252,Questions!$A$3:$X$333,20,0)&amp;""</f>
        <v>Refer to PCI DSS documentation or your institution's treasurer's office.</v>
      </c>
    </row>
    <row r="253" spans="1:5" ht="68.25" customHeight="1" x14ac:dyDescent="0.2">
      <c r="A253" s="57" t="s">
        <v>232</v>
      </c>
      <c r="B253" s="57" t="str">
        <f>VLOOKUP($A253,Questions!$A$3:$X$333,2,0)&amp;""</f>
        <v>Are you compliant with the Payment Card Industry Data Security Standard (PCI DSS)?</v>
      </c>
      <c r="C253" s="57" t="str">
        <f>VLOOKUP($A253,Questions!$A$3:$X$333,19,0)&amp;""</f>
        <v>PCI DSS</v>
      </c>
      <c r="D253" s="57" t="str">
        <f>VLOOKUP($A253,Questions!$A$3:$X$333,20,0)&amp;""</f>
        <v>Refer to PCI DSS documentation or your institution's treasurer's office.</v>
      </c>
    </row>
    <row r="254" spans="1:5" ht="76.5" customHeight="1" x14ac:dyDescent="0.2">
      <c r="A254" s="57" t="s">
        <v>233</v>
      </c>
      <c r="B254" s="57" t="str">
        <f>VLOOKUP($A254,Questions!$A$3:$X$333,2,0)&amp;""</f>
        <v>Are you classified as a service provider?</v>
      </c>
      <c r="C254" s="57" t="str">
        <f>VLOOKUP($A254,Questions!$A$3:$X$333,19,0)&amp;""</f>
        <v>PCI DSS</v>
      </c>
      <c r="D254" s="57" t="str">
        <f>VLOOKUP($A254,Questions!$A$3:$X$333,20,0)&amp;""</f>
        <v>Refer to PCI DSS documentation or your institution's treasurer's office.</v>
      </c>
    </row>
    <row r="255" spans="1:5" ht="81" customHeight="1" x14ac:dyDescent="0.2">
      <c r="A255" s="57" t="s">
        <v>234</v>
      </c>
      <c r="B255" s="57" t="str">
        <f>VLOOKUP($A255,Questions!$A$3:$X$333,2,0)&amp;""</f>
        <v>Are you on the list of Visa approved service providers?</v>
      </c>
      <c r="C255" s="57" t="str">
        <f>VLOOKUP($A255,Questions!$A$3:$X$333,19,0)&amp;""</f>
        <v>PCI DSS</v>
      </c>
      <c r="D255" s="57" t="str">
        <f>VLOOKUP($A255,Questions!$A$3:$X$333,20,0)&amp;""</f>
        <v>Refer to PCI DSS documentation or your institution's treasurer's office.</v>
      </c>
    </row>
    <row r="256" spans="1:5" ht="38.25" customHeight="1" x14ac:dyDescent="0.2">
      <c r="A256" s="57" t="s">
        <v>235</v>
      </c>
      <c r="B256" s="57" t="str">
        <f>VLOOKUP($A256,Questions!$A$3:$X$333,2,0)&amp;""</f>
        <v>Are you classified as a merchant? If so, what level (1, 2, 3, 4)?</v>
      </c>
      <c r="C256" s="57" t="str">
        <f>VLOOKUP($A256,Questions!$A$3:$X$333,19,0)&amp;""</f>
        <v>PCI DSS</v>
      </c>
      <c r="D256" s="57" t="str">
        <f>VLOOKUP($A256,Questions!$A$3:$X$333,20,0)&amp;""</f>
        <v>Refer to PCI DSS documentation or your institution's treasurer's office.</v>
      </c>
    </row>
    <row r="257" spans="1:5" ht="61.5" customHeight="1" x14ac:dyDescent="0.2">
      <c r="A257" s="57" t="s">
        <v>236</v>
      </c>
      <c r="B257" s="57" t="str">
        <f>VLOOKUP($A257,Questions!$A$3:$X$333,2,0)&amp;""</f>
        <v>Describe the architecture employed by the system to verify and authorize credit card transactions.</v>
      </c>
      <c r="C257" s="57" t="str">
        <f>VLOOKUP($A257,Questions!$A$3:$X$333,19,0)&amp;""</f>
        <v>PCI DSS</v>
      </c>
      <c r="D257" s="57" t="str">
        <f>VLOOKUP($A257,Questions!$A$3:$X$333,20,0)&amp;""</f>
        <v>Refer to PCI DSS documentation or your institution's treasurer's office.</v>
      </c>
    </row>
    <row r="258" spans="1:5" ht="54" customHeight="1" x14ac:dyDescent="0.2">
      <c r="A258" s="57" t="s">
        <v>237</v>
      </c>
      <c r="B258" s="57" t="str">
        <f>VLOOKUP($A258,Questions!$A$3:$X$333,2,0)&amp;""</f>
        <v>What payment processors/gateways does the system support?</v>
      </c>
      <c r="C258" s="57" t="str">
        <f>VLOOKUP($A258,Questions!$A$3:$X$333,19,0)&amp;""</f>
        <v>PCI DSS</v>
      </c>
      <c r="D258" s="57" t="str">
        <f>VLOOKUP($A258,Questions!$A$3:$X$333,20,0)&amp;""</f>
        <v>Refer to PCI DSS documentation or your institution's treasurer's office.</v>
      </c>
      <c r="E258" s="51"/>
    </row>
    <row r="259" spans="1:5" x14ac:dyDescent="0.2">
      <c r="A259" s="57" t="s">
        <v>238</v>
      </c>
      <c r="B259" s="57" t="str">
        <f>VLOOKUP($A259,Questions!$A$3:$X$333,2,0)&amp;""</f>
        <v>Can the application be installed in a PCI DSS–compliant manner?</v>
      </c>
      <c r="C259" s="57" t="str">
        <f>VLOOKUP($A259,Questions!$A$3:$X$333,19,0)&amp;""</f>
        <v>PCI DSS</v>
      </c>
      <c r="D259" s="57" t="str">
        <f>VLOOKUP($A259,Questions!$A$3:$X$333,20,0)&amp;""</f>
        <v>Refer to PCI DSS documentation or your institution's treasurer's office.</v>
      </c>
      <c r="E259" s="51"/>
    </row>
    <row r="260" spans="1:5" ht="60.75" customHeight="1" x14ac:dyDescent="0.15">
      <c r="A260" s="57" t="s">
        <v>239</v>
      </c>
      <c r="B260" s="57" t="str">
        <f>VLOOKUP($A260,Questions!$A$3:$X$333,2,0)&amp;""</f>
        <v>Include documentation describing the system's abilities to comply with the PCI DSS and any features or capabilities of the system that must be added or changed in order to operate in compliance with the standards.</v>
      </c>
      <c r="C260" s="57" t="str">
        <f>VLOOKUP($A260,Questions!$A$3:$X$333,19,0)&amp;""</f>
        <v>PCI DSS</v>
      </c>
      <c r="D260" s="57" t="str">
        <f>VLOOKUP($A260,Questions!$A$3:$X$333,20,0)&amp;""</f>
        <v>Refer to PCI DSS documentation or your institution's treasurer's office.</v>
      </c>
      <c r="E260" s="228" t="s">
        <v>16</v>
      </c>
    </row>
    <row r="261" spans="1:5" ht="18" customHeight="1" x14ac:dyDescent="0.2">
      <c r="A261" s="61" t="str">
        <f>VLOOKUP(LEFT($A262,4),'Auto Responses'!$N$4:$O$38,2,0)&amp;""</f>
        <v xml:space="preserve"> On-Premises Data Solutions</v>
      </c>
      <c r="B261" s="61"/>
      <c r="C261" s="56" t="str">
        <f>Questions!$S$2</f>
        <v>Reason for Question</v>
      </c>
      <c r="D261" s="56" t="str">
        <f>Questions!$T$2</f>
        <v>Follow-Up Inquiries/Responses</v>
      </c>
    </row>
    <row r="262" spans="1:5" ht="65.25" customHeight="1" x14ac:dyDescent="0.2">
      <c r="A262" s="57" t="s">
        <v>240</v>
      </c>
      <c r="B262" s="57" t="str">
        <f>VLOOKUP($A262,Questions!$A$3:$X$333,2,0)&amp;""</f>
        <v>Do you support role-based access control (RBAC) for system administrators?</v>
      </c>
      <c r="C262" s="57" t="str">
        <f>VLOOKUP($A262,Questions!$A$3:$X$333,19,0)&amp;""</f>
        <v>Managing a solution may rely on various professionals to administer a system. This question is focused on how administration, and the segregation of functions, can be implemented within the system. Securing the administration portion of a system has additional implications (e.g., logging, administration, etc.) beyond that of end users.</v>
      </c>
      <c r="D262" s="57" t="str">
        <f>VLOOKUP($A262,Questions!$A$3:$X$333,20,0)&amp;""</f>
        <v>Ask the solution provider to summarize the best practices for securing their system(s) administratively without the use of RBAC. Make sure to understand the administrative requirements/overhead introduced in the solution provider's environment.</v>
      </c>
    </row>
    <row r="263" spans="1:5" ht="78" customHeight="1" x14ac:dyDescent="0.2">
      <c r="A263" s="57" t="s">
        <v>241</v>
      </c>
      <c r="B263" s="57" t="str">
        <f>VLOOKUP($A263,Questions!$A$3:$X$333,2,0)&amp;""</f>
        <v>Can your employees access customer systems remotely?</v>
      </c>
      <c r="C263" s="57" t="str">
        <f>VLOOKUP($A263,Questions!$A$3:$X$333,19,0)&amp;""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63" s="57" t="str">
        <f>VLOOKUP($A263,Questions!$A$3:$X$333,20,0)&amp;""</f>
        <v>Ask the solution provider to summarize the reasoning behind this business process and request additional documentation that outlines the security controls implemented to safeguard institutional data.</v>
      </c>
    </row>
    <row r="264" spans="1:5" ht="60.75" customHeight="1" x14ac:dyDescent="0.2">
      <c r="A264" s="57" t="s">
        <v>242</v>
      </c>
      <c r="B264" s="57" t="str">
        <f>VLOOKUP($A264,Questions!$A$3:$X$333,2,0)&amp;""</f>
        <v>Can you provide overall system and/or application architecture diagrams including a full description of the data communications architecture for all components of the system?</v>
      </c>
      <c r="C264" s="57" t="str">
        <f>VLOOKUP($A264,Questions!$A$3:$X$333,19,0)&amp;""</f>
        <v>Many systems can be used a variety of ways. We want these implementation type diagrams so that we can understand the "real" use of the solution.</v>
      </c>
      <c r="D264" s="57" t="str">
        <f>VLOOKUP($A264,Questions!$A$3:$X$333,20,0)&amp;""</f>
        <v>Additional requests for documentation are made when other parts of the HECVAT are insufficient. Although supporting documentation is helpful, many solution providers do not provide it. We try to be specific with our follow-up questions so that solution providers understand we are not looking for 20-50 page whitepapers (sales documentation).</v>
      </c>
    </row>
    <row r="265" spans="1:5" ht="78.75" customHeight="1" x14ac:dyDescent="0.2">
      <c r="A265" s="57" t="s">
        <v>243</v>
      </c>
      <c r="B265" s="57" t="str">
        <f>VLOOKUP($A265,Questions!$A$3:$X$333,2,0)&amp;""</f>
        <v>Do you require remote management of the system?</v>
      </c>
      <c r="C265" s="57" t="str">
        <f>VLOOKUP($A265,Questions!$A$3:$X$333,19,0)&amp;""</f>
        <v>Telecommuting in the IT world is common. An institution should know that proper safeguards are in place, if remote access is allowed. Solution Provider responses vary greatly on this, so confirm the context of the response if it is not clear. Many cloud services can only be managed remotely, so there is often a gray area to interpret for this response.</v>
      </c>
      <c r="D265" s="57" t="str">
        <f>VLOOKUP($A265,Questions!$A$3:$X$333,20,0)&amp;""</f>
        <v>Ask the solution provider to summarize the reasoning behind this business process and request additional documentation that outlines the security controls implemented to safeguard institutional data.</v>
      </c>
    </row>
    <row r="266" spans="1:5" ht="74.25" customHeight="1" x14ac:dyDescent="0.15">
      <c r="A266" s="57" t="s">
        <v>244</v>
      </c>
      <c r="B266" s="57" t="str">
        <f>VLOOKUP($A266,Questions!$A$3:$X$333,2,0)&amp;""</f>
        <v>If you answered "yes" to OPEM-04, are your remote actions and changes logged or otherwise visible to the campus?</v>
      </c>
      <c r="C266" s="57" t="str">
        <f>VLOOKUP($A266,Questions!$A$3:$X$333,19,0)&amp;""</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remote access logging.</v>
      </c>
      <c r="D266" s="57" t="str">
        <f>VLOOKUP($A266,Questions!$A$3:$X$333,20,0)&amp;""</f>
        <v>If a weak response is given to this answer, it is appropriate to ask directed answers to get specific information. Ensure that questions are targeted to ensure responses will come from the appropriate party within the solution provider.</v>
      </c>
      <c r="E266" s="228" t="s">
        <v>16</v>
      </c>
    </row>
    <row r="267" spans="1:5" ht="28.5" customHeight="1" x14ac:dyDescent="0.2">
      <c r="A267" s="57" t="s">
        <v>245</v>
      </c>
      <c r="B267" s="57" t="str">
        <f>VLOOKUP($A267,Questions!$A$3:$X$333,2,0)&amp;""</f>
        <v>If you maintain remote access to the system, will you handle data in a FERPA-compliant manner?</v>
      </c>
      <c r="C267" s="57" t="str">
        <f>VLOOKUP($A267,Questions!$A$3:$X$333,19,0)&amp;""</f>
        <v>This is standard documentation, relevant to institution implementations requiring FERPA compliance.</v>
      </c>
      <c r="D267" s="57" t="str">
        <f>VLOOKUP($A267,Questions!$A$3:$X$333,20,0)&amp;""</f>
        <v>Follow-up inquiries for FERPA compliance details will be institution/implementation specific.</v>
      </c>
    </row>
    <row r="268" spans="1:5" ht="60" customHeight="1" x14ac:dyDescent="0.2">
      <c r="A268" s="57" t="s">
        <v>246</v>
      </c>
      <c r="B268" s="57" t="str">
        <f>VLOOKUP($A268,Questions!$A$3:$X$333,2,0)&amp;""</f>
        <v>Do you support campus status monitoring through SNMPv3 or other means?</v>
      </c>
      <c r="C268" s="57" t="str">
        <f>VLOOKUP($A268,Questions!$A$3:$X$333,19,0)&amp;""</f>
        <v>Standard documentation question. With an on-premise device, the possibility to tie-in with existing monitoring/management systems is beneficial. The solution provider's response should be clear and concise.</v>
      </c>
      <c r="D268" s="57" t="str">
        <f>VLOOKUP($A268,Questions!$A$3:$X$333,20,0)&amp;""</f>
        <v>Follow-up inquiries for monitoring via SNMPv3 will be institution/implementation specific.</v>
      </c>
    </row>
    <row r="269" spans="1:5" ht="58.5" customHeight="1" x14ac:dyDescent="0.2">
      <c r="A269" s="57" t="s">
        <v>247</v>
      </c>
      <c r="B269" s="57" t="str">
        <f>VLOOKUP($A269,Questions!$A$3:$X$333,2,0)&amp;""</f>
        <v>Describe or provide a reference to any other safeguards used to monitor for malicious activity.</v>
      </c>
      <c r="C269" s="57" t="str">
        <f>VLOOKUP($A269,Questions!$A$3:$X$333,19,0)&amp;""</f>
        <v>This question is primarily focused on system(s) integrity and confidentiality. The solution provider's response should clearly state the system(s) capabilities to properly monitor for (and alert for) malicious activity.</v>
      </c>
      <c r="D269" s="57" t="str">
        <f>VLOOKUP($A269,Questions!$A$3:$X$333,20,0)&amp;""</f>
        <v>Follow-up inquiries for system monitoring will be institution/implementation specific.</v>
      </c>
    </row>
    <row r="270" spans="1:5" ht="51.75" customHeight="1" x14ac:dyDescent="0.2">
      <c r="A270" s="57" t="s">
        <v>248</v>
      </c>
      <c r="B270" s="57" t="str">
        <f>VLOOKUP($A270,Questions!$A$3:$X$333,2,0)&amp;""</f>
        <v>Describe how long your organization has conducted business in this area.</v>
      </c>
      <c r="C270" s="57" t="str">
        <f>VLOOKUP($A270,Questions!$A$3:$X$333,19,0)&amp;""</f>
        <v>We want to establish longevity of a solution and whether or not a solution provider is new to the higher education space.</v>
      </c>
      <c r="D270" s="57" t="str">
        <f>VLOOKUP($A270,Questions!$A$3:$X$333,20,0)&amp;""</f>
        <v>Normally a solution provider will state their overall longevity but not talk about the software/service/product under evaluation. Follow-ups includes specific questions about the origins of the software/service/product and references will be requested.</v>
      </c>
    </row>
    <row r="271" spans="1:5" ht="63.75" customHeight="1" x14ac:dyDescent="0.15">
      <c r="A271" s="57" t="s">
        <v>249</v>
      </c>
      <c r="B271" s="57" t="str">
        <f>VLOOKUP($A271,Questions!$A$3:$X$333,2,0)&amp;""</f>
        <v>Do you have existing higher education customers?</v>
      </c>
      <c r="C271" s="57" t="str">
        <f>VLOOKUP($A271,Questions!$A$3:$X$333,19,0)&amp;""</f>
        <v>Higher education is a unique vertical. A solution provider's response to this question can help an analyst set the context for all solution provider responses. Established and/or mature solutions are more likely to have current higher education customers, and therefore understand the environment that we operate in.</v>
      </c>
      <c r="D271" s="57" t="str">
        <f>VLOOKUP($A271,Questions!$A$3:$X$333,20,0)&amp;""</f>
        <v>A simple "yes" without any references or supporting information should be questioned. Question the size of institutions that are using the solution and the scope of their implementations.</v>
      </c>
      <c r="E271" s="228" t="s">
        <v>16</v>
      </c>
    </row>
    <row r="272" spans="1:5" ht="18" customHeight="1" x14ac:dyDescent="0.2">
      <c r="A272" s="61" t="str">
        <f>VLOOKUP(LEFT($A273,4),'Auto Responses'!$N$4:$O$38,2,0)&amp;""</f>
        <v xml:space="preserve"> AI Qualifying Questions</v>
      </c>
      <c r="B272" s="61"/>
      <c r="C272" s="56" t="str">
        <f>Questions!$S$2</f>
        <v>Reason for Question</v>
      </c>
      <c r="D272" s="56" t="str">
        <f>Questions!$T$2</f>
        <v>Follow-Up Inquiries/Responses</v>
      </c>
    </row>
    <row r="273" spans="1:5" ht="36" customHeight="1" x14ac:dyDescent="0.2">
      <c r="A273" s="57" t="s">
        <v>250</v>
      </c>
      <c r="B273" s="57" t="str">
        <f>VLOOKUP($A273,Questions!$A$3:$X$333,2,0)&amp;""</f>
        <v>Does your solution leverage machine learning (ML) or do you plan to do so in the next 12 months?</v>
      </c>
      <c r="C273" s="57" t="str">
        <f>VLOOKUP($A273,Questions!$A$3:$X$333,19,0)&amp;""</f>
        <v/>
      </c>
      <c r="D273" s="57" t="str">
        <f>VLOOKUP($A273,Questions!$A$3:$X$333,20,0)&amp;""</f>
        <v/>
      </c>
    </row>
    <row r="274" spans="1:5" ht="38.25" customHeight="1" x14ac:dyDescent="0.2">
      <c r="A274" s="57" t="s">
        <v>251</v>
      </c>
      <c r="B274" s="57" t="str">
        <f>VLOOKUP($A274,Questions!$A$3:$X$333,2,0)&amp;""</f>
        <v>Does your solution leverage a large language model (LLM) or do you plan to do so in the next 12 months?</v>
      </c>
      <c r="C274" s="57" t="str">
        <f>VLOOKUP($A274,Questions!$A$3:$X$333,19,0)&amp;""</f>
        <v/>
      </c>
      <c r="D274" s="57" t="str">
        <f>VLOOKUP($A274,Questions!$A$3:$X$333,20,0)&amp;""</f>
        <v/>
      </c>
    </row>
    <row r="275" spans="1:5" ht="39" customHeight="1" x14ac:dyDescent="0.15">
      <c r="A275" s="61" t="str">
        <f>VLOOKUP(LEFT($A276,4),'Auto Responses'!$N$4:$O$38,2,0)&amp;""</f>
        <v xml:space="preserve"> General AI Questions</v>
      </c>
      <c r="B275" s="61"/>
      <c r="C275" s="56" t="str">
        <f>Questions!$S$2</f>
        <v>Reason for Question</v>
      </c>
      <c r="D275" s="56" t="str">
        <f>Questions!$T$2</f>
        <v>Follow-Up Inquiries/Responses</v>
      </c>
      <c r="E275" s="228" t="s">
        <v>16</v>
      </c>
    </row>
    <row r="276" spans="1:5" ht="28.5" customHeight="1" x14ac:dyDescent="0.2">
      <c r="A276" s="57" t="s">
        <v>252</v>
      </c>
      <c r="B276" s="57" t="str">
        <f>VLOOKUP($A276,Questions!$A$3:$X$333,2,0)&amp;""</f>
        <v>Does your solution have an AI risk model when developing or implementing your solution's AI model?*</v>
      </c>
      <c r="C276" s="57" t="str">
        <f>VLOOKUP($A276,Questions!$A$3:$X$333,19,0)&amp;""</f>
        <v>To ensure the vendor has proactive governance and has a defined, documented risk management strategy that is aligned with responsible AI.</v>
      </c>
      <c r="D276" s="57" t="str">
        <f>VLOOKUP($A276,Questions!$A$3:$X$333,20,0)&amp;""</f>
        <v>Can the AI risk model or framework in use be shared? How often is it reviewed and updated? If an AI framework is not in use, what practices are currently used to address AI risks?</v>
      </c>
    </row>
    <row r="277" spans="1:5" ht="50.25" customHeight="1" x14ac:dyDescent="0.2">
      <c r="A277" s="57" t="s">
        <v>253</v>
      </c>
      <c r="B277" s="57" t="str">
        <f>VLOOKUP($A277,Questions!$A$3:$X$333,2,0)&amp;""</f>
        <v>Can your solution's AI features be disabled by tenant and/or user?*</v>
      </c>
      <c r="C277" s="57" t="str">
        <f>VLOOKUP($A277,Questions!$A$3:$X$333,19,0)&amp;""</f>
        <v>To verify whether customers have control over AI features and can opt out when AI is not desired or creates compliance concerns.</v>
      </c>
      <c r="D277" s="57" t="str">
        <f>VLOOKUP($A277,Questions!$A$3:$X$333,20,0)&amp;""</f>
        <v>How easy is it to disable/enable AI features?</v>
      </c>
    </row>
    <row r="278" spans="1:5" ht="60.75" customHeight="1" x14ac:dyDescent="0.15">
      <c r="A278" s="57" t="s">
        <v>254</v>
      </c>
      <c r="B278" s="57" t="str">
        <f>VLOOKUP($A278,Questions!$A$3:$X$333,2,0)&amp;""</f>
        <v>Have your staff completed responsible AI training?*</v>
      </c>
      <c r="C278" s="57" t="str">
        <f>VLOOKUP($A278,Questions!$A$3:$X$333,19,0)&amp;""</f>
        <v>To confirm that staff are educated on ethical AI principles, data stewardship, bias mitigation, and compliance, ensuring responsible use and support for customers.</v>
      </c>
      <c r="D278" s="57" t="str">
        <f>VLOOKUP($A278,Questions!$A$3:$X$333,20,0)&amp;""</f>
        <v>Clarify the structure and enforcement of training supports transparency and accountability in AI-related operations.</v>
      </c>
      <c r="E278" s="228" t="s">
        <v>16</v>
      </c>
    </row>
    <row r="279" spans="1:5" ht="42.75" customHeight="1" x14ac:dyDescent="0.2">
      <c r="A279" s="57" t="s">
        <v>255</v>
      </c>
      <c r="B279" s="57" t="str">
        <f>VLOOKUP($A279,Questions!$A$3:$X$333,2,0)&amp;""</f>
        <v>Please describe the capabilities of your solution's AI features.</v>
      </c>
      <c r="C279" s="57" t="str">
        <f>VLOOKUP($A279,Questions!$A$3:$X$333,19,0)&amp;""</f>
        <v>To help institutions understand the scope, functionality, and intended use cases of the AI feature(s) and evaluate whether its capabilities align with institutional needs and risk tolerance.</v>
      </c>
      <c r="D279" s="57" t="str">
        <f>VLOOKUP($A279,Questions!$A$3:$X$333,20,0)&amp;""</f>
        <v>Can documentation of supported AI functions, limitations, and safeguards be provided?</v>
      </c>
    </row>
    <row r="280" spans="1:5" ht="39" customHeight="1" x14ac:dyDescent="0.2">
      <c r="A280" s="57" t="s">
        <v>256</v>
      </c>
      <c r="B280" s="57" t="str">
        <f>VLOOKUP($A280,Questions!$A$3:$X$333,2,0)&amp;""</f>
        <v>Does your solution support business rules to protect sensitive data from being ingested by the AI model?</v>
      </c>
      <c r="C280" s="57" t="str">
        <f>VLOOKUP($A280,Questions!$A$3:$X$333,19,0)&amp;""</f>
        <v>To determine the risk of sensitive data exposure from AI feature inputs and outputs.</v>
      </c>
      <c r="D280" s="57" t="str">
        <f>VLOOKUP($A280,Questions!$A$3:$X$333,20,0)&amp;""</f>
        <v>Can you provide examples of data loss prevention (DLP) features? Where are these DLP solutions implemented? Are these DLP features customizable?</v>
      </c>
    </row>
    <row r="281" spans="1:5" ht="38.25" customHeight="1" x14ac:dyDescent="0.15">
      <c r="A281" s="61" t="str">
        <f>VLOOKUP(LEFT($A282,4),'Auto Responses'!$N$4:$O$38,2,0)&amp;""</f>
        <v xml:space="preserve"> AI Policy</v>
      </c>
      <c r="B281" s="61"/>
      <c r="C281" s="56" t="str">
        <f>Questions!$S$2</f>
        <v>Reason for Question</v>
      </c>
      <c r="D281" s="56" t="str">
        <f>Questions!$T$2</f>
        <v>Follow-Up Inquiries/Responses</v>
      </c>
      <c r="E281" s="228" t="s">
        <v>16</v>
      </c>
    </row>
    <row r="282" spans="1:5" ht="57" customHeight="1" x14ac:dyDescent="0.2">
      <c r="A282" s="57" t="s">
        <v>257</v>
      </c>
      <c r="B282" s="57" t="str">
        <f>VLOOKUP($A282,Questions!$A$3:$X$333,2,0)&amp;""</f>
        <v>Are your AI developer's policies, processes, procedures, and practices across the organization related to the mapping, measuring, and managing of AI risks conspicuously posted, unambiguous, and implemented effectively?*</v>
      </c>
      <c r="C282" s="57" t="str">
        <f>VLOOKUP($A282,Questions!$A$3:$X$333,19,0)&amp;""</f>
        <v>To ensure that the vendor has established a mature AI governance framework, is prepared to manage the complex and evolving risks of AI, and is not likely to transfer that risk directly to customers.</v>
      </c>
      <c r="D282" s="57" t="str">
        <f>VLOOKUP($A282,Questions!$A$3:$X$333,20,0)&amp;""</f>
        <v>Given that a lack of formal governance can expose our institution to significant legal and reputational risks, how can you assure us that partnering with you will not transfer these liabilities to our organization?</v>
      </c>
    </row>
    <row r="283" spans="1:5" ht="56.25" customHeight="1" x14ac:dyDescent="0.2">
      <c r="A283" s="57" t="s">
        <v>258</v>
      </c>
      <c r="B283" s="57" t="str">
        <f>VLOOKUP($A283,Questions!$A$3:$X$333,2,0)&amp;""</f>
        <v>Have you identified and measured AI risks?*</v>
      </c>
      <c r="C283" s="57" t="str">
        <f>VLOOKUP($A283,Questions!$A$3:$X$333,19,0)&amp;""</f>
        <v>To help an organization verify that the vendor has a mature, proactive risk management framework in place, which is essential to protect the organization from the legal, financial, and reputational liabilities that can arise from a poorly governed AI system.</v>
      </c>
      <c r="D283" s="57" t="str">
        <f>VLOOKUP($A283,Questions!$A$3:$X$333,20,0)&amp;""</f>
        <v>Can you provide a list of moderate and high AI-specific risks? Can you explain how your company would handle the legal, reputational, and financial liabilities that our organization would face in the event your AI causes a significant incident, such as a privacy breach or an ethical failure?</v>
      </c>
    </row>
    <row r="284" spans="1:5" ht="68.25" customHeight="1" x14ac:dyDescent="0.2">
      <c r="A284" s="57" t="s">
        <v>259</v>
      </c>
      <c r="B284" s="57" t="str">
        <f>VLOOKUP($A284,Questions!$A$3:$X$333,2,0)&amp;""</f>
        <v>In the event of an incident, can your solution's AI features be disabled in a timely manner?*</v>
      </c>
      <c r="C284" s="57" t="str">
        <f>VLOOKUP($A284,Questions!$A$3:$X$333,19,0)&amp;""</f>
        <v>The ability to disable/enable AI features is essential for containing an incident and preventing a security or ethical failure.</v>
      </c>
      <c r="D284" s="57" t="str">
        <f>VLOOKUP($A284,Questions!$A$3:$X$333,20,0)&amp;""</f>
        <v>Given the critical need for a timely incident response, what is your specific, documented procedure for disabling the AI features; who is authorized to execute it; and can you provide a service level agreement (SLA) or a documented timeline for this process? Does disabling AI features require action by the vendor?</v>
      </c>
    </row>
    <row r="285" spans="1:5" ht="50.25" customHeight="1" x14ac:dyDescent="0.2">
      <c r="A285" s="57" t="s">
        <v>260</v>
      </c>
      <c r="B285" s="57" t="str">
        <f>VLOOKUP($A285,Questions!$A$3:$X$333,2,0)&amp;""</f>
        <v>If disabled because of an incident, can your solution's AI features be re-enabled in a timely manner?*</v>
      </c>
      <c r="C285" s="57" t="str">
        <f>VLOOKUP($A285,Questions!$A$3:$X$333,19,0)&amp;""</f>
        <v>This helps an organization create a business continuity plan and incident recovery plan.</v>
      </c>
      <c r="D285" s="57" t="str">
        <f>VLOOKUP($A285,Questions!$A$3:$X$333,20,0)&amp;""</f>
        <v/>
      </c>
    </row>
    <row r="286" spans="1:5" ht="65.25" customHeight="1" x14ac:dyDescent="0.2">
      <c r="A286" s="57" t="s">
        <v>261</v>
      </c>
      <c r="B286" s="57" t="str">
        <f>VLOOKUP($A286,Questions!$A$3:$X$333,2,0)&amp;""</f>
        <v>Do you have documented technical and procedural processes to address potential negative impacts of AI as described by the AI Risk Management Framework (RMF)?</v>
      </c>
      <c r="C286" s="57" t="str">
        <f>VLOOKUP($A286,Questions!$A$3:$X$333,19,0)&amp;""</f>
        <v>This question helps maximize the value of the AI feature(s) while minimizing the negative impacts of AI.</v>
      </c>
      <c r="D286" s="57" t="str">
        <f>VLOOKUP($A286,Questions!$A$3:$X$333,20,0)&amp;""</f>
        <v>Are resources that are required to manage risks taken into account? Are mechanisms in place and applied to sustain the value of the deployed AI system? Are mechanisms in place and applied to supersede, disengage, or deactivate AI systems that demonstrate performance or outcomes inconsistent with the intended use?</v>
      </c>
    </row>
    <row r="287" spans="1:5" s="57" customFormat="1" ht="18.75" customHeight="1" x14ac:dyDescent="0.2">
      <c r="A287" s="61" t="str">
        <f>VLOOKUP(LEFT($A288,4),'Auto Responses'!$N$4:$O$38,2,0)&amp;""</f>
        <v xml:space="preserve"> AI Data Security</v>
      </c>
      <c r="B287" s="61"/>
      <c r="C287" s="56" t="str">
        <f>Questions!$S$2</f>
        <v>Reason for Question</v>
      </c>
      <c r="D287" s="56" t="str">
        <f>Questions!$T$2</f>
        <v>Follow-Up Inquiries/Responses</v>
      </c>
    </row>
    <row r="288" spans="1:5" s="57" customFormat="1" ht="71.25" customHeight="1" x14ac:dyDescent="0.2">
      <c r="A288" s="57" t="s">
        <v>262</v>
      </c>
      <c r="B288" s="57" t="str">
        <f>VLOOKUP($A288,Questions!$A$3:$X$333,2,0)&amp;""</f>
        <v>If sensitive data is introduced to your solution's AI model, can the data be removed from the AI model by request?*</v>
      </c>
      <c r="C288" s="57" t="str">
        <f>VLOOKUP($A288,Questions!$A$3:$X$333,19,0)&amp;""</f>
        <v>This question assesses whether the vendor can remove sensitive data from its AI model upon request. This capability is essential for privacy compliance, including GDPR (Right to Erasure), FERPA, and state data protection laws, and it helps institutions ensure that their data is not retained or used beyond its intended purpose</v>
      </c>
      <c r="D288" s="57" t="str">
        <f>VLOOKUP($A288,Questions!$A$3:$X$333,20,0)&amp;""</f>
        <v>If the vendor does not support data deletion or provides an unclear response, the institution should follow up to determine how the vendor identifies, manages, and minimizes exposure of sensitive data within its AI systems. Ask for documentation or clarification on any compensating controls (e.g., data filtering, temporary memory use), data retention practices, limitations preventing deletion, and whether future support for deletion or unlearning is planned.</v>
      </c>
    </row>
    <row r="289" spans="1:5" ht="71.25" customHeight="1" x14ac:dyDescent="0.2">
      <c r="A289" s="57" t="s">
        <v>263</v>
      </c>
      <c r="B289" s="57" t="str">
        <f>VLOOKUP($A289,Questions!$A$3:$X$333,2,0)&amp;""</f>
        <v>Is user input data used to influence your solution's AI model?*</v>
      </c>
      <c r="C289" s="57" t="str">
        <f>VLOOKUP($A289,Questions!$A$3:$X$333,19,0)&amp;""</f>
        <v>This question helps institutions determine whether their input data is used to train or influence the vendor’s AI model. Understanding this protects institutional data from unauthorized reuse, supports compliance with privacy and data protection laws, and ensures that any future change to data use would require institutional consent.</v>
      </c>
      <c r="D289" s="57" t="str">
        <f>VLOOKUP($A289,Questions!$A$3:$X$333,20,0)&amp;""</f>
        <v>If the vendor’s response is unclear or incomplete, the institution should ask whether user input data is retained in any form (e.g., logs, embeddings, temporary memory) and how long it is stored. Confirm whether the vendor’s data sharing or processing agreement explicitly prohibits the use of institutional data for model training. If the vendor does use user input for model influence, request details on anonymization, opt-out mechanisms, and notification procedures for future changes.</v>
      </c>
    </row>
    <row r="290" spans="1:5" ht="57" customHeight="1" x14ac:dyDescent="0.15">
      <c r="A290" s="57" t="s">
        <v>264</v>
      </c>
      <c r="B290" s="57" t="str">
        <f>VLOOKUP($A290,Questions!$A$3:$X$333,2,0)&amp;""</f>
        <v>Do you provide logging for your solution's AI feature(s) that includes user, date, and action taken?*</v>
      </c>
      <c r="C290" s="57" t="str">
        <f>VLOOKUP($A290,Questions!$A$3:$X$333,19,0)&amp;""</f>
        <v>This question helps institutions confirm whether AI features can be audited for user activity, data use, and system behavior. Audit logging supports regulatory compliance, incident response, and transparency in environments handling sensitive or regulated data.</v>
      </c>
      <c r="D290" s="57" t="str">
        <f>VLOOKUP($A290,Questions!$A$3:$X$333,20,0)&amp;""</f>
        <v>If the vendor’s response is incomplete, the institution should confirm whether logs are segmented by AI feature, whether log data is reviewed or integrated into the vendor’s Security Operations Center processes, and how long logs are retained. Institutions should also verify whether logs are available for institutional review or external audit when required.</v>
      </c>
      <c r="E290" s="228" t="s">
        <v>16</v>
      </c>
    </row>
    <row r="291" spans="1:5" ht="57" customHeight="1" x14ac:dyDescent="0.2">
      <c r="A291" s="57" t="s">
        <v>265</v>
      </c>
      <c r="B291" s="57" t="str">
        <f>VLOOKUP($A291,Questions!$A$3:$X$333,2,0)&amp;""</f>
        <v>Please describe how you validate user inputs.</v>
      </c>
      <c r="C291" s="57" t="str">
        <f>VLOOKUP($A291,Questions!$A$3:$X$333,19,0)&amp;""</f>
        <v>This question helps institutions assess whether the solution protects against anomalous, malicious, or sensitive inputs that could compromise AI features. Input validation supports data integrity, incident prevention, and compliance with FERPA, GDPR, and state privacy and cybersecurity laws.</v>
      </c>
      <c r="D291" s="57" t="str">
        <f>VLOOKUP($A291,Questions!$A$3:$X$333,20,0)&amp;""</f>
        <v>If the vendor’s response is unclear, the institution should ask how anomalous or malicious inputs are detected, whether sensitive data is filtered, and where validation occurs (client-side, server-side, or within the AI model). Institutions may also request details on alerting, logging, and safeguards such as rate limiting or input sanitization.</v>
      </c>
    </row>
    <row r="292" spans="1:5" ht="71.25" customHeight="1" x14ac:dyDescent="0.2">
      <c r="A292" s="57" t="s">
        <v>266</v>
      </c>
      <c r="B292" s="57" t="str">
        <f>VLOOKUP($A292,Questions!$A$3:$X$333,2,0)&amp;""</f>
        <v>Do you plan for and mitigate supply-chain risk related to your AI features?</v>
      </c>
      <c r="C292" s="57" t="str">
        <f>VLOOKUP($A292,Questions!$A$3:$X$333,19,0)&amp;""</f>
        <v>This question helps institutions assess whether vendors manage supply chain risks in their AI features, which often rely on third-party models, libraries, and APIs. Institutions need assurance that vendors use practices such as SAST, SBOM, and ongoing monitoring to address vulnerabilities, while aligning with frameworks such as NIST AI RMF, NIST CSF, and Executive Order 14028.</v>
      </c>
      <c r="D292" s="57" t="str">
        <f>VLOOKUP($A292,Questions!$A$3:$X$333,20,0)&amp;""</f>
        <v>If the vendor’s response is unclear, the institution should ask whether an SBOM is maintained for AI components, how often third-party models and libraries are reviewed for vulnerabilities, and whether SAST or other testing is performed. Institutions may also confirm whether the vendor’s practices align with NIST AI RMF, NIST CSF, or Executive Order 14028 requirements.</v>
      </c>
    </row>
    <row r="293" spans="1:5" ht="36.75" customHeight="1" x14ac:dyDescent="0.2">
      <c r="A293" s="61" t="str">
        <f>VLOOKUP(LEFT($A294,4),'Auto Responses'!$N$4:$O$38,2,0)&amp;""</f>
        <v xml:space="preserve"> AI Machine Learning</v>
      </c>
      <c r="B293" s="61"/>
      <c r="C293" s="56" t="str">
        <f>Questions!$S$2</f>
        <v>Reason for Question</v>
      </c>
      <c r="D293" s="56" t="str">
        <f>Questions!$T$2</f>
        <v>Follow-Up Inquiries/Responses</v>
      </c>
    </row>
    <row r="294" spans="1:5" ht="99.75" customHeight="1" x14ac:dyDescent="0.2">
      <c r="A294" s="57" t="s">
        <v>267</v>
      </c>
      <c r="B294" s="57" t="str">
        <f>VLOOKUP($A294,Questions!$A$3:$X$333,2,0)&amp;""</f>
        <v>Do you separate ML training data from your ML solution data?*</v>
      </c>
      <c r="C294" s="57" t="str">
        <f>VLOOKUP($A294,Questions!$A$3:$X$333,19,0)&amp;""</f>
        <v>This question helps institutions determine whether operational data provided through the solution is kept separate from machine learning training data. Without this separation, institutional data could be inadvertently incorporated into global or shared models, creating risks of data leakage, misuse, or exposure to other customers. Ensuring separation also supports compliance with privacy and security requirements under FERPA, GDPR, and state data protection laws and gives institutions control over whether their data may be used for training or model improvement.</v>
      </c>
      <c r="D294" s="57" t="str">
        <f>VLOOKUP($A294,Questions!$A$3:$X$333,20,0)&amp;""</f>
        <v>If the vendor’s response is unclear, the institution should ask how data is flagged or excluded from training, whether customer data is ever used in shared/global models, and what opt-out mechanisms are available. Institutions may also request details on data environments used for training versus production.</v>
      </c>
    </row>
    <row r="295" spans="1:5" ht="42.75" customHeight="1" x14ac:dyDescent="0.2">
      <c r="A295" s="57" t="s">
        <v>268</v>
      </c>
      <c r="B295" s="57" t="str">
        <f>VLOOKUP($A295,Questions!$A$3:$X$333,2,0)&amp;""</f>
        <v>Do you authenticate and verify your ML model's feedback?*</v>
      </c>
      <c r="C295" s="57" t="str">
        <f>VLOOKUP($A295,Questions!$A$3:$X$333,19,0)&amp;""</f>
        <v>Verifying ML model feedback helps prevent skewing attacks that could distort predictions or reduce reliability.</v>
      </c>
      <c r="D295" s="57" t="str">
        <f>VLOOKUP($A295,Questions!$A$3:$X$333,20,0)&amp;""</f>
        <v>Understand whether any other controls or processes are in place that would mitigate the risk of the vendor not doing the authentication or verification. How does the vendor perform trigger-sweep evaluations?</v>
      </c>
    </row>
    <row r="296" spans="1:5" ht="28.5" customHeight="1" x14ac:dyDescent="0.2">
      <c r="A296" s="57" t="s">
        <v>269</v>
      </c>
      <c r="B296" s="57" t="str">
        <f>VLOOKUP($A296,Questions!$A$3:$X$333,2,0)&amp;""</f>
        <v>Is your ML training data vetted, validated, and verified before training the solution's AI model?</v>
      </c>
      <c r="C296" s="57" t="str">
        <f>VLOOKUP($A296,Questions!$A$3:$X$333,19,0)&amp;""</f>
        <v>This process can reduce the risk of errors or bias, as well as poor data quality undermining the model's accuracy and integrity.</v>
      </c>
      <c r="D296" s="57" t="str">
        <f>VLOOKUP($A296,Questions!$A$3:$X$333,20,0)&amp;""</f>
        <v>What other controls are in place as a substitute to this process? If not all steps are complete, what part of the process is currently being done?</v>
      </c>
    </row>
    <row r="297" spans="1:5" ht="57" customHeight="1" x14ac:dyDescent="0.2">
      <c r="A297" s="57" t="s">
        <v>270</v>
      </c>
      <c r="B297" s="57" t="str">
        <f>VLOOKUP($A297,Questions!$A$3:$X$333,2,0)&amp;""</f>
        <v>Is your ML training data monitored and audited?</v>
      </c>
      <c r="C297" s="57" t="str">
        <f>VLOOKUP($A297,Questions!$A$3:$X$333,19,0)&amp;""</f>
        <v>Training data can be targeted by attackers to influence the ML model’s behavior in harmful ways.</v>
      </c>
      <c r="D297" s="57" t="str">
        <f>VLOOKUP($A297,Questions!$A$3:$X$333,20,0)&amp;""</f>
        <v>Understand whether any other controls or processes are in place that would mitigate the risk of training data being manipulated by attackers? Do you audit for trojan/backdoor patterns? How do you protect against malicious code injection when using this ML tool for coding? Are trend, alerts flag, rare-token spikes monitored?</v>
      </c>
    </row>
    <row r="298" spans="1:5" ht="28.5" customHeight="1" x14ac:dyDescent="0.2">
      <c r="A298" s="57" t="s">
        <v>271</v>
      </c>
      <c r="B298" s="57" t="str">
        <f>VLOOKUP($A298,Questions!$A$3:$X$333,2,0)&amp;""</f>
        <v>Have you limited access to your ML training data to only staff with an explicit business need?</v>
      </c>
      <c r="C298" s="57" t="str">
        <f>VLOOKUP($A298,Questions!$A$3:$X$333,19,0)&amp;""</f>
        <v>Training data can be targeted by attackers to influence the ML model’s behavior in harmful ways.</v>
      </c>
      <c r="D298" s="57" t="str">
        <f>VLOOKUP($A298,Questions!$A$3:$X$333,20,0)&amp;""</f>
        <v/>
      </c>
    </row>
    <row r="299" spans="1:5" ht="36" customHeight="1" x14ac:dyDescent="0.2">
      <c r="A299" s="57" t="s">
        <v>272</v>
      </c>
      <c r="B299" s="57" t="str">
        <f>VLOOKUP($A299,Questions!$A$3:$X$333,2,0)&amp;""</f>
        <v>Have you implemented adversarial training or other model defense mechanisms to protect your ML-related features?</v>
      </c>
      <c r="C299" s="57" t="str">
        <f>VLOOKUP($A299,Questions!$A$3:$X$333,19,0)&amp;""</f>
        <v>Adversarial training and defenses help keep models resilient against manipulation and evasion attacks.</v>
      </c>
      <c r="D299" s="57" t="str">
        <f>VLOOKUP($A299,Questions!$A$3:$X$333,20,0)&amp;""</f>
        <v>What adversarial training is performed on the ML? What defense mechanisms are incorporated into the ML? How is the input validated for the ML?</v>
      </c>
    </row>
    <row r="300" spans="1:5" ht="58.5" customHeight="1" x14ac:dyDescent="0.2">
      <c r="A300" s="57" t="s">
        <v>273</v>
      </c>
      <c r="B300" s="57" t="str">
        <f>VLOOKUP($A300,Questions!$A$3:$X$333,2,0)&amp;""</f>
        <v>Do you make your ML model transparent through documentation and log inputs and outputs?</v>
      </c>
      <c r="C300" s="57" t="str">
        <f>VLOOKUP($A300,Questions!$A$3:$X$333,19,0)&amp;""</f>
        <v>This process helps ensure accountability and detect misuse or anomalies.</v>
      </c>
      <c r="D300" s="57" t="str">
        <f>VLOOKUP($A300,Questions!$A$3:$X$333,20,0)&amp;""</f>
        <v>How long are input/output logs retained, and how is log data protected? How often are transparency and logging processes reviewed or updated? Do logs enable post-hoc trigger correlation?</v>
      </c>
    </row>
    <row r="301" spans="1:5" ht="48" customHeight="1" x14ac:dyDescent="0.2">
      <c r="A301" s="57" t="s">
        <v>274</v>
      </c>
      <c r="B301" s="57" t="str">
        <f>VLOOKUP($A301,Questions!$A$3:$X$333,2,0)&amp;""</f>
        <v>Do you watermark your ML training data?</v>
      </c>
      <c r="C301" s="57" t="str">
        <f>VLOOKUP($A301,Questions!$A$3:$X$333,19,0)&amp;""</f>
        <v>Watermarking training data supports traceability, making it easier to detect misuse and respond to incidents.</v>
      </c>
      <c r="D301" s="57" t="str">
        <f>VLOOKUP($A301,Questions!$A$3:$X$333,20,0)&amp;""</f>
        <v>Are all training datasets watermarked, or only specific subsets? Are there any policies, procedures, or controls in place that would serve as substitutes or compensating measures for this practice?</v>
      </c>
    </row>
    <row r="302" spans="1:5" ht="39" customHeight="1" x14ac:dyDescent="0.2">
      <c r="A302" s="61" t="str">
        <f>VLOOKUP(LEFT($A303,4),'Auto Responses'!$N$4:$O$38,2,0)&amp;""</f>
        <v xml:space="preserve"> AI Large Language Model (LLM)</v>
      </c>
      <c r="B302" s="61"/>
      <c r="C302" s="56" t="str">
        <f>Questions!$S$2</f>
        <v>Reason for Question</v>
      </c>
      <c r="D302" s="56" t="str">
        <f>Questions!$T$2</f>
        <v>Follow-Up Inquiries/Responses</v>
      </c>
    </row>
    <row r="303" spans="1:5" ht="40.5" customHeight="1" x14ac:dyDescent="0.2">
      <c r="A303" s="57" t="s">
        <v>275</v>
      </c>
      <c r="B303" s="57" t="str">
        <f>VLOOKUP($A303,Questions!$A$3:$X$333,2,0)&amp;""</f>
        <v>Do you limit your solution's LLM privileges by default?*</v>
      </c>
      <c r="C303" s="57" t="str">
        <f>VLOOKUP($A303,Questions!$A$3:$X$333,19,0)&amp;""</f>
        <v>This question addresses misuse, exfiltration/change risk, and over-privileged behavior. It supports accountable operations and auditability.</v>
      </c>
      <c r="D303" s="57" t="str">
        <f>VLOOKUP($A303,Questions!$A$3:$X$333,20,0)&amp;""</f>
        <v>Is the LLM's API token unique? How do you segregate external content from user prompts? Do you manually monitor LLM input and output periodically?</v>
      </c>
    </row>
    <row r="304" spans="1:5" ht="54" customHeight="1" x14ac:dyDescent="0.15">
      <c r="A304" s="57" t="s">
        <v>276</v>
      </c>
      <c r="B304" s="57" t="str">
        <f>VLOOKUP($A304,Questions!$A$3:$X$333,2,0)&amp;""</f>
        <v>Is your LLM training data vetted, validated, and verified before training the solution's AI model?*</v>
      </c>
      <c r="C304" s="57" t="str">
        <f>VLOOKUP($A304,Questions!$A$3:$X$333,19,0)&amp;""</f>
        <v>Assures lawful, ethical, and auditable data use while reducing IP and privacy risk. This is key to trustworthy AI and effective audits.</v>
      </c>
      <c r="D304" s="57" t="str">
        <f>VLOOKUP($A304,Questions!$A$3:$X$333,20,0)&amp;""</f>
        <v>Request a dataset register with provenance records, license documentation, and change-control history. Request sample outputs of PII scrubbing/anonymization processes, results of bias/safety evaluations, and records of dataset refresh or retirement events.</v>
      </c>
      <c r="E304" s="228" t="s">
        <v>16</v>
      </c>
    </row>
    <row r="305" spans="1:5" ht="63.75" customHeight="1" x14ac:dyDescent="0.2">
      <c r="A305" s="57" t="s">
        <v>277</v>
      </c>
      <c r="B305" s="57" t="str">
        <f>VLOOKUP($A305,Questions!$A$3:$X$333,2,0)&amp;""</f>
        <v>Do any actions taken by your solution's LLM features or plugins require human intervention?*</v>
      </c>
      <c r="C305" s="57" t="str">
        <f>VLOOKUP($A305,Questions!$A$3:$X$333,19,0)&amp;""</f>
        <v>Prevents autonomous risky actions or misconfigurations and enforces accountability. This limits excessive agency.</v>
      </c>
      <c r="D305" s="57" t="str">
        <f>VLOOKUP($A305,Questions!$A$3:$X$333,20,0)&amp;""</f>
        <v>Ask which actions the LLM can trigger, what approvals are required, and how approvals are logged. Request RBAC matrices showing approver roles, sample approval/denial tickets, and audit logs of LLM-initiated actions with human overrides. Request rollback playbooks, incident reports of missteps caught by HITL, and evidence of periodic control testing.</v>
      </c>
    </row>
    <row r="306" spans="1:5" ht="52.5" customHeight="1" x14ac:dyDescent="0.2">
      <c r="A306" s="57" t="s">
        <v>278</v>
      </c>
      <c r="B306" s="57" t="str">
        <f>VLOOKUP($A306,Questions!$A$3:$X$333,2,0)&amp;""</f>
        <v>Do you limit multiple LLM model plugins being called as part of a single input?*</v>
      </c>
      <c r="C306" s="57" t="str">
        <f>VLOOKUP($A306,Questions!$A$3:$X$333,19,0)&amp;""</f>
        <v>Reduces supply-chain and prompt-injection risk, controls attack surface, and clarifies accountability. Aligns with governance expectations.</v>
      </c>
      <c r="D306" s="57" t="str">
        <f>VLOOKUP($A306,Questions!$A$3:$X$333,20,0)&amp;""</f>
        <v>Request a list of all plugins/tools callable by the LLM and the allow-listing criteria/review cadence. Ask for the validation approach, sandbox/egress rules, and test evidence.</v>
      </c>
    </row>
    <row r="307" spans="1:5" ht="78" customHeight="1" x14ac:dyDescent="0.2">
      <c r="A307" s="57" t="s">
        <v>279</v>
      </c>
      <c r="B307" s="57" t="str">
        <f>VLOOKUP($A307,Questions!$A$3:$X$333,2,0)&amp;""</f>
        <v>Do you limit your solution's LLM resource use per request, per step, and per action?</v>
      </c>
      <c r="C307" s="57" t="str">
        <f>VLOOKUP($A307,Questions!$A$3:$X$333,19,0)&amp;""</f>
        <v>Prevents denial-of-service and cost overruns from excessive or malicious consumption. Demonstrates managed, measurable operations.</v>
      </c>
      <c r="D307" s="57" t="str">
        <f>VLOOKUP($A307,Questions!$A$3:$X$333,20,0)&amp;""</f>
        <v>Request current default versus maximum token/CPU/memory quotas per tenant, monitoring dashboards of usage, and alerts or incidents where throttling was triggered. Ask about runbooks for resource spikes, evidence of recent resource reviews, and escalation paths.</v>
      </c>
    </row>
    <row r="308" spans="1:5" ht="62.25" customHeight="1" x14ac:dyDescent="0.2">
      <c r="A308" s="57" t="s">
        <v>280</v>
      </c>
      <c r="B308" s="57" t="str">
        <f>VLOOKUP($A308,Questions!$A$3:$X$333,2,0)&amp;""</f>
        <v>Do you leverage LLM model tuning or other model validation mechanisms?</v>
      </c>
      <c r="C308" s="57" t="str">
        <f>VLOOKUP($A308,Questions!$A$3:$X$333,19,0)&amp;""</f>
        <v>Mitigates hallucinations and ensures decisions rely on verifiable information. Supports trustworthy outcomes and reduces downstream misuse.</v>
      </c>
      <c r="D308" s="57" t="str">
        <f>VLOOKUP($A308,Questions!$A$3:$X$333,20,0)&amp;""</f>
        <v>Request benchmark and evaluation results with acceptance thresholds, along with logs or reports from fact-checking pipelines, retrieval-augmented validation, or citation verification. Include any red-team or adversarial testing results, records of human review for high-risk outputs, and the release gating criteria tied to evaluation outcomes.</v>
      </c>
    </row>
    <row r="309" spans="1:5" ht="41.25" customHeight="1" x14ac:dyDescent="0.2">
      <c r="A309" s="57" t="s">
        <v>281</v>
      </c>
      <c r="B309" s="57" t="str">
        <f>VLOOKUP($A309,Questions!$A$3:$X$333,2,0)&amp;""</f>
        <v>Will data be collected from or processed in or stored in China?</v>
      </c>
      <c r="C309" s="57" t="str">
        <f>VLOOKUP($A309,Questions!$A$3:$X$333,19,0)&amp;""</f>
        <v>Understanding whether the vendor processes data in China may help with institutional PIPL compliance.</v>
      </c>
      <c r="D309" s="57" t="str">
        <f>VLOOKUP($A309,Questions!$A$3:$X$333,20,0)&amp;""</f>
        <v>If institution's intended use includes targeting of data subjects in China and if vendor marks "no," institution might want to follow up to clarify data collected.</v>
      </c>
    </row>
    <row r="310" spans="1:5" ht="34.5" customHeight="1" x14ac:dyDescent="0.15">
      <c r="A310" s="57" t="s">
        <v>282</v>
      </c>
      <c r="B310" s="57" t="str">
        <f>VLOOKUP($A310,Questions!$A$3:$X$333,2,0)&amp;""</f>
        <v>Do you comply with PIPL security, privacy, and data localization requirements?</v>
      </c>
      <c r="C310" s="57" t="str">
        <f>VLOOKUP($A310,Questions!$A$3:$X$333,19,0)&amp;""</f>
        <v>Vendors targeting services in China should have the ability to comply with PIPL requirements.</v>
      </c>
      <c r="D310" s="57" t="str">
        <f>VLOOKUP($A310,Questions!$A$3:$X$333,20,0)&amp;""</f>
        <v/>
      </c>
      <c r="E310" s="228" t="s">
        <v>16</v>
      </c>
    </row>
    <row r="311" spans="1:5" ht="18" customHeight="1" x14ac:dyDescent="0.2">
      <c r="A311" s="61" t="str">
        <f>VLOOKUP(LEFT($A312,4),'Auto Responses'!$N$4:$O$38,2,0)&amp;""</f>
        <v xml:space="preserve"> General Privacy</v>
      </c>
      <c r="B311" s="61"/>
      <c r="C311" s="56" t="str">
        <f>Questions!$S$2</f>
        <v>Reason for Question</v>
      </c>
      <c r="D311" s="56" t="str">
        <f>Questions!$T$2</f>
        <v>Follow-Up Inquiries/Responses</v>
      </c>
    </row>
    <row r="312" spans="1:5" ht="28.5" customHeight="1" x14ac:dyDescent="0.2">
      <c r="A312" s="57" t="s">
        <v>283</v>
      </c>
      <c r="B312" s="57" t="str">
        <f>VLOOKUP($A312,Questions!$A$3:$X$333,2,0)&amp;""</f>
        <v>Does your solution process FERPA-related data?</v>
      </c>
      <c r="C312" s="57" t="str">
        <f>VLOOKUP($A312,Questions!$A$3:$X$333,19,0)&amp;""</f>
        <v>This question will help the institution gain an understanding of the types of data processed by this product or service.</v>
      </c>
      <c r="D312" s="57" t="str">
        <f>VLOOKUP($A312,Questions!$A$3:$X$333,20,0)&amp;""</f>
        <v>Will data be re-disclosed and/or used for any purpose other than directly providing the service, including quality assurance or marketing?</v>
      </c>
    </row>
    <row r="313" spans="1:5" ht="28.5" customHeight="1" x14ac:dyDescent="0.2">
      <c r="A313" s="57" t="s">
        <v>284</v>
      </c>
      <c r="B313" s="57" t="str">
        <f>VLOOKUP($A313,Questions!$A$3:$X$333,2,0)&amp;""</f>
        <v>Does your solution process GDPR-related or PIPL-related data?</v>
      </c>
      <c r="C313" s="57" t="str">
        <f>VLOOKUP($A313,Questions!$A$3:$X$333,19,0)&amp;""</f>
        <v>This question will help the institution gain an understanding of the types of data processed by this product or service.</v>
      </c>
      <c r="D313" s="57" t="str">
        <f>VLOOKUP($A313,Questions!$A$3:$X$333,20,0)&amp;""</f>
        <v/>
      </c>
    </row>
    <row r="314" spans="1:5" ht="28.5" customHeight="1" x14ac:dyDescent="0.2">
      <c r="A314" s="57" t="s">
        <v>285</v>
      </c>
      <c r="B314" s="57" t="str">
        <f>VLOOKUP($A314,Questions!$A$3:$X$333,2,0)&amp;""</f>
        <v>Does your solution process personal data regulated by state law(s) (e.g., CCPA)?</v>
      </c>
      <c r="C314" s="57" t="str">
        <f>VLOOKUP($A314,Questions!$A$3:$X$333,19,0)&amp;""</f>
        <v>This question will help the institution gain an understanding of the types of data processed by this product or service.</v>
      </c>
      <c r="D314" s="57" t="str">
        <f>VLOOKUP($A314,Questions!$A$3:$X$333,20,0)&amp;""</f>
        <v/>
      </c>
    </row>
    <row r="315" spans="1:5" ht="28.5" customHeight="1" x14ac:dyDescent="0.2">
      <c r="A315" s="57" t="s">
        <v>286</v>
      </c>
      <c r="B315" s="57" t="str">
        <f>VLOOKUP($A315,Questions!$A$3:$X$333,2,0)&amp;""</f>
        <v>Does your solution process user-provided data that may contain regulated information?</v>
      </c>
      <c r="C315" s="57" t="str">
        <f>VLOOKUP($A315,Questions!$A$3:$X$333,19,0)&amp;""</f>
        <v>This question will help the institution gain an understanding of the types of data processed by this product or service.</v>
      </c>
      <c r="D315" s="57" t="str">
        <f>VLOOKUP($A315,Questions!$A$3:$X$333,20,0)&amp;""</f>
        <v/>
      </c>
    </row>
    <row r="316" spans="1:5" ht="43.5" customHeight="1" x14ac:dyDescent="0.2">
      <c r="A316" s="57" t="s">
        <v>287</v>
      </c>
      <c r="B316" s="57" t="str">
        <f>VLOOKUP($A316,Questions!$A$3:$X$333,2,0)&amp;""</f>
        <v>Web Link to Product/Service Privacy Notice</v>
      </c>
      <c r="C316" s="57" t="str">
        <f>VLOOKUP($A316,Questions!$A$3:$X$333,19,0)&amp;""</f>
        <v>To ensure transparency and verify the vendor provides accessible privacy documentation that institutions can review and share with stakeholders.</v>
      </c>
      <c r="D316" s="57" t="str">
        <f>VLOOKUP($A316,Questions!$A$3:$X$333,20,0)&amp;""</f>
        <v>Please provide the direct URL to your privacy policy and confirm how frequently it is reviewed and updated.</v>
      </c>
    </row>
    <row r="317" spans="1:5" ht="18" customHeight="1" x14ac:dyDescent="0.2">
      <c r="A317" s="61" t="str">
        <f>VLOOKUP(LEFT($A318,4),'Auto Responses'!$N$4:$O$38,2,0)&amp;""</f>
        <v xml:space="preserve"> Privacy-Specific Company Details</v>
      </c>
      <c r="B317" s="61"/>
      <c r="C317" s="56" t="str">
        <f>Questions!$S$2</f>
        <v>Reason for Question</v>
      </c>
      <c r="D317" s="56" t="str">
        <f>Questions!$T$2</f>
        <v>Follow-Up Inquiries/Responses</v>
      </c>
    </row>
    <row r="318" spans="1:5" ht="58.5" customHeight="1" x14ac:dyDescent="0.2">
      <c r="A318" s="57" t="s">
        <v>288</v>
      </c>
      <c r="B318" s="57" t="str">
        <f>VLOOKUP($A318,Questions!$A$3:$X$333,2,0)&amp;""</f>
        <v>Have you had a personal data breach in the past three years that involved reporting to a governmental agency, notice to individuals (including voluntary notice), or notice to another organization or institution?*</v>
      </c>
      <c r="C318" s="57" t="str">
        <f>VLOOKUP($A318,Questions!$A$3:$X$333,19,0)&amp;""</f>
        <v>Having a previous data breach can indicate a level of risk that will indicate that the institution should further investigate changes made after the breach.</v>
      </c>
      <c r="D318" s="57" t="str">
        <f>VLOOKUP($A318,Questions!$A$3:$X$333,20,0)&amp;""</f>
        <v/>
      </c>
    </row>
    <row r="319" spans="1:5" ht="39.75" customHeight="1" x14ac:dyDescent="0.2">
      <c r="A319" s="57" t="s">
        <v>289</v>
      </c>
      <c r="B319" s="57" t="str">
        <f>VLOOKUP($A319,Questions!$A$3:$X$333,2,0)&amp;""</f>
        <v>Use this area to share information about your privacy practices that will assist those who are assessing your company data privacy program.*</v>
      </c>
      <c r="C319" s="57" t="str">
        <f>VLOOKUP($A319,Questions!$A$3:$X$333,19,0)&amp;""</f>
        <v>To gather voluntary disclosures that provide additional context beyond required responses, helping assessors understand the vendor's privacy culture and proactive commitment to data protection.</v>
      </c>
      <c r="D319" s="57" t="str">
        <f>VLOOKUP($A319,Questions!$A$3:$X$333,20,0)&amp;""</f>
        <v/>
      </c>
    </row>
    <row r="320" spans="1:5" ht="36.75" customHeight="1" x14ac:dyDescent="0.2">
      <c r="A320" s="57" t="s">
        <v>290</v>
      </c>
      <c r="B320" s="57" t="str">
        <f>VLOOKUP($A320,Questions!$A$3:$X$333,2,0)&amp;""</f>
        <v>Have you had any violations of your internal privacy policies or violations of applicable privacy law in the past 36 months?</v>
      </c>
      <c r="C320" s="57" t="str">
        <f>VLOOKUP($A320,Questions!$A$3:$X$333,19,0)&amp;""</f>
        <v>This question solicits information about internal privacy policy violations and/or violations of applicable privacy law in the past three years.</v>
      </c>
      <c r="D320" s="57" t="str">
        <f>VLOOKUP($A320,Questions!$A$3:$X$333,20,0)&amp;""</f>
        <v/>
      </c>
    </row>
    <row r="321" spans="1:5" ht="40.5" customHeight="1" x14ac:dyDescent="0.2">
      <c r="A321" s="57" t="s">
        <v>291</v>
      </c>
      <c r="B321" s="57" t="str">
        <f>VLOOKUP($A321,Questions!$A$3:$X$333,2,0)&amp;""</f>
        <v>Do you have a dedicated data privacy staff or office?</v>
      </c>
      <c r="C321" s="57" t="str">
        <f>VLOOKUP($A321,Questions!$A$3:$X$333,19,0)&amp;""</f>
        <v>Any solution provider processing protected student data should have resources/staff dedicated to the protection of the data.</v>
      </c>
      <c r="D321" s="57" t="str">
        <f>VLOOKUP($A321,Questions!$A$3:$X$333,20,0)&amp;""</f>
        <v/>
      </c>
    </row>
    <row r="322" spans="1:5" ht="35.25" customHeight="1" x14ac:dyDescent="0.2">
      <c r="A322" s="61" t="str">
        <f>VLOOKUP(LEFT($A323,4),'Auto Responses'!$N$4:$O$38,2,0)&amp;""</f>
        <v xml:space="preserve"> Privacy-Specific Documentation</v>
      </c>
      <c r="B322" s="61"/>
      <c r="C322" s="56" t="str">
        <f>Questions!$S$2</f>
        <v>Reason for Question</v>
      </c>
      <c r="D322" s="56" t="str">
        <f>Questions!$T$2</f>
        <v>Follow-Up Inquiries/Responses</v>
      </c>
    </row>
    <row r="323" spans="1:5" ht="33.75" customHeight="1" x14ac:dyDescent="0.2">
      <c r="A323" s="57" t="s">
        <v>292</v>
      </c>
      <c r="B323" s="57" t="str">
        <f>VLOOKUP($A323,Questions!$A$3:$X$333,2,0)&amp;""</f>
        <v>If you have completed a SOC 2 audit, does it include the Privacy Trust Service Principle?</v>
      </c>
      <c r="C323" s="57" t="str">
        <f>VLOOKUP($A323,Questions!$A$3:$X$333,19,0)&amp;""</f>
        <v>This is specifically asking for the Privacy Trust Service Principle, which is not always included in a SOC 2 audit.</v>
      </c>
      <c r="D323" s="57" t="str">
        <f>VLOOKUP($A323,Questions!$A$3:$X$333,20,0)&amp;""</f>
        <v/>
      </c>
    </row>
    <row r="324" spans="1:5" ht="78" customHeight="1" x14ac:dyDescent="0.2">
      <c r="A324" s="57" t="s">
        <v>293</v>
      </c>
      <c r="B324" s="57" t="str">
        <f>VLOOKUP($A324,Questions!$A$3:$X$333,2,0)&amp;""</f>
        <v>Do you conform with a specific industry-standard privacy framework (e.g., NIST Privacy Framework, GDPR, ISO 27701)?</v>
      </c>
      <c r="C324" s="57" t="str">
        <f>VLOOKUP($A324,Questions!$A$3:$X$333,19,0)&amp;""</f>
        <v>Conformance with industry privacy frameworks can demonstrate an organization's privacy posture and can provide clients a sense of comfort as to the organization's commitment to protection of personal data.</v>
      </c>
      <c r="D324" s="57" t="str">
        <f>VLOOKUP($A324,Questions!$A$3:$X$333,20,0)&amp;""</f>
        <v>If the organization relies on more than one framework or only on portions of a framework, has this been mapped to the Security Controls Framework? If so, please provide a copy of the mapping used.</v>
      </c>
    </row>
    <row r="325" spans="1:5" ht="98.25" customHeight="1" x14ac:dyDescent="0.2">
      <c r="A325" s="57" t="s">
        <v>294</v>
      </c>
      <c r="B325" s="57" t="str">
        <f>VLOOKUP($A325,Questions!$A$3:$X$333,2,0)&amp;""</f>
        <v>Does your employee onboarding and offboarding policy include training of employees on information security and data privacy?</v>
      </c>
      <c r="C325" s="57" t="str">
        <f>VLOOKUP($A325,Questions!$A$3:$X$333,19,0)&amp;""</f>
        <v>It is important that new employees be informed of organizational and individual expectations, obligations, and processes for protecting the privacy of personal data entrusted to your organization. It is equally important to ensure departing employees are informed of expectations and their obligations to maintain protection and privacy of personal data they may have been privy to in the course of their employment with your organization.</v>
      </c>
      <c r="D325" s="57" t="str">
        <f>VLOOKUP($A325,Questions!$A$3:$X$333,20,0)&amp;""</f>
        <v>If training is provided to specific employee groups only, please provide information as to which groups and an overview of the training for each group.</v>
      </c>
    </row>
    <row r="326" spans="1:5" ht="21" customHeight="1" x14ac:dyDescent="0.15">
      <c r="A326" s="61" t="str">
        <f>VLOOKUP(LEFT($A327,4),'Auto Responses'!$N$4:$O$38,2,0)&amp;""</f>
        <v xml:space="preserve"> Privacy of Third Parties</v>
      </c>
      <c r="B326" s="61"/>
      <c r="C326" s="56" t="str">
        <f>Questions!$S$2</f>
        <v>Reason for Question</v>
      </c>
      <c r="D326" s="56" t="str">
        <f>Questions!$T$2</f>
        <v>Follow-Up Inquiries/Responses</v>
      </c>
      <c r="E326" s="228" t="s">
        <v>16</v>
      </c>
    </row>
    <row r="327" spans="1:5" ht="57" customHeight="1" x14ac:dyDescent="0.2">
      <c r="A327" s="57" t="s">
        <v>295</v>
      </c>
      <c r="B327" s="57" t="str">
        <f>VLOOKUP($A327,Questions!$A$3:$X$333,2,0)&amp;""</f>
        <v>Do you have contractual agreements with third parties that require them to maintain standards and to comply with all regulatory requirements?*</v>
      </c>
      <c r="C327" s="57" t="str">
        <f>VLOOKUP($A327,Questions!$A$3:$X$333,19,0)&amp;""</f>
        <v>Inclusion of language in contractual agreements ensures third parties are aware of and have agreed to their obligations to maintain standards and comply with all regulatory requirements in regards to protection of personal data they handle on behalf of the organization.</v>
      </c>
      <c r="D327" s="57" t="str">
        <f>VLOOKUP($A327,Questions!$A$3:$X$333,20,0)&amp;""</f>
        <v/>
      </c>
    </row>
    <row r="328" spans="1:5" ht="129.75" customHeight="1" x14ac:dyDescent="0.2">
      <c r="A328" s="57" t="s">
        <v>296</v>
      </c>
      <c r="B328" s="57" t="str">
        <f>VLOOKUP($A328,Questions!$A$3:$X$333,2,0)&amp;""</f>
        <v>Do you perform privacy impact assessments of third parties that collect, process, or have access to personal data to ensure they meet industry and regulatory standards and to mitigate harmful, unethical, or discriminatory impacts on data subjects?</v>
      </c>
      <c r="C328" s="57" t="str">
        <f>VLOOKUP($A328,Questions!$A$3:$X$333,19,0)&amp;""</f>
        <v>The organization providing a product or service cannot reasonably claim it appropriately protects privacy of information entrusted to it if it relies on third parties or subprocessors that do not likewise meet or exceed the claimed levels of protection.</v>
      </c>
      <c r="D328" s="57" t="str">
        <f>VLOOKUP($A328,Questions!$A$3:$X$333,20,0)&amp;""</f>
        <v>If answer is "YES"...
Provide a list of third parties that were subject to a privacy impact assessment, the jurisdiction within which they operate, and the corresponding industry and regulatory standards for each.
If answer is "NO"…
If there are no plans to perform data privacy assessments of third parties, please explain any compensating measures or controls your organization relies on to ensure the privacy and security of client personal data entrusted to your organization.</v>
      </c>
    </row>
    <row r="329" spans="1:5" ht="18" customHeight="1" x14ac:dyDescent="0.2">
      <c r="A329" s="61" t="str">
        <f>VLOOKUP(LEFT($A330,4),'Auto Responses'!$N$4:$O$38,2,0)&amp;""</f>
        <v xml:space="preserve"> Privacy Change Management</v>
      </c>
      <c r="B329" s="61"/>
      <c r="C329" s="56" t="str">
        <f>Questions!$S$2</f>
        <v>Reason for Question</v>
      </c>
      <c r="D329" s="56" t="str">
        <f>Questions!$T$2</f>
        <v>Follow-Up Inquiries/Responses</v>
      </c>
    </row>
    <row r="330" spans="1:5" ht="43" customHeight="1" x14ac:dyDescent="0.2">
      <c r="A330" s="57" t="s">
        <v>297</v>
      </c>
      <c r="B330" s="57" t="str">
        <f>VLOOKUP($A330,Questions!$A$3:$X$333,2,0)&amp;""</f>
        <v>Does your change management process include privacy review and approval?</v>
      </c>
      <c r="C330" s="57" t="str">
        <f>VLOOKUP($A330,Questions!$A$3:$X$333,19,0)&amp;""</f>
        <v>It is important that change management not overlook any privacy considerations.</v>
      </c>
      <c r="D330" s="57" t="str">
        <f>VLOOKUP($A330,Questions!$A$3:$X$333,20,0)&amp;""</f>
        <v>If the answer is yes, describe the process; if the answer is no, describe plans to implement.</v>
      </c>
    </row>
    <row r="331" spans="1:5" ht="43" customHeight="1" x14ac:dyDescent="0.2">
      <c r="A331" s="57" t="s">
        <v>298</v>
      </c>
      <c r="B331" s="57" t="str">
        <f>VLOOKUP($A331,Questions!$A$3:$X$333,2,0)&amp;""</f>
        <v>Do you have policy and procedure, currently implemented, guiding how privacy risks are mitigated until they can be resolved?</v>
      </c>
      <c r="C331" s="57" t="str">
        <f>VLOOKUP($A331,Questions!$A$3:$X$333,19,0)&amp;""</f>
        <v>It is important to have a procedure in place to mitigate privacy risks as they come up.</v>
      </c>
      <c r="D331" s="57" t="str">
        <f>VLOOKUP($A331,Questions!$A$3:$X$333,20,0)&amp;""</f>
        <v>If the answer is yes, describe the process; if the answer is no, describe plans to implement.</v>
      </c>
    </row>
    <row r="332" spans="1:5" ht="18" customHeight="1" x14ac:dyDescent="0.2">
      <c r="A332" s="61" t="str">
        <f>VLOOKUP(LEFT($A333,4),'Auto Responses'!$N$4:$O$38,2,0)&amp;""</f>
        <v xml:space="preserve"> Privacy of Sensitive Data</v>
      </c>
      <c r="B332" s="61"/>
      <c r="C332" s="56" t="str">
        <f>Questions!$S$2</f>
        <v>Reason for Question</v>
      </c>
      <c r="D332" s="56" t="str">
        <f>Questions!$T$2</f>
        <v>Follow-Up Inquiries/Responses</v>
      </c>
    </row>
    <row r="333" spans="1:5" ht="43" customHeight="1" x14ac:dyDescent="0.2">
      <c r="A333" s="57" t="s">
        <v>299</v>
      </c>
      <c r="B333" s="57" t="str">
        <f>VLOOKUP($A333,Questions!$A$3:$X$333,2,0)&amp;""</f>
        <v>Do you collect, process, or store demographic information?*</v>
      </c>
      <c r="C333" s="57" t="str">
        <f>VLOOKUP($A333,Questions!$A$3:$X$333,19,0)&amp;""</f>
        <v>This data can be included in data sets that are deidentified but is sensitive data that could be reidentified if paired with other data points.</v>
      </c>
      <c r="D333" s="57" t="str">
        <f>VLOOKUP($A333,Questions!$A$3:$X$333,20,0)&amp;""</f>
        <v>Because of the nature of such data, it is important to have a full understanding of how the data is used and protected.</v>
      </c>
    </row>
    <row r="334" spans="1:5" ht="43" customHeight="1" x14ac:dyDescent="0.2">
      <c r="A334" s="57" t="s">
        <v>300</v>
      </c>
      <c r="B334" s="57" t="str">
        <f>VLOOKUP($A334,Questions!$A$3:$X$333,2,0)&amp;""</f>
        <v>Do you capture or create genetic, biometric, or behaviometric information (e.g., facial recognition or fingerprints)?*</v>
      </c>
      <c r="C334" s="57" t="str">
        <f>VLOOKUP($A334,Questions!$A$3:$X$333,19,0)&amp;""</f>
        <v>This data can be included in data sets that are deidentified but is sensitive data that could be reidentified if paired with other data points.</v>
      </c>
      <c r="D334" s="57" t="str">
        <f>VLOOKUP($A334,Questions!$A$3:$X$333,20,0)&amp;""</f>
        <v>Because of the nature of such data, it is important to have a full understanding of how the data is used and protected.</v>
      </c>
    </row>
    <row r="335" spans="1:5" ht="43" customHeight="1" x14ac:dyDescent="0.2">
      <c r="A335" s="57" t="s">
        <v>301</v>
      </c>
      <c r="B335" s="57" t="str">
        <f>VLOOKUP($A335,Questions!$A$3:$X$333,2,0)&amp;""</f>
        <v>Do you combine institutional data (including "de-identified," "anonymized," or otherwise masked data) with personal data from any other sources?*</v>
      </c>
      <c r="C335" s="57" t="str">
        <f>VLOOKUP($A335,Questions!$A$3:$X$333,19,0)&amp;""</f>
        <v>To identify potential re-identification risks and ensure the vendor doesn't merge institutional data with external datasets in ways that could compromise privacy protections or violate data use restrictions.</v>
      </c>
      <c r="D335" s="57" t="str">
        <f>VLOOKUP($A335,Questions!$A$3:$X$333,20,0)&amp;""</f>
        <v>If yes, describe what types of external data sources are combined with institutional data and for what purposes.</v>
      </c>
    </row>
    <row r="336" spans="1:5" ht="43" customHeight="1" x14ac:dyDescent="0.2">
      <c r="A336" s="57" t="s">
        <v>302</v>
      </c>
      <c r="B336" s="57" t="str">
        <f>VLOOKUP($A336,Questions!$A$3:$X$333,2,0)&amp;""</f>
        <v>Is institutional data coming into or going out of the United States at any point during collection, processing, storage, or archiving?</v>
      </c>
      <c r="C336" s="57" t="str">
        <f>VLOOKUP($A336,Questions!$A$3:$X$333,19,0)&amp;""</f>
        <v>To assess cross-border data transfer risks and ensure compliance with international privacy regulations including GDPR, data localization requirements, and data sovereignty considerations.</v>
      </c>
      <c r="D336" s="57" t="str">
        <f>VLOOKUP($A336,Questions!$A$3:$X$333,20,0)&amp;""</f>
        <v>If yes, identify which countries data flows to/from and what safeguards are in place (e.g., Standard Contractual Clauses, adequacy decisions).</v>
      </c>
    </row>
    <row r="337" spans="1:5" ht="43" customHeight="1" x14ac:dyDescent="0.2">
      <c r="A337" s="57" t="s">
        <v>303</v>
      </c>
      <c r="B337" s="57" t="str">
        <f>VLOOKUP($A337,Questions!$A$3:$X$333,2,0)&amp;""</f>
        <v>Do you capture device information (e.g., IP address, MAC address)?</v>
      </c>
      <c r="C337" s="57" t="str">
        <f>VLOOKUP($A337,Questions!$A$3:$X$333,19,0)&amp;""</f>
        <v>This question can clarify whether there are any indirect identifiers that don't appear to be readily identifiable but that could be identifiable in the event of unauthorized access or use.</v>
      </c>
      <c r="D337" s="57" t="str">
        <f>VLOOKUP($A337,Questions!$A$3:$X$333,20,0)&amp;""</f>
        <v/>
      </c>
    </row>
    <row r="338" spans="1:5" ht="43" customHeight="1" x14ac:dyDescent="0.15">
      <c r="A338" s="57" t="s">
        <v>304</v>
      </c>
      <c r="B338" s="57" t="str">
        <f>VLOOKUP($A338,Questions!$A$3:$X$333,2,0)&amp;""</f>
        <v>Does any part of this service/project involve a web/app tracking component (e.g., use of web-tracking pixels, cookies)?</v>
      </c>
      <c r="C338" s="57" t="str">
        <f>VLOOKUP($A338,Questions!$A$3:$X$333,19,0)&amp;""</f>
        <v>Web tracking can be used to identify users via their IP address, login information, browser information, etc.</v>
      </c>
      <c r="D338" s="57" t="str">
        <f>VLOOKUP($A338,Questions!$A$3:$X$333,20,0)&amp;""</f>
        <v/>
      </c>
      <c r="E338" s="228" t="s">
        <v>16</v>
      </c>
    </row>
    <row r="339" spans="1:5" ht="43" customHeight="1" x14ac:dyDescent="0.2">
      <c r="A339" s="57" t="s">
        <v>305</v>
      </c>
      <c r="B339" s="57" t="str">
        <f>VLOOKUP($A339,Questions!$A$3:$X$333,2,0)&amp;""</f>
        <v>Does your staff (or a third party) have access to institutional data (e.g., financial, PHI, or other sensitive information) through any means?</v>
      </c>
      <c r="C339" s="57" t="str">
        <f>VLOOKUP($A339,Questions!$A$3:$X$333,19,0)&amp;""</f>
        <v>Institutional data may be sensitive in nature and should only be accessed for legitimate business purposes.</v>
      </c>
      <c r="D339" s="57" t="str">
        <f>VLOOKUP($A339,Questions!$A$3:$X$333,20,0)&amp;""</f>
        <v/>
      </c>
    </row>
    <row r="340" spans="1:5" ht="43" customHeight="1" x14ac:dyDescent="0.2">
      <c r="A340" s="57" t="s">
        <v>306</v>
      </c>
      <c r="B340" s="57" t="str">
        <f>VLOOKUP($A340,Questions!$A$3:$X$333,2,0)&amp;""</f>
        <v>Will you handle personal data in a manner compliant with all relevant laws, regulations, and applicable institution policies?</v>
      </c>
      <c r="C340" s="57" t="str">
        <f>VLOOKUP($A340,Questions!$A$3:$X$333,19,0)&amp;""</f>
        <v>Personal data that is handled improperly or against law/regulation can have significant negative impact.</v>
      </c>
      <c r="D340" s="57" t="str">
        <f>VLOOKUP($A340,Questions!$A$3:$X$333,20,0)&amp;""</f>
        <v/>
      </c>
    </row>
    <row r="341" spans="1:5" ht="43" customHeight="1" x14ac:dyDescent="0.2">
      <c r="A341" s="61" t="str">
        <f>VLOOKUP(LEFT($A342,4),'Auto Responses'!$N$4:$O$38,2,0)&amp;""</f>
        <v xml:space="preserve"> Privacy Policies and Procedures</v>
      </c>
      <c r="B341" s="61"/>
      <c r="C341" s="56" t="str">
        <f>Questions!$S$2</f>
        <v>Reason for Question</v>
      </c>
      <c r="D341" s="56" t="str">
        <f>Questions!$T$2</f>
        <v>Follow-Up Inquiries/Responses</v>
      </c>
    </row>
    <row r="342" spans="1:5" ht="43" customHeight="1" x14ac:dyDescent="0.2">
      <c r="A342" s="57" t="s">
        <v>307</v>
      </c>
      <c r="B342" s="57" t="str">
        <f>VLOOKUP($A342,Questions!$A$3:$X$333,2,0)&amp;""</f>
        <v>Do you have a documented privacy management process?</v>
      </c>
      <c r="C342" s="57" t="str">
        <f>VLOOKUP($A342,Questions!$A$3:$X$333,19,0)&amp;""</f>
        <v>It's important for customers to know their data will remain private after being shared with the vendor.</v>
      </c>
      <c r="D342" s="57" t="str">
        <f>VLOOKUP($A342,Questions!$A$3:$X$333,20,0)&amp;""</f>
        <v>Are your internal privacy practices and obligations documented in internal corporate privacy policy/policies? Does the internal privacy policy explain your organization's policies and practices regarding collection of personal information and other data about individuals?</v>
      </c>
    </row>
    <row r="343" spans="1:5" ht="43" customHeight="1" x14ac:dyDescent="0.2">
      <c r="A343" s="57" t="s">
        <v>308</v>
      </c>
      <c r="B343" s="57" t="str">
        <f>VLOOKUP($A343,Questions!$A$3:$X$333,2,0)&amp;""</f>
        <v>Are privacy principles designed into the product lifecycle (i.e., privacy-by-design)?</v>
      </c>
      <c r="C343" s="57" t="str">
        <f>VLOOKUP($A343,Questions!$A$3:$X$333,19,0)&amp;""</f>
        <v>Building privacy principles into the product lifecycle (e.g., privacy-by-design) can help ease the privacy management process.</v>
      </c>
      <c r="D343" s="57" t="str">
        <f>VLOOKUP($A343,Questions!$A$3:$X$333,20,0)&amp;""</f>
        <v/>
      </c>
    </row>
    <row r="344" spans="1:5" ht="43" customHeight="1" x14ac:dyDescent="0.15">
      <c r="A344" s="57" t="s">
        <v>309</v>
      </c>
      <c r="B344" s="57" t="str">
        <f>VLOOKUP($A344,Questions!$A$3:$X$333,2,0)&amp;""</f>
        <v>Will you comply with applicable breach notification laws?</v>
      </c>
      <c r="C344" s="57" t="str">
        <f>VLOOKUP($A344,Questions!$A$3:$X$333,19,0)&amp;""</f>
        <v>It's very important to get out in front of the impact from a system breach. Once a breach has been confirmed, timely communication is imperative.</v>
      </c>
      <c r="D344" s="57" t="str">
        <f>VLOOKUP($A344,Questions!$A$3:$X$333,20,0)&amp;""</f>
        <v>This is usually dictated by the government agency for the geographic region and, possibly, by your cybersecurity insurance carrier.</v>
      </c>
      <c r="E344" s="228" t="s">
        <v>16</v>
      </c>
    </row>
    <row r="345" spans="1:5" ht="43" customHeight="1" x14ac:dyDescent="0.2">
      <c r="A345" s="57" t="s">
        <v>310</v>
      </c>
      <c r="B345" s="57" t="str">
        <f>VLOOKUP($A345,Questions!$A$3:$X$333,2,0)&amp;""</f>
        <v>Will you comply with the institution's policies regarding user privacy and data protection?</v>
      </c>
      <c r="C345" s="57" t="str">
        <f>VLOOKUP($A345,Questions!$A$3:$X$333,19,0)&amp;""</f>
        <v>This question can help gauge a solution provider's willingness to align with institutional data privacy and protection policies before the contracting stage.</v>
      </c>
      <c r="D345" s="57" t="str">
        <f>VLOOKUP($A345,Questions!$A$3:$X$333,20,0)&amp;""</f>
        <v>Do any parts of your institutional policy conflict with the solution provider's standard practices?</v>
      </c>
    </row>
    <row r="346" spans="1:5" ht="65.25" customHeight="1" x14ac:dyDescent="0.2">
      <c r="A346" s="57" t="s">
        <v>311</v>
      </c>
      <c r="B346" s="57" t="str">
        <f>VLOOKUP($A346,Questions!$A$3:$X$333,2,0)&amp;""</f>
        <v>Is your company subject to the laws and regulations of the institution's geographic region?</v>
      </c>
      <c r="C346" s="57" t="str">
        <f>VLOOKUP($A346,Questions!$A$3:$X$333,19,0)&amp;""</f>
        <v>This question identifies whether the institution and solution provider are beholden to the same laws. If not, this should be covered in the contract.</v>
      </c>
      <c r="D346" s="57" t="str">
        <f>VLOOKUP($A346,Questions!$A$3:$X$333,20,0)&amp;""</f>
        <v>Which laws apply to your operations in institution's region? Where is institutional data processed or stored? Provide a link or document summarizing your compliance stance.</v>
      </c>
    </row>
    <row r="347" spans="1:5" ht="57" customHeight="1" x14ac:dyDescent="0.2">
      <c r="A347" s="57" t="s">
        <v>312</v>
      </c>
      <c r="B347" s="57" t="str">
        <f>VLOOKUP($A347,Questions!$A$3:$X$333,2,0)&amp;""</f>
        <v>Do you have a privacy awareness/training program?*</v>
      </c>
      <c r="C347" s="57" t="str">
        <f>VLOOKUP($A347,Questions!$A$3:$X$333,19,0)&amp;""</f>
        <v>Privacy awareness/training refers to the ongoing education provided to individuals who handle sensitive data to ensure they understand privacy obligations, data protection principles, and regulatory requirements (e.g., FERPA, HIPAA, GDPR). This training helps reduce the risk of accidental data exposure and reinforces responsible data stewardship.</v>
      </c>
      <c r="D347" s="57" t="str">
        <f>VLOOKUP($A347,Questions!$A$3:$X$333,20,0)&amp;""</f>
        <v/>
      </c>
    </row>
    <row r="348" spans="1:5" ht="43" customHeight="1" x14ac:dyDescent="0.2">
      <c r="A348" s="57" t="s">
        <v>313</v>
      </c>
      <c r="B348" s="57" t="str">
        <f>VLOOKUP($A348,Questions!$A$3:$X$333,2,0)&amp;""</f>
        <v>Is privacy awareness training mandatory for all employees?</v>
      </c>
      <c r="C348" s="57" t="str">
        <f>VLOOKUP($A348,Questions!$A$3:$X$333,19,0)&amp;""</f>
        <v>This question serves a critical purpose in evaluating a vendor or institution’s commitment to data protection, risk mitigation, and regulatory compliance.</v>
      </c>
      <c r="D348" s="57" t="str">
        <f>VLOOKUP($A348,Questions!$A$3:$X$333,20,0)&amp;""</f>
        <v>This question helps assess whether privacy is treated as an organizational responsibility and whether the institution enforces consistent practices to reduce human risk factors.</v>
      </c>
    </row>
    <row r="349" spans="1:5" ht="43" customHeight="1" x14ac:dyDescent="0.2">
      <c r="A349" s="57" t="s">
        <v>314</v>
      </c>
      <c r="B349" s="57" t="str">
        <f>VLOOKUP($A349,Questions!$A$3:$X$333,2,0)&amp;""</f>
        <v>Is AI privacy and ethics awareness/training required for all employees who work with AI?</v>
      </c>
      <c r="C349" s="57" t="str">
        <f>VLOOKUP($A349,Questions!$A$3:$X$333,19,0)&amp;""</f>
        <v>This question is intended to assess whether an institution or vendor is proactively managing the risks, responsibilities, and ethical implications of AI use, especially as it relates to sensitive data, autonomy, and fairness.</v>
      </c>
      <c r="D349" s="57" t="str">
        <f>VLOOKUP($A349,Questions!$A$3:$X$333,20,0)&amp;""</f>
        <v>This question helps assess institutional maturity in governing responsible AI use, particularly as privacy and fairness concerns rise with increased automation and data use. Clarifying the structure and enforcement of training supports transparency and accountability in AI-related operations.</v>
      </c>
    </row>
    <row r="350" spans="1:5" ht="70.5" customHeight="1" x14ac:dyDescent="0.15">
      <c r="A350" s="57" t="s">
        <v>315</v>
      </c>
      <c r="B350" s="57" t="str">
        <f>VLOOKUP($A350,Questions!$A$3:$X$333,2,0)&amp;""</f>
        <v>Do you have any decision-making processes that are completely automated (i.e., there is no human involvement)?</v>
      </c>
      <c r="C350" s="57" t="str">
        <f>VLOOKUP($A350,Questions!$A$3:$X$333,19,0)&amp;""</f>
        <v>This question identifies potential privacy, ethical, security, and compliance risks that may arise from fully automated systems, especially those that affect individuals or their data.</v>
      </c>
      <c r="D350" s="57" t="str">
        <f>VLOOKUP($A350,Questions!$A$3:$X$333,20,0)&amp;""</f>
        <v>This question evaluates risk exposure and ethical considerations surrounding automated processes, especially those that affect access, compliance, or personal data rights. Transparency about the scope, oversight, and redress options for automated decision-making is critical to maintaining trust and regulatory alignment.</v>
      </c>
      <c r="E350" s="228" t="s">
        <v>16</v>
      </c>
    </row>
    <row r="351" spans="1:5" ht="57" customHeight="1" x14ac:dyDescent="0.2">
      <c r="A351" s="57" t="s">
        <v>316</v>
      </c>
      <c r="B351" s="57" t="str">
        <f>VLOOKUP($A351,Questions!$A$3:$X$333,2,0)&amp;""</f>
        <v>Do you have a documented process for managing automated processing, including validations, monitoring, and data subject requests?</v>
      </c>
      <c r="C351" s="57" t="str">
        <f>VLOOKUP($A351,Questions!$A$3:$X$333,19,0)&amp;""</f>
        <v>This question assesses the maturity of your automation governance. Documented procedures help ensure that automated systems are accountable, reliable, and capable of respecting individual rights. Lack of documentation may indicate unmanaged risks, especially in environments handling sensitive or regulated data.</v>
      </c>
      <c r="D351" s="57" t="str">
        <f>VLOOKUP($A351,Questions!$A$3:$X$333,20,0)&amp;""</f>
        <v/>
      </c>
    </row>
    <row r="352" spans="1:5" ht="43" customHeight="1" x14ac:dyDescent="0.2">
      <c r="A352" s="57" t="s">
        <v>317</v>
      </c>
      <c r="B352" s="57" t="str">
        <f>VLOOKUP($A352,Questions!$A$3:$X$333,2,0)&amp;""</f>
        <v>Do you have a documented policy for sharing information with law enforcement?</v>
      </c>
      <c r="C352" s="57" t="str">
        <f>VLOOKUP($A352,Questions!$A$3:$X$333,19,0)&amp;""</f>
        <v>The institution should know which laws apply to the data to which the solution provider will have access. You should also have a thorough understanding of how requests from law enforcement will be handled.</v>
      </c>
      <c r="D352" s="57" t="str">
        <f>VLOOKUP($A352,Questions!$A$3:$X$333,20,0)&amp;""</f>
        <v/>
      </c>
    </row>
    <row r="353" spans="1:5" ht="43" customHeight="1" x14ac:dyDescent="0.2">
      <c r="A353" s="57" t="s">
        <v>318</v>
      </c>
      <c r="B353" s="57" t="str">
        <f>VLOOKUP($A353,Questions!$A$3:$X$333,2,0)&amp;""</f>
        <v>Do you share any institutional data with law enforcement without a valid warrant or subpoena?*</v>
      </c>
      <c r="C353" s="57" t="str">
        <f>VLOOKUP($A353,Questions!$A$3:$X$333,19,0)&amp;""</f>
        <v>To protect institutional and individual privacy rights by ensuring data is only disclosed to law enforcement through proper legal channels with appropriate due process protections.</v>
      </c>
      <c r="D353" s="57" t="str">
        <f>VLOOKUP($A353,Questions!$A$3:$X$333,20,0)&amp;""</f>
        <v>If yes, under what circumstances and with what documentation/notification to the institution?</v>
      </c>
    </row>
    <row r="354" spans="1:5" ht="43" customHeight="1" x14ac:dyDescent="0.2">
      <c r="A354" s="57" t="s">
        <v>319</v>
      </c>
      <c r="B354" s="57" t="str">
        <f>VLOOKUP($A354,Questions!$A$3:$X$333,2,0)&amp;""</f>
        <v>Does your incident response team include a privacy analyst/officer?</v>
      </c>
      <c r="C354" s="57" t="str">
        <f>VLOOKUP($A354,Questions!$A$3:$X$333,19,0)&amp;""</f>
        <v>Having a privacy analyst/officer on an incident response team can help the company more quickly identify a breach and comply with applicable notification laws.</v>
      </c>
      <c r="D354" s="57" t="str">
        <f>VLOOKUP($A354,Questions!$A$3:$X$333,20,0)&amp;""</f>
        <v/>
      </c>
    </row>
    <row r="355" spans="1:5" ht="43" customHeight="1" x14ac:dyDescent="0.2">
      <c r="A355" s="61" t="str">
        <f>VLOOKUP(LEFT($A356,4),'Auto Responses'!$N$4:$O$38,2,0)&amp;""</f>
        <v xml:space="preserve"> International Privacy</v>
      </c>
      <c r="B355" s="61"/>
      <c r="C355" s="56" t="str">
        <f>Questions!$S$2</f>
        <v>Reason for Question</v>
      </c>
      <c r="D355" s="56" t="str">
        <f>Questions!$T$2</f>
        <v>Follow-Up Inquiries/Responses</v>
      </c>
    </row>
    <row r="356" spans="1:5" ht="43" customHeight="1" x14ac:dyDescent="0.15">
      <c r="A356" s="57" t="s">
        <v>320</v>
      </c>
      <c r="B356" s="57" t="str">
        <f>VLOOKUP($A356,Questions!$A$3:$X$333,2,0)&amp;""</f>
        <v>Will data be collected from or processed in or stored in the European Economic Area (EEA)?</v>
      </c>
      <c r="C356" s="57" t="str">
        <f>VLOOKUP($A356,Questions!$A$3:$X$333,19,0)&amp;""</f>
        <v>Understanding whether the vendor processes data in Europe may help with institutional GDPR compliance.</v>
      </c>
      <c r="D356" s="57" t="str">
        <f>VLOOKUP($A356,Questions!$A$3:$X$333,20,0)&amp;""</f>
        <v>If institution's intended use includes targeting of data subjects in EEA/UK and if vendor marks "no," institution might want to follow up to clarify data collected.</v>
      </c>
      <c r="E356" s="228" t="s">
        <v>16</v>
      </c>
    </row>
    <row r="357" spans="1:5" ht="43" customHeight="1" x14ac:dyDescent="0.2">
      <c r="A357" s="57" t="s">
        <v>321</v>
      </c>
      <c r="B357" s="57" t="str">
        <f>VLOOKUP($A357,Questions!$A$3:$X$333,2,0)&amp;""</f>
        <v>Do you have a data protection officer (DPO)?</v>
      </c>
      <c r="C357" s="57" t="str">
        <f>VLOOKUP($A357,Questions!$A$3:$X$333,19,0)&amp;""</f>
        <v>Vendors targeting services in the EEA/UK should have GDPR-compliant policies and procedures.</v>
      </c>
      <c r="D357" s="57" t="str">
        <f>VLOOKUP($A357,Questions!$A$3:$X$333,20,0)&amp;""</f>
        <v/>
      </c>
    </row>
    <row r="358" spans="1:5" ht="43" customHeight="1" x14ac:dyDescent="0.2">
      <c r="A358" s="57" t="s">
        <v>322</v>
      </c>
      <c r="B358" s="57" t="str">
        <f>VLOOKUP($A358,Questions!$A$3:$X$333,2,0)&amp;""</f>
        <v>Will you sign appropriate GDPR Standard Contractual Clauses (SCCs) with the institution?</v>
      </c>
      <c r="C358" s="57" t="str">
        <f>VLOOKUP($A358,Questions!$A$3:$X$333,19,0)&amp;""</f>
        <v>Vendors targeting services in the EEA/UK should have the ability to agree to the SCCs.</v>
      </c>
      <c r="D358" s="57" t="str">
        <f>VLOOKUP($A358,Questions!$A$3:$X$333,20,0)&amp;""</f>
        <v/>
      </c>
    </row>
    <row r="359" spans="1:5" ht="43" customHeight="1" x14ac:dyDescent="0.2">
      <c r="A359" s="57" t="s">
        <v>281</v>
      </c>
      <c r="B359" s="57" t="str">
        <f>VLOOKUP($A359,Questions!$A$3:$X$333,2,0)&amp;""</f>
        <v>Will data be collected from or processed in or stored in China?</v>
      </c>
      <c r="C359" s="57" t="str">
        <f>VLOOKUP($A359,Questions!$A$3:$X$333,19,0)&amp;""</f>
        <v>Understanding whether the vendor processes data in China may help with institutional PIPL compliance.</v>
      </c>
      <c r="D359" s="57" t="str">
        <f>VLOOKUP($A359,Questions!$A$3:$X$333,20,0)&amp;""</f>
        <v>If institution's intended use includes targeting of data subjects in China and if vendor marks "no," institution might want to follow up to clarify data collected.</v>
      </c>
    </row>
    <row r="360" spans="1:5" ht="43" customHeight="1" x14ac:dyDescent="0.2">
      <c r="A360" s="57" t="s">
        <v>282</v>
      </c>
      <c r="B360" s="57" t="str">
        <f>VLOOKUP($A360,Questions!$A$3:$X$333,2,0)&amp;""</f>
        <v>Do you comply with PIPL security, privacy, and data localization requirements?</v>
      </c>
      <c r="C360" s="57" t="str">
        <f>VLOOKUP($A360,Questions!$A$3:$X$333,19,0)&amp;""</f>
        <v>Vendors targeting services in China should have the ability to comply with PIPL requirements.</v>
      </c>
      <c r="D360" s="57" t="str">
        <f>VLOOKUP($A360,Questions!$A$3:$X$333,20,0)&amp;""</f>
        <v/>
      </c>
    </row>
    <row r="361" spans="1:5" ht="43" customHeight="1" x14ac:dyDescent="0.2">
      <c r="A361" s="61" t="str">
        <f>VLOOKUP(LEFT($A362,4),'Auto Responses'!$N$4:$O$38,2,0)&amp;""</f>
        <v xml:space="preserve"> Data Privacy</v>
      </c>
      <c r="B361" s="61"/>
      <c r="C361" s="56" t="str">
        <f>Questions!$S$2</f>
        <v>Reason for Question</v>
      </c>
      <c r="D361" s="56" t="str">
        <f>Questions!$T$2</f>
        <v>Follow-Up Inquiries/Responses</v>
      </c>
    </row>
    <row r="362" spans="1:5" ht="43" customHeight="1" x14ac:dyDescent="0.2">
      <c r="A362" s="57" t="s">
        <v>323</v>
      </c>
      <c r="B362" s="57" t="str">
        <f>VLOOKUP($A362,Questions!$A$3:$X$333,2,0)&amp;""</f>
        <v>Have you performed a Data Privacy Impact Assessment for the solution/project?</v>
      </c>
      <c r="C362" s="57" t="str">
        <f>VLOOKUP($A362,Questions!$A$3:$X$333,19,0)&amp;""</f>
        <v>To verify the vendor has systematically evaluated privacy risks and implemented appropriate safeguards before deploying their solution, demonstrating privacy-by-design principles.</v>
      </c>
      <c r="D362" s="57" t="str">
        <f>VLOOKUP($A362,Questions!$A$3:$X$333,20,0)&amp;""</f>
        <v>Please provide a copy of the DPIA or summary of findings and mitigation measures.</v>
      </c>
    </row>
    <row r="363" spans="1:5" ht="43" customHeight="1" x14ac:dyDescent="0.2">
      <c r="A363" s="57" t="s">
        <v>324</v>
      </c>
      <c r="B363" s="57" t="str">
        <f>VLOOKUP($A363,Questions!$A$3:$X$333,2,0)&amp;""</f>
        <v>Do you provide an end-user privacy notice about privacy policies and procedures that identify the purpose(s) for which personal information is collected, used, retained, and disclosed?</v>
      </c>
      <c r="C363" s="57" t="str">
        <f>VLOOKUP($A363,Questions!$A$3:$X$333,19,0)&amp;""</f>
        <v>To ensure transparency with end users about data practices and compliance with privacy notice requirements under FERPA, GDPR, CCPA, and other applicable regulations.</v>
      </c>
      <c r="D363" s="57" t="str">
        <f>VLOOKUP($A363,Questions!$A$3:$X$333,20,0)&amp;""</f>
        <v>How do you inform users of changes to the policy?</v>
      </c>
    </row>
    <row r="364" spans="1:5" ht="43" customHeight="1" x14ac:dyDescent="0.2">
      <c r="A364" s="57" t="s">
        <v>325</v>
      </c>
      <c r="B364" s="57" t="str">
        <f>VLOOKUP($A364,Questions!$A$3:$X$333,2,0)&amp;""</f>
        <v>Do you describe the choices available to the individual and obtain implicit or explicit consent with respect to the collection, use, and disclosure of personal information?</v>
      </c>
      <c r="C364" s="57" t="str">
        <f>VLOOKUP($A364,Questions!$A$3:$X$333,19,0)&amp;""</f>
        <v>To verify meaningful consent mechanisms exist and users have adequate control over their personal information in accordance with fair information practice principles and regulatory requirements.</v>
      </c>
      <c r="D364" s="57" t="str">
        <f>VLOOKUP($A364,Questions!$A$3:$X$333,20,0)&amp;""</f>
        <v>Describe your consent mechanism and how users can withdraw consent if they choose.</v>
      </c>
    </row>
    <row r="365" spans="1:5" ht="43" customHeight="1" x14ac:dyDescent="0.15">
      <c r="A365" s="57" t="s">
        <v>326</v>
      </c>
      <c r="B365" s="57" t="str">
        <f>VLOOKUP($A365,Questions!$A$3:$X$333,2,0)&amp;""</f>
        <v>Do you collect personal information only for the purpose(s) identified in the agreement with an institution or, if there is none, the purpose(s) identified in the privacy notice?</v>
      </c>
      <c r="C365" s="57" t="str">
        <f>VLOOKUP($A365,Questions!$A$3:$X$333,19,0)&amp;""</f>
        <v>Companies may collect information for purposes not outlined in the service agreement, including quality assurance, marketing, etc. Institutions should have a thorough understanding of what data is being used and how.</v>
      </c>
      <c r="D365" s="57" t="str">
        <f>VLOOKUP($A365,Questions!$A$3:$X$333,20,0)&amp;""</f>
        <v/>
      </c>
      <c r="E365" s="228" t="s">
        <v>16</v>
      </c>
    </row>
    <row r="366" spans="1:5" ht="43" customHeight="1" x14ac:dyDescent="0.2">
      <c r="A366" s="57" t="s">
        <v>327</v>
      </c>
      <c r="B366" s="57" t="str">
        <f>VLOOKUP($A366,Questions!$A$3:$X$333,2,0)&amp;""</f>
        <v>Do you have a documented list of personal data your service maintains?</v>
      </c>
      <c r="C366" s="57" t="str">
        <f>VLOOKUP($A366,Questions!$A$3:$X$333,19,0)&amp;""</f>
        <v>To ensure the vendor maintains data inventory records necessary for privacy compliance, breach response, data subject rights requests, and understanding the full scope of data collection.</v>
      </c>
      <c r="D366" s="57" t="str">
        <f>VLOOKUP($A366,Questions!$A$3:$X$333,20,0)&amp;""</f>
        <v>Please provide your data inventory or map showing categories of personal data collected and retention periods.</v>
      </c>
    </row>
    <row r="367" spans="1:5" ht="43" customHeight="1" x14ac:dyDescent="0.2">
      <c r="A367" s="57" t="s">
        <v>328</v>
      </c>
      <c r="B367" s="57" t="str">
        <f>VLOOKUP($A367,Questions!$A$3:$X$333,2,0)&amp;""</f>
        <v>Do you retain personal information for only as long as necessary to fulfill the stated purpose(s) or as required by law or regulation and thereafter appropriately dispose of such information?</v>
      </c>
      <c r="C367" s="57" t="str">
        <f>VLOOKUP($A367,Questions!$A$3:$X$333,19,0)&amp;""</f>
        <v>Data minimization is a basic privacy principle, and it is important to know whether the solution provider is keeping data longer than necessary and introducing a significant privacy risk.</v>
      </c>
      <c r="D367" s="57" t="str">
        <f>VLOOKUP($A367,Questions!$A$3:$X$333,20,0)&amp;""</f>
        <v/>
      </c>
    </row>
    <row r="368" spans="1:5" ht="71.25" customHeight="1" x14ac:dyDescent="0.2">
      <c r="A368" s="57" t="s">
        <v>329</v>
      </c>
      <c r="B368" s="57" t="str">
        <f>VLOOKUP($A368,Questions!$A$3:$X$333,2,0)&amp;""</f>
        <v>Do you provide individuals with access to their personal information for review and update (i.e., data subject rights)?</v>
      </c>
      <c r="C368" s="57" t="str">
        <f>VLOOKUP($A368,Questions!$A$3:$X$333,19,0)&amp;""</f>
        <v>This question seeks proof of an entity's ability to honor data-subject rights related to providing an individual access to their own information. Such processes would include descriptions of request processes individuals can follow to review their information and written processes a data subject may use to ask for changes or corrections to data held about them.</v>
      </c>
      <c r="D368" s="57" t="str">
        <f>VLOOKUP($A368,Questions!$A$3:$X$333,20,0)&amp;""</f>
        <v/>
      </c>
    </row>
    <row r="369" spans="1:5" ht="43" customHeight="1" x14ac:dyDescent="0.2">
      <c r="A369" s="57" t="s">
        <v>330</v>
      </c>
      <c r="B369" s="57" t="str">
        <f>VLOOKUP($A369,Questions!$A$3:$X$333,2,0)&amp;""</f>
        <v>Do you disclose personal information to third parties only for the purpose(s) identified in the privacy notice or with the implicit or explicit consent of the individual?</v>
      </c>
      <c r="C369" s="57" t="str">
        <f>VLOOKUP($A369,Questions!$A$3:$X$333,19,0)&amp;""</f>
        <v>To limit unauthorized third-party data sharing and ensure transparency about data flows beyond the direct vendor relationship, protecting against unexpected secondary uses.</v>
      </c>
      <c r="D369" s="57" t="str">
        <f>VLOOKUP($A369,Questions!$A$3:$X$333,20,0)&amp;""</f>
        <v>Provide a list of third parties who receive personal information and the purpose for each disclosure.</v>
      </c>
    </row>
    <row r="370" spans="1:5" ht="43" customHeight="1" x14ac:dyDescent="0.2">
      <c r="A370" s="57" t="s">
        <v>331</v>
      </c>
      <c r="B370" s="57" t="str">
        <f>VLOOKUP($A370,Questions!$A$3:$X$333,2,0)&amp;""</f>
        <v>Do you protect personal information against unauthorized access (both physical and logical)?</v>
      </c>
      <c r="C370" s="57" t="str">
        <f>VLOOKUP($A370,Questions!$A$3:$X$333,19,0)&amp;""</f>
        <v>To verify appropriate security controls are in place to protect personal data from breaches, unauthorized disclosure, and both external and internal threats.</v>
      </c>
      <c r="D370" s="57" t="str">
        <f>VLOOKUP($A370,Questions!$A$3:$X$333,20,0)&amp;""</f>
        <v>Describe your access control mechanisms, encryption methods, and incident response procedures.</v>
      </c>
    </row>
    <row r="371" spans="1:5" ht="43" customHeight="1" x14ac:dyDescent="0.2">
      <c r="A371" s="57" t="s">
        <v>332</v>
      </c>
      <c r="B371" s="57" t="str">
        <f>VLOOKUP($A371,Questions!$A$3:$X$333,2,0)&amp;""</f>
        <v>Do you maintain accurate, complete, and relevant personal information for the purposes identified in the privacy notice?</v>
      </c>
      <c r="C371" s="57" t="str">
        <f>VLOOKUP($A371,Questions!$A$3:$X$333,19,0)&amp;""</f>
        <v>To ensure data quality practices that prevent privacy harms from inaccurate or outdated personal information, particularly in contexts where data accuracy affects individual rights or opportunities.</v>
      </c>
      <c r="D371" s="57" t="str">
        <f>VLOOKUP($A371,Questions!$A$3:$X$333,20,0)&amp;""</f>
        <v>What processes do you have for individuals to review and correct their personal information?</v>
      </c>
    </row>
    <row r="372" spans="1:5" ht="43" customHeight="1" x14ac:dyDescent="0.15">
      <c r="A372" s="57" t="s">
        <v>333</v>
      </c>
      <c r="B372" s="57" t="str">
        <f>VLOOKUP($A372,Questions!$A$3:$X$333,2,0)&amp;""</f>
        <v>Do you have procedures to address privacy-related noncompliance complaints and disputes?</v>
      </c>
      <c r="C372" s="57" t="str">
        <f>VLOOKUP($A372,Questions!$A$3:$X$333,19,0)&amp;""</f>
        <v>To verify accountability mechanisms exist for addressing privacy concerns, providing recourse to affected individuals, and demonstrating responsiveness to privacy complaints.</v>
      </c>
      <c r="D372" s="57" t="str">
        <f>VLOOKUP($A372,Questions!$A$3:$X$333,20,0)&amp;""</f>
        <v>Describe your complaint handling process, typical response times, and escalation procedures.</v>
      </c>
      <c r="E372" s="228" t="s">
        <v>16</v>
      </c>
    </row>
    <row r="373" spans="1:5" ht="42.75" customHeight="1" x14ac:dyDescent="0.2">
      <c r="A373" s="57" t="s">
        <v>334</v>
      </c>
      <c r="B373" s="57" t="str">
        <f>VLOOKUP($A373,Questions!$A$3:$X$333,2,0)&amp;""</f>
        <v>Do you "anonymize," "de-identify," or otherwise mask personal data?</v>
      </c>
      <c r="C373" s="57" t="str">
        <f>VLOOKUP($A373,Questions!$A$3:$X$333,19,0)&amp;""</f>
        <v>To understand the vendor's approach to privacy-enhancing techniques and assess whether data masking methods are appropriate, effective, and aligned with recognized anonymization standards.</v>
      </c>
      <c r="D373" s="57" t="str">
        <f>VLOOKUP($A373,Questions!$A$3:$X$333,20,0)&amp;""</f>
        <v>Describe your anonymization methodology and any validation or testing performed to ensure re-identification risks are minimized.</v>
      </c>
    </row>
    <row r="374" spans="1:5" ht="71.25" customHeight="1" x14ac:dyDescent="0.2">
      <c r="A374" s="57" t="s">
        <v>335</v>
      </c>
      <c r="B374" s="57" t="str">
        <f>VLOOKUP($A374,Questions!$A$3:$X$333,2,0)&amp;""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374" s="57" t="str">
        <f>VLOOKUP($A374,Questions!$A$3:$X$333,19,0)&amp;""</f>
        <v>To prevent secondary use of institutional data that could undermine privacy protections, contradict institutional data governance policies, or enable commercial uses incompatible with educational purposes.</v>
      </c>
      <c r="D374" s="57" t="str">
        <f>VLOOKUP($A374,Questions!$A$3:$X$333,20,0)&amp;""</f>
        <v>If yes, provide details on secondary uses and obtain specific written consent from the institution for these uses.</v>
      </c>
    </row>
    <row r="375" spans="1:5" ht="71.25" customHeight="1" x14ac:dyDescent="0.2">
      <c r="A375" s="57" t="s">
        <v>336</v>
      </c>
      <c r="B375" s="57" t="str">
        <f>VLOOKUP($A375,Questions!$A$3:$X$333,2,0)&amp;""</f>
        <v>Do you certify stop-processing requests, including any data that is processed by a third party on your behalf?</v>
      </c>
      <c r="C375" s="57" t="str">
        <f>VLOOKUP($A375,Questions!$A$3:$X$333,19,0)&amp;""</f>
        <v>It is helpful to understand a vendor or third party's actions with data they receive or create, which might include your organization's constituent data. Good practices include abiding by a requirement to delete or stop processing an individual's data upon request. Check your state's law to see what that requirement might be: https://iapp.org/resources/article/us-state-privacy-legislation-tracker/</v>
      </c>
      <c r="D375" s="57" t="str">
        <f>VLOOKUP($A375,Questions!$A$3:$X$333,20,0)&amp;""</f>
        <v>If your organization has exchange programs or does business with global organizations or organizations located outside the United States, depending on the services sought, your institution should determine whether this is a requirement.</v>
      </c>
    </row>
    <row r="376" spans="1:5" ht="57" customHeight="1" x14ac:dyDescent="0.2">
      <c r="A376" s="57" t="s">
        <v>337</v>
      </c>
      <c r="B376" s="57" t="str">
        <f>VLOOKUP($A376,Questions!$A$3:$X$333,2,0)&amp;""</f>
        <v>Do you have a process to review code for ethical considerations?</v>
      </c>
      <c r="C376" s="57" t="str">
        <f>VLOOKUP($A376,Questions!$A$3:$X$333,19,0)&amp;""</f>
        <v>AI and other software developers increasingly ingest confidential datasets to use for output. Understanding the ethics, transparency, and other such considerations that went into the product help the purchasing organization see the position of the vendor and its etiquette toward privacy.</v>
      </c>
      <c r="D376" s="57" t="str">
        <f>VLOOKUP($A376,Questions!$A$3:$X$333,20,0)&amp;""</f>
        <v/>
      </c>
    </row>
    <row r="377" spans="1:5" ht="18" hidden="1" customHeight="1" x14ac:dyDescent="0.2">
      <c r="A377" s="61" t="str">
        <f>VLOOKUP(LEFT($A378,4),'Auto Responses'!$N$4:$O$38,2,0)&amp;""</f>
        <v xml:space="preserve"> Privacy and AI</v>
      </c>
      <c r="B377" s="61"/>
      <c r="C377" s="56" t="str">
        <f>Questions!$S$2</f>
        <v>Reason for Question</v>
      </c>
      <c r="D377" s="56" t="str">
        <f>Questions!$T$2</f>
        <v>Follow-Up Inquiries/Responses</v>
      </c>
    </row>
    <row r="378" spans="1:5" ht="28.5" hidden="1" customHeight="1" x14ac:dyDescent="0.2">
      <c r="A378" s="57" t="s">
        <v>338</v>
      </c>
      <c r="B378" s="57" t="str">
        <f>VLOOKUP($A378,Questions!$A$3:$X$333,2,0)&amp;""</f>
        <v>Does your service use AI for the processing of institutional data?</v>
      </c>
      <c r="C378" s="57" t="str">
        <f>VLOOKUP($A378,Questions!$A$3:$X$333,18,0)&amp;""</f>
        <v>Please explain why this does not apply to your product or service.</v>
      </c>
      <c r="D378" s="57" t="str">
        <f>VLOOKUP($A378,Questions!$A$3:$X$333,19,0)&amp;""</f>
        <v>To identify AI-related privacy risks including potential bias, unintended disclosures, lack of explainability in automated decision-making, and training data provenance concerns.</v>
      </c>
    </row>
    <row r="379" spans="1:5" ht="28.5" hidden="1" customHeight="1" x14ac:dyDescent="0.2">
      <c r="A379" s="57" t="s">
        <v>339</v>
      </c>
      <c r="B379" s="57" t="str">
        <f>VLOOKUP($A379,Questions!$A$3:$X$333,2,0)&amp;""</f>
        <v>Is any institutional data retained in AI processing?*</v>
      </c>
      <c r="C379" s="57" t="str">
        <f>VLOOKUP($A379,Questions!$A$3:$X$333,18,0)&amp;""</f>
        <v>Please explain why this does not apply to your product or service.</v>
      </c>
      <c r="D379" s="57" t="str">
        <f>VLOOKUP($A379,Questions!$A$3:$X$333,19,0)&amp;""</f>
        <v>This question assesses whether institutional data is stored or retained during AI processing, which may have implications for data security, retention policies, and regulatory compliance.</v>
      </c>
    </row>
    <row r="380" spans="1:5" ht="28.5" hidden="1" customHeight="1" x14ac:dyDescent="0.2">
      <c r="A380" s="57" t="s">
        <v>340</v>
      </c>
      <c r="B380" s="57" t="str">
        <f>VLOOKUP($A380,Questions!$A$3:$X$333,2,0)&amp;""</f>
        <v>Do you have agreements in place with third parties or subprocessors regarding the protection of customer data and use of AI?*</v>
      </c>
      <c r="C380" s="57" t="str">
        <f>VLOOKUP($A380,Questions!$A$3:$X$333,18,0)&amp;""</f>
        <v>Please explain why this does not apply to your product or service.</v>
      </c>
      <c r="D380" s="57" t="str">
        <f>VLOOKUP($A380,Questions!$A$3:$X$333,19,0)&amp;""</f>
        <v>It's important to ensure that third-party vendors or subprocessors involved in AI processing are contractually bound to protect institutional data and comply with privacy standards.</v>
      </c>
    </row>
    <row r="381" spans="1:5" ht="28.5" hidden="1" customHeight="1" x14ac:dyDescent="0.2">
      <c r="A381" s="57" t="s">
        <v>341</v>
      </c>
      <c r="B381" s="57" t="str">
        <f>VLOOKUP($A381,Questions!$A$3:$X$333,2,0)&amp;""</f>
        <v>Will institutional data be processed through a third party or subprocessor that also uses AI?</v>
      </c>
      <c r="C381" s="57" t="str">
        <f>VLOOKUP($A381,Questions!$A$3:$X$333,18,0)&amp;""</f>
        <v>Please explain why this does not apply to your product or service.</v>
      </c>
      <c r="D381" s="57" t="str">
        <f>VLOOKUP($A381,Questions!$A$3:$X$333,19,0)&amp;""</f>
        <v>This question identifies whether institutional data is shared with or processed by third parties that use AI, which may introduce additional privacy or ethical considerations.</v>
      </c>
    </row>
    <row r="382" spans="1:5" ht="28.5" hidden="1" customHeight="1" x14ac:dyDescent="0.2">
      <c r="A382" s="57" t="s">
        <v>342</v>
      </c>
      <c r="B382" s="57" t="str">
        <f>VLOOKUP($A382,Questions!$A$3:$X$333,2,0)&amp;""</f>
        <v>Is AI processing limited to fully licensed commercial enterprise AI services?</v>
      </c>
      <c r="C382" s="57" t="str">
        <f>VLOOKUP($A382,Questions!$A$3:$X$333,18,0)&amp;""</f>
        <v>Please explain why this does not apply to your product or service.</v>
      </c>
      <c r="D382" s="57" t="str">
        <f>VLOOKUP($A382,Questions!$A$3:$X$333,19,0)&amp;""</f>
        <v>In most cases, only enterprise licenses allow for an organization to customize what data is collected and how it is used. Free licenses to AI tools could introduce a risk to data.</v>
      </c>
    </row>
    <row r="383" spans="1:5" ht="42.75" hidden="1" customHeight="1" x14ac:dyDescent="0.2">
      <c r="A383" s="57" t="s">
        <v>343</v>
      </c>
      <c r="B383" s="57" t="str">
        <f>VLOOKUP($A383,Questions!$A$3:$X$333,2,0)&amp;""</f>
        <v>Will institutional data be used or processed by any shared AI services?</v>
      </c>
      <c r="C383" s="57" t="str">
        <f>VLOOKUP($A383,Questions!$A$3:$X$333,18,0)&amp;""</f>
        <v>Please explain why this does not apply to your product or service.</v>
      </c>
      <c r="D383" s="57" t="str">
        <f>VLOOKUP($A383,Questions!$A$3:$X$333,19,0)&amp;""</f>
        <v>Use of AI services and tools runs a risk of being supported by bad batches or databanks of information. Additionally, harmful bias and other data-quality issues can affect AI system trustworthiness, which could lead to negative impacts.</v>
      </c>
    </row>
    <row r="384" spans="1:5" ht="57" hidden="1" customHeight="1" x14ac:dyDescent="0.2">
      <c r="A384" s="57" t="s">
        <v>344</v>
      </c>
      <c r="B384" s="57" t="str">
        <f>VLOOKUP($A384,Questions!$A$3:$X$333,2,0)&amp;""</f>
        <v>Do you have safeguards in place to protect institutional data and data privacy from unintended AI queries or processing?</v>
      </c>
      <c r="C384" s="57" t="str">
        <f>VLOOKUP($A384,Questions!$A$3:$X$333,18,0)&amp;""</f>
        <v>Please explain why this does not apply to your product or service.</v>
      </c>
      <c r="D384" s="57" t="str">
        <f>VLOOKUP($A384,Questions!$A$3:$X$333,19,0)&amp;""</f>
        <v>AI systems can present new risks to privacy by allowing inference to identify individuals or previously private information about individuals. Additionally, institutional data may be copyright protected or include other intellectual property belonging to the institution that should be protected from AI processing where necessary.</v>
      </c>
    </row>
    <row r="385" spans="1:4" ht="28.5" hidden="1" customHeight="1" x14ac:dyDescent="0.2">
      <c r="A385" s="57" t="s">
        <v>345</v>
      </c>
      <c r="B385" s="57" t="str">
        <f>VLOOKUP($A385,Questions!$A$3:$X$333,2,0)&amp;""</f>
        <v>Do you provide choice to the user to opt out of AI use?</v>
      </c>
      <c r="C385" s="57" t="str">
        <f>VLOOKUP($A385,Questions!$A$3:$X$333,18,0)&amp;""</f>
        <v>Please explain why this does not apply to your product or service.</v>
      </c>
      <c r="D385" s="57" t="str">
        <f>VLOOKUP($A385,Questions!$A$3:$X$333,19,0)&amp;""</f>
        <v>To ensure user autonomy regarding AI processing of their data and compliance with emerging AI transparency requirements and ethical principles around algorithmic decision-making.</v>
      </c>
    </row>
  </sheetData>
  <hyperlinks>
    <hyperlink ref="A3" r:id="rId1" xr:uid="{00000000-0004-0000-0B00-000000000000}"/>
    <hyperlink ref="A4" r:id="rId2" xr:uid="{00000000-0004-0000-0B00-000001000000}"/>
  </hyperlinks>
  <pageMargins left="0.7" right="0.7" top="0.75" bottom="0.75" header="0.3" footer="0.3"/>
  <pageSetup orientation="portrait"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outlinePr summaryBelow="0" summaryRight="0"/>
  </sheetPr>
  <dimension ref="A1:X963"/>
  <sheetViews>
    <sheetView zoomScale="80" zoomScaleNormal="80" workbookViewId="0">
      <pane xSplit="2" ySplit="2" topLeftCell="C325" activePane="bottomRight" state="frozen"/>
      <selection pane="topRight" activeCell="C1" sqref="C1"/>
      <selection pane="bottomLeft" activeCell="A2" sqref="A2"/>
      <selection pane="bottomRight" activeCell="O329" sqref="O329"/>
    </sheetView>
  </sheetViews>
  <sheetFormatPr baseColWidth="10" defaultColWidth="8.75" defaultRowHeight="15.75" customHeight="1" x14ac:dyDescent="0.2"/>
  <cols>
    <col min="1" max="1" width="8.75" style="299" customWidth="1"/>
    <col min="2" max="2" width="35.75" style="299" customWidth="1"/>
    <col min="3" max="3" width="6.25" style="299" customWidth="1"/>
    <col min="4" max="4" width="5.875" style="299" customWidth="1"/>
    <col min="5" max="5" width="6.75" style="299" customWidth="1"/>
    <col min="6" max="7" width="7.25" style="299" customWidth="1"/>
    <col min="8" max="9" width="7.5" style="299" customWidth="1"/>
    <col min="10" max="10" width="6.875" style="299" customWidth="1"/>
    <col min="11" max="11" width="15.375" style="299" customWidth="1"/>
    <col min="12" max="12" width="12.75" style="299" customWidth="1"/>
    <col min="13" max="13" width="8.75" style="299" customWidth="1"/>
    <col min="14" max="20" width="18.25" style="299" customWidth="1"/>
    <col min="21" max="22" width="8.75" style="299" customWidth="1"/>
    <col min="23" max="23" width="10.875" style="299" customWidth="1"/>
    <col min="24" max="24" width="11.25" style="299" customWidth="1"/>
    <col min="25" max="25" width="8.75" style="299" customWidth="1"/>
    <col min="26" max="16384" width="8.75" style="299"/>
  </cols>
  <sheetData>
    <row r="1" spans="1:24" ht="15.75" hidden="1" customHeight="1" x14ac:dyDescent="0.2">
      <c r="A1" s="298" t="s">
        <v>679</v>
      </c>
    </row>
    <row r="2" spans="1:24" ht="30" customHeight="1" x14ac:dyDescent="0.2">
      <c r="A2" s="300" t="s">
        <v>680</v>
      </c>
      <c r="B2" s="300" t="s">
        <v>645</v>
      </c>
      <c r="C2" s="301" t="s">
        <v>681</v>
      </c>
      <c r="D2" s="301" t="s">
        <v>682</v>
      </c>
      <c r="E2" s="301" t="s">
        <v>683</v>
      </c>
      <c r="F2" s="301" t="s">
        <v>684</v>
      </c>
      <c r="G2" s="301" t="s">
        <v>685</v>
      </c>
      <c r="H2" s="301" t="s">
        <v>686</v>
      </c>
      <c r="I2" s="301" t="s">
        <v>687</v>
      </c>
      <c r="J2" s="301" t="s">
        <v>688</v>
      </c>
      <c r="K2" s="302" t="s">
        <v>689</v>
      </c>
      <c r="L2" s="301" t="s">
        <v>690</v>
      </c>
      <c r="M2" s="303" t="s">
        <v>691</v>
      </c>
      <c r="N2" s="301" t="s">
        <v>692</v>
      </c>
      <c r="O2" s="301" t="s">
        <v>693</v>
      </c>
      <c r="P2" s="301" t="s">
        <v>694</v>
      </c>
      <c r="Q2" s="301" t="s">
        <v>695</v>
      </c>
      <c r="R2" s="301" t="s">
        <v>696</v>
      </c>
      <c r="S2" s="304" t="s">
        <v>697</v>
      </c>
      <c r="T2" s="304" t="s">
        <v>698</v>
      </c>
      <c r="U2" s="305" t="s">
        <v>647</v>
      </c>
      <c r="V2" s="305" t="s">
        <v>699</v>
      </c>
      <c r="W2" s="305" t="s">
        <v>649</v>
      </c>
      <c r="X2" s="305" t="s">
        <v>700</v>
      </c>
    </row>
    <row r="3" spans="1:24" ht="14.25" customHeight="1" x14ac:dyDescent="0.2">
      <c r="A3" s="306" t="s">
        <v>7</v>
      </c>
      <c r="B3" s="306" t="s">
        <v>701</v>
      </c>
      <c r="C3" s="306">
        <v>1</v>
      </c>
      <c r="D3" s="306">
        <v>1</v>
      </c>
      <c r="E3" s="306">
        <v>1</v>
      </c>
      <c r="F3" s="306">
        <v>1</v>
      </c>
      <c r="G3" s="306">
        <v>1</v>
      </c>
      <c r="H3" s="306">
        <v>1</v>
      </c>
      <c r="I3" s="306">
        <v>1</v>
      </c>
      <c r="J3" s="306">
        <v>1</v>
      </c>
      <c r="K3" s="306" t="s">
        <v>702</v>
      </c>
      <c r="L3" s="306" t="s">
        <v>703</v>
      </c>
      <c r="M3" s="306">
        <v>0</v>
      </c>
      <c r="N3" s="306"/>
      <c r="O3" s="306"/>
      <c r="P3" s="306"/>
      <c r="Q3" s="306"/>
      <c r="R3" s="306"/>
      <c r="S3" s="306"/>
      <c r="T3" s="306"/>
      <c r="U3" s="306" t="s">
        <v>704</v>
      </c>
      <c r="V3" s="306"/>
      <c r="W3" s="306"/>
      <c r="X3" s="306"/>
    </row>
    <row r="4" spans="1:24" ht="14.25" customHeight="1" x14ac:dyDescent="0.2">
      <c r="A4" s="306" t="s">
        <v>8</v>
      </c>
      <c r="B4" s="306" t="s">
        <v>705</v>
      </c>
      <c r="C4" s="306">
        <v>1</v>
      </c>
      <c r="D4" s="306">
        <v>1</v>
      </c>
      <c r="E4" s="306">
        <v>1</v>
      </c>
      <c r="F4" s="306">
        <v>1</v>
      </c>
      <c r="G4" s="306">
        <v>1</v>
      </c>
      <c r="H4" s="306">
        <v>1</v>
      </c>
      <c r="I4" s="306">
        <v>1</v>
      </c>
      <c r="J4" s="306">
        <v>1</v>
      </c>
      <c r="K4" s="306" t="s">
        <v>702</v>
      </c>
      <c r="L4" s="306" t="s">
        <v>703</v>
      </c>
      <c r="M4" s="306" t="s">
        <v>706</v>
      </c>
      <c r="N4" s="306"/>
      <c r="O4" s="306"/>
      <c r="P4" s="306"/>
      <c r="Q4" s="306"/>
      <c r="R4" s="306"/>
      <c r="S4" s="306"/>
      <c r="T4" s="306"/>
      <c r="U4" s="306" t="s">
        <v>704</v>
      </c>
      <c r="V4" s="306"/>
      <c r="W4" s="306"/>
      <c r="X4" s="306"/>
    </row>
    <row r="5" spans="1:24" ht="14.25" customHeight="1" x14ac:dyDescent="0.2">
      <c r="A5" s="306" t="s">
        <v>9</v>
      </c>
      <c r="B5" s="306" t="s">
        <v>707</v>
      </c>
      <c r="C5" s="306">
        <v>1</v>
      </c>
      <c r="D5" s="306">
        <v>1</v>
      </c>
      <c r="E5" s="306">
        <v>1</v>
      </c>
      <c r="F5" s="306">
        <v>1</v>
      </c>
      <c r="G5" s="306">
        <v>1</v>
      </c>
      <c r="H5" s="306">
        <v>1</v>
      </c>
      <c r="I5" s="306">
        <v>1</v>
      </c>
      <c r="J5" s="306">
        <v>1</v>
      </c>
      <c r="K5" s="306" t="s">
        <v>702</v>
      </c>
      <c r="L5" s="306" t="s">
        <v>703</v>
      </c>
      <c r="M5" s="306" t="s">
        <v>706</v>
      </c>
      <c r="N5" s="306"/>
      <c r="O5" s="306"/>
      <c r="P5" s="306"/>
      <c r="Q5" s="306"/>
      <c r="R5" s="306"/>
      <c r="S5" s="306"/>
      <c r="T5" s="306"/>
      <c r="U5" s="306" t="s">
        <v>704</v>
      </c>
      <c r="V5" s="306"/>
      <c r="W5" s="306"/>
      <c r="X5" s="306"/>
    </row>
    <row r="6" spans="1:24" ht="14.25" customHeight="1" x14ac:dyDescent="0.2">
      <c r="A6" s="306" t="s">
        <v>10</v>
      </c>
      <c r="B6" s="306" t="s">
        <v>708</v>
      </c>
      <c r="C6" s="306">
        <v>1</v>
      </c>
      <c r="D6" s="306">
        <v>1</v>
      </c>
      <c r="E6" s="306">
        <v>0</v>
      </c>
      <c r="F6" s="306">
        <v>0</v>
      </c>
      <c r="G6" s="306">
        <v>0</v>
      </c>
      <c r="H6" s="306">
        <v>0</v>
      </c>
      <c r="I6" s="306">
        <v>0</v>
      </c>
      <c r="J6" s="306">
        <v>0</v>
      </c>
      <c r="K6" s="306" t="s">
        <v>702</v>
      </c>
      <c r="L6" s="306" t="s">
        <v>703</v>
      </c>
      <c r="M6" s="306" t="s">
        <v>706</v>
      </c>
      <c r="N6" s="306"/>
      <c r="O6" s="306"/>
      <c r="P6" s="306"/>
      <c r="Q6" s="306"/>
      <c r="R6" s="306"/>
      <c r="S6" s="306"/>
      <c r="T6" s="306"/>
      <c r="U6" s="306" t="s">
        <v>704</v>
      </c>
      <c r="V6" s="306"/>
      <c r="W6" s="306"/>
      <c r="X6" s="306"/>
    </row>
    <row r="7" spans="1:24" ht="14.25" customHeight="1" x14ac:dyDescent="0.2">
      <c r="A7" s="306" t="s">
        <v>11</v>
      </c>
      <c r="B7" s="306" t="s">
        <v>709</v>
      </c>
      <c r="C7" s="306">
        <v>1</v>
      </c>
      <c r="D7" s="306">
        <v>1</v>
      </c>
      <c r="E7" s="306">
        <v>0</v>
      </c>
      <c r="F7" s="306">
        <v>0</v>
      </c>
      <c r="G7" s="306">
        <v>0</v>
      </c>
      <c r="H7" s="306">
        <v>0</v>
      </c>
      <c r="I7" s="306">
        <v>0</v>
      </c>
      <c r="J7" s="306">
        <v>0</v>
      </c>
      <c r="K7" s="306" t="s">
        <v>702</v>
      </c>
      <c r="L7" s="306" t="s">
        <v>703</v>
      </c>
      <c r="M7" s="306" t="s">
        <v>706</v>
      </c>
      <c r="N7" s="306"/>
      <c r="O7" s="306"/>
      <c r="P7" s="306"/>
      <c r="Q7" s="306"/>
      <c r="R7" s="306"/>
      <c r="S7" s="306"/>
      <c r="T7" s="306"/>
      <c r="U7" s="306" t="s">
        <v>704</v>
      </c>
      <c r="V7" s="306"/>
      <c r="W7" s="306"/>
      <c r="X7" s="306"/>
    </row>
    <row r="8" spans="1:24" ht="14.25" customHeight="1" x14ac:dyDescent="0.2">
      <c r="A8" s="306" t="s">
        <v>12</v>
      </c>
      <c r="B8" s="306" t="s">
        <v>710</v>
      </c>
      <c r="C8" s="306">
        <v>1</v>
      </c>
      <c r="D8" s="306">
        <v>1</v>
      </c>
      <c r="E8" s="306">
        <v>0</v>
      </c>
      <c r="F8" s="306">
        <v>0</v>
      </c>
      <c r="G8" s="306">
        <v>0</v>
      </c>
      <c r="H8" s="306">
        <v>0</v>
      </c>
      <c r="I8" s="306">
        <v>0</v>
      </c>
      <c r="J8" s="306">
        <v>0</v>
      </c>
      <c r="K8" s="306" t="s">
        <v>702</v>
      </c>
      <c r="L8" s="306" t="s">
        <v>703</v>
      </c>
      <c r="M8" s="306" t="s">
        <v>706</v>
      </c>
      <c r="N8" s="306"/>
      <c r="O8" s="306"/>
      <c r="P8" s="306"/>
      <c r="Q8" s="306"/>
      <c r="R8" s="306"/>
      <c r="S8" s="306"/>
      <c r="T8" s="306"/>
      <c r="U8" s="306" t="s">
        <v>704</v>
      </c>
      <c r="V8" s="306"/>
      <c r="W8" s="306"/>
      <c r="X8" s="306"/>
    </row>
    <row r="9" spans="1:24" ht="14.25" customHeight="1" x14ac:dyDescent="0.2">
      <c r="A9" s="306" t="s">
        <v>13</v>
      </c>
      <c r="B9" s="306" t="s">
        <v>711</v>
      </c>
      <c r="C9" s="306">
        <v>1</v>
      </c>
      <c r="D9" s="306">
        <v>1</v>
      </c>
      <c r="E9" s="306">
        <v>0</v>
      </c>
      <c r="F9" s="306">
        <v>0</v>
      </c>
      <c r="G9" s="306">
        <v>0</v>
      </c>
      <c r="H9" s="306">
        <v>0</v>
      </c>
      <c r="I9" s="306">
        <v>0</v>
      </c>
      <c r="J9" s="306">
        <v>0</v>
      </c>
      <c r="K9" s="306" t="s">
        <v>702</v>
      </c>
      <c r="L9" s="306" t="s">
        <v>703</v>
      </c>
      <c r="M9" s="306" t="s">
        <v>706</v>
      </c>
      <c r="N9" s="306"/>
      <c r="O9" s="306"/>
      <c r="P9" s="306"/>
      <c r="Q9" s="306"/>
      <c r="R9" s="306"/>
      <c r="S9" s="306"/>
      <c r="T9" s="306"/>
      <c r="U9" s="306" t="s">
        <v>704</v>
      </c>
      <c r="V9" s="306"/>
      <c r="W9" s="306"/>
      <c r="X9" s="306"/>
    </row>
    <row r="10" spans="1:24" ht="14.25" customHeight="1" x14ac:dyDescent="0.2">
      <c r="A10" s="306" t="s">
        <v>14</v>
      </c>
      <c r="B10" s="306" t="s">
        <v>712</v>
      </c>
      <c r="C10" s="306">
        <v>1</v>
      </c>
      <c r="D10" s="306">
        <v>1</v>
      </c>
      <c r="E10" s="306">
        <v>1</v>
      </c>
      <c r="F10" s="306">
        <v>1</v>
      </c>
      <c r="G10" s="306">
        <v>1</v>
      </c>
      <c r="H10" s="306">
        <v>1</v>
      </c>
      <c r="I10" s="306">
        <v>1</v>
      </c>
      <c r="J10" s="306">
        <v>1</v>
      </c>
      <c r="K10" s="306" t="s">
        <v>702</v>
      </c>
      <c r="L10" s="306" t="s">
        <v>703</v>
      </c>
      <c r="M10" s="306"/>
      <c r="N10" s="306"/>
      <c r="O10" s="306"/>
      <c r="P10" s="306"/>
      <c r="Q10" s="306"/>
      <c r="R10" s="306"/>
      <c r="S10" s="306"/>
      <c r="T10" s="306"/>
      <c r="U10" s="306" t="s">
        <v>704</v>
      </c>
      <c r="V10" s="306"/>
      <c r="W10" s="306"/>
      <c r="X10" s="306"/>
    </row>
    <row r="11" spans="1:24" ht="57" customHeight="1" x14ac:dyDescent="0.2">
      <c r="A11" s="306" t="s">
        <v>15</v>
      </c>
      <c r="B11" s="306" t="s">
        <v>713</v>
      </c>
      <c r="C11" s="306">
        <v>1</v>
      </c>
      <c r="D11" s="306">
        <v>0</v>
      </c>
      <c r="E11" s="306">
        <v>0</v>
      </c>
      <c r="F11" s="306">
        <v>0</v>
      </c>
      <c r="G11" s="306">
        <v>0</v>
      </c>
      <c r="H11" s="306">
        <v>0</v>
      </c>
      <c r="I11" s="306">
        <v>0</v>
      </c>
      <c r="J11" s="306">
        <v>1</v>
      </c>
      <c r="K11" s="306" t="s">
        <v>702</v>
      </c>
      <c r="L11" s="306" t="s">
        <v>703</v>
      </c>
      <c r="M11" s="306" t="s">
        <v>706</v>
      </c>
      <c r="N11" s="306"/>
      <c r="O11" s="306"/>
      <c r="P11" s="306"/>
      <c r="Q11" s="306"/>
      <c r="R11" s="306"/>
      <c r="S11" s="306" t="s">
        <v>714</v>
      </c>
      <c r="T11" s="306" t="s">
        <v>715</v>
      </c>
      <c r="U11" s="306" t="s">
        <v>704</v>
      </c>
      <c r="V11" s="306"/>
      <c r="W11" s="306"/>
      <c r="X11" s="306"/>
    </row>
    <row r="12" spans="1:24" ht="242.25" customHeight="1" x14ac:dyDescent="0.2">
      <c r="A12" s="317" t="s">
        <v>17</v>
      </c>
      <c r="B12" s="317" t="s">
        <v>716</v>
      </c>
      <c r="C12" s="306">
        <v>1</v>
      </c>
      <c r="D12" s="306">
        <v>0</v>
      </c>
      <c r="E12" s="306">
        <v>0</v>
      </c>
      <c r="F12" s="306">
        <v>0</v>
      </c>
      <c r="G12" s="306">
        <v>0</v>
      </c>
      <c r="H12" s="306">
        <v>0</v>
      </c>
      <c r="I12" s="306">
        <v>0</v>
      </c>
      <c r="J12" s="306">
        <v>1</v>
      </c>
      <c r="K12" s="306"/>
      <c r="L12" s="306" t="s">
        <v>717</v>
      </c>
      <c r="M12" s="306" t="s">
        <v>706</v>
      </c>
      <c r="N12" s="306"/>
      <c r="O12" s="306"/>
      <c r="P12" s="306" t="s">
        <v>718</v>
      </c>
      <c r="Q12" s="306" t="s">
        <v>719</v>
      </c>
      <c r="R12" s="306"/>
      <c r="S12" s="306" t="s">
        <v>720</v>
      </c>
      <c r="T12" s="306" t="s">
        <v>721</v>
      </c>
      <c r="U12" s="306" t="s">
        <v>355</v>
      </c>
      <c r="V12" s="306" t="s">
        <v>706</v>
      </c>
      <c r="W12" s="306" t="s">
        <v>722</v>
      </c>
      <c r="X12" s="306">
        <f>IF($W12="Critical Importance",20,IF($W12="Minor Importance",5,10))</f>
        <v>10</v>
      </c>
    </row>
    <row r="13" spans="1:24" ht="114" customHeight="1" x14ac:dyDescent="0.2">
      <c r="A13" s="306" t="s">
        <v>18</v>
      </c>
      <c r="B13" s="306" t="s">
        <v>723</v>
      </c>
      <c r="C13" s="306">
        <v>1</v>
      </c>
      <c r="D13" s="306">
        <v>0</v>
      </c>
      <c r="E13" s="306">
        <v>0</v>
      </c>
      <c r="F13" s="306">
        <v>0</v>
      </c>
      <c r="G13" s="306">
        <v>0</v>
      </c>
      <c r="H13" s="306">
        <v>0</v>
      </c>
      <c r="I13" s="306">
        <v>0</v>
      </c>
      <c r="J13" s="306">
        <v>1</v>
      </c>
      <c r="K13" s="306"/>
      <c r="L13" s="306" t="s">
        <v>704</v>
      </c>
      <c r="M13" s="306" t="s">
        <v>706</v>
      </c>
      <c r="N13" s="306"/>
      <c r="O13" s="306" t="s">
        <v>724</v>
      </c>
      <c r="P13" s="306" t="s">
        <v>724</v>
      </c>
      <c r="Q13" s="306" t="s">
        <v>724</v>
      </c>
      <c r="R13" s="306"/>
      <c r="S13" s="306" t="s">
        <v>725</v>
      </c>
      <c r="T13" s="306" t="s">
        <v>726</v>
      </c>
      <c r="U13" s="306" t="s">
        <v>704</v>
      </c>
      <c r="V13" s="306" t="s">
        <v>706</v>
      </c>
      <c r="W13" s="306"/>
      <c r="X13" s="306"/>
    </row>
    <row r="14" spans="1:24" ht="171" customHeight="1" x14ac:dyDescent="0.2">
      <c r="A14" s="306" t="s">
        <v>19</v>
      </c>
      <c r="B14" s="306" t="s">
        <v>727</v>
      </c>
      <c r="C14" s="306">
        <v>1</v>
      </c>
      <c r="D14" s="306">
        <v>0</v>
      </c>
      <c r="E14" s="306">
        <v>0</v>
      </c>
      <c r="F14" s="306">
        <v>0</v>
      </c>
      <c r="G14" s="306">
        <v>0</v>
      </c>
      <c r="H14" s="306">
        <v>0</v>
      </c>
      <c r="I14" s="306">
        <v>0</v>
      </c>
      <c r="J14" s="306">
        <v>1</v>
      </c>
      <c r="K14" s="306"/>
      <c r="L14" s="306" t="s">
        <v>717</v>
      </c>
      <c r="M14" s="306" t="s">
        <v>706</v>
      </c>
      <c r="N14" s="306"/>
      <c r="O14" s="306"/>
      <c r="P14" s="306" t="s">
        <v>728</v>
      </c>
      <c r="Q14" s="306"/>
      <c r="R14" s="306"/>
      <c r="S14" s="306" t="s">
        <v>729</v>
      </c>
      <c r="T14" s="306" t="s">
        <v>730</v>
      </c>
      <c r="U14" s="306" t="s">
        <v>355</v>
      </c>
      <c r="V14" s="306" t="s">
        <v>706</v>
      </c>
      <c r="W14" s="306" t="s">
        <v>731</v>
      </c>
      <c r="X14" s="306">
        <f>IF($W14="Critical Importance",20,IF($W14="Minor Importance",5,10))</f>
        <v>5</v>
      </c>
    </row>
    <row r="15" spans="1:24" ht="228" customHeight="1" x14ac:dyDescent="0.2">
      <c r="A15" s="306" t="s">
        <v>20</v>
      </c>
      <c r="B15" s="306" t="s">
        <v>732</v>
      </c>
      <c r="C15" s="306">
        <v>1</v>
      </c>
      <c r="D15" s="306">
        <v>0</v>
      </c>
      <c r="E15" s="306">
        <v>0</v>
      </c>
      <c r="F15" s="306">
        <v>0</v>
      </c>
      <c r="G15" s="306">
        <v>0</v>
      </c>
      <c r="H15" s="306">
        <v>0</v>
      </c>
      <c r="I15" s="306">
        <v>0</v>
      </c>
      <c r="J15" s="306">
        <v>1</v>
      </c>
      <c r="K15" s="306"/>
      <c r="L15" s="306" t="s">
        <v>717</v>
      </c>
      <c r="M15" s="306" t="s">
        <v>706</v>
      </c>
      <c r="N15" s="306"/>
      <c r="O15" s="306"/>
      <c r="P15" s="306" t="s">
        <v>733</v>
      </c>
      <c r="Q15" s="306" t="s">
        <v>734</v>
      </c>
      <c r="R15" s="306"/>
      <c r="S15" s="306" t="s">
        <v>735</v>
      </c>
      <c r="T15" s="306" t="s">
        <v>736</v>
      </c>
      <c r="U15" s="306" t="s">
        <v>355</v>
      </c>
      <c r="V15" s="306" t="s">
        <v>706</v>
      </c>
      <c r="W15" s="306" t="s">
        <v>731</v>
      </c>
      <c r="X15" s="306">
        <f>IF($W15="Critical Importance",20,IF($W15="Minor Importance",5,10))</f>
        <v>5</v>
      </c>
    </row>
    <row r="16" spans="1:24" ht="199.5" customHeight="1" x14ac:dyDescent="0.2">
      <c r="A16" s="306" t="s">
        <v>21</v>
      </c>
      <c r="B16" s="306" t="s">
        <v>737</v>
      </c>
      <c r="C16" s="306">
        <v>1</v>
      </c>
      <c r="D16" s="306">
        <v>0</v>
      </c>
      <c r="E16" s="306">
        <v>0</v>
      </c>
      <c r="F16" s="306">
        <v>0</v>
      </c>
      <c r="G16" s="306">
        <v>0</v>
      </c>
      <c r="H16" s="306">
        <v>0</v>
      </c>
      <c r="I16" s="306">
        <v>0</v>
      </c>
      <c r="J16" s="306">
        <v>0</v>
      </c>
      <c r="K16" s="306"/>
      <c r="L16" s="306" t="s">
        <v>703</v>
      </c>
      <c r="M16" s="306">
        <v>0</v>
      </c>
      <c r="N16" s="306"/>
      <c r="O16" s="306" t="s">
        <v>738</v>
      </c>
      <c r="P16" s="306" t="s">
        <v>738</v>
      </c>
      <c r="Q16" s="306" t="s">
        <v>738</v>
      </c>
      <c r="R16" s="306"/>
      <c r="S16" s="306" t="s">
        <v>739</v>
      </c>
      <c r="T16" s="306" t="s">
        <v>740</v>
      </c>
      <c r="U16" s="306" t="s">
        <v>704</v>
      </c>
      <c r="V16" s="306"/>
      <c r="W16" s="306"/>
      <c r="X16" s="306"/>
    </row>
    <row r="17" spans="1:24" ht="57" customHeight="1" x14ac:dyDescent="0.2">
      <c r="A17" s="306" t="s">
        <v>23</v>
      </c>
      <c r="B17" s="307" t="s">
        <v>741</v>
      </c>
      <c r="C17" s="306">
        <v>1</v>
      </c>
      <c r="D17" s="306">
        <v>0</v>
      </c>
      <c r="E17" s="306">
        <v>1</v>
      </c>
      <c r="F17" s="306">
        <v>1</v>
      </c>
      <c r="G17" s="306">
        <v>0</v>
      </c>
      <c r="H17" s="306">
        <v>0</v>
      </c>
      <c r="I17" s="306">
        <v>0</v>
      </c>
      <c r="J17" s="306">
        <v>0</v>
      </c>
      <c r="K17" s="306" t="s">
        <v>702</v>
      </c>
      <c r="L17" s="306" t="s">
        <v>703</v>
      </c>
      <c r="M17" s="306"/>
      <c r="N17" s="306"/>
      <c r="O17" s="306" t="s">
        <v>742</v>
      </c>
      <c r="P17" s="306" t="s">
        <v>743</v>
      </c>
      <c r="Q17" s="306" t="s">
        <v>744</v>
      </c>
      <c r="R17" s="306"/>
      <c r="S17" s="306"/>
      <c r="T17" s="306"/>
      <c r="U17" s="306" t="s">
        <v>704</v>
      </c>
      <c r="V17" s="306"/>
      <c r="W17" s="306"/>
      <c r="X17" s="306"/>
    </row>
    <row r="18" spans="1:24" ht="71.25" customHeight="1" x14ac:dyDescent="0.2">
      <c r="A18" s="306" t="s">
        <v>25</v>
      </c>
      <c r="B18" s="306" t="s">
        <v>745</v>
      </c>
      <c r="C18" s="306">
        <v>1</v>
      </c>
      <c r="D18" s="306">
        <v>0</v>
      </c>
      <c r="E18" s="306">
        <v>0</v>
      </c>
      <c r="F18" s="306">
        <v>0</v>
      </c>
      <c r="G18" s="306">
        <v>1</v>
      </c>
      <c r="H18" s="306">
        <v>0</v>
      </c>
      <c r="I18" s="306">
        <v>0</v>
      </c>
      <c r="J18" s="306">
        <v>0</v>
      </c>
      <c r="K18" s="306" t="s">
        <v>702</v>
      </c>
      <c r="L18" s="306" t="s">
        <v>703</v>
      </c>
      <c r="M18" s="306"/>
      <c r="N18" s="306"/>
      <c r="O18" s="306" t="s">
        <v>746</v>
      </c>
      <c r="P18" s="306" t="s">
        <v>747</v>
      </c>
      <c r="Q18" s="306" t="s">
        <v>748</v>
      </c>
      <c r="R18" s="306"/>
      <c r="S18" s="306"/>
      <c r="T18" s="306"/>
      <c r="U18" s="306" t="s">
        <v>704</v>
      </c>
      <c r="V18" s="306"/>
      <c r="W18" s="306"/>
      <c r="X18" s="306"/>
    </row>
    <row r="19" spans="1:24" ht="42.75" customHeight="1" x14ac:dyDescent="0.2">
      <c r="A19" s="306" t="s">
        <v>27</v>
      </c>
      <c r="B19" s="306" t="s">
        <v>749</v>
      </c>
      <c r="C19" s="306">
        <v>1</v>
      </c>
      <c r="D19" s="306">
        <v>0</v>
      </c>
      <c r="E19" s="306">
        <v>0</v>
      </c>
      <c r="F19" s="306">
        <v>0</v>
      </c>
      <c r="G19" s="306">
        <v>0</v>
      </c>
      <c r="H19" s="306">
        <v>1</v>
      </c>
      <c r="I19" s="306">
        <v>0</v>
      </c>
      <c r="J19" s="306">
        <v>0</v>
      </c>
      <c r="K19" s="306" t="s">
        <v>702</v>
      </c>
      <c r="L19" s="306" t="s">
        <v>703</v>
      </c>
      <c r="M19" s="306"/>
      <c r="N19" s="306"/>
      <c r="O19" s="306"/>
      <c r="P19" s="306" t="s">
        <v>750</v>
      </c>
      <c r="Q19" s="306" t="s">
        <v>751</v>
      </c>
      <c r="R19" s="306"/>
      <c r="S19" s="306"/>
      <c r="T19" s="306"/>
      <c r="U19" s="306" t="s">
        <v>704</v>
      </c>
      <c r="V19" s="306"/>
      <c r="W19" s="306"/>
      <c r="X19" s="306"/>
    </row>
    <row r="20" spans="1:24" ht="42.75" customHeight="1" x14ac:dyDescent="0.2">
      <c r="A20" s="306" t="s">
        <v>29</v>
      </c>
      <c r="B20" s="306" t="s">
        <v>752</v>
      </c>
      <c r="C20" s="306">
        <v>1</v>
      </c>
      <c r="D20" s="306">
        <v>0</v>
      </c>
      <c r="E20" s="306">
        <v>0</v>
      </c>
      <c r="F20" s="306">
        <v>0</v>
      </c>
      <c r="G20" s="306">
        <v>0</v>
      </c>
      <c r="H20" s="306">
        <v>0</v>
      </c>
      <c r="I20" s="306">
        <v>1</v>
      </c>
      <c r="J20" s="306">
        <v>1</v>
      </c>
      <c r="K20" s="306" t="s">
        <v>702</v>
      </c>
      <c r="L20" s="306" t="s">
        <v>703</v>
      </c>
      <c r="M20" s="306"/>
      <c r="N20" s="306"/>
      <c r="O20" s="306"/>
      <c r="P20" s="306" t="s">
        <v>753</v>
      </c>
      <c r="Q20" s="306" t="s">
        <v>754</v>
      </c>
      <c r="R20" s="306"/>
      <c r="S20" s="306"/>
      <c r="T20" s="306"/>
      <c r="U20" s="306" t="s">
        <v>704</v>
      </c>
      <c r="V20" s="306"/>
      <c r="W20" s="306"/>
      <c r="X20" s="306"/>
    </row>
    <row r="21" spans="1:24" ht="71.25" customHeight="1" x14ac:dyDescent="0.2">
      <c r="A21" s="306" t="s">
        <v>31</v>
      </c>
      <c r="B21" s="306" t="s">
        <v>755</v>
      </c>
      <c r="C21" s="306">
        <v>1</v>
      </c>
      <c r="D21" s="306">
        <v>0</v>
      </c>
      <c r="E21" s="306">
        <v>0</v>
      </c>
      <c r="F21" s="306">
        <v>0</v>
      </c>
      <c r="G21" s="306">
        <v>0</v>
      </c>
      <c r="H21" s="306">
        <v>1</v>
      </c>
      <c r="I21" s="306">
        <v>0</v>
      </c>
      <c r="J21" s="306">
        <v>1</v>
      </c>
      <c r="K21" s="306" t="s">
        <v>702</v>
      </c>
      <c r="L21" s="306" t="s">
        <v>703</v>
      </c>
      <c r="M21" s="306" t="s">
        <v>706</v>
      </c>
      <c r="N21" s="306"/>
      <c r="O21" s="306" t="s">
        <v>756</v>
      </c>
      <c r="P21" s="306" t="s">
        <v>757</v>
      </c>
      <c r="Q21" s="306" t="s">
        <v>758</v>
      </c>
      <c r="R21" s="306"/>
      <c r="S21" s="306"/>
      <c r="T21" s="306"/>
      <c r="U21" s="306" t="s">
        <v>704</v>
      </c>
      <c r="V21" s="306"/>
      <c r="W21" s="306"/>
      <c r="X21" s="306"/>
    </row>
    <row r="22" spans="1:24" ht="71.25" customHeight="1" x14ac:dyDescent="0.2">
      <c r="A22" s="306" t="s">
        <v>33</v>
      </c>
      <c r="B22" s="306" t="s">
        <v>759</v>
      </c>
      <c r="C22" s="306">
        <v>1</v>
      </c>
      <c r="D22" s="306">
        <v>0</v>
      </c>
      <c r="E22" s="306">
        <v>0</v>
      </c>
      <c r="F22" s="306">
        <v>0</v>
      </c>
      <c r="G22" s="306">
        <v>0</v>
      </c>
      <c r="H22" s="306">
        <v>1</v>
      </c>
      <c r="I22" s="306">
        <v>0</v>
      </c>
      <c r="J22" s="306">
        <v>1</v>
      </c>
      <c r="K22" s="306" t="s">
        <v>702</v>
      </c>
      <c r="L22" s="306" t="s">
        <v>703</v>
      </c>
      <c r="M22" s="306" t="s">
        <v>706</v>
      </c>
      <c r="N22" s="306"/>
      <c r="O22" s="306" t="s">
        <v>760</v>
      </c>
      <c r="P22" s="306" t="s">
        <v>761</v>
      </c>
      <c r="Q22" s="306" t="s">
        <v>762</v>
      </c>
      <c r="R22" s="306"/>
      <c r="S22" s="306"/>
      <c r="T22" s="306"/>
      <c r="U22" s="306" t="s">
        <v>704</v>
      </c>
      <c r="V22" s="306"/>
      <c r="W22" s="306"/>
      <c r="X22" s="306"/>
    </row>
    <row r="23" spans="1:24" ht="93.75" customHeight="1" x14ac:dyDescent="0.2">
      <c r="A23" s="306" t="s">
        <v>35</v>
      </c>
      <c r="B23" s="306" t="s">
        <v>763</v>
      </c>
      <c r="C23" s="306">
        <v>1</v>
      </c>
      <c r="D23" s="306">
        <v>0</v>
      </c>
      <c r="E23" s="306">
        <v>0</v>
      </c>
      <c r="F23" s="306">
        <v>0</v>
      </c>
      <c r="G23" s="306">
        <v>0</v>
      </c>
      <c r="H23" s="306">
        <v>1</v>
      </c>
      <c r="I23" s="306">
        <v>0</v>
      </c>
      <c r="J23" s="306">
        <v>0</v>
      </c>
      <c r="K23" s="306" t="s">
        <v>702</v>
      </c>
      <c r="L23" s="306" t="s">
        <v>703</v>
      </c>
      <c r="M23" s="306"/>
      <c r="N23" s="306"/>
      <c r="O23" s="306"/>
      <c r="P23" s="306" t="s">
        <v>764</v>
      </c>
      <c r="Q23" s="306" t="s">
        <v>765</v>
      </c>
      <c r="R23" s="306"/>
      <c r="S23" s="306"/>
      <c r="T23" s="306"/>
      <c r="U23" s="306" t="s">
        <v>704</v>
      </c>
      <c r="V23" s="306"/>
      <c r="W23" s="306"/>
      <c r="X23" s="306"/>
    </row>
    <row r="24" spans="1:24" ht="81.75" customHeight="1" x14ac:dyDescent="0.2">
      <c r="A24" s="306" t="s">
        <v>369</v>
      </c>
      <c r="B24" s="306" t="s">
        <v>766</v>
      </c>
      <c r="C24" s="306">
        <v>1</v>
      </c>
      <c r="D24" s="306">
        <v>0</v>
      </c>
      <c r="E24" s="306">
        <v>0</v>
      </c>
      <c r="F24" s="306">
        <v>0</v>
      </c>
      <c r="G24" s="306">
        <v>0</v>
      </c>
      <c r="H24" s="306">
        <v>0</v>
      </c>
      <c r="I24" s="306">
        <v>0</v>
      </c>
      <c r="J24" s="306">
        <v>1</v>
      </c>
      <c r="K24" s="306" t="s">
        <v>702</v>
      </c>
      <c r="L24" s="306" t="s">
        <v>703</v>
      </c>
      <c r="M24" s="306"/>
      <c r="N24" s="306"/>
      <c r="O24" s="306" t="s">
        <v>767</v>
      </c>
      <c r="P24" s="215" t="s">
        <v>768</v>
      </c>
      <c r="Q24" s="215" t="s">
        <v>769</v>
      </c>
      <c r="R24" s="215"/>
      <c r="S24" s="306"/>
      <c r="T24" s="306"/>
      <c r="U24" s="306" t="s">
        <v>704</v>
      </c>
      <c r="V24" s="306"/>
      <c r="W24" s="306"/>
      <c r="X24" s="306"/>
    </row>
    <row r="25" spans="1:24" ht="171" customHeight="1" x14ac:dyDescent="0.2">
      <c r="A25" s="317" t="s">
        <v>37</v>
      </c>
      <c r="B25" s="317" t="s">
        <v>770</v>
      </c>
      <c r="C25" s="306">
        <v>0</v>
      </c>
      <c r="D25" s="306">
        <v>1</v>
      </c>
      <c r="E25" s="306">
        <v>0</v>
      </c>
      <c r="F25" s="306">
        <v>0</v>
      </c>
      <c r="G25" s="306">
        <v>0</v>
      </c>
      <c r="H25" s="306">
        <v>0</v>
      </c>
      <c r="I25" s="306">
        <v>0</v>
      </c>
      <c r="J25" s="306">
        <v>1</v>
      </c>
      <c r="K25" s="306"/>
      <c r="L25" s="306" t="s">
        <v>771</v>
      </c>
      <c r="M25" s="306"/>
      <c r="N25" s="306"/>
      <c r="O25" s="306"/>
      <c r="P25" s="306"/>
      <c r="Q25" s="306"/>
      <c r="R25" s="306"/>
      <c r="S25" s="306" t="s">
        <v>772</v>
      </c>
      <c r="T25" s="306"/>
      <c r="U25" s="306" t="s">
        <v>355</v>
      </c>
      <c r="V25" s="306"/>
      <c r="W25" s="306" t="s">
        <v>773</v>
      </c>
      <c r="X25" s="306">
        <f t="shared" ref="X25:X31" si="0">IF($W25="Critical Importance",20,IF($W25="Minor Importance",5,10))</f>
        <v>20</v>
      </c>
    </row>
    <row r="26" spans="1:24" ht="171" customHeight="1" x14ac:dyDescent="0.2">
      <c r="A26" s="317" t="s">
        <v>38</v>
      </c>
      <c r="B26" s="317" t="s">
        <v>774</v>
      </c>
      <c r="C26" s="306">
        <v>0</v>
      </c>
      <c r="D26" s="306">
        <v>1</v>
      </c>
      <c r="E26" s="306">
        <v>0</v>
      </c>
      <c r="F26" s="306">
        <v>0</v>
      </c>
      <c r="G26" s="306">
        <v>0</v>
      </c>
      <c r="H26" s="306">
        <v>0</v>
      </c>
      <c r="I26" s="306">
        <v>0</v>
      </c>
      <c r="J26" s="306">
        <v>1</v>
      </c>
      <c r="K26" s="306"/>
      <c r="L26" s="306" t="s">
        <v>771</v>
      </c>
      <c r="M26" s="306"/>
      <c r="N26" s="306"/>
      <c r="O26" s="306"/>
      <c r="P26" s="306"/>
      <c r="Q26" s="306"/>
      <c r="R26" s="306"/>
      <c r="S26" s="306" t="s">
        <v>775</v>
      </c>
      <c r="T26" s="306"/>
      <c r="U26" s="306" t="s">
        <v>355</v>
      </c>
      <c r="V26" s="306"/>
      <c r="W26" s="306" t="s">
        <v>773</v>
      </c>
      <c r="X26" s="306">
        <f t="shared" si="0"/>
        <v>20</v>
      </c>
    </row>
    <row r="27" spans="1:24" ht="128.25" customHeight="1" x14ac:dyDescent="0.2">
      <c r="A27" s="306" t="s">
        <v>39</v>
      </c>
      <c r="B27" s="306" t="s">
        <v>776</v>
      </c>
      <c r="C27" s="306">
        <v>0</v>
      </c>
      <c r="D27" s="306">
        <v>1</v>
      </c>
      <c r="E27" s="306">
        <v>0</v>
      </c>
      <c r="F27" s="306">
        <v>0</v>
      </c>
      <c r="G27" s="306">
        <v>0</v>
      </c>
      <c r="H27" s="306">
        <v>0</v>
      </c>
      <c r="I27" s="306">
        <v>0</v>
      </c>
      <c r="J27" s="306">
        <v>1</v>
      </c>
      <c r="K27" s="306"/>
      <c r="L27" s="306" t="s">
        <v>771</v>
      </c>
      <c r="M27" s="306" t="s">
        <v>352</v>
      </c>
      <c r="N27" s="306"/>
      <c r="O27" s="306"/>
      <c r="P27" s="306" t="s">
        <v>777</v>
      </c>
      <c r="Q27" s="306" t="s">
        <v>778</v>
      </c>
      <c r="R27" s="306"/>
      <c r="S27" s="306" t="s">
        <v>779</v>
      </c>
      <c r="T27" s="306" t="s">
        <v>780</v>
      </c>
      <c r="U27" s="306" t="s">
        <v>355</v>
      </c>
      <c r="V27" s="306" t="s">
        <v>706</v>
      </c>
      <c r="W27" s="306" t="s">
        <v>722</v>
      </c>
      <c r="X27" s="306">
        <f t="shared" si="0"/>
        <v>10</v>
      </c>
    </row>
    <row r="28" spans="1:24" ht="242.25" customHeight="1" x14ac:dyDescent="0.2">
      <c r="A28" s="306" t="s">
        <v>40</v>
      </c>
      <c r="B28" s="306" t="s">
        <v>781</v>
      </c>
      <c r="C28" s="306">
        <v>0</v>
      </c>
      <c r="D28" s="306">
        <v>1</v>
      </c>
      <c r="E28" s="306">
        <v>0</v>
      </c>
      <c r="F28" s="306">
        <v>0</v>
      </c>
      <c r="G28" s="306">
        <v>0</v>
      </c>
      <c r="H28" s="306">
        <v>0</v>
      </c>
      <c r="I28" s="306">
        <v>0</v>
      </c>
      <c r="J28" s="306">
        <v>1</v>
      </c>
      <c r="K28" s="306"/>
      <c r="L28" s="306" t="s">
        <v>771</v>
      </c>
      <c r="M28" s="306" t="s">
        <v>352</v>
      </c>
      <c r="N28" s="306"/>
      <c r="O28" s="306"/>
      <c r="P28" s="306" t="s">
        <v>782</v>
      </c>
      <c r="Q28" s="306" t="s">
        <v>783</v>
      </c>
      <c r="R28" s="306"/>
      <c r="S28" s="306" t="s">
        <v>784</v>
      </c>
      <c r="T28" s="306" t="s">
        <v>785</v>
      </c>
      <c r="U28" s="306" t="s">
        <v>355</v>
      </c>
      <c r="V28" s="306" t="s">
        <v>706</v>
      </c>
      <c r="W28" s="306" t="s">
        <v>722</v>
      </c>
      <c r="X28" s="306">
        <f t="shared" si="0"/>
        <v>10</v>
      </c>
    </row>
    <row r="29" spans="1:24" ht="185.25" customHeight="1" x14ac:dyDescent="0.2">
      <c r="A29" s="306" t="s">
        <v>41</v>
      </c>
      <c r="B29" s="306" t="s">
        <v>786</v>
      </c>
      <c r="C29" s="306">
        <v>0</v>
      </c>
      <c r="D29" s="306">
        <v>1</v>
      </c>
      <c r="E29" s="306">
        <v>0</v>
      </c>
      <c r="F29" s="306">
        <v>0</v>
      </c>
      <c r="G29" s="306">
        <v>0</v>
      </c>
      <c r="H29" s="306">
        <v>0</v>
      </c>
      <c r="I29" s="306">
        <v>0</v>
      </c>
      <c r="J29" s="306">
        <v>1</v>
      </c>
      <c r="K29" s="306"/>
      <c r="L29" s="306" t="s">
        <v>771</v>
      </c>
      <c r="M29" s="306" t="s">
        <v>352</v>
      </c>
      <c r="N29" s="306"/>
      <c r="O29" s="306"/>
      <c r="P29" s="306" t="s">
        <v>787</v>
      </c>
      <c r="Q29" s="306" t="s">
        <v>788</v>
      </c>
      <c r="R29" s="306"/>
      <c r="S29" s="306" t="s">
        <v>789</v>
      </c>
      <c r="T29" s="306" t="s">
        <v>790</v>
      </c>
      <c r="U29" s="306" t="s">
        <v>355</v>
      </c>
      <c r="V29" s="306" t="s">
        <v>706</v>
      </c>
      <c r="W29" s="306" t="s">
        <v>722</v>
      </c>
      <c r="X29" s="306">
        <f t="shared" si="0"/>
        <v>10</v>
      </c>
    </row>
    <row r="30" spans="1:24" ht="185.25" customHeight="1" x14ac:dyDescent="0.2">
      <c r="A30" s="306" t="s">
        <v>42</v>
      </c>
      <c r="B30" s="306" t="s">
        <v>791</v>
      </c>
      <c r="C30" s="306">
        <v>0</v>
      </c>
      <c r="D30" s="306">
        <v>1</v>
      </c>
      <c r="E30" s="306">
        <v>0</v>
      </c>
      <c r="F30" s="306">
        <v>0</v>
      </c>
      <c r="G30" s="306">
        <v>0</v>
      </c>
      <c r="H30" s="306">
        <v>0</v>
      </c>
      <c r="I30" s="306">
        <v>0</v>
      </c>
      <c r="J30" s="306">
        <v>1</v>
      </c>
      <c r="K30" s="306"/>
      <c r="L30" s="306" t="s">
        <v>771</v>
      </c>
      <c r="M30" s="306" t="s">
        <v>352</v>
      </c>
      <c r="N30" s="306"/>
      <c r="O30" s="306"/>
      <c r="P30" s="306" t="s">
        <v>792</v>
      </c>
      <c r="Q30" s="306" t="s">
        <v>793</v>
      </c>
      <c r="R30" s="306"/>
      <c r="S30" s="306" t="s">
        <v>794</v>
      </c>
      <c r="T30" s="306" t="s">
        <v>790</v>
      </c>
      <c r="U30" s="306" t="s">
        <v>355</v>
      </c>
      <c r="V30" s="306" t="s">
        <v>706</v>
      </c>
      <c r="W30" s="306" t="s">
        <v>722</v>
      </c>
      <c r="X30" s="306">
        <f t="shared" si="0"/>
        <v>10</v>
      </c>
    </row>
    <row r="31" spans="1:24" ht="242.25" customHeight="1" x14ac:dyDescent="0.2">
      <c r="A31" s="306" t="s">
        <v>43</v>
      </c>
      <c r="B31" s="306" t="s">
        <v>795</v>
      </c>
      <c r="C31" s="306">
        <v>0</v>
      </c>
      <c r="D31" s="306">
        <v>1</v>
      </c>
      <c r="E31" s="306">
        <v>0</v>
      </c>
      <c r="F31" s="306">
        <v>0</v>
      </c>
      <c r="G31" s="306">
        <v>0</v>
      </c>
      <c r="H31" s="306">
        <v>0</v>
      </c>
      <c r="I31" s="306">
        <v>0</v>
      </c>
      <c r="J31" s="306">
        <v>1</v>
      </c>
      <c r="K31" s="306"/>
      <c r="L31" s="306" t="s">
        <v>771</v>
      </c>
      <c r="M31" s="306" t="s">
        <v>352</v>
      </c>
      <c r="N31" s="306"/>
      <c r="O31" s="306"/>
      <c r="P31" s="306" t="s">
        <v>796</v>
      </c>
      <c r="Q31" s="306" t="s">
        <v>797</v>
      </c>
      <c r="R31" s="306"/>
      <c r="S31" s="306" t="s">
        <v>798</v>
      </c>
      <c r="T31" s="306" t="s">
        <v>799</v>
      </c>
      <c r="U31" s="306" t="s">
        <v>355</v>
      </c>
      <c r="V31" s="306" t="s">
        <v>706</v>
      </c>
      <c r="W31" s="306" t="s">
        <v>722</v>
      </c>
      <c r="X31" s="306">
        <f t="shared" si="0"/>
        <v>10</v>
      </c>
    </row>
    <row r="32" spans="1:24" ht="57" customHeight="1" x14ac:dyDescent="0.2">
      <c r="A32" s="215" t="s">
        <v>172</v>
      </c>
      <c r="B32" s="306" t="s">
        <v>800</v>
      </c>
      <c r="C32" s="306">
        <v>0</v>
      </c>
      <c r="D32" s="306">
        <v>0</v>
      </c>
      <c r="E32" s="306">
        <v>0</v>
      </c>
      <c r="F32" s="306">
        <v>0</v>
      </c>
      <c r="G32" s="306">
        <v>1</v>
      </c>
      <c r="H32" s="306">
        <v>0</v>
      </c>
      <c r="I32" s="306">
        <v>0</v>
      </c>
      <c r="J32" s="306">
        <v>0</v>
      </c>
      <c r="K32" s="306" t="s">
        <v>702</v>
      </c>
      <c r="L32" s="306" t="s">
        <v>703</v>
      </c>
      <c r="M32" s="306" t="s">
        <v>706</v>
      </c>
      <c r="N32" s="306" t="s">
        <v>801</v>
      </c>
      <c r="O32" s="306"/>
      <c r="P32" s="306"/>
      <c r="Q32" s="306"/>
      <c r="R32" s="306"/>
      <c r="S32" s="306"/>
      <c r="T32" s="306"/>
      <c r="U32" s="306" t="s">
        <v>704</v>
      </c>
      <c r="V32" s="306"/>
      <c r="W32" s="306"/>
      <c r="X32" s="306"/>
    </row>
    <row r="33" spans="1:24" ht="57" customHeight="1" x14ac:dyDescent="0.2">
      <c r="A33" s="215" t="s">
        <v>173</v>
      </c>
      <c r="B33" s="306" t="s">
        <v>802</v>
      </c>
      <c r="C33" s="306">
        <v>0</v>
      </c>
      <c r="D33" s="306">
        <v>0</v>
      </c>
      <c r="E33" s="306">
        <v>0</v>
      </c>
      <c r="F33" s="306">
        <v>0</v>
      </c>
      <c r="G33" s="306">
        <v>1</v>
      </c>
      <c r="H33" s="306">
        <v>0</v>
      </c>
      <c r="I33" s="306">
        <v>0</v>
      </c>
      <c r="J33" s="306">
        <v>0</v>
      </c>
      <c r="K33" s="306" t="s">
        <v>702</v>
      </c>
      <c r="L33" s="306" t="s">
        <v>703</v>
      </c>
      <c r="M33" s="306" t="s">
        <v>706</v>
      </c>
      <c r="N33" s="306" t="s">
        <v>801</v>
      </c>
      <c r="O33" s="306"/>
      <c r="P33" s="306"/>
      <c r="Q33" s="306"/>
      <c r="R33" s="306"/>
      <c r="S33" s="306"/>
      <c r="T33" s="306"/>
      <c r="U33" s="306" t="s">
        <v>704</v>
      </c>
      <c r="V33" s="306"/>
      <c r="W33" s="306"/>
      <c r="X33" s="306"/>
    </row>
    <row r="34" spans="1:24" ht="57" customHeight="1" x14ac:dyDescent="0.2">
      <c r="A34" s="215" t="s">
        <v>174</v>
      </c>
      <c r="B34" s="306" t="s">
        <v>803</v>
      </c>
      <c r="C34" s="306">
        <v>0</v>
      </c>
      <c r="D34" s="306">
        <v>0</v>
      </c>
      <c r="E34" s="306">
        <v>0</v>
      </c>
      <c r="F34" s="306">
        <v>0</v>
      </c>
      <c r="G34" s="306">
        <v>1</v>
      </c>
      <c r="H34" s="306">
        <v>0</v>
      </c>
      <c r="I34" s="306">
        <v>0</v>
      </c>
      <c r="J34" s="306">
        <v>0</v>
      </c>
      <c r="K34" s="306" t="s">
        <v>702</v>
      </c>
      <c r="L34" s="306" t="s">
        <v>703</v>
      </c>
      <c r="M34" s="306" t="s">
        <v>706</v>
      </c>
      <c r="N34" s="306" t="s">
        <v>801</v>
      </c>
      <c r="O34" s="306"/>
      <c r="P34" s="306"/>
      <c r="Q34" s="306"/>
      <c r="R34" s="306"/>
      <c r="S34" s="306"/>
      <c r="T34" s="306"/>
      <c r="U34" s="306" t="s">
        <v>704</v>
      </c>
      <c r="V34" s="306"/>
      <c r="W34" s="306"/>
      <c r="X34" s="306"/>
    </row>
    <row r="35" spans="1:24" ht="57" customHeight="1" x14ac:dyDescent="0.2">
      <c r="A35" s="215" t="s">
        <v>175</v>
      </c>
      <c r="B35" s="306" t="s">
        <v>804</v>
      </c>
      <c r="C35" s="306">
        <v>0</v>
      </c>
      <c r="D35" s="306">
        <v>0</v>
      </c>
      <c r="E35" s="306">
        <v>0</v>
      </c>
      <c r="F35" s="306">
        <v>0</v>
      </c>
      <c r="G35" s="306">
        <v>1</v>
      </c>
      <c r="H35" s="306">
        <v>0</v>
      </c>
      <c r="I35" s="306">
        <v>0</v>
      </c>
      <c r="J35" s="306">
        <v>0</v>
      </c>
      <c r="K35" s="306" t="s">
        <v>702</v>
      </c>
      <c r="L35" s="306" t="s">
        <v>703</v>
      </c>
      <c r="M35" s="306" t="s">
        <v>706</v>
      </c>
      <c r="N35" s="306" t="s">
        <v>801</v>
      </c>
      <c r="O35" s="306"/>
      <c r="P35" s="306"/>
      <c r="Q35" s="306"/>
      <c r="R35" s="306"/>
      <c r="S35" s="306"/>
      <c r="T35" s="306"/>
      <c r="U35" s="306" t="s">
        <v>704</v>
      </c>
      <c r="V35" s="306"/>
      <c r="W35" s="306"/>
      <c r="X35" s="306"/>
    </row>
    <row r="36" spans="1:24" ht="57" customHeight="1" x14ac:dyDescent="0.2">
      <c r="A36" s="215" t="s">
        <v>176</v>
      </c>
      <c r="B36" s="306" t="s">
        <v>805</v>
      </c>
      <c r="C36" s="306">
        <v>0</v>
      </c>
      <c r="D36" s="306">
        <v>0</v>
      </c>
      <c r="E36" s="306">
        <v>0</v>
      </c>
      <c r="F36" s="306">
        <v>0</v>
      </c>
      <c r="G36" s="306">
        <v>1</v>
      </c>
      <c r="H36" s="306">
        <v>0</v>
      </c>
      <c r="I36" s="306">
        <v>0</v>
      </c>
      <c r="J36" s="306">
        <v>0</v>
      </c>
      <c r="K36" s="306"/>
      <c r="L36" s="306" t="s">
        <v>703</v>
      </c>
      <c r="M36" s="306" t="s">
        <v>706</v>
      </c>
      <c r="N36" s="306" t="s">
        <v>801</v>
      </c>
      <c r="O36" s="306" t="s">
        <v>806</v>
      </c>
      <c r="P36" s="306" t="s">
        <v>806</v>
      </c>
      <c r="Q36" s="306" t="s">
        <v>806</v>
      </c>
      <c r="R36" s="306"/>
      <c r="S36" s="306"/>
      <c r="T36" s="306"/>
      <c r="U36" s="306" t="s">
        <v>704</v>
      </c>
      <c r="V36" s="306"/>
      <c r="W36" s="306"/>
      <c r="X36" s="306"/>
    </row>
    <row r="37" spans="1:24" ht="285" customHeight="1" x14ac:dyDescent="0.2">
      <c r="A37" s="318" t="s">
        <v>177</v>
      </c>
      <c r="B37" s="317" t="s">
        <v>807</v>
      </c>
      <c r="C37" s="306">
        <v>0</v>
      </c>
      <c r="D37" s="306">
        <v>0</v>
      </c>
      <c r="E37" s="306">
        <v>0</v>
      </c>
      <c r="F37" s="306">
        <v>0</v>
      </c>
      <c r="G37" s="306">
        <v>1</v>
      </c>
      <c r="H37" s="306">
        <v>0</v>
      </c>
      <c r="I37" s="306">
        <v>0</v>
      </c>
      <c r="J37" s="306">
        <v>1</v>
      </c>
      <c r="K37" s="306"/>
      <c r="L37" s="306" t="s">
        <v>808</v>
      </c>
      <c r="M37" s="306" t="s">
        <v>352</v>
      </c>
      <c r="N37" s="306" t="s">
        <v>801</v>
      </c>
      <c r="O37" s="306" t="s">
        <v>809</v>
      </c>
      <c r="P37" s="306" t="s">
        <v>810</v>
      </c>
      <c r="Q37" s="306" t="s">
        <v>811</v>
      </c>
      <c r="R37" s="306"/>
      <c r="S37" s="306" t="s">
        <v>812</v>
      </c>
      <c r="T37" s="306" t="s">
        <v>813</v>
      </c>
      <c r="U37" s="306" t="s">
        <v>355</v>
      </c>
      <c r="V37" s="306" t="s">
        <v>706</v>
      </c>
      <c r="W37" s="306" t="s">
        <v>773</v>
      </c>
      <c r="X37" s="306">
        <f t="shared" ref="X37:X68" si="1">IF($W37="Critical Importance",20,IF($W37="Minor Importance",5,10))</f>
        <v>20</v>
      </c>
    </row>
    <row r="38" spans="1:24" ht="80.25" customHeight="1" x14ac:dyDescent="0.2">
      <c r="A38" s="318" t="s">
        <v>178</v>
      </c>
      <c r="B38" s="317" t="s">
        <v>814</v>
      </c>
      <c r="C38" s="306">
        <v>0</v>
      </c>
      <c r="D38" s="306">
        <v>0</v>
      </c>
      <c r="E38" s="306">
        <v>0</v>
      </c>
      <c r="F38" s="306">
        <v>0</v>
      </c>
      <c r="G38" s="306">
        <v>1</v>
      </c>
      <c r="H38" s="306">
        <v>0</v>
      </c>
      <c r="I38" s="306">
        <v>0</v>
      </c>
      <c r="J38" s="306">
        <v>0</v>
      </c>
      <c r="K38" s="306"/>
      <c r="L38" s="306" t="s">
        <v>808</v>
      </c>
      <c r="M38" s="306"/>
      <c r="N38" s="306" t="s">
        <v>801</v>
      </c>
      <c r="O38" s="306"/>
      <c r="P38" s="306"/>
      <c r="Q38" s="306"/>
      <c r="R38" s="306"/>
      <c r="S38" s="306" t="s">
        <v>815</v>
      </c>
      <c r="T38" s="306"/>
      <c r="U38" s="306" t="s">
        <v>355</v>
      </c>
      <c r="V38" s="306"/>
      <c r="W38" s="306" t="s">
        <v>773</v>
      </c>
      <c r="X38" s="306">
        <f t="shared" si="1"/>
        <v>20</v>
      </c>
    </row>
    <row r="39" spans="1:24" ht="213.75" customHeight="1" x14ac:dyDescent="0.2">
      <c r="A39" s="318" t="s">
        <v>179</v>
      </c>
      <c r="B39" s="317" t="s">
        <v>816</v>
      </c>
      <c r="C39" s="306">
        <v>0</v>
      </c>
      <c r="D39" s="306">
        <v>0</v>
      </c>
      <c r="E39" s="306">
        <v>0</v>
      </c>
      <c r="F39" s="306">
        <v>0</v>
      </c>
      <c r="G39" s="306">
        <v>1</v>
      </c>
      <c r="H39" s="306">
        <v>0</v>
      </c>
      <c r="I39" s="306">
        <v>0</v>
      </c>
      <c r="J39" s="306">
        <v>0</v>
      </c>
      <c r="K39" s="306"/>
      <c r="L39" s="306" t="s">
        <v>808</v>
      </c>
      <c r="M39" s="306"/>
      <c r="N39" s="306" t="s">
        <v>801</v>
      </c>
      <c r="O39" s="306" t="s">
        <v>817</v>
      </c>
      <c r="P39" s="306" t="s">
        <v>817</v>
      </c>
      <c r="Q39" s="306" t="s">
        <v>817</v>
      </c>
      <c r="R39" s="306"/>
      <c r="S39" s="306" t="s">
        <v>815</v>
      </c>
      <c r="T39" s="306"/>
      <c r="U39" s="306" t="s">
        <v>355</v>
      </c>
      <c r="V39" s="306"/>
      <c r="W39" s="306" t="s">
        <v>773</v>
      </c>
      <c r="X39" s="306">
        <f t="shared" si="1"/>
        <v>20</v>
      </c>
    </row>
    <row r="40" spans="1:24" ht="114" customHeight="1" x14ac:dyDescent="0.2">
      <c r="A40" s="318" t="s">
        <v>180</v>
      </c>
      <c r="B40" s="317" t="s">
        <v>818</v>
      </c>
      <c r="C40" s="306">
        <v>0</v>
      </c>
      <c r="D40" s="306">
        <v>0</v>
      </c>
      <c r="E40" s="306">
        <v>0</v>
      </c>
      <c r="F40" s="306">
        <v>0</v>
      </c>
      <c r="G40" s="306">
        <v>1</v>
      </c>
      <c r="H40" s="306">
        <v>0</v>
      </c>
      <c r="I40" s="306">
        <v>0</v>
      </c>
      <c r="J40" s="306">
        <v>0</v>
      </c>
      <c r="K40" s="306"/>
      <c r="L40" s="306" t="s">
        <v>808</v>
      </c>
      <c r="M40" s="306" t="s">
        <v>706</v>
      </c>
      <c r="N40" s="306" t="s">
        <v>801</v>
      </c>
      <c r="O40" s="306" t="s">
        <v>819</v>
      </c>
      <c r="P40" s="306" t="s">
        <v>820</v>
      </c>
      <c r="Q40" s="306" t="s">
        <v>821</v>
      </c>
      <c r="R40" s="306"/>
      <c r="S40" s="306"/>
      <c r="T40" s="306" t="s">
        <v>822</v>
      </c>
      <c r="U40" s="306" t="s">
        <v>355</v>
      </c>
      <c r="V40" s="306" t="s">
        <v>706</v>
      </c>
      <c r="W40" s="306" t="s">
        <v>773</v>
      </c>
      <c r="X40" s="306">
        <f t="shared" si="1"/>
        <v>20</v>
      </c>
    </row>
    <row r="41" spans="1:24" ht="242.25" customHeight="1" x14ac:dyDescent="0.2">
      <c r="A41" s="215" t="s">
        <v>181</v>
      </c>
      <c r="B41" s="306" t="s">
        <v>823</v>
      </c>
      <c r="C41" s="306">
        <v>0</v>
      </c>
      <c r="D41" s="306">
        <v>0</v>
      </c>
      <c r="E41" s="306">
        <v>0</v>
      </c>
      <c r="F41" s="306">
        <v>0</v>
      </c>
      <c r="G41" s="306">
        <v>1</v>
      </c>
      <c r="H41" s="306">
        <v>0</v>
      </c>
      <c r="I41" s="306">
        <v>0</v>
      </c>
      <c r="J41" s="306">
        <v>1</v>
      </c>
      <c r="K41" s="306"/>
      <c r="L41" s="306" t="s">
        <v>808</v>
      </c>
      <c r="M41" s="306" t="s">
        <v>352</v>
      </c>
      <c r="N41" s="306" t="s">
        <v>801</v>
      </c>
      <c r="O41" s="306" t="s">
        <v>824</v>
      </c>
      <c r="P41" s="306" t="s">
        <v>825</v>
      </c>
      <c r="Q41" s="306" t="s">
        <v>826</v>
      </c>
      <c r="R41" s="306"/>
      <c r="S41" s="306" t="s">
        <v>827</v>
      </c>
      <c r="T41" s="306" t="s">
        <v>828</v>
      </c>
      <c r="U41" s="306" t="s">
        <v>355</v>
      </c>
      <c r="V41" s="306" t="s">
        <v>706</v>
      </c>
      <c r="W41" s="306" t="s">
        <v>722</v>
      </c>
      <c r="X41" s="306">
        <f t="shared" si="1"/>
        <v>10</v>
      </c>
    </row>
    <row r="42" spans="1:24" ht="185.25" customHeight="1" x14ac:dyDescent="0.2">
      <c r="A42" s="215" t="s">
        <v>182</v>
      </c>
      <c r="B42" s="306" t="s">
        <v>829</v>
      </c>
      <c r="C42" s="306">
        <v>0</v>
      </c>
      <c r="D42" s="306">
        <v>0</v>
      </c>
      <c r="E42" s="306">
        <v>0</v>
      </c>
      <c r="F42" s="306">
        <v>0</v>
      </c>
      <c r="G42" s="306">
        <v>1</v>
      </c>
      <c r="H42" s="306">
        <v>0</v>
      </c>
      <c r="I42" s="306">
        <v>0</v>
      </c>
      <c r="J42" s="306">
        <v>0</v>
      </c>
      <c r="K42" s="306"/>
      <c r="L42" s="306" t="s">
        <v>808</v>
      </c>
      <c r="M42" s="306" t="s">
        <v>706</v>
      </c>
      <c r="N42" s="306" t="s">
        <v>801</v>
      </c>
      <c r="O42" s="306" t="s">
        <v>830</v>
      </c>
      <c r="P42" s="306" t="s">
        <v>831</v>
      </c>
      <c r="Q42" s="306" t="s">
        <v>832</v>
      </c>
      <c r="R42" s="306"/>
      <c r="S42" s="306" t="s">
        <v>833</v>
      </c>
      <c r="T42" s="306"/>
      <c r="U42" s="306" t="s">
        <v>355</v>
      </c>
      <c r="V42" s="306" t="s">
        <v>706</v>
      </c>
      <c r="W42" s="306" t="s">
        <v>722</v>
      </c>
      <c r="X42" s="306">
        <f t="shared" si="1"/>
        <v>10</v>
      </c>
    </row>
    <row r="43" spans="1:24" ht="342" customHeight="1" x14ac:dyDescent="0.2">
      <c r="A43" s="215" t="s">
        <v>183</v>
      </c>
      <c r="B43" s="306" t="s">
        <v>834</v>
      </c>
      <c r="C43" s="306">
        <v>0</v>
      </c>
      <c r="D43" s="306">
        <v>0</v>
      </c>
      <c r="E43" s="306">
        <v>0</v>
      </c>
      <c r="F43" s="306">
        <v>0</v>
      </c>
      <c r="G43" s="306">
        <v>1</v>
      </c>
      <c r="H43" s="306">
        <v>0</v>
      </c>
      <c r="I43" s="306">
        <v>0</v>
      </c>
      <c r="J43" s="306">
        <v>0</v>
      </c>
      <c r="K43" s="306"/>
      <c r="L43" s="306" t="s">
        <v>808</v>
      </c>
      <c r="M43" s="306" t="s">
        <v>706</v>
      </c>
      <c r="N43" s="306" t="s">
        <v>801</v>
      </c>
      <c r="O43" s="306"/>
      <c r="P43" s="306" t="s">
        <v>835</v>
      </c>
      <c r="Q43" s="306" t="s">
        <v>836</v>
      </c>
      <c r="R43" s="306"/>
      <c r="S43" s="306" t="s">
        <v>837</v>
      </c>
      <c r="T43" s="306"/>
      <c r="U43" s="306" t="s">
        <v>355</v>
      </c>
      <c r="V43" s="306" t="s">
        <v>706</v>
      </c>
      <c r="W43" s="306" t="s">
        <v>722</v>
      </c>
      <c r="X43" s="306">
        <f t="shared" si="1"/>
        <v>10</v>
      </c>
    </row>
    <row r="44" spans="1:24" ht="171" customHeight="1" x14ac:dyDescent="0.2">
      <c r="A44" s="215" t="s">
        <v>184</v>
      </c>
      <c r="B44" s="306" t="s">
        <v>838</v>
      </c>
      <c r="C44" s="306">
        <v>0</v>
      </c>
      <c r="D44" s="306">
        <v>0</v>
      </c>
      <c r="E44" s="306">
        <v>0</v>
      </c>
      <c r="F44" s="306">
        <v>0</v>
      </c>
      <c r="G44" s="306">
        <v>1</v>
      </c>
      <c r="H44" s="306">
        <v>0</v>
      </c>
      <c r="I44" s="306">
        <v>0</v>
      </c>
      <c r="J44" s="306">
        <v>0</v>
      </c>
      <c r="K44" s="306"/>
      <c r="L44" s="306" t="s">
        <v>808</v>
      </c>
      <c r="M44" s="306" t="s">
        <v>706</v>
      </c>
      <c r="N44" s="306" t="s">
        <v>801</v>
      </c>
      <c r="O44" s="306" t="s">
        <v>839</v>
      </c>
      <c r="P44" s="306" t="s">
        <v>840</v>
      </c>
      <c r="Q44" s="306" t="s">
        <v>841</v>
      </c>
      <c r="R44" s="306"/>
      <c r="S44" s="306" t="s">
        <v>842</v>
      </c>
      <c r="T44" s="306"/>
      <c r="U44" s="306" t="s">
        <v>355</v>
      </c>
      <c r="V44" s="306" t="s">
        <v>706</v>
      </c>
      <c r="W44" s="306" t="s">
        <v>722</v>
      </c>
      <c r="X44" s="306">
        <f t="shared" si="1"/>
        <v>10</v>
      </c>
    </row>
    <row r="45" spans="1:24" ht="228" customHeight="1" x14ac:dyDescent="0.2">
      <c r="A45" s="215" t="s">
        <v>185</v>
      </c>
      <c r="B45" s="306" t="s">
        <v>843</v>
      </c>
      <c r="C45" s="306">
        <v>0</v>
      </c>
      <c r="D45" s="306">
        <v>0</v>
      </c>
      <c r="E45" s="306">
        <v>0</v>
      </c>
      <c r="F45" s="306">
        <v>0</v>
      </c>
      <c r="G45" s="306">
        <v>1</v>
      </c>
      <c r="H45" s="306">
        <v>0</v>
      </c>
      <c r="I45" s="306">
        <v>0</v>
      </c>
      <c r="J45" s="306">
        <v>0</v>
      </c>
      <c r="K45" s="306"/>
      <c r="L45" s="306" t="s">
        <v>808</v>
      </c>
      <c r="M45" s="306" t="s">
        <v>706</v>
      </c>
      <c r="N45" s="306" t="s">
        <v>801</v>
      </c>
      <c r="O45" s="306" t="s">
        <v>844</v>
      </c>
      <c r="P45" s="306" t="s">
        <v>845</v>
      </c>
      <c r="Q45" s="306" t="s">
        <v>846</v>
      </c>
      <c r="R45" s="306"/>
      <c r="S45" s="306" t="s">
        <v>847</v>
      </c>
      <c r="T45" s="306" t="s">
        <v>848</v>
      </c>
      <c r="U45" s="306" t="s">
        <v>355</v>
      </c>
      <c r="V45" s="306" t="s">
        <v>706</v>
      </c>
      <c r="W45" s="306" t="s">
        <v>722</v>
      </c>
      <c r="X45" s="306">
        <f t="shared" si="1"/>
        <v>10</v>
      </c>
    </row>
    <row r="46" spans="1:24" ht="270.75" customHeight="1" x14ac:dyDescent="0.2">
      <c r="A46" s="215" t="s">
        <v>186</v>
      </c>
      <c r="B46" s="306" t="s">
        <v>849</v>
      </c>
      <c r="C46" s="306">
        <v>0</v>
      </c>
      <c r="D46" s="306">
        <v>0</v>
      </c>
      <c r="E46" s="306">
        <v>0</v>
      </c>
      <c r="F46" s="306">
        <v>0</v>
      </c>
      <c r="G46" s="306">
        <v>1</v>
      </c>
      <c r="H46" s="306">
        <v>0</v>
      </c>
      <c r="I46" s="306">
        <v>0</v>
      </c>
      <c r="J46" s="306">
        <v>0</v>
      </c>
      <c r="K46" s="306"/>
      <c r="L46" s="306" t="s">
        <v>808</v>
      </c>
      <c r="M46" s="306" t="s">
        <v>706</v>
      </c>
      <c r="N46" s="306" t="s">
        <v>801</v>
      </c>
      <c r="O46" s="306" t="s">
        <v>850</v>
      </c>
      <c r="P46" s="306" t="s">
        <v>851</v>
      </c>
      <c r="Q46" s="306" t="s">
        <v>852</v>
      </c>
      <c r="R46" s="306"/>
      <c r="S46" s="306" t="s">
        <v>853</v>
      </c>
      <c r="T46" s="306"/>
      <c r="U46" s="306" t="s">
        <v>355</v>
      </c>
      <c r="V46" s="306" t="s">
        <v>706</v>
      </c>
      <c r="W46" s="306" t="s">
        <v>722</v>
      </c>
      <c r="X46" s="306">
        <f t="shared" si="1"/>
        <v>10</v>
      </c>
    </row>
    <row r="47" spans="1:24" ht="313.5" customHeight="1" x14ac:dyDescent="0.2">
      <c r="A47" s="215" t="s">
        <v>187</v>
      </c>
      <c r="B47" s="306" t="s">
        <v>854</v>
      </c>
      <c r="C47" s="306">
        <v>0</v>
      </c>
      <c r="D47" s="306">
        <v>0</v>
      </c>
      <c r="E47" s="306">
        <v>0</v>
      </c>
      <c r="F47" s="306">
        <v>0</v>
      </c>
      <c r="G47" s="306">
        <v>1</v>
      </c>
      <c r="H47" s="306">
        <v>0</v>
      </c>
      <c r="I47" s="306">
        <v>0</v>
      </c>
      <c r="J47" s="306">
        <v>0</v>
      </c>
      <c r="K47" s="306"/>
      <c r="L47" s="306" t="s">
        <v>808</v>
      </c>
      <c r="M47" s="306" t="s">
        <v>706</v>
      </c>
      <c r="N47" s="306" t="s">
        <v>801</v>
      </c>
      <c r="O47" s="306" t="s">
        <v>855</v>
      </c>
      <c r="P47" s="306" t="s">
        <v>856</v>
      </c>
      <c r="Q47" s="306" t="s">
        <v>857</v>
      </c>
      <c r="R47" s="306"/>
      <c r="S47" s="306" t="s">
        <v>858</v>
      </c>
      <c r="U47" s="306" t="s">
        <v>355</v>
      </c>
      <c r="V47" s="306" t="s">
        <v>706</v>
      </c>
      <c r="W47" s="306" t="s">
        <v>722</v>
      </c>
      <c r="X47" s="306">
        <f t="shared" si="1"/>
        <v>10</v>
      </c>
    </row>
    <row r="48" spans="1:24" ht="171" customHeight="1" x14ac:dyDescent="0.2">
      <c r="A48" s="215" t="s">
        <v>188</v>
      </c>
      <c r="B48" s="306" t="s">
        <v>859</v>
      </c>
      <c r="C48" s="306">
        <v>0</v>
      </c>
      <c r="D48" s="306">
        <v>0</v>
      </c>
      <c r="E48" s="306">
        <v>0</v>
      </c>
      <c r="F48" s="306">
        <v>0</v>
      </c>
      <c r="G48" s="306">
        <v>1</v>
      </c>
      <c r="H48" s="306">
        <v>0</v>
      </c>
      <c r="I48" s="306">
        <v>0</v>
      </c>
      <c r="J48" s="306">
        <v>0</v>
      </c>
      <c r="K48" s="306"/>
      <c r="L48" s="306" t="s">
        <v>808</v>
      </c>
      <c r="M48" s="306" t="s">
        <v>706</v>
      </c>
      <c r="N48" s="306" t="s">
        <v>801</v>
      </c>
      <c r="O48" s="306"/>
      <c r="P48" s="306" t="s">
        <v>860</v>
      </c>
      <c r="Q48" s="306" t="s">
        <v>861</v>
      </c>
      <c r="R48" s="306"/>
      <c r="S48" s="306" t="s">
        <v>862</v>
      </c>
      <c r="T48" s="306" t="s">
        <v>863</v>
      </c>
      <c r="U48" s="306" t="s">
        <v>355</v>
      </c>
      <c r="V48" s="306" t="s">
        <v>706</v>
      </c>
      <c r="W48" s="306" t="s">
        <v>722</v>
      </c>
      <c r="X48" s="306">
        <f t="shared" si="1"/>
        <v>10</v>
      </c>
    </row>
    <row r="49" spans="1:24" ht="256.5" customHeight="1" x14ac:dyDescent="0.2">
      <c r="A49" s="215" t="s">
        <v>189</v>
      </c>
      <c r="B49" s="306" t="s">
        <v>864</v>
      </c>
      <c r="C49" s="306">
        <v>0</v>
      </c>
      <c r="D49" s="306">
        <v>0</v>
      </c>
      <c r="E49" s="306">
        <v>0</v>
      </c>
      <c r="F49" s="306">
        <v>0</v>
      </c>
      <c r="G49" s="306">
        <v>1</v>
      </c>
      <c r="H49" s="306">
        <v>0</v>
      </c>
      <c r="I49" s="306">
        <v>0</v>
      </c>
      <c r="J49" s="306">
        <v>0</v>
      </c>
      <c r="K49" s="306"/>
      <c r="L49" s="306" t="s">
        <v>808</v>
      </c>
      <c r="M49" s="306" t="s">
        <v>706</v>
      </c>
      <c r="N49" s="306" t="s">
        <v>801</v>
      </c>
      <c r="O49" s="306" t="s">
        <v>865</v>
      </c>
      <c r="P49" s="306" t="s">
        <v>865</v>
      </c>
      <c r="Q49" s="306" t="s">
        <v>866</v>
      </c>
      <c r="R49" s="306"/>
      <c r="S49" s="306" t="s">
        <v>867</v>
      </c>
      <c r="T49" s="306"/>
      <c r="U49" s="306" t="s">
        <v>364</v>
      </c>
      <c r="V49" s="306" t="s">
        <v>706</v>
      </c>
      <c r="W49" s="306" t="s">
        <v>722</v>
      </c>
      <c r="X49" s="306">
        <f t="shared" si="1"/>
        <v>10</v>
      </c>
    </row>
    <row r="50" spans="1:24" ht="213.75" customHeight="1" x14ac:dyDescent="0.2">
      <c r="A50" s="317" t="s">
        <v>44</v>
      </c>
      <c r="B50" s="317" t="s">
        <v>868</v>
      </c>
      <c r="C50" s="306">
        <v>0</v>
      </c>
      <c r="D50" s="306">
        <v>1</v>
      </c>
      <c r="E50" s="306">
        <v>0</v>
      </c>
      <c r="F50" s="306">
        <v>0</v>
      </c>
      <c r="G50" s="306">
        <v>0</v>
      </c>
      <c r="H50" s="306">
        <v>0</v>
      </c>
      <c r="I50" s="306">
        <v>0</v>
      </c>
      <c r="J50" s="306">
        <v>1</v>
      </c>
      <c r="K50" s="306"/>
      <c r="L50" s="306" t="s">
        <v>771</v>
      </c>
      <c r="M50" s="306" t="s">
        <v>706</v>
      </c>
      <c r="N50" s="306"/>
      <c r="O50" s="306"/>
      <c r="P50" s="306" t="s">
        <v>869</v>
      </c>
      <c r="Q50" s="306" t="s">
        <v>870</v>
      </c>
      <c r="R50" s="314" t="s">
        <v>871</v>
      </c>
      <c r="S50" s="306" t="s">
        <v>872</v>
      </c>
      <c r="T50" s="306" t="s">
        <v>873</v>
      </c>
      <c r="U50" s="306" t="s">
        <v>355</v>
      </c>
      <c r="V50" s="306" t="s">
        <v>706</v>
      </c>
      <c r="W50" s="306" t="s">
        <v>773</v>
      </c>
      <c r="X50" s="306">
        <f t="shared" si="1"/>
        <v>20</v>
      </c>
    </row>
    <row r="51" spans="1:24" ht="114" customHeight="1" x14ac:dyDescent="0.2">
      <c r="A51" s="317" t="s">
        <v>45</v>
      </c>
      <c r="B51" s="317" t="s">
        <v>874</v>
      </c>
      <c r="C51" s="306">
        <v>0</v>
      </c>
      <c r="D51" s="306">
        <v>1</v>
      </c>
      <c r="E51" s="306">
        <v>0</v>
      </c>
      <c r="F51" s="306">
        <v>0</v>
      </c>
      <c r="G51" s="306">
        <v>0</v>
      </c>
      <c r="H51" s="306">
        <v>0</v>
      </c>
      <c r="I51" s="306">
        <v>0</v>
      </c>
      <c r="J51" s="306">
        <v>1</v>
      </c>
      <c r="K51" s="306"/>
      <c r="L51" s="306" t="s">
        <v>771</v>
      </c>
      <c r="M51" s="306" t="s">
        <v>706</v>
      </c>
      <c r="N51" s="306"/>
      <c r="O51" s="306" t="s">
        <v>875</v>
      </c>
      <c r="P51" s="306" t="s">
        <v>875</v>
      </c>
      <c r="Q51" s="306" t="s">
        <v>875</v>
      </c>
      <c r="R51" s="314" t="s">
        <v>871</v>
      </c>
      <c r="S51" s="306" t="s">
        <v>876</v>
      </c>
      <c r="T51" s="306" t="s">
        <v>877</v>
      </c>
      <c r="U51" s="306" t="s">
        <v>355</v>
      </c>
      <c r="V51" s="306" t="s">
        <v>706</v>
      </c>
      <c r="W51" s="306" t="s">
        <v>773</v>
      </c>
      <c r="X51" s="306">
        <f t="shared" si="1"/>
        <v>20</v>
      </c>
    </row>
    <row r="52" spans="1:24" ht="85.5" customHeight="1" x14ac:dyDescent="0.2">
      <c r="A52" s="317" t="s">
        <v>46</v>
      </c>
      <c r="B52" s="317" t="s">
        <v>878</v>
      </c>
      <c r="C52" s="306">
        <v>0</v>
      </c>
      <c r="D52" s="306">
        <v>1</v>
      </c>
      <c r="E52" s="306">
        <v>0</v>
      </c>
      <c r="F52" s="306">
        <v>0</v>
      </c>
      <c r="G52" s="306">
        <v>0</v>
      </c>
      <c r="H52" s="306">
        <v>0</v>
      </c>
      <c r="I52" s="306">
        <v>0</v>
      </c>
      <c r="J52" s="306">
        <v>1</v>
      </c>
      <c r="K52" s="306"/>
      <c r="L52" s="306" t="s">
        <v>771</v>
      </c>
      <c r="M52" s="306" t="s">
        <v>706</v>
      </c>
      <c r="N52" s="306"/>
      <c r="O52" s="306"/>
      <c r="P52" s="306"/>
      <c r="Q52" s="306"/>
      <c r="R52" s="314" t="s">
        <v>871</v>
      </c>
      <c r="S52" s="306" t="s">
        <v>879</v>
      </c>
      <c r="T52" s="306" t="s">
        <v>880</v>
      </c>
      <c r="U52" s="306" t="s">
        <v>355</v>
      </c>
      <c r="V52" s="306" t="s">
        <v>706</v>
      </c>
      <c r="W52" s="306" t="s">
        <v>773</v>
      </c>
      <c r="X52" s="306">
        <f t="shared" si="1"/>
        <v>20</v>
      </c>
    </row>
    <row r="53" spans="1:24" ht="384.75" customHeight="1" x14ac:dyDescent="0.2">
      <c r="A53" s="317" t="s">
        <v>47</v>
      </c>
      <c r="B53" s="317" t="s">
        <v>881</v>
      </c>
      <c r="C53" s="306">
        <v>0</v>
      </c>
      <c r="D53" s="306">
        <v>1</v>
      </c>
      <c r="E53" s="306">
        <v>0</v>
      </c>
      <c r="F53" s="306">
        <v>0</v>
      </c>
      <c r="G53" s="306">
        <v>0</v>
      </c>
      <c r="H53" s="306">
        <v>0</v>
      </c>
      <c r="I53" s="306">
        <v>0</v>
      </c>
      <c r="J53" s="306">
        <v>1</v>
      </c>
      <c r="K53" s="306"/>
      <c r="L53" s="306" t="s">
        <v>771</v>
      </c>
      <c r="M53" s="306" t="s">
        <v>706</v>
      </c>
      <c r="N53" s="306"/>
      <c r="O53" s="306" t="s">
        <v>882</v>
      </c>
      <c r="P53" s="306" t="s">
        <v>883</v>
      </c>
      <c r="Q53" s="306" t="s">
        <v>884</v>
      </c>
      <c r="R53" s="314" t="s">
        <v>871</v>
      </c>
      <c r="S53" s="306" t="s">
        <v>885</v>
      </c>
      <c r="T53" s="306" t="s">
        <v>886</v>
      </c>
      <c r="U53" s="306" t="s">
        <v>355</v>
      </c>
      <c r="V53" s="306" t="s">
        <v>706</v>
      </c>
      <c r="W53" s="306" t="s">
        <v>773</v>
      </c>
      <c r="X53" s="306">
        <f t="shared" si="1"/>
        <v>20</v>
      </c>
    </row>
    <row r="54" spans="1:24" ht="213.75" customHeight="1" x14ac:dyDescent="0.2">
      <c r="A54" s="306" t="s">
        <v>48</v>
      </c>
      <c r="B54" s="306" t="s">
        <v>887</v>
      </c>
      <c r="C54" s="306">
        <v>0</v>
      </c>
      <c r="D54" s="306">
        <v>1</v>
      </c>
      <c r="E54" s="306">
        <v>0</v>
      </c>
      <c r="F54" s="306">
        <v>0</v>
      </c>
      <c r="G54" s="306">
        <v>0</v>
      </c>
      <c r="H54" s="306">
        <v>0</v>
      </c>
      <c r="I54" s="306">
        <v>0</v>
      </c>
      <c r="J54" s="306">
        <v>0</v>
      </c>
      <c r="K54" s="306"/>
      <c r="L54" s="306" t="s">
        <v>771</v>
      </c>
      <c r="M54" s="306" t="s">
        <v>706</v>
      </c>
      <c r="N54" s="306"/>
      <c r="O54" s="306" t="s">
        <v>888</v>
      </c>
      <c r="P54" s="306" t="s">
        <v>889</v>
      </c>
      <c r="Q54" s="306" t="s">
        <v>890</v>
      </c>
      <c r="R54" s="306"/>
      <c r="S54" s="306" t="s">
        <v>891</v>
      </c>
      <c r="T54" s="306" t="s">
        <v>892</v>
      </c>
      <c r="U54" s="306" t="s">
        <v>355</v>
      </c>
      <c r="V54" s="306" t="s">
        <v>706</v>
      </c>
      <c r="W54" s="306" t="s">
        <v>722</v>
      </c>
      <c r="X54" s="306">
        <f t="shared" si="1"/>
        <v>10</v>
      </c>
    </row>
    <row r="55" spans="1:24" ht="171" customHeight="1" x14ac:dyDescent="0.2">
      <c r="A55" s="317" t="s">
        <v>190</v>
      </c>
      <c r="B55" s="317" t="s">
        <v>893</v>
      </c>
      <c r="C55" s="306">
        <v>0</v>
      </c>
      <c r="D55" s="306">
        <v>0</v>
      </c>
      <c r="E55" s="306">
        <v>0</v>
      </c>
      <c r="F55" s="306">
        <v>0</v>
      </c>
      <c r="G55" s="306">
        <v>0</v>
      </c>
      <c r="H55" s="306">
        <v>1</v>
      </c>
      <c r="I55" s="306">
        <v>0</v>
      </c>
      <c r="J55" s="306">
        <v>1</v>
      </c>
      <c r="K55" s="306"/>
      <c r="L55" s="306" t="s">
        <v>894</v>
      </c>
      <c r="M55" s="306" t="s">
        <v>706</v>
      </c>
      <c r="N55" s="306" t="s">
        <v>895</v>
      </c>
      <c r="O55" s="306"/>
      <c r="P55" s="306"/>
      <c r="Q55" s="306"/>
      <c r="R55" s="306"/>
      <c r="S55" s="306" t="s">
        <v>896</v>
      </c>
      <c r="T55" s="306" t="s">
        <v>715</v>
      </c>
      <c r="U55" s="306" t="s">
        <v>364</v>
      </c>
      <c r="V55" s="306" t="s">
        <v>706</v>
      </c>
      <c r="W55" s="306" t="s">
        <v>773</v>
      </c>
      <c r="X55" s="306">
        <f t="shared" si="1"/>
        <v>20</v>
      </c>
    </row>
    <row r="56" spans="1:24" ht="171" customHeight="1" x14ac:dyDescent="0.2">
      <c r="A56" s="317" t="s">
        <v>191</v>
      </c>
      <c r="B56" s="317" t="s">
        <v>897</v>
      </c>
      <c r="C56" s="306">
        <v>0</v>
      </c>
      <c r="D56" s="306">
        <v>0</v>
      </c>
      <c r="E56" s="306">
        <v>0</v>
      </c>
      <c r="F56" s="306">
        <v>0</v>
      </c>
      <c r="G56" s="306">
        <v>0</v>
      </c>
      <c r="H56" s="306">
        <v>1</v>
      </c>
      <c r="I56" s="306">
        <v>0</v>
      </c>
      <c r="J56" s="306">
        <v>1</v>
      </c>
      <c r="K56" s="306"/>
      <c r="L56" s="306" t="s">
        <v>894</v>
      </c>
      <c r="M56" s="306" t="s">
        <v>706</v>
      </c>
      <c r="N56" s="306" t="s">
        <v>895</v>
      </c>
      <c r="O56" s="306"/>
      <c r="P56" s="306"/>
      <c r="Q56" s="306"/>
      <c r="R56" s="306"/>
      <c r="S56" s="306" t="s">
        <v>896</v>
      </c>
      <c r="T56" s="306" t="s">
        <v>715</v>
      </c>
      <c r="U56" s="306" t="s">
        <v>355</v>
      </c>
      <c r="V56" s="306" t="s">
        <v>706</v>
      </c>
      <c r="W56" s="306" t="s">
        <v>773</v>
      </c>
      <c r="X56" s="306">
        <f t="shared" si="1"/>
        <v>20</v>
      </c>
    </row>
    <row r="57" spans="1:24" ht="171" customHeight="1" x14ac:dyDescent="0.2">
      <c r="A57" s="317" t="s">
        <v>192</v>
      </c>
      <c r="B57" s="317" t="s">
        <v>898</v>
      </c>
      <c r="C57" s="306">
        <v>0</v>
      </c>
      <c r="D57" s="306">
        <v>0</v>
      </c>
      <c r="E57" s="306">
        <v>0</v>
      </c>
      <c r="F57" s="306">
        <v>0</v>
      </c>
      <c r="G57" s="306">
        <v>0</v>
      </c>
      <c r="H57" s="306">
        <v>1</v>
      </c>
      <c r="I57" s="306">
        <v>0</v>
      </c>
      <c r="J57" s="306">
        <v>1</v>
      </c>
      <c r="K57" s="306"/>
      <c r="L57" s="306" t="s">
        <v>894</v>
      </c>
      <c r="M57" s="306" t="s">
        <v>706</v>
      </c>
      <c r="N57" s="306" t="s">
        <v>895</v>
      </c>
      <c r="O57" s="306"/>
      <c r="P57" s="306"/>
      <c r="Q57" s="306"/>
      <c r="R57" s="306" t="s">
        <v>899</v>
      </c>
      <c r="S57" s="306" t="s">
        <v>896</v>
      </c>
      <c r="T57" s="306" t="s">
        <v>715</v>
      </c>
      <c r="U57" s="306" t="s">
        <v>355</v>
      </c>
      <c r="V57" s="306" t="s">
        <v>706</v>
      </c>
      <c r="W57" s="306" t="s">
        <v>773</v>
      </c>
      <c r="X57" s="306">
        <f t="shared" si="1"/>
        <v>20</v>
      </c>
    </row>
    <row r="58" spans="1:24" ht="171" customHeight="1" x14ac:dyDescent="0.2">
      <c r="A58" s="317" t="s">
        <v>193</v>
      </c>
      <c r="B58" s="317" t="s">
        <v>900</v>
      </c>
      <c r="C58" s="306">
        <v>0</v>
      </c>
      <c r="D58" s="306">
        <v>0</v>
      </c>
      <c r="E58" s="306">
        <v>0</v>
      </c>
      <c r="F58" s="306">
        <v>0</v>
      </c>
      <c r="G58" s="306">
        <v>0</v>
      </c>
      <c r="H58" s="306">
        <v>1</v>
      </c>
      <c r="I58" s="306">
        <v>0</v>
      </c>
      <c r="J58" s="306">
        <v>1</v>
      </c>
      <c r="K58" s="306"/>
      <c r="L58" s="306" t="s">
        <v>894</v>
      </c>
      <c r="M58" s="306" t="s">
        <v>706</v>
      </c>
      <c r="N58" s="306" t="s">
        <v>895</v>
      </c>
      <c r="O58" s="306"/>
      <c r="P58" s="306"/>
      <c r="Q58" s="306"/>
      <c r="R58" s="306" t="s">
        <v>899</v>
      </c>
      <c r="S58" s="306" t="s">
        <v>896</v>
      </c>
      <c r="T58" s="306" t="s">
        <v>715</v>
      </c>
      <c r="U58" s="306" t="s">
        <v>355</v>
      </c>
      <c r="V58" s="306" t="s">
        <v>706</v>
      </c>
      <c r="W58" s="306" t="s">
        <v>773</v>
      </c>
      <c r="X58" s="306">
        <f t="shared" si="1"/>
        <v>20</v>
      </c>
    </row>
    <row r="59" spans="1:24" ht="171" customHeight="1" x14ac:dyDescent="0.2">
      <c r="A59" s="306" t="s">
        <v>194</v>
      </c>
      <c r="B59" s="306" t="s">
        <v>901</v>
      </c>
      <c r="C59" s="306">
        <v>0</v>
      </c>
      <c r="D59" s="306">
        <v>0</v>
      </c>
      <c r="E59" s="306">
        <v>0</v>
      </c>
      <c r="F59" s="306">
        <v>0</v>
      </c>
      <c r="G59" s="306">
        <v>0</v>
      </c>
      <c r="H59" s="306">
        <v>1</v>
      </c>
      <c r="I59" s="306">
        <v>0</v>
      </c>
      <c r="J59" s="306">
        <v>1</v>
      </c>
      <c r="K59" s="306"/>
      <c r="L59" s="306" t="s">
        <v>894</v>
      </c>
      <c r="M59" s="306" t="s">
        <v>706</v>
      </c>
      <c r="N59" s="306" t="s">
        <v>895</v>
      </c>
      <c r="O59" s="306"/>
      <c r="P59" s="306"/>
      <c r="Q59" s="306"/>
      <c r="R59" s="306"/>
      <c r="S59" s="306" t="s">
        <v>896</v>
      </c>
      <c r="T59" s="306" t="s">
        <v>715</v>
      </c>
      <c r="U59" s="306" t="s">
        <v>364</v>
      </c>
      <c r="V59" s="306" t="s">
        <v>706</v>
      </c>
      <c r="W59" s="306" t="s">
        <v>722</v>
      </c>
      <c r="X59" s="306">
        <f t="shared" si="1"/>
        <v>10</v>
      </c>
    </row>
    <row r="60" spans="1:24" ht="171" customHeight="1" x14ac:dyDescent="0.2">
      <c r="A60" s="306" t="s">
        <v>195</v>
      </c>
      <c r="B60" s="306" t="s">
        <v>902</v>
      </c>
      <c r="C60" s="306">
        <v>0</v>
      </c>
      <c r="D60" s="306">
        <v>0</v>
      </c>
      <c r="E60" s="306">
        <v>0</v>
      </c>
      <c r="F60" s="306">
        <v>0</v>
      </c>
      <c r="G60" s="306">
        <v>0</v>
      </c>
      <c r="H60" s="306">
        <v>1</v>
      </c>
      <c r="I60" s="306">
        <v>0</v>
      </c>
      <c r="J60" s="306">
        <v>1</v>
      </c>
      <c r="K60" s="306"/>
      <c r="L60" s="306" t="s">
        <v>894</v>
      </c>
      <c r="M60" s="306" t="s">
        <v>706</v>
      </c>
      <c r="N60" s="306" t="s">
        <v>895</v>
      </c>
      <c r="O60" s="306"/>
      <c r="P60" s="306"/>
      <c r="Q60" s="306"/>
      <c r="R60" s="306"/>
      <c r="S60" s="306" t="s">
        <v>896</v>
      </c>
      <c r="T60" s="306" t="s">
        <v>715</v>
      </c>
      <c r="U60" s="306" t="s">
        <v>364</v>
      </c>
      <c r="V60" s="306" t="s">
        <v>706</v>
      </c>
      <c r="W60" s="306" t="s">
        <v>722</v>
      </c>
      <c r="X60" s="306">
        <f t="shared" si="1"/>
        <v>10</v>
      </c>
    </row>
    <row r="61" spans="1:24" ht="171" customHeight="1" x14ac:dyDescent="0.2">
      <c r="A61" s="306" t="s">
        <v>196</v>
      </c>
      <c r="B61" s="306" t="s">
        <v>903</v>
      </c>
      <c r="C61" s="306">
        <v>0</v>
      </c>
      <c r="D61" s="306">
        <v>0</v>
      </c>
      <c r="E61" s="306">
        <v>0</v>
      </c>
      <c r="F61" s="306">
        <v>0</v>
      </c>
      <c r="G61" s="306">
        <v>0</v>
      </c>
      <c r="H61" s="306">
        <v>1</v>
      </c>
      <c r="I61" s="306">
        <v>0</v>
      </c>
      <c r="J61" s="306">
        <v>1</v>
      </c>
      <c r="K61" s="306"/>
      <c r="L61" s="306" t="s">
        <v>894</v>
      </c>
      <c r="M61" s="306" t="s">
        <v>706</v>
      </c>
      <c r="N61" s="306" t="s">
        <v>895</v>
      </c>
      <c r="O61" s="306"/>
      <c r="P61" s="306"/>
      <c r="Q61" s="306"/>
      <c r="R61" s="306"/>
      <c r="S61" s="306" t="s">
        <v>896</v>
      </c>
      <c r="T61" s="306" t="s">
        <v>715</v>
      </c>
      <c r="U61" s="306" t="s">
        <v>364</v>
      </c>
      <c r="V61" s="306" t="s">
        <v>706</v>
      </c>
      <c r="W61" s="306" t="s">
        <v>722</v>
      </c>
      <c r="X61" s="306">
        <f t="shared" si="1"/>
        <v>10</v>
      </c>
    </row>
    <row r="62" spans="1:24" ht="171" customHeight="1" x14ac:dyDescent="0.2">
      <c r="A62" s="306" t="s">
        <v>197</v>
      </c>
      <c r="B62" s="306" t="s">
        <v>904</v>
      </c>
      <c r="C62" s="306">
        <v>0</v>
      </c>
      <c r="D62" s="306">
        <v>0</v>
      </c>
      <c r="E62" s="306">
        <v>0</v>
      </c>
      <c r="F62" s="306">
        <v>0</v>
      </c>
      <c r="G62" s="306">
        <v>0</v>
      </c>
      <c r="H62" s="306">
        <v>1</v>
      </c>
      <c r="I62" s="306">
        <v>0</v>
      </c>
      <c r="J62" s="306">
        <v>1</v>
      </c>
      <c r="K62" s="306"/>
      <c r="L62" s="306" t="s">
        <v>894</v>
      </c>
      <c r="M62" s="306" t="s">
        <v>706</v>
      </c>
      <c r="N62" s="306" t="s">
        <v>895</v>
      </c>
      <c r="O62" s="306"/>
      <c r="P62" s="306"/>
      <c r="Q62" s="306"/>
      <c r="R62" s="306"/>
      <c r="S62" s="306" t="s">
        <v>896</v>
      </c>
      <c r="T62" s="306" t="s">
        <v>715</v>
      </c>
      <c r="U62" s="306" t="s">
        <v>364</v>
      </c>
      <c r="V62" s="306" t="s">
        <v>706</v>
      </c>
      <c r="W62" s="306" t="s">
        <v>722</v>
      </c>
      <c r="X62" s="306">
        <f t="shared" si="1"/>
        <v>10</v>
      </c>
    </row>
    <row r="63" spans="1:24" ht="171" customHeight="1" x14ac:dyDescent="0.2">
      <c r="A63" s="306" t="s">
        <v>198</v>
      </c>
      <c r="B63" s="306" t="s">
        <v>905</v>
      </c>
      <c r="C63" s="306">
        <v>0</v>
      </c>
      <c r="D63" s="306">
        <v>0</v>
      </c>
      <c r="E63" s="306">
        <v>0</v>
      </c>
      <c r="F63" s="306">
        <v>0</v>
      </c>
      <c r="G63" s="306">
        <v>0</v>
      </c>
      <c r="H63" s="306">
        <v>1</v>
      </c>
      <c r="I63" s="306">
        <v>0</v>
      </c>
      <c r="J63" s="306">
        <v>1</v>
      </c>
      <c r="K63" s="306"/>
      <c r="L63" s="306" t="s">
        <v>894</v>
      </c>
      <c r="M63" s="306" t="s">
        <v>706</v>
      </c>
      <c r="N63" s="306" t="s">
        <v>895</v>
      </c>
      <c r="O63" s="306"/>
      <c r="P63" s="306"/>
      <c r="Q63" s="306"/>
      <c r="R63" s="306"/>
      <c r="S63" s="306" t="s">
        <v>896</v>
      </c>
      <c r="T63" s="306" t="s">
        <v>715</v>
      </c>
      <c r="U63" s="306" t="s">
        <v>364</v>
      </c>
      <c r="V63" s="306" t="s">
        <v>706</v>
      </c>
      <c r="W63" s="306" t="s">
        <v>722</v>
      </c>
      <c r="X63" s="306">
        <f t="shared" si="1"/>
        <v>10</v>
      </c>
    </row>
    <row r="64" spans="1:24" ht="228" customHeight="1" x14ac:dyDescent="0.2">
      <c r="A64" s="317" t="s">
        <v>121</v>
      </c>
      <c r="B64" s="317" t="s">
        <v>906</v>
      </c>
      <c r="C64" s="306">
        <v>0</v>
      </c>
      <c r="D64" s="306">
        <v>0</v>
      </c>
      <c r="E64" s="306">
        <v>0</v>
      </c>
      <c r="F64" s="306">
        <v>1</v>
      </c>
      <c r="G64" s="306">
        <v>0</v>
      </c>
      <c r="H64" s="306">
        <v>0</v>
      </c>
      <c r="I64" s="306">
        <v>0</v>
      </c>
      <c r="J64" s="306">
        <v>1</v>
      </c>
      <c r="K64" s="306"/>
      <c r="L64" s="306" t="s">
        <v>907</v>
      </c>
      <c r="M64" s="306" t="s">
        <v>706</v>
      </c>
      <c r="N64" s="306" t="s">
        <v>908</v>
      </c>
      <c r="O64" s="306" t="s">
        <v>909</v>
      </c>
      <c r="P64" s="306" t="s">
        <v>910</v>
      </c>
      <c r="Q64" s="306" t="s">
        <v>911</v>
      </c>
      <c r="R64" s="306"/>
      <c r="S64" s="306" t="s">
        <v>912</v>
      </c>
      <c r="T64" s="306" t="s">
        <v>913</v>
      </c>
      <c r="U64" s="306" t="s">
        <v>355</v>
      </c>
      <c r="V64" s="306" t="s">
        <v>706</v>
      </c>
      <c r="W64" s="306" t="s">
        <v>773</v>
      </c>
      <c r="X64" s="306">
        <f t="shared" si="1"/>
        <v>20</v>
      </c>
    </row>
    <row r="65" spans="1:24" ht="242.25" customHeight="1" x14ac:dyDescent="0.2">
      <c r="A65" s="317" t="s">
        <v>122</v>
      </c>
      <c r="B65" s="317" t="s">
        <v>914</v>
      </c>
      <c r="C65" s="306">
        <v>0</v>
      </c>
      <c r="D65" s="306">
        <v>0</v>
      </c>
      <c r="E65" s="306">
        <v>0</v>
      </c>
      <c r="F65" s="306">
        <v>1</v>
      </c>
      <c r="G65" s="306">
        <v>0</v>
      </c>
      <c r="H65" s="306">
        <v>0</v>
      </c>
      <c r="I65" s="306">
        <v>0</v>
      </c>
      <c r="J65" s="306">
        <v>0</v>
      </c>
      <c r="K65" s="306"/>
      <c r="L65" s="306" t="s">
        <v>907</v>
      </c>
      <c r="M65" s="306" t="s">
        <v>706</v>
      </c>
      <c r="N65" s="306" t="s">
        <v>908</v>
      </c>
      <c r="O65" s="306"/>
      <c r="P65" s="306" t="s">
        <v>915</v>
      </c>
      <c r="Q65" s="306" t="s">
        <v>916</v>
      </c>
      <c r="R65" s="306"/>
      <c r="S65" s="306" t="s">
        <v>917</v>
      </c>
      <c r="T65" s="306" t="s">
        <v>918</v>
      </c>
      <c r="U65" s="306" t="s">
        <v>355</v>
      </c>
      <c r="V65" s="306" t="s">
        <v>706</v>
      </c>
      <c r="W65" s="306" t="s">
        <v>773</v>
      </c>
      <c r="X65" s="306">
        <f t="shared" si="1"/>
        <v>20</v>
      </c>
    </row>
    <row r="66" spans="1:24" ht="213.75" customHeight="1" x14ac:dyDescent="0.2">
      <c r="A66" s="317" t="s">
        <v>123</v>
      </c>
      <c r="B66" s="317" t="s">
        <v>919</v>
      </c>
      <c r="C66" s="306">
        <v>0</v>
      </c>
      <c r="D66" s="306">
        <v>0</v>
      </c>
      <c r="E66" s="306">
        <v>0</v>
      </c>
      <c r="F66" s="306">
        <v>1</v>
      </c>
      <c r="G66" s="306">
        <v>0</v>
      </c>
      <c r="H66" s="306">
        <v>0</v>
      </c>
      <c r="I66" s="306">
        <v>0</v>
      </c>
      <c r="J66" s="306">
        <v>0</v>
      </c>
      <c r="K66" s="306"/>
      <c r="L66" s="306" t="s">
        <v>907</v>
      </c>
      <c r="M66" s="306" t="s">
        <v>706</v>
      </c>
      <c r="N66" s="306" t="s">
        <v>908</v>
      </c>
      <c r="O66" s="306" t="s">
        <v>920</v>
      </c>
      <c r="P66" s="306" t="s">
        <v>921</v>
      </c>
      <c r="Q66" s="306" t="s">
        <v>922</v>
      </c>
      <c r="R66" s="306"/>
      <c r="S66" s="306" t="s">
        <v>923</v>
      </c>
      <c r="T66" s="306" t="s">
        <v>924</v>
      </c>
      <c r="U66" s="306" t="s">
        <v>355</v>
      </c>
      <c r="V66" s="306" t="s">
        <v>706</v>
      </c>
      <c r="W66" s="306" t="s">
        <v>773</v>
      </c>
      <c r="X66" s="306">
        <f t="shared" si="1"/>
        <v>20</v>
      </c>
    </row>
    <row r="67" spans="1:24" ht="85.5" customHeight="1" x14ac:dyDescent="0.2">
      <c r="A67" s="317" t="s">
        <v>124</v>
      </c>
      <c r="B67" s="317" t="s">
        <v>925</v>
      </c>
      <c r="C67" s="306">
        <v>0</v>
      </c>
      <c r="D67" s="306">
        <v>0</v>
      </c>
      <c r="E67" s="306">
        <v>0</v>
      </c>
      <c r="F67" s="306">
        <v>1</v>
      </c>
      <c r="G67" s="306">
        <v>0</v>
      </c>
      <c r="H67" s="306">
        <v>0</v>
      </c>
      <c r="I67" s="306">
        <v>0</v>
      </c>
      <c r="J67" s="306">
        <v>1</v>
      </c>
      <c r="K67" s="306"/>
      <c r="L67" s="306" t="s">
        <v>907</v>
      </c>
      <c r="M67" s="306" t="s">
        <v>706</v>
      </c>
      <c r="N67" s="306" t="s">
        <v>908</v>
      </c>
      <c r="O67" s="306"/>
      <c r="P67" s="306" t="s">
        <v>926</v>
      </c>
      <c r="Q67" s="306" t="s">
        <v>927</v>
      </c>
      <c r="R67" s="306"/>
      <c r="S67" s="306" t="s">
        <v>928</v>
      </c>
      <c r="T67" s="306" t="s">
        <v>929</v>
      </c>
      <c r="U67" s="306" t="s">
        <v>364</v>
      </c>
      <c r="V67" s="306" t="s">
        <v>706</v>
      </c>
      <c r="W67" s="306" t="s">
        <v>773</v>
      </c>
      <c r="X67" s="306">
        <f t="shared" si="1"/>
        <v>20</v>
      </c>
    </row>
    <row r="68" spans="1:24" ht="256.5" customHeight="1" x14ac:dyDescent="0.2">
      <c r="A68" s="317" t="s">
        <v>125</v>
      </c>
      <c r="B68" s="317" t="s">
        <v>930</v>
      </c>
      <c r="C68" s="306">
        <v>0</v>
      </c>
      <c r="D68" s="306">
        <v>0</v>
      </c>
      <c r="E68" s="306">
        <v>0</v>
      </c>
      <c r="F68" s="306">
        <v>1</v>
      </c>
      <c r="G68" s="306">
        <v>0</v>
      </c>
      <c r="H68" s="306">
        <v>0</v>
      </c>
      <c r="I68" s="306">
        <v>0</v>
      </c>
      <c r="J68" s="306">
        <v>0</v>
      </c>
      <c r="K68" s="306"/>
      <c r="L68" s="306" t="s">
        <v>907</v>
      </c>
      <c r="M68" s="306" t="s">
        <v>706</v>
      </c>
      <c r="N68" s="306" t="s">
        <v>908</v>
      </c>
      <c r="O68" s="306"/>
      <c r="P68" s="306" t="s">
        <v>931</v>
      </c>
      <c r="Q68" s="306" t="s">
        <v>932</v>
      </c>
      <c r="R68" s="306"/>
      <c r="S68" s="306" t="s">
        <v>933</v>
      </c>
      <c r="T68" s="306" t="s">
        <v>934</v>
      </c>
      <c r="U68" s="306" t="s">
        <v>355</v>
      </c>
      <c r="V68" s="306" t="s">
        <v>706</v>
      </c>
      <c r="W68" s="306" t="s">
        <v>773</v>
      </c>
      <c r="X68" s="306">
        <f t="shared" si="1"/>
        <v>20</v>
      </c>
    </row>
    <row r="69" spans="1:24" ht="242.25" customHeight="1" x14ac:dyDescent="0.2">
      <c r="A69" s="317" t="s">
        <v>126</v>
      </c>
      <c r="B69" s="317" t="s">
        <v>935</v>
      </c>
      <c r="C69" s="306">
        <v>0</v>
      </c>
      <c r="D69" s="306">
        <v>0</v>
      </c>
      <c r="E69" s="306">
        <v>0</v>
      </c>
      <c r="F69" s="306">
        <v>1</v>
      </c>
      <c r="G69" s="306">
        <v>0</v>
      </c>
      <c r="H69" s="306">
        <v>0</v>
      </c>
      <c r="I69" s="306">
        <v>0</v>
      </c>
      <c r="J69" s="306">
        <v>0</v>
      </c>
      <c r="K69" s="306"/>
      <c r="L69" s="306" t="s">
        <v>907</v>
      </c>
      <c r="M69" s="306" t="s">
        <v>706</v>
      </c>
      <c r="N69" s="306" t="s">
        <v>908</v>
      </c>
      <c r="O69" s="306"/>
      <c r="P69" s="306" t="s">
        <v>936</v>
      </c>
      <c r="Q69" s="306" t="s">
        <v>937</v>
      </c>
      <c r="R69" s="306"/>
      <c r="S69" s="306" t="s">
        <v>938</v>
      </c>
      <c r="T69" s="306" t="s">
        <v>939</v>
      </c>
      <c r="U69" s="306" t="s">
        <v>355</v>
      </c>
      <c r="V69" s="306" t="s">
        <v>706</v>
      </c>
      <c r="W69" s="306" t="s">
        <v>773</v>
      </c>
      <c r="X69" s="306">
        <f t="shared" ref="X69:X86" si="2">IF($W69="Critical Importance",20,IF($W69="Minor Importance",5,10))</f>
        <v>20</v>
      </c>
    </row>
    <row r="70" spans="1:24" ht="142.5" customHeight="1" x14ac:dyDescent="0.2">
      <c r="A70" s="317" t="s">
        <v>127</v>
      </c>
      <c r="B70" s="317" t="s">
        <v>940</v>
      </c>
      <c r="C70" s="306">
        <v>0</v>
      </c>
      <c r="D70" s="306">
        <v>0</v>
      </c>
      <c r="E70" s="306">
        <v>0</v>
      </c>
      <c r="F70" s="306">
        <v>1</v>
      </c>
      <c r="G70" s="306">
        <v>0</v>
      </c>
      <c r="H70" s="306">
        <v>0</v>
      </c>
      <c r="I70" s="306">
        <v>0</v>
      </c>
      <c r="J70" s="306">
        <v>0</v>
      </c>
      <c r="K70" s="306"/>
      <c r="L70" s="306" t="s">
        <v>907</v>
      </c>
      <c r="M70" s="306" t="s">
        <v>706</v>
      </c>
      <c r="N70" s="306" t="s">
        <v>908</v>
      </c>
      <c r="O70" s="306"/>
      <c r="P70" s="306" t="s">
        <v>941</v>
      </c>
      <c r="Q70" s="306" t="s">
        <v>942</v>
      </c>
      <c r="R70" s="306"/>
      <c r="S70" s="306" t="s">
        <v>943</v>
      </c>
      <c r="T70" s="306" t="s">
        <v>944</v>
      </c>
      <c r="U70" s="306" t="s">
        <v>355</v>
      </c>
      <c r="V70" s="306" t="s">
        <v>706</v>
      </c>
      <c r="W70" s="306" t="s">
        <v>773</v>
      </c>
      <c r="X70" s="306">
        <f t="shared" si="2"/>
        <v>20</v>
      </c>
    </row>
    <row r="71" spans="1:24" ht="213.75" customHeight="1" x14ac:dyDescent="0.2">
      <c r="A71" s="306" t="s">
        <v>128</v>
      </c>
      <c r="B71" s="306" t="s">
        <v>945</v>
      </c>
      <c r="C71" s="306">
        <v>0</v>
      </c>
      <c r="D71" s="306">
        <v>0</v>
      </c>
      <c r="E71" s="306">
        <v>0</v>
      </c>
      <c r="F71" s="306">
        <v>1</v>
      </c>
      <c r="G71" s="306">
        <v>0</v>
      </c>
      <c r="H71" s="306">
        <v>0</v>
      </c>
      <c r="I71" s="306">
        <v>0</v>
      </c>
      <c r="J71" s="306">
        <v>1</v>
      </c>
      <c r="K71" s="306"/>
      <c r="L71" s="306" t="s">
        <v>907</v>
      </c>
      <c r="M71" s="306" t="s">
        <v>706</v>
      </c>
      <c r="N71" s="306" t="s">
        <v>908</v>
      </c>
      <c r="O71" s="306" t="s">
        <v>946</v>
      </c>
      <c r="P71" s="306" t="s">
        <v>947</v>
      </c>
      <c r="Q71" s="306" t="s">
        <v>946</v>
      </c>
      <c r="R71" s="306"/>
      <c r="S71" s="306" t="s">
        <v>948</v>
      </c>
      <c r="T71" s="306" t="s">
        <v>949</v>
      </c>
      <c r="U71" s="306" t="s">
        <v>355</v>
      </c>
      <c r="V71" s="306" t="s">
        <v>706</v>
      </c>
      <c r="W71" s="306" t="s">
        <v>722</v>
      </c>
      <c r="X71" s="306">
        <f t="shared" si="2"/>
        <v>10</v>
      </c>
    </row>
    <row r="72" spans="1:24" ht="228" customHeight="1" x14ac:dyDescent="0.2">
      <c r="A72" s="306" t="s">
        <v>129</v>
      </c>
      <c r="B72" s="306" t="s">
        <v>950</v>
      </c>
      <c r="C72" s="306">
        <v>0</v>
      </c>
      <c r="D72" s="306">
        <v>0</v>
      </c>
      <c r="E72" s="306">
        <v>0</v>
      </c>
      <c r="F72" s="306">
        <v>1</v>
      </c>
      <c r="G72" s="306">
        <v>0</v>
      </c>
      <c r="H72" s="306">
        <v>0</v>
      </c>
      <c r="I72" s="306">
        <v>0</v>
      </c>
      <c r="J72" s="306">
        <v>0</v>
      </c>
      <c r="K72" s="306"/>
      <c r="L72" s="306" t="s">
        <v>907</v>
      </c>
      <c r="M72" s="306" t="s">
        <v>706</v>
      </c>
      <c r="N72" s="306" t="s">
        <v>908</v>
      </c>
      <c r="O72" s="306"/>
      <c r="P72" s="306" t="s">
        <v>951</v>
      </c>
      <c r="Q72" s="306" t="s">
        <v>952</v>
      </c>
      <c r="R72" s="306"/>
      <c r="S72" s="306" t="s">
        <v>953</v>
      </c>
      <c r="T72" s="306" t="s">
        <v>954</v>
      </c>
      <c r="U72" s="306" t="s">
        <v>355</v>
      </c>
      <c r="V72" s="306" t="s">
        <v>706</v>
      </c>
      <c r="W72" s="306" t="s">
        <v>722</v>
      </c>
      <c r="X72" s="306">
        <f t="shared" si="2"/>
        <v>10</v>
      </c>
    </row>
    <row r="73" spans="1:24" ht="256.5" customHeight="1" x14ac:dyDescent="0.2">
      <c r="A73" s="306" t="s">
        <v>130</v>
      </c>
      <c r="B73" s="306" t="s">
        <v>955</v>
      </c>
      <c r="C73" s="306">
        <v>0</v>
      </c>
      <c r="D73" s="306">
        <v>0</v>
      </c>
      <c r="E73" s="306">
        <v>0</v>
      </c>
      <c r="F73" s="306">
        <v>1</v>
      </c>
      <c r="G73" s="306">
        <v>0</v>
      </c>
      <c r="H73" s="306">
        <v>0</v>
      </c>
      <c r="I73" s="306">
        <v>0</v>
      </c>
      <c r="J73" s="306">
        <v>0</v>
      </c>
      <c r="K73" s="306"/>
      <c r="L73" s="306" t="s">
        <v>907</v>
      </c>
      <c r="M73" s="306" t="s">
        <v>706</v>
      </c>
      <c r="N73" s="306" t="s">
        <v>908</v>
      </c>
      <c r="O73" s="306" t="s">
        <v>956</v>
      </c>
      <c r="P73" s="306" t="s">
        <v>796</v>
      </c>
      <c r="Q73" s="306" t="s">
        <v>957</v>
      </c>
      <c r="R73" s="306"/>
      <c r="S73" s="306" t="s">
        <v>958</v>
      </c>
      <c r="T73" s="306" t="s">
        <v>959</v>
      </c>
      <c r="U73" s="306" t="s">
        <v>355</v>
      </c>
      <c r="V73" s="306" t="s">
        <v>706</v>
      </c>
      <c r="W73" s="306" t="s">
        <v>722</v>
      </c>
      <c r="X73" s="306">
        <f t="shared" si="2"/>
        <v>10</v>
      </c>
    </row>
    <row r="74" spans="1:24" ht="185.25" customHeight="1" x14ac:dyDescent="0.2">
      <c r="A74" s="306" t="s">
        <v>131</v>
      </c>
      <c r="B74" s="306" t="s">
        <v>960</v>
      </c>
      <c r="C74" s="306">
        <v>0</v>
      </c>
      <c r="D74" s="306">
        <v>0</v>
      </c>
      <c r="E74" s="306">
        <v>0</v>
      </c>
      <c r="F74" s="306">
        <v>1</v>
      </c>
      <c r="G74" s="306">
        <v>0</v>
      </c>
      <c r="H74" s="306">
        <v>0</v>
      </c>
      <c r="I74" s="306">
        <v>0</v>
      </c>
      <c r="J74" s="306">
        <v>0</v>
      </c>
      <c r="K74" s="306"/>
      <c r="L74" s="306" t="s">
        <v>907</v>
      </c>
      <c r="M74" s="306" t="s">
        <v>706</v>
      </c>
      <c r="N74" s="306" t="s">
        <v>908</v>
      </c>
      <c r="O74" s="306"/>
      <c r="P74" s="306" t="s">
        <v>961</v>
      </c>
      <c r="Q74" s="306" t="s">
        <v>962</v>
      </c>
      <c r="R74" s="306"/>
      <c r="S74" s="306" t="s">
        <v>963</v>
      </c>
      <c r="T74" s="306" t="s">
        <v>964</v>
      </c>
      <c r="U74" s="306" t="s">
        <v>355</v>
      </c>
      <c r="V74" s="306" t="s">
        <v>706</v>
      </c>
      <c r="W74" s="306" t="s">
        <v>722</v>
      </c>
      <c r="X74" s="306">
        <f t="shared" si="2"/>
        <v>10</v>
      </c>
    </row>
    <row r="75" spans="1:24" ht="185.25" customHeight="1" x14ac:dyDescent="0.2">
      <c r="A75" s="306" t="s">
        <v>132</v>
      </c>
      <c r="B75" s="306" t="s">
        <v>965</v>
      </c>
      <c r="C75" s="306">
        <v>0</v>
      </c>
      <c r="D75" s="306">
        <v>0</v>
      </c>
      <c r="E75" s="306">
        <v>0</v>
      </c>
      <c r="F75" s="306">
        <v>1</v>
      </c>
      <c r="G75" s="306">
        <v>0</v>
      </c>
      <c r="H75" s="306">
        <v>0</v>
      </c>
      <c r="I75" s="306">
        <v>0</v>
      </c>
      <c r="J75" s="306">
        <v>0</v>
      </c>
      <c r="K75" s="306"/>
      <c r="L75" s="306" t="s">
        <v>907</v>
      </c>
      <c r="M75" s="306" t="s">
        <v>706</v>
      </c>
      <c r="N75" s="306" t="s">
        <v>908</v>
      </c>
      <c r="O75" s="306"/>
      <c r="P75" s="306" t="s">
        <v>966</v>
      </c>
      <c r="Q75" s="306" t="s">
        <v>967</v>
      </c>
      <c r="R75" s="306"/>
      <c r="S75" s="306" t="s">
        <v>963</v>
      </c>
      <c r="T75" s="306" t="s">
        <v>964</v>
      </c>
      <c r="U75" s="306" t="s">
        <v>355</v>
      </c>
      <c r="V75" s="306" t="s">
        <v>706</v>
      </c>
      <c r="W75" s="306" t="s">
        <v>722</v>
      </c>
      <c r="X75" s="306">
        <f t="shared" si="2"/>
        <v>10</v>
      </c>
    </row>
    <row r="76" spans="1:24" ht="128.25" customHeight="1" x14ac:dyDescent="0.2">
      <c r="A76" s="306" t="s">
        <v>133</v>
      </c>
      <c r="B76" s="306" t="s">
        <v>968</v>
      </c>
      <c r="C76" s="306">
        <v>0</v>
      </c>
      <c r="D76" s="306">
        <v>0</v>
      </c>
      <c r="E76" s="306">
        <v>0</v>
      </c>
      <c r="F76" s="306">
        <v>1</v>
      </c>
      <c r="G76" s="306">
        <v>0</v>
      </c>
      <c r="H76" s="306">
        <v>0</v>
      </c>
      <c r="I76" s="306">
        <v>0</v>
      </c>
      <c r="J76" s="306">
        <v>0</v>
      </c>
      <c r="K76" s="306"/>
      <c r="L76" s="306" t="s">
        <v>907</v>
      </c>
      <c r="M76" s="306" t="s">
        <v>706</v>
      </c>
      <c r="N76" s="306" t="s">
        <v>908</v>
      </c>
      <c r="O76" s="306" t="s">
        <v>969</v>
      </c>
      <c r="P76" s="306" t="s">
        <v>970</v>
      </c>
      <c r="Q76" s="306" t="s">
        <v>971</v>
      </c>
      <c r="R76" s="306" t="s">
        <v>899</v>
      </c>
      <c r="S76" s="306" t="s">
        <v>972</v>
      </c>
      <c r="T76" s="306" t="s">
        <v>973</v>
      </c>
      <c r="U76" s="306" t="s">
        <v>355</v>
      </c>
      <c r="V76" s="306" t="s">
        <v>706</v>
      </c>
      <c r="W76" s="306" t="s">
        <v>731</v>
      </c>
      <c r="X76" s="306">
        <f t="shared" si="2"/>
        <v>5</v>
      </c>
    </row>
    <row r="77" spans="1:24" ht="199.5" customHeight="1" x14ac:dyDescent="0.2">
      <c r="A77" s="306" t="s">
        <v>134</v>
      </c>
      <c r="B77" s="306" t="s">
        <v>974</v>
      </c>
      <c r="C77" s="306">
        <v>0</v>
      </c>
      <c r="D77" s="306">
        <v>0</v>
      </c>
      <c r="E77" s="306">
        <v>0</v>
      </c>
      <c r="F77" s="306">
        <v>1</v>
      </c>
      <c r="G77" s="306">
        <v>0</v>
      </c>
      <c r="H77" s="306">
        <v>0</v>
      </c>
      <c r="I77" s="306">
        <v>0</v>
      </c>
      <c r="J77" s="306">
        <v>0</v>
      </c>
      <c r="K77" s="306"/>
      <c r="L77" s="306" t="s">
        <v>907</v>
      </c>
      <c r="M77" s="306" t="s">
        <v>706</v>
      </c>
      <c r="N77" s="306" t="s">
        <v>908</v>
      </c>
      <c r="O77" s="306"/>
      <c r="P77" s="306" t="s">
        <v>975</v>
      </c>
      <c r="Q77" s="306" t="s">
        <v>976</v>
      </c>
      <c r="R77" s="306"/>
      <c r="S77" s="306" t="s">
        <v>977</v>
      </c>
      <c r="T77" s="306" t="s">
        <v>978</v>
      </c>
      <c r="U77" s="306" t="s">
        <v>355</v>
      </c>
      <c r="V77" s="306" t="s">
        <v>706</v>
      </c>
      <c r="W77" s="306" t="s">
        <v>731</v>
      </c>
      <c r="X77" s="306">
        <f t="shared" si="2"/>
        <v>5</v>
      </c>
    </row>
    <row r="78" spans="1:24" ht="185.25" customHeight="1" x14ac:dyDescent="0.2">
      <c r="A78" s="317" t="s">
        <v>80</v>
      </c>
      <c r="B78" s="317" t="s">
        <v>979</v>
      </c>
      <c r="C78" s="306">
        <v>0</v>
      </c>
      <c r="D78" s="306">
        <v>0</v>
      </c>
      <c r="E78" s="306">
        <v>1</v>
      </c>
      <c r="F78" s="306">
        <v>0</v>
      </c>
      <c r="G78" s="306">
        <v>0</v>
      </c>
      <c r="H78" s="306">
        <v>0</v>
      </c>
      <c r="I78" s="306">
        <v>0</v>
      </c>
      <c r="J78" s="306">
        <v>1</v>
      </c>
      <c r="K78" s="306"/>
      <c r="L78" s="306" t="s">
        <v>683</v>
      </c>
      <c r="M78" s="306" t="s">
        <v>706</v>
      </c>
      <c r="N78" s="306" t="s">
        <v>908</v>
      </c>
      <c r="O78" s="306" t="s">
        <v>980</v>
      </c>
      <c r="P78" s="306" t="s">
        <v>981</v>
      </c>
      <c r="Q78" s="306" t="s">
        <v>982</v>
      </c>
      <c r="R78" s="306"/>
      <c r="S78" s="306" t="s">
        <v>983</v>
      </c>
      <c r="T78" s="306" t="s">
        <v>984</v>
      </c>
      <c r="U78" s="306" t="s">
        <v>355</v>
      </c>
      <c r="V78" s="306" t="s">
        <v>706</v>
      </c>
      <c r="W78" s="306" t="s">
        <v>773</v>
      </c>
      <c r="X78" s="306">
        <f t="shared" si="2"/>
        <v>20</v>
      </c>
    </row>
    <row r="79" spans="1:24" ht="185.25" customHeight="1" x14ac:dyDescent="0.2">
      <c r="A79" s="317" t="s">
        <v>81</v>
      </c>
      <c r="B79" s="317" t="s">
        <v>985</v>
      </c>
      <c r="C79" s="306">
        <v>0</v>
      </c>
      <c r="D79" s="306">
        <v>0</v>
      </c>
      <c r="E79" s="306">
        <v>1</v>
      </c>
      <c r="F79" s="306">
        <v>0</v>
      </c>
      <c r="G79" s="306">
        <v>0</v>
      </c>
      <c r="H79" s="306">
        <v>0</v>
      </c>
      <c r="I79" s="306">
        <v>0</v>
      </c>
      <c r="J79" s="306">
        <v>1</v>
      </c>
      <c r="K79" s="306"/>
      <c r="L79" s="306" t="s">
        <v>683</v>
      </c>
      <c r="M79" s="306" t="s">
        <v>706</v>
      </c>
      <c r="N79" s="306" t="s">
        <v>908</v>
      </c>
      <c r="O79" s="306"/>
      <c r="P79" s="306" t="s">
        <v>986</v>
      </c>
      <c r="Q79" s="306" t="s">
        <v>987</v>
      </c>
      <c r="R79" s="306"/>
      <c r="S79" s="306" t="s">
        <v>988</v>
      </c>
      <c r="T79" s="306" t="s">
        <v>989</v>
      </c>
      <c r="U79" s="306" t="s">
        <v>355</v>
      </c>
      <c r="V79" s="306" t="s">
        <v>706</v>
      </c>
      <c r="W79" s="306" t="s">
        <v>773</v>
      </c>
      <c r="X79" s="306">
        <f t="shared" si="2"/>
        <v>20</v>
      </c>
    </row>
    <row r="80" spans="1:24" ht="156.75" customHeight="1" x14ac:dyDescent="0.2">
      <c r="A80" s="317" t="s">
        <v>82</v>
      </c>
      <c r="B80" s="317" t="s">
        <v>990</v>
      </c>
      <c r="C80" s="306">
        <v>0</v>
      </c>
      <c r="D80" s="306">
        <v>0</v>
      </c>
      <c r="E80" s="306">
        <v>1</v>
      </c>
      <c r="F80" s="306">
        <v>0</v>
      </c>
      <c r="G80" s="306">
        <v>0</v>
      </c>
      <c r="H80" s="306">
        <v>0</v>
      </c>
      <c r="I80" s="306">
        <v>0</v>
      </c>
      <c r="J80" s="306">
        <v>0</v>
      </c>
      <c r="K80" s="306"/>
      <c r="L80" s="306" t="s">
        <v>683</v>
      </c>
      <c r="M80" s="306" t="s">
        <v>706</v>
      </c>
      <c r="N80" s="306" t="s">
        <v>908</v>
      </c>
      <c r="O80" s="306"/>
      <c r="P80" s="306" t="s">
        <v>991</v>
      </c>
      <c r="Q80" s="306" t="s">
        <v>992</v>
      </c>
      <c r="R80" s="306"/>
      <c r="S80" s="306" t="s">
        <v>993</v>
      </c>
      <c r="T80" s="306" t="s">
        <v>994</v>
      </c>
      <c r="U80" s="306" t="s">
        <v>355</v>
      </c>
      <c r="V80" s="306" t="s">
        <v>706</v>
      </c>
      <c r="W80" s="306" t="s">
        <v>773</v>
      </c>
      <c r="X80" s="306">
        <f t="shared" si="2"/>
        <v>20</v>
      </c>
    </row>
    <row r="81" spans="1:24" ht="156.75" customHeight="1" x14ac:dyDescent="0.2">
      <c r="A81" s="317" t="s">
        <v>83</v>
      </c>
      <c r="B81" s="317" t="s">
        <v>995</v>
      </c>
      <c r="C81" s="306">
        <v>0</v>
      </c>
      <c r="D81" s="306">
        <v>0</v>
      </c>
      <c r="E81" s="306">
        <v>1</v>
      </c>
      <c r="F81" s="306">
        <v>0</v>
      </c>
      <c r="G81" s="306">
        <v>0</v>
      </c>
      <c r="H81" s="306">
        <v>0</v>
      </c>
      <c r="I81" s="306">
        <v>0</v>
      </c>
      <c r="J81" s="306">
        <v>0</v>
      </c>
      <c r="K81" s="306"/>
      <c r="L81" s="306" t="s">
        <v>683</v>
      </c>
      <c r="M81" s="306" t="s">
        <v>706</v>
      </c>
      <c r="N81" s="306" t="s">
        <v>908</v>
      </c>
      <c r="O81" s="306" t="s">
        <v>996</v>
      </c>
      <c r="P81" s="306"/>
      <c r="Q81" s="306" t="s">
        <v>997</v>
      </c>
      <c r="R81" s="306"/>
      <c r="S81" s="306" t="s">
        <v>993</v>
      </c>
      <c r="T81" s="306" t="s">
        <v>998</v>
      </c>
      <c r="U81" s="306" t="s">
        <v>364</v>
      </c>
      <c r="V81" s="306" t="s">
        <v>706</v>
      </c>
      <c r="W81" s="306" t="s">
        <v>773</v>
      </c>
      <c r="X81" s="306">
        <f t="shared" si="2"/>
        <v>20</v>
      </c>
    </row>
    <row r="82" spans="1:24" ht="171" customHeight="1" x14ac:dyDescent="0.2">
      <c r="A82" s="317" t="s">
        <v>84</v>
      </c>
      <c r="B82" s="317" t="s">
        <v>999</v>
      </c>
      <c r="C82" s="306">
        <v>0</v>
      </c>
      <c r="D82" s="306">
        <v>0</v>
      </c>
      <c r="E82" s="306">
        <v>1</v>
      </c>
      <c r="F82" s="306">
        <v>0</v>
      </c>
      <c r="G82" s="306">
        <v>0</v>
      </c>
      <c r="H82" s="306">
        <v>0</v>
      </c>
      <c r="I82" s="306">
        <v>0</v>
      </c>
      <c r="J82" s="306">
        <v>0</v>
      </c>
      <c r="K82" s="306"/>
      <c r="L82" s="306" t="s">
        <v>683</v>
      </c>
      <c r="M82" s="306" t="s">
        <v>706</v>
      </c>
      <c r="N82" s="306" t="s">
        <v>908</v>
      </c>
      <c r="O82" s="306"/>
      <c r="P82" s="306" t="s">
        <v>1000</v>
      </c>
      <c r="Q82" s="306" t="s">
        <v>1001</v>
      </c>
      <c r="R82" s="306"/>
      <c r="S82" s="306" t="s">
        <v>1002</v>
      </c>
      <c r="T82" s="306" t="s">
        <v>1003</v>
      </c>
      <c r="U82" s="306" t="s">
        <v>355</v>
      </c>
      <c r="V82" s="306" t="s">
        <v>706</v>
      </c>
      <c r="W82" s="306" t="s">
        <v>773</v>
      </c>
      <c r="X82" s="306">
        <f t="shared" si="2"/>
        <v>20</v>
      </c>
    </row>
    <row r="83" spans="1:24" ht="156.75" customHeight="1" x14ac:dyDescent="0.2">
      <c r="A83" s="317" t="s">
        <v>85</v>
      </c>
      <c r="B83" s="317" t="s">
        <v>1004</v>
      </c>
      <c r="C83" s="306">
        <v>0</v>
      </c>
      <c r="D83" s="306">
        <v>0</v>
      </c>
      <c r="E83" s="306">
        <v>1</v>
      </c>
      <c r="F83" s="306">
        <v>0</v>
      </c>
      <c r="G83" s="306">
        <v>0</v>
      </c>
      <c r="H83" s="306">
        <v>0</v>
      </c>
      <c r="I83" s="306">
        <v>0</v>
      </c>
      <c r="J83" s="306">
        <v>0</v>
      </c>
      <c r="K83" s="306"/>
      <c r="L83" s="306" t="s">
        <v>683</v>
      </c>
      <c r="M83" s="306" t="s">
        <v>706</v>
      </c>
      <c r="N83" s="306" t="s">
        <v>908</v>
      </c>
      <c r="O83" s="306"/>
      <c r="P83" s="306" t="s">
        <v>1005</v>
      </c>
      <c r="Q83" s="306" t="s">
        <v>1006</v>
      </c>
      <c r="R83" s="306"/>
      <c r="S83" s="306" t="s">
        <v>1007</v>
      </c>
      <c r="T83" s="306" t="s">
        <v>1008</v>
      </c>
      <c r="U83" s="306" t="s">
        <v>355</v>
      </c>
      <c r="V83" s="306" t="s">
        <v>706</v>
      </c>
      <c r="W83" s="306" t="s">
        <v>773</v>
      </c>
      <c r="X83" s="306">
        <f t="shared" si="2"/>
        <v>20</v>
      </c>
    </row>
    <row r="84" spans="1:24" ht="156.75" customHeight="1" x14ac:dyDescent="0.2">
      <c r="A84" s="317" t="s">
        <v>86</v>
      </c>
      <c r="B84" s="317" t="s">
        <v>1009</v>
      </c>
      <c r="C84" s="306">
        <v>0</v>
      </c>
      <c r="D84" s="306">
        <v>0</v>
      </c>
      <c r="E84" s="306">
        <v>1</v>
      </c>
      <c r="F84" s="306">
        <v>0</v>
      </c>
      <c r="G84" s="306">
        <v>0</v>
      </c>
      <c r="H84" s="306">
        <v>0</v>
      </c>
      <c r="I84" s="306">
        <v>0</v>
      </c>
      <c r="J84" s="306">
        <v>0</v>
      </c>
      <c r="K84" s="306"/>
      <c r="L84" s="306" t="s">
        <v>683</v>
      </c>
      <c r="M84" s="306" t="s">
        <v>706</v>
      </c>
      <c r="N84" s="306" t="s">
        <v>908</v>
      </c>
      <c r="O84" s="306"/>
      <c r="P84" s="306"/>
      <c r="Q84" s="306" t="s">
        <v>1010</v>
      </c>
      <c r="R84" s="306"/>
      <c r="S84" s="306" t="s">
        <v>1011</v>
      </c>
      <c r="T84" s="306" t="s">
        <v>1012</v>
      </c>
      <c r="U84" s="306" t="s">
        <v>364</v>
      </c>
      <c r="V84" s="306" t="s">
        <v>706</v>
      </c>
      <c r="W84" s="306" t="s">
        <v>773</v>
      </c>
      <c r="X84" s="306">
        <f t="shared" si="2"/>
        <v>20</v>
      </c>
    </row>
    <row r="85" spans="1:24" ht="85.5" customHeight="1" x14ac:dyDescent="0.2">
      <c r="A85" s="317" t="s">
        <v>87</v>
      </c>
      <c r="B85" s="317" t="s">
        <v>1013</v>
      </c>
      <c r="C85" s="306">
        <v>0</v>
      </c>
      <c r="D85" s="306">
        <v>0</v>
      </c>
      <c r="E85" s="306">
        <v>1</v>
      </c>
      <c r="F85" s="306">
        <v>0</v>
      </c>
      <c r="G85" s="306">
        <v>0</v>
      </c>
      <c r="H85" s="306">
        <v>0</v>
      </c>
      <c r="I85" s="306">
        <v>0</v>
      </c>
      <c r="J85" s="306">
        <v>0</v>
      </c>
      <c r="K85" s="306"/>
      <c r="L85" s="306" t="s">
        <v>683</v>
      </c>
      <c r="M85" s="306" t="s">
        <v>706</v>
      </c>
      <c r="N85" s="306" t="s">
        <v>908</v>
      </c>
      <c r="O85" s="306"/>
      <c r="P85" s="306"/>
      <c r="Q85" s="306" t="s">
        <v>1014</v>
      </c>
      <c r="R85" s="306"/>
      <c r="S85" s="306" t="s">
        <v>1015</v>
      </c>
      <c r="T85" s="306" t="s">
        <v>1016</v>
      </c>
      <c r="U85" s="306" t="s">
        <v>364</v>
      </c>
      <c r="V85" s="306" t="s">
        <v>706</v>
      </c>
      <c r="W85" s="306" t="s">
        <v>773</v>
      </c>
      <c r="X85" s="306">
        <f t="shared" si="2"/>
        <v>20</v>
      </c>
    </row>
    <row r="86" spans="1:24" ht="199.5" customHeight="1" x14ac:dyDescent="0.2">
      <c r="A86" s="317" t="s">
        <v>88</v>
      </c>
      <c r="B86" s="317" t="s">
        <v>1017</v>
      </c>
      <c r="C86" s="306">
        <v>0</v>
      </c>
      <c r="D86" s="306">
        <v>0</v>
      </c>
      <c r="E86" s="306">
        <v>1</v>
      </c>
      <c r="F86" s="306">
        <v>0</v>
      </c>
      <c r="G86" s="306">
        <v>0</v>
      </c>
      <c r="H86" s="306">
        <v>0</v>
      </c>
      <c r="I86" s="306">
        <v>0</v>
      </c>
      <c r="J86" s="306">
        <v>1</v>
      </c>
      <c r="K86" s="306"/>
      <c r="L86" s="306" t="s">
        <v>683</v>
      </c>
      <c r="M86" s="306" t="s">
        <v>706</v>
      </c>
      <c r="N86" s="306" t="s">
        <v>908</v>
      </c>
      <c r="O86" s="306"/>
      <c r="P86" s="306" t="s">
        <v>1018</v>
      </c>
      <c r="Q86" s="306"/>
      <c r="R86" s="306"/>
      <c r="S86" s="306" t="s">
        <v>1019</v>
      </c>
      <c r="T86" s="306" t="s">
        <v>1020</v>
      </c>
      <c r="U86" s="306" t="s">
        <v>355</v>
      </c>
      <c r="V86" s="306" t="s">
        <v>706</v>
      </c>
      <c r="W86" s="306" t="s">
        <v>773</v>
      </c>
      <c r="X86" s="306">
        <f t="shared" si="2"/>
        <v>20</v>
      </c>
    </row>
    <row r="87" spans="1:24" ht="242.25" customHeight="1" x14ac:dyDescent="0.2">
      <c r="A87" s="317" t="s">
        <v>89</v>
      </c>
      <c r="B87" s="317" t="s">
        <v>1021</v>
      </c>
      <c r="C87" s="306">
        <v>0</v>
      </c>
      <c r="D87" s="306">
        <v>0</v>
      </c>
      <c r="E87" s="306">
        <v>1</v>
      </c>
      <c r="F87" s="306">
        <v>0</v>
      </c>
      <c r="G87" s="306">
        <v>0</v>
      </c>
      <c r="H87" s="306">
        <v>0</v>
      </c>
      <c r="I87" s="306">
        <v>0</v>
      </c>
      <c r="J87" s="306">
        <v>0</v>
      </c>
      <c r="K87" s="306"/>
      <c r="L87" s="306" t="s">
        <v>704</v>
      </c>
      <c r="M87" s="306" t="s">
        <v>706</v>
      </c>
      <c r="N87" s="306" t="s">
        <v>908</v>
      </c>
      <c r="O87" s="306" t="s">
        <v>1022</v>
      </c>
      <c r="P87" s="306" t="s">
        <v>1022</v>
      </c>
      <c r="Q87" s="306" t="s">
        <v>1022</v>
      </c>
      <c r="R87" s="306"/>
      <c r="S87" s="306" t="s">
        <v>1023</v>
      </c>
      <c r="T87" s="306" t="s">
        <v>1020</v>
      </c>
      <c r="U87" s="306" t="s">
        <v>704</v>
      </c>
      <c r="V87" s="306" t="s">
        <v>706</v>
      </c>
      <c r="W87" s="306"/>
      <c r="X87" s="306"/>
    </row>
    <row r="88" spans="1:24" ht="199.5" customHeight="1" x14ac:dyDescent="0.2">
      <c r="A88" s="317" t="s">
        <v>90</v>
      </c>
      <c r="B88" s="317" t="s">
        <v>1024</v>
      </c>
      <c r="C88" s="306">
        <v>0</v>
      </c>
      <c r="D88" s="306">
        <v>0</v>
      </c>
      <c r="E88" s="306">
        <v>1</v>
      </c>
      <c r="F88" s="306">
        <v>0</v>
      </c>
      <c r="G88" s="306">
        <v>0</v>
      </c>
      <c r="H88" s="306">
        <v>0</v>
      </c>
      <c r="I88" s="306">
        <v>0</v>
      </c>
      <c r="J88" s="306">
        <v>1</v>
      </c>
      <c r="K88" s="306"/>
      <c r="L88" s="306" t="s">
        <v>683</v>
      </c>
      <c r="M88" s="306" t="s">
        <v>706</v>
      </c>
      <c r="N88" s="306" t="s">
        <v>908</v>
      </c>
      <c r="O88" s="306" t="s">
        <v>1025</v>
      </c>
      <c r="P88" s="306" t="s">
        <v>1025</v>
      </c>
      <c r="Q88" s="306" t="s">
        <v>1025</v>
      </c>
      <c r="R88" s="306"/>
      <c r="S88" s="306" t="s">
        <v>1026</v>
      </c>
      <c r="T88" s="306" t="s">
        <v>1027</v>
      </c>
      <c r="U88" s="306" t="s">
        <v>355</v>
      </c>
      <c r="V88" s="306" t="s">
        <v>706</v>
      </c>
      <c r="W88" s="306" t="s">
        <v>773</v>
      </c>
      <c r="X88" s="306">
        <f t="shared" ref="X88:X134" si="3">IF($W88="Critical Importance",20,IF($W88="Minor Importance",5,10))</f>
        <v>20</v>
      </c>
    </row>
    <row r="89" spans="1:24" ht="256.5" customHeight="1" x14ac:dyDescent="0.2">
      <c r="A89" s="306" t="s">
        <v>91</v>
      </c>
      <c r="B89" s="306" t="s">
        <v>1028</v>
      </c>
      <c r="C89" s="306">
        <v>0</v>
      </c>
      <c r="D89" s="306">
        <v>0</v>
      </c>
      <c r="E89" s="306">
        <v>1</v>
      </c>
      <c r="F89" s="306">
        <v>0</v>
      </c>
      <c r="G89" s="306">
        <v>0</v>
      </c>
      <c r="H89" s="306">
        <v>0</v>
      </c>
      <c r="I89" s="306">
        <v>0</v>
      </c>
      <c r="J89" s="306">
        <v>0</v>
      </c>
      <c r="K89" s="306"/>
      <c r="L89" s="306" t="s">
        <v>683</v>
      </c>
      <c r="M89" s="306" t="s">
        <v>706</v>
      </c>
      <c r="N89" s="306" t="s">
        <v>908</v>
      </c>
      <c r="O89" s="306"/>
      <c r="P89" s="306" t="s">
        <v>1029</v>
      </c>
      <c r="Q89" s="306" t="s">
        <v>1030</v>
      </c>
      <c r="R89" s="306"/>
      <c r="S89" s="306" t="s">
        <v>1031</v>
      </c>
      <c r="T89" s="306" t="s">
        <v>1032</v>
      </c>
      <c r="U89" s="306" t="s">
        <v>355</v>
      </c>
      <c r="V89" s="306" t="s">
        <v>706</v>
      </c>
      <c r="W89" s="306" t="s">
        <v>722</v>
      </c>
      <c r="X89" s="306">
        <f t="shared" si="3"/>
        <v>10</v>
      </c>
    </row>
    <row r="90" spans="1:24" ht="142.5" customHeight="1" x14ac:dyDescent="0.2">
      <c r="A90" s="306" t="s">
        <v>92</v>
      </c>
      <c r="B90" s="306" t="s">
        <v>1033</v>
      </c>
      <c r="C90" s="306">
        <v>0</v>
      </c>
      <c r="D90" s="306">
        <v>0</v>
      </c>
      <c r="E90" s="306">
        <v>1</v>
      </c>
      <c r="F90" s="306">
        <v>0</v>
      </c>
      <c r="G90" s="306">
        <v>0</v>
      </c>
      <c r="H90" s="306">
        <v>0</v>
      </c>
      <c r="I90" s="306">
        <v>0</v>
      </c>
      <c r="J90" s="306">
        <v>0</v>
      </c>
      <c r="K90" s="306"/>
      <c r="L90" s="306" t="s">
        <v>683</v>
      </c>
      <c r="M90" s="306" t="s">
        <v>706</v>
      </c>
      <c r="N90" s="306" t="s">
        <v>908</v>
      </c>
      <c r="O90" s="306"/>
      <c r="P90" s="306" t="s">
        <v>1034</v>
      </c>
      <c r="Q90" s="306"/>
      <c r="R90" s="306"/>
      <c r="S90" s="306" t="s">
        <v>1035</v>
      </c>
      <c r="T90" s="306" t="s">
        <v>1036</v>
      </c>
      <c r="U90" s="306" t="s">
        <v>355</v>
      </c>
      <c r="V90" s="306" t="s">
        <v>706</v>
      </c>
      <c r="W90" s="306" t="s">
        <v>722</v>
      </c>
      <c r="X90" s="306">
        <f t="shared" si="3"/>
        <v>10</v>
      </c>
    </row>
    <row r="91" spans="1:24" ht="242.25" customHeight="1" x14ac:dyDescent="0.2">
      <c r="A91" s="306" t="s">
        <v>93</v>
      </c>
      <c r="B91" s="306" t="s">
        <v>1037</v>
      </c>
      <c r="C91" s="306">
        <v>0</v>
      </c>
      <c r="D91" s="306">
        <v>0</v>
      </c>
      <c r="E91" s="306">
        <v>1</v>
      </c>
      <c r="F91" s="306">
        <v>0</v>
      </c>
      <c r="G91" s="306">
        <v>0</v>
      </c>
      <c r="H91" s="306">
        <v>0</v>
      </c>
      <c r="I91" s="306">
        <v>0</v>
      </c>
      <c r="J91" s="306">
        <v>0</v>
      </c>
      <c r="K91" s="306"/>
      <c r="L91" s="306" t="s">
        <v>683</v>
      </c>
      <c r="M91" s="306" t="s">
        <v>706</v>
      </c>
      <c r="N91" s="306" t="s">
        <v>908</v>
      </c>
      <c r="O91" s="306"/>
      <c r="P91" s="306" t="s">
        <v>1038</v>
      </c>
      <c r="Q91" s="306" t="s">
        <v>1039</v>
      </c>
      <c r="R91" s="306"/>
      <c r="S91" s="306" t="s">
        <v>1040</v>
      </c>
      <c r="T91" s="306" t="s">
        <v>1041</v>
      </c>
      <c r="U91" s="306" t="s">
        <v>355</v>
      </c>
      <c r="V91" s="306" t="s">
        <v>706</v>
      </c>
      <c r="W91" s="306" t="s">
        <v>722</v>
      </c>
      <c r="X91" s="306">
        <f t="shared" si="3"/>
        <v>10</v>
      </c>
    </row>
    <row r="92" spans="1:24" ht="185.25" customHeight="1" x14ac:dyDescent="0.2">
      <c r="A92" s="306" t="s">
        <v>94</v>
      </c>
      <c r="B92" s="306" t="s">
        <v>1042</v>
      </c>
      <c r="C92" s="306">
        <v>0</v>
      </c>
      <c r="D92" s="306">
        <v>0</v>
      </c>
      <c r="E92" s="306">
        <v>1</v>
      </c>
      <c r="F92" s="306">
        <v>0</v>
      </c>
      <c r="G92" s="306">
        <v>0</v>
      </c>
      <c r="H92" s="306">
        <v>0</v>
      </c>
      <c r="I92" s="306">
        <v>0</v>
      </c>
      <c r="J92" s="306">
        <v>0</v>
      </c>
      <c r="K92" s="306"/>
      <c r="L92" s="306" t="s">
        <v>683</v>
      </c>
      <c r="M92" s="306" t="s">
        <v>706</v>
      </c>
      <c r="N92" s="306" t="s">
        <v>908</v>
      </c>
      <c r="O92" s="306" t="s">
        <v>1043</v>
      </c>
      <c r="P92" s="306" t="s">
        <v>1044</v>
      </c>
      <c r="Q92" s="306" t="s">
        <v>1045</v>
      </c>
      <c r="R92" s="306"/>
      <c r="S92" s="306" t="s">
        <v>983</v>
      </c>
      <c r="T92" s="306" t="s">
        <v>984</v>
      </c>
      <c r="U92" s="306" t="s">
        <v>355</v>
      </c>
      <c r="V92" s="306" t="s">
        <v>706</v>
      </c>
      <c r="W92" s="306" t="s">
        <v>731</v>
      </c>
      <c r="X92" s="306">
        <f t="shared" si="3"/>
        <v>5</v>
      </c>
    </row>
    <row r="93" spans="1:24" ht="142.5" customHeight="1" x14ac:dyDescent="0.2">
      <c r="A93" s="306" t="s">
        <v>95</v>
      </c>
      <c r="B93" s="306" t="s">
        <v>1046</v>
      </c>
      <c r="C93" s="306">
        <v>0</v>
      </c>
      <c r="D93" s="306">
        <v>0</v>
      </c>
      <c r="E93" s="306">
        <v>1</v>
      </c>
      <c r="F93" s="306">
        <v>0</v>
      </c>
      <c r="G93" s="306">
        <v>0</v>
      </c>
      <c r="H93" s="306">
        <v>0</v>
      </c>
      <c r="I93" s="306">
        <v>0</v>
      </c>
      <c r="J93" s="306">
        <v>0</v>
      </c>
      <c r="K93" s="306"/>
      <c r="L93" s="306" t="s">
        <v>683</v>
      </c>
      <c r="M93" s="306" t="s">
        <v>706</v>
      </c>
      <c r="N93" s="306" t="s">
        <v>908</v>
      </c>
      <c r="O93" s="306"/>
      <c r="P93" s="306" t="s">
        <v>1047</v>
      </c>
      <c r="Q93" s="306"/>
      <c r="R93" s="306"/>
      <c r="S93" s="306" t="s">
        <v>1035</v>
      </c>
      <c r="T93" s="306" t="s">
        <v>1048</v>
      </c>
      <c r="U93" s="306" t="s">
        <v>355</v>
      </c>
      <c r="V93" s="306" t="s">
        <v>706</v>
      </c>
      <c r="W93" s="306" t="s">
        <v>731</v>
      </c>
      <c r="X93" s="306">
        <f t="shared" si="3"/>
        <v>5</v>
      </c>
    </row>
    <row r="94" spans="1:24" ht="185.25" customHeight="1" x14ac:dyDescent="0.2">
      <c r="A94" s="306" t="s">
        <v>96</v>
      </c>
      <c r="B94" s="306" t="s">
        <v>1049</v>
      </c>
      <c r="C94" s="306">
        <v>0</v>
      </c>
      <c r="D94" s="306">
        <v>0</v>
      </c>
      <c r="E94" s="306">
        <v>1</v>
      </c>
      <c r="F94" s="306">
        <v>0</v>
      </c>
      <c r="G94" s="306">
        <v>0</v>
      </c>
      <c r="H94" s="306">
        <v>0</v>
      </c>
      <c r="I94" s="306">
        <v>0</v>
      </c>
      <c r="J94" s="306">
        <v>1</v>
      </c>
      <c r="K94" s="306"/>
      <c r="L94" s="306" t="s">
        <v>683</v>
      </c>
      <c r="M94" s="306" t="s">
        <v>706</v>
      </c>
      <c r="N94" s="306" t="s">
        <v>908</v>
      </c>
      <c r="O94" s="306"/>
      <c r="P94" s="306" t="s">
        <v>1050</v>
      </c>
      <c r="Q94" s="306" t="s">
        <v>1051</v>
      </c>
      <c r="R94" s="306"/>
      <c r="S94" s="306" t="s">
        <v>1052</v>
      </c>
      <c r="T94" s="306" t="s">
        <v>1053</v>
      </c>
      <c r="U94" s="306" t="s">
        <v>355</v>
      </c>
      <c r="V94" s="306" t="s">
        <v>706</v>
      </c>
      <c r="W94" s="306" t="s">
        <v>731</v>
      </c>
      <c r="X94" s="306">
        <f t="shared" si="3"/>
        <v>5</v>
      </c>
    </row>
    <row r="95" spans="1:24" ht="71.25" customHeight="1" x14ac:dyDescent="0.2">
      <c r="A95" s="306" t="s">
        <v>97</v>
      </c>
      <c r="B95" s="306" t="s">
        <v>1054</v>
      </c>
      <c r="C95" s="306">
        <v>0</v>
      </c>
      <c r="D95" s="306">
        <v>0</v>
      </c>
      <c r="E95" s="306">
        <v>1</v>
      </c>
      <c r="F95" s="306">
        <v>0</v>
      </c>
      <c r="G95" s="306">
        <v>0</v>
      </c>
      <c r="H95" s="306">
        <v>0</v>
      </c>
      <c r="I95" s="306">
        <v>0</v>
      </c>
      <c r="J95" s="306">
        <v>1</v>
      </c>
      <c r="K95" s="306"/>
      <c r="L95" s="306" t="s">
        <v>683</v>
      </c>
      <c r="M95" s="306" t="s">
        <v>706</v>
      </c>
      <c r="N95" s="306" t="s">
        <v>908</v>
      </c>
      <c r="O95" s="306"/>
      <c r="P95" s="306" t="s">
        <v>1055</v>
      </c>
      <c r="Q95" s="306" t="s">
        <v>1056</v>
      </c>
      <c r="R95" s="306"/>
      <c r="S95" s="306" t="s">
        <v>1057</v>
      </c>
      <c r="T95" s="306" t="s">
        <v>1058</v>
      </c>
      <c r="U95" s="306" t="s">
        <v>355</v>
      </c>
      <c r="V95" s="306" t="s">
        <v>706</v>
      </c>
      <c r="W95" s="306" t="s">
        <v>731</v>
      </c>
      <c r="X95" s="306">
        <f t="shared" si="3"/>
        <v>5</v>
      </c>
    </row>
    <row r="96" spans="1:24" ht="128.25" customHeight="1" x14ac:dyDescent="0.2">
      <c r="A96" s="318" t="s">
        <v>49</v>
      </c>
      <c r="B96" s="317" t="s">
        <v>1059</v>
      </c>
      <c r="C96" s="306">
        <v>0</v>
      </c>
      <c r="D96" s="306">
        <v>1</v>
      </c>
      <c r="E96" s="306">
        <v>0</v>
      </c>
      <c r="F96" s="306">
        <v>0</v>
      </c>
      <c r="G96" s="306">
        <v>0</v>
      </c>
      <c r="H96" s="306">
        <v>0</v>
      </c>
      <c r="I96" s="306">
        <v>0</v>
      </c>
      <c r="J96" s="306">
        <v>0</v>
      </c>
      <c r="K96" s="306"/>
      <c r="L96" s="306" t="s">
        <v>771</v>
      </c>
      <c r="M96" s="306" t="s">
        <v>706</v>
      </c>
      <c r="N96" s="306"/>
      <c r="O96" s="306"/>
      <c r="P96" s="306" t="s">
        <v>1060</v>
      </c>
      <c r="Q96" s="306" t="s">
        <v>1061</v>
      </c>
      <c r="R96" s="306"/>
      <c r="S96" s="306" t="s">
        <v>1062</v>
      </c>
      <c r="T96" s="306" t="s">
        <v>1063</v>
      </c>
      <c r="U96" s="306" t="s">
        <v>355</v>
      </c>
      <c r="V96" s="306" t="s">
        <v>706</v>
      </c>
      <c r="W96" s="306" t="s">
        <v>773</v>
      </c>
      <c r="X96" s="306">
        <f t="shared" si="3"/>
        <v>20</v>
      </c>
    </row>
    <row r="97" spans="1:24" ht="185.25" customHeight="1" x14ac:dyDescent="0.2">
      <c r="A97" s="318" t="s">
        <v>50</v>
      </c>
      <c r="B97" s="317" t="s">
        <v>1064</v>
      </c>
      <c r="C97" s="306">
        <v>0</v>
      </c>
      <c r="D97" s="306">
        <v>1</v>
      </c>
      <c r="E97" s="306">
        <v>0</v>
      </c>
      <c r="F97" s="306">
        <v>0</v>
      </c>
      <c r="G97" s="306">
        <v>0</v>
      </c>
      <c r="H97" s="306">
        <v>0</v>
      </c>
      <c r="I97" s="306">
        <v>0</v>
      </c>
      <c r="J97" s="306">
        <v>0</v>
      </c>
      <c r="K97" s="306"/>
      <c r="L97" s="306" t="s">
        <v>771</v>
      </c>
      <c r="M97" s="306" t="s">
        <v>706</v>
      </c>
      <c r="N97" s="306"/>
      <c r="O97" s="306" t="s">
        <v>1065</v>
      </c>
      <c r="P97" s="306" t="s">
        <v>1066</v>
      </c>
      <c r="Q97" s="306" t="s">
        <v>1067</v>
      </c>
      <c r="R97" s="314" t="s">
        <v>871</v>
      </c>
      <c r="S97" s="306" t="s">
        <v>1068</v>
      </c>
      <c r="T97" s="306" t="s">
        <v>1069</v>
      </c>
      <c r="U97" s="306" t="s">
        <v>355</v>
      </c>
      <c r="V97" s="306" t="s">
        <v>706</v>
      </c>
      <c r="W97" s="306" t="s">
        <v>773</v>
      </c>
      <c r="X97" s="306">
        <f t="shared" si="3"/>
        <v>20</v>
      </c>
    </row>
    <row r="98" spans="1:24" ht="228" customHeight="1" x14ac:dyDescent="0.2">
      <c r="A98" s="318" t="s">
        <v>51</v>
      </c>
      <c r="B98" s="317" t="s">
        <v>1070</v>
      </c>
      <c r="C98" s="306">
        <v>0</v>
      </c>
      <c r="D98" s="306">
        <v>1</v>
      </c>
      <c r="E98" s="306">
        <v>0</v>
      </c>
      <c r="F98" s="306">
        <v>0</v>
      </c>
      <c r="G98" s="306">
        <v>0</v>
      </c>
      <c r="H98" s="306">
        <v>0</v>
      </c>
      <c r="I98" s="306">
        <v>0</v>
      </c>
      <c r="J98" s="306">
        <v>0</v>
      </c>
      <c r="K98" s="306"/>
      <c r="L98" s="306" t="s">
        <v>771</v>
      </c>
      <c r="M98" s="306" t="s">
        <v>706</v>
      </c>
      <c r="N98" s="306"/>
      <c r="O98" s="306"/>
      <c r="P98" s="306" t="s">
        <v>1071</v>
      </c>
      <c r="Q98" s="306" t="s">
        <v>1072</v>
      </c>
      <c r="R98" s="314" t="s">
        <v>871</v>
      </c>
      <c r="S98" s="306" t="s">
        <v>1073</v>
      </c>
      <c r="T98" s="306" t="s">
        <v>1074</v>
      </c>
      <c r="U98" s="306" t="s">
        <v>355</v>
      </c>
      <c r="V98" s="306" t="s">
        <v>706</v>
      </c>
      <c r="W98" s="306" t="s">
        <v>773</v>
      </c>
      <c r="X98" s="306">
        <f t="shared" si="3"/>
        <v>20</v>
      </c>
    </row>
    <row r="99" spans="1:24" ht="142.5" customHeight="1" x14ac:dyDescent="0.2">
      <c r="A99" s="215" t="s">
        <v>52</v>
      </c>
      <c r="B99" s="306" t="s">
        <v>1075</v>
      </c>
      <c r="C99" s="306">
        <v>0</v>
      </c>
      <c r="D99" s="306">
        <v>1</v>
      </c>
      <c r="E99" s="306">
        <v>0</v>
      </c>
      <c r="F99" s="306">
        <v>0</v>
      </c>
      <c r="G99" s="306">
        <v>0</v>
      </c>
      <c r="H99" s="306">
        <v>0</v>
      </c>
      <c r="I99" s="306">
        <v>0</v>
      </c>
      <c r="J99" s="306">
        <v>1</v>
      </c>
      <c r="K99" s="306"/>
      <c r="L99" s="306" t="s">
        <v>771</v>
      </c>
      <c r="M99" s="306" t="s">
        <v>352</v>
      </c>
      <c r="N99" s="306"/>
      <c r="O99" s="306"/>
      <c r="P99" s="306" t="s">
        <v>796</v>
      </c>
      <c r="Q99" s="306" t="s">
        <v>1076</v>
      </c>
      <c r="R99" s="306"/>
      <c r="S99" s="306" t="s">
        <v>1077</v>
      </c>
      <c r="T99" s="306" t="s">
        <v>1078</v>
      </c>
      <c r="U99" s="306" t="s">
        <v>355</v>
      </c>
      <c r="V99" s="306" t="s">
        <v>706</v>
      </c>
      <c r="W99" s="306" t="s">
        <v>722</v>
      </c>
      <c r="X99" s="306">
        <f t="shared" si="3"/>
        <v>10</v>
      </c>
    </row>
    <row r="100" spans="1:24" ht="232.5" customHeight="1" x14ac:dyDescent="0.2">
      <c r="A100" s="215" t="s">
        <v>53</v>
      </c>
      <c r="B100" s="306" t="s">
        <v>1079</v>
      </c>
      <c r="C100" s="306">
        <v>0</v>
      </c>
      <c r="D100" s="306">
        <v>1</v>
      </c>
      <c r="E100" s="306">
        <v>0</v>
      </c>
      <c r="F100" s="306">
        <v>0</v>
      </c>
      <c r="G100" s="306">
        <v>0</v>
      </c>
      <c r="H100" s="306">
        <v>0</v>
      </c>
      <c r="I100" s="306">
        <v>0</v>
      </c>
      <c r="J100" s="306">
        <v>1</v>
      </c>
      <c r="K100" s="306"/>
      <c r="L100" s="306" t="s">
        <v>771</v>
      </c>
      <c r="M100" s="306" t="s">
        <v>706</v>
      </c>
      <c r="N100" s="306"/>
      <c r="O100" s="306"/>
      <c r="P100" s="306" t="s">
        <v>1080</v>
      </c>
      <c r="Q100" s="306" t="s">
        <v>1081</v>
      </c>
      <c r="R100" s="306"/>
      <c r="S100" s="306" t="s">
        <v>1082</v>
      </c>
      <c r="T100" s="306" t="s">
        <v>1083</v>
      </c>
      <c r="U100" s="306" t="s">
        <v>355</v>
      </c>
      <c r="V100" s="306" t="s">
        <v>706</v>
      </c>
      <c r="W100" s="306" t="s">
        <v>722</v>
      </c>
      <c r="X100" s="306">
        <f t="shared" si="3"/>
        <v>10</v>
      </c>
    </row>
    <row r="101" spans="1:24" ht="139.5" customHeight="1" x14ac:dyDescent="0.2">
      <c r="A101" s="215" t="s">
        <v>54</v>
      </c>
      <c r="B101" s="306" t="s">
        <v>1084</v>
      </c>
      <c r="C101" s="306">
        <v>0</v>
      </c>
      <c r="D101" s="306">
        <v>1</v>
      </c>
      <c r="E101" s="306">
        <v>0</v>
      </c>
      <c r="F101" s="306">
        <v>0</v>
      </c>
      <c r="G101" s="306">
        <v>0</v>
      </c>
      <c r="H101" s="306">
        <v>0</v>
      </c>
      <c r="I101" s="306">
        <v>0</v>
      </c>
      <c r="J101" s="306">
        <v>0</v>
      </c>
      <c r="K101" s="306"/>
      <c r="L101" s="306" t="s">
        <v>771</v>
      </c>
      <c r="M101" s="306" t="s">
        <v>706</v>
      </c>
      <c r="N101" s="306"/>
      <c r="O101" s="306"/>
      <c r="P101" s="306" t="s">
        <v>1085</v>
      </c>
      <c r="Q101" s="306" t="s">
        <v>1086</v>
      </c>
      <c r="R101" s="306"/>
      <c r="S101" s="306" t="s">
        <v>1087</v>
      </c>
      <c r="T101" s="306" t="s">
        <v>1088</v>
      </c>
      <c r="U101" s="306" t="s">
        <v>355</v>
      </c>
      <c r="V101" s="306" t="s">
        <v>706</v>
      </c>
      <c r="W101" s="306" t="s">
        <v>722</v>
      </c>
      <c r="X101" s="306">
        <f t="shared" si="3"/>
        <v>10</v>
      </c>
    </row>
    <row r="102" spans="1:24" ht="99.75" customHeight="1" x14ac:dyDescent="0.2">
      <c r="A102" s="215" t="s">
        <v>55</v>
      </c>
      <c r="B102" s="306" t="s">
        <v>1089</v>
      </c>
      <c r="C102" s="306">
        <v>0</v>
      </c>
      <c r="D102" s="306">
        <v>1</v>
      </c>
      <c r="E102" s="306">
        <v>0</v>
      </c>
      <c r="F102" s="306">
        <v>0</v>
      </c>
      <c r="G102" s="306">
        <v>0</v>
      </c>
      <c r="H102" s="306">
        <v>0</v>
      </c>
      <c r="I102" s="306">
        <v>0</v>
      </c>
      <c r="J102" s="306">
        <v>0</v>
      </c>
      <c r="K102" s="306"/>
      <c r="L102" s="306" t="s">
        <v>771</v>
      </c>
      <c r="M102" s="306" t="s">
        <v>706</v>
      </c>
      <c r="N102" s="306"/>
      <c r="O102" s="306"/>
      <c r="P102" s="306" t="s">
        <v>1090</v>
      </c>
      <c r="Q102" s="306" t="s">
        <v>1091</v>
      </c>
      <c r="R102" s="306"/>
      <c r="S102" s="306" t="s">
        <v>1092</v>
      </c>
      <c r="T102" s="306" t="s">
        <v>1093</v>
      </c>
      <c r="U102" s="306" t="s">
        <v>355</v>
      </c>
      <c r="V102" s="306" t="s">
        <v>706</v>
      </c>
      <c r="W102" s="306" t="s">
        <v>722</v>
      </c>
      <c r="X102" s="306">
        <f t="shared" si="3"/>
        <v>10</v>
      </c>
    </row>
    <row r="103" spans="1:24" ht="214.5" customHeight="1" x14ac:dyDescent="0.2">
      <c r="A103" s="215" t="s">
        <v>56</v>
      </c>
      <c r="B103" s="306" t="s">
        <v>1094</v>
      </c>
      <c r="C103" s="306">
        <v>0</v>
      </c>
      <c r="D103" s="306">
        <v>1</v>
      </c>
      <c r="E103" s="306">
        <v>0</v>
      </c>
      <c r="F103" s="306">
        <v>0</v>
      </c>
      <c r="G103" s="306">
        <v>0</v>
      </c>
      <c r="H103" s="306">
        <v>0</v>
      </c>
      <c r="I103" s="306">
        <v>0</v>
      </c>
      <c r="J103" s="306">
        <v>0</v>
      </c>
      <c r="K103" s="306"/>
      <c r="L103" s="306" t="s">
        <v>771</v>
      </c>
      <c r="M103" s="306" t="s">
        <v>706</v>
      </c>
      <c r="N103" s="306"/>
      <c r="O103" s="306"/>
      <c r="P103" s="306" t="s">
        <v>1095</v>
      </c>
      <c r="Q103" s="306" t="s">
        <v>1096</v>
      </c>
      <c r="R103" s="306"/>
      <c r="S103" s="306" t="s">
        <v>1097</v>
      </c>
      <c r="T103" s="306" t="s">
        <v>1098</v>
      </c>
      <c r="U103" s="306" t="s">
        <v>355</v>
      </c>
      <c r="V103" s="306" t="s">
        <v>706</v>
      </c>
      <c r="W103" s="306" t="s">
        <v>722</v>
      </c>
      <c r="X103" s="306">
        <f t="shared" si="3"/>
        <v>10</v>
      </c>
    </row>
    <row r="104" spans="1:24" ht="244.5" customHeight="1" x14ac:dyDescent="0.2">
      <c r="A104" s="215" t="s">
        <v>57</v>
      </c>
      <c r="B104" s="306" t="s">
        <v>1099</v>
      </c>
      <c r="C104" s="306">
        <v>0</v>
      </c>
      <c r="D104" s="306">
        <v>1</v>
      </c>
      <c r="E104" s="306">
        <v>0</v>
      </c>
      <c r="F104" s="306">
        <v>0</v>
      </c>
      <c r="G104" s="306">
        <v>0</v>
      </c>
      <c r="H104" s="306">
        <v>0</v>
      </c>
      <c r="I104" s="306">
        <v>0</v>
      </c>
      <c r="J104" s="306">
        <v>0</v>
      </c>
      <c r="K104" s="306"/>
      <c r="L104" s="306" t="s">
        <v>771</v>
      </c>
      <c r="M104" s="306" t="s">
        <v>706</v>
      </c>
      <c r="N104" s="306"/>
      <c r="O104" s="306"/>
      <c r="P104" s="306" t="s">
        <v>1100</v>
      </c>
      <c r="Q104" s="306" t="s">
        <v>1101</v>
      </c>
      <c r="R104" s="314" t="s">
        <v>871</v>
      </c>
      <c r="S104" s="306" t="s">
        <v>1102</v>
      </c>
      <c r="T104" s="306" t="s">
        <v>1103</v>
      </c>
      <c r="U104" s="306" t="s">
        <v>355</v>
      </c>
      <c r="V104" s="306" t="s">
        <v>706</v>
      </c>
      <c r="W104" s="306" t="s">
        <v>731</v>
      </c>
      <c r="X104" s="306">
        <f t="shared" si="3"/>
        <v>5</v>
      </c>
    </row>
    <row r="105" spans="1:24" ht="128.25" customHeight="1" x14ac:dyDescent="0.2">
      <c r="A105" s="215" t="s">
        <v>58</v>
      </c>
      <c r="B105" s="306" t="s">
        <v>1104</v>
      </c>
      <c r="C105" s="306">
        <v>0</v>
      </c>
      <c r="D105" s="306">
        <v>1</v>
      </c>
      <c r="E105" s="306">
        <v>0</v>
      </c>
      <c r="F105" s="306">
        <v>0</v>
      </c>
      <c r="G105" s="306">
        <v>0</v>
      </c>
      <c r="H105" s="306">
        <v>0</v>
      </c>
      <c r="I105" s="306">
        <v>0</v>
      </c>
      <c r="J105" s="306">
        <v>0</v>
      </c>
      <c r="K105" s="306"/>
      <c r="L105" s="306" t="s">
        <v>771</v>
      </c>
      <c r="M105" s="306" t="s">
        <v>706</v>
      </c>
      <c r="N105" s="306"/>
      <c r="O105" s="306" t="s">
        <v>1105</v>
      </c>
      <c r="P105" s="306" t="s">
        <v>1106</v>
      </c>
      <c r="Q105" s="306" t="s">
        <v>1107</v>
      </c>
      <c r="R105" s="314" t="s">
        <v>871</v>
      </c>
      <c r="S105" s="306" t="s">
        <v>1108</v>
      </c>
      <c r="T105" s="306" t="s">
        <v>1109</v>
      </c>
      <c r="U105" s="306" t="s">
        <v>355</v>
      </c>
      <c r="V105" s="306" t="s">
        <v>706</v>
      </c>
      <c r="W105" s="306" t="s">
        <v>731</v>
      </c>
      <c r="X105" s="306">
        <f t="shared" si="3"/>
        <v>5</v>
      </c>
    </row>
    <row r="106" spans="1:24" ht="114" customHeight="1" x14ac:dyDescent="0.2">
      <c r="A106" s="215" t="s">
        <v>59</v>
      </c>
      <c r="B106" s="306" t="s">
        <v>1110</v>
      </c>
      <c r="C106" s="306">
        <v>0</v>
      </c>
      <c r="D106" s="306">
        <v>1</v>
      </c>
      <c r="E106" s="306">
        <v>0</v>
      </c>
      <c r="F106" s="306">
        <v>0</v>
      </c>
      <c r="G106" s="306">
        <v>0</v>
      </c>
      <c r="H106" s="306">
        <v>0</v>
      </c>
      <c r="I106" s="306">
        <v>0</v>
      </c>
      <c r="J106" s="306">
        <v>0</v>
      </c>
      <c r="K106" s="306"/>
      <c r="L106" s="306" t="s">
        <v>771</v>
      </c>
      <c r="M106" s="306" t="s">
        <v>706</v>
      </c>
      <c r="N106" s="306"/>
      <c r="O106" s="306"/>
      <c r="P106" s="306" t="s">
        <v>1111</v>
      </c>
      <c r="Q106" s="306" t="s">
        <v>1112</v>
      </c>
      <c r="R106" s="314" t="s">
        <v>871</v>
      </c>
      <c r="S106" s="306" t="s">
        <v>1113</v>
      </c>
      <c r="T106" s="306" t="s">
        <v>1114</v>
      </c>
      <c r="U106" s="306" t="s">
        <v>355</v>
      </c>
      <c r="V106" s="306" t="s">
        <v>706</v>
      </c>
      <c r="W106" s="306" t="s">
        <v>731</v>
      </c>
      <c r="X106" s="306">
        <f t="shared" si="3"/>
        <v>5</v>
      </c>
    </row>
    <row r="107" spans="1:24" ht="85.5" customHeight="1" x14ac:dyDescent="0.2">
      <c r="A107" s="215" t="s">
        <v>60</v>
      </c>
      <c r="B107" s="306" t="s">
        <v>1115</v>
      </c>
      <c r="C107" s="306">
        <v>0</v>
      </c>
      <c r="D107" s="306">
        <v>1</v>
      </c>
      <c r="E107" s="306">
        <v>0</v>
      </c>
      <c r="F107" s="306">
        <v>0</v>
      </c>
      <c r="G107" s="306">
        <v>0</v>
      </c>
      <c r="H107" s="306">
        <v>0</v>
      </c>
      <c r="I107" s="306">
        <v>0</v>
      </c>
      <c r="J107" s="306">
        <v>0</v>
      </c>
      <c r="K107" s="306"/>
      <c r="L107" s="306" t="s">
        <v>771</v>
      </c>
      <c r="M107" s="306" t="s">
        <v>706</v>
      </c>
      <c r="N107" s="306"/>
      <c r="O107" s="306"/>
      <c r="P107" s="306" t="s">
        <v>1116</v>
      </c>
      <c r="Q107" s="306" t="s">
        <v>1117</v>
      </c>
      <c r="R107" s="307" t="s">
        <v>871</v>
      </c>
      <c r="S107" s="306" t="s">
        <v>1118</v>
      </c>
      <c r="T107" s="306" t="s">
        <v>1119</v>
      </c>
      <c r="U107" s="306" t="s">
        <v>355</v>
      </c>
      <c r="V107" s="306" t="s">
        <v>706</v>
      </c>
      <c r="W107" s="306" t="s">
        <v>731</v>
      </c>
      <c r="X107" s="306">
        <f t="shared" si="3"/>
        <v>5</v>
      </c>
    </row>
    <row r="108" spans="1:24" ht="276.75" customHeight="1" x14ac:dyDescent="0.2">
      <c r="A108" s="215" t="s">
        <v>61</v>
      </c>
      <c r="B108" s="306" t="s">
        <v>1120</v>
      </c>
      <c r="C108" s="306">
        <v>0</v>
      </c>
      <c r="D108" s="306">
        <v>1</v>
      </c>
      <c r="E108" s="306">
        <v>0</v>
      </c>
      <c r="F108" s="306">
        <v>0</v>
      </c>
      <c r="G108" s="306">
        <v>0</v>
      </c>
      <c r="H108" s="306">
        <v>0</v>
      </c>
      <c r="I108" s="306">
        <v>0</v>
      </c>
      <c r="J108" s="306">
        <v>0</v>
      </c>
      <c r="K108" s="306"/>
      <c r="L108" s="306" t="s">
        <v>771</v>
      </c>
      <c r="M108" s="306" t="s">
        <v>706</v>
      </c>
      <c r="N108" s="306"/>
      <c r="O108" s="306"/>
      <c r="P108" s="306" t="s">
        <v>1121</v>
      </c>
      <c r="Q108" s="306"/>
      <c r="R108" s="306"/>
      <c r="S108" s="306" t="s">
        <v>1122</v>
      </c>
      <c r="T108" s="306" t="s">
        <v>1123</v>
      </c>
      <c r="U108" s="306" t="s">
        <v>355</v>
      </c>
      <c r="V108" s="306" t="s">
        <v>706</v>
      </c>
      <c r="W108" s="306" t="s">
        <v>731</v>
      </c>
      <c r="X108" s="306">
        <f t="shared" si="3"/>
        <v>5</v>
      </c>
    </row>
    <row r="109" spans="1:24" ht="174" customHeight="1" x14ac:dyDescent="0.2">
      <c r="A109" s="215" t="s">
        <v>62</v>
      </c>
      <c r="B109" s="306" t="s">
        <v>1124</v>
      </c>
      <c r="C109" s="306">
        <v>0</v>
      </c>
      <c r="D109" s="306">
        <v>1</v>
      </c>
      <c r="E109" s="306">
        <v>0</v>
      </c>
      <c r="F109" s="306">
        <v>0</v>
      </c>
      <c r="G109" s="306">
        <v>0</v>
      </c>
      <c r="H109" s="306">
        <v>0</v>
      </c>
      <c r="I109" s="306">
        <v>0</v>
      </c>
      <c r="J109" s="306">
        <v>0</v>
      </c>
      <c r="K109" s="306"/>
      <c r="L109" s="306" t="s">
        <v>771</v>
      </c>
      <c r="M109" s="306" t="s">
        <v>706</v>
      </c>
      <c r="N109" s="306"/>
      <c r="O109" s="306"/>
      <c r="P109" s="306" t="s">
        <v>1125</v>
      </c>
      <c r="Q109" s="306" t="s">
        <v>1126</v>
      </c>
      <c r="R109" s="306"/>
      <c r="S109" s="306" t="s">
        <v>1127</v>
      </c>
      <c r="T109" s="306" t="s">
        <v>1083</v>
      </c>
      <c r="U109" s="306" t="s">
        <v>355</v>
      </c>
      <c r="V109" s="306" t="s">
        <v>706</v>
      </c>
      <c r="W109" s="306" t="s">
        <v>731</v>
      </c>
      <c r="X109" s="306">
        <f t="shared" si="3"/>
        <v>5</v>
      </c>
    </row>
    <row r="110" spans="1:24" ht="156.75" customHeight="1" x14ac:dyDescent="0.2">
      <c r="A110" s="215" t="s">
        <v>63</v>
      </c>
      <c r="B110" s="306" t="s">
        <v>1128</v>
      </c>
      <c r="C110" s="306">
        <v>0</v>
      </c>
      <c r="D110" s="306">
        <v>1</v>
      </c>
      <c r="E110" s="306">
        <v>0</v>
      </c>
      <c r="F110" s="306">
        <v>0</v>
      </c>
      <c r="G110" s="306">
        <v>0</v>
      </c>
      <c r="H110" s="306">
        <v>0</v>
      </c>
      <c r="I110" s="306">
        <v>0</v>
      </c>
      <c r="J110" s="306">
        <v>0</v>
      </c>
      <c r="K110" s="306"/>
      <c r="L110" s="306" t="s">
        <v>771</v>
      </c>
      <c r="M110" s="306" t="s">
        <v>706</v>
      </c>
      <c r="N110" s="306"/>
      <c r="O110" s="306"/>
      <c r="P110" s="306" t="s">
        <v>1129</v>
      </c>
      <c r="Q110" s="306" t="s">
        <v>1130</v>
      </c>
      <c r="R110" s="306"/>
      <c r="S110" s="306" t="s">
        <v>1131</v>
      </c>
      <c r="T110" s="306" t="s">
        <v>1132</v>
      </c>
      <c r="U110" s="306" t="s">
        <v>355</v>
      </c>
      <c r="V110" s="306" t="s">
        <v>706</v>
      </c>
      <c r="W110" s="306" t="s">
        <v>731</v>
      </c>
      <c r="X110" s="306">
        <f t="shared" si="3"/>
        <v>5</v>
      </c>
    </row>
    <row r="111" spans="1:24" ht="213.75" customHeight="1" x14ac:dyDescent="0.2">
      <c r="A111" s="215" t="s">
        <v>64</v>
      </c>
      <c r="B111" s="306" t="s">
        <v>1133</v>
      </c>
      <c r="C111" s="306">
        <v>0</v>
      </c>
      <c r="D111" s="306">
        <v>1</v>
      </c>
      <c r="E111" s="306">
        <v>0</v>
      </c>
      <c r="F111" s="306">
        <v>0</v>
      </c>
      <c r="G111" s="306">
        <v>0</v>
      </c>
      <c r="H111" s="306">
        <v>0</v>
      </c>
      <c r="I111" s="306">
        <v>0</v>
      </c>
      <c r="J111" s="306">
        <v>0</v>
      </c>
      <c r="K111" s="306"/>
      <c r="L111" s="306" t="s">
        <v>771</v>
      </c>
      <c r="M111" s="306" t="s">
        <v>706</v>
      </c>
      <c r="N111" s="306"/>
      <c r="O111" s="306"/>
      <c r="P111" s="306" t="s">
        <v>1134</v>
      </c>
      <c r="Q111" s="306" t="s">
        <v>1135</v>
      </c>
      <c r="R111" s="306"/>
      <c r="S111" s="306" t="s">
        <v>872</v>
      </c>
      <c r="T111" s="306" t="s">
        <v>873</v>
      </c>
      <c r="U111" s="306" t="s">
        <v>355</v>
      </c>
      <c r="V111" s="306" t="s">
        <v>706</v>
      </c>
      <c r="W111" s="306" t="s">
        <v>731</v>
      </c>
      <c r="X111" s="306">
        <f t="shared" si="3"/>
        <v>5</v>
      </c>
    </row>
    <row r="112" spans="1:24" ht="142.5" customHeight="1" x14ac:dyDescent="0.2">
      <c r="A112" s="317" t="s">
        <v>98</v>
      </c>
      <c r="B112" s="317" t="s">
        <v>1136</v>
      </c>
      <c r="C112" s="306">
        <v>0</v>
      </c>
      <c r="D112" s="306">
        <v>0</v>
      </c>
      <c r="E112" s="306">
        <v>1</v>
      </c>
      <c r="F112" s="306">
        <v>0</v>
      </c>
      <c r="G112" s="306">
        <v>0</v>
      </c>
      <c r="H112" s="306">
        <v>0</v>
      </c>
      <c r="I112" s="306">
        <v>0</v>
      </c>
      <c r="J112" s="306">
        <v>0</v>
      </c>
      <c r="K112" s="306"/>
      <c r="L112" s="306" t="s">
        <v>683</v>
      </c>
      <c r="M112" s="306" t="s">
        <v>706</v>
      </c>
      <c r="N112" s="306" t="s">
        <v>908</v>
      </c>
      <c r="O112" s="306"/>
      <c r="P112" s="306"/>
      <c r="Q112" s="306" t="s">
        <v>1137</v>
      </c>
      <c r="R112" s="306"/>
      <c r="S112" s="306" t="s">
        <v>1138</v>
      </c>
      <c r="T112" s="306" t="s">
        <v>1139</v>
      </c>
      <c r="U112" s="306" t="s">
        <v>364</v>
      </c>
      <c r="V112" s="306" t="s">
        <v>706</v>
      </c>
      <c r="W112" s="306" t="s">
        <v>773</v>
      </c>
      <c r="X112" s="306">
        <f t="shared" si="3"/>
        <v>20</v>
      </c>
    </row>
    <row r="113" spans="1:24" ht="114" customHeight="1" x14ac:dyDescent="0.2">
      <c r="A113" s="317" t="s">
        <v>99</v>
      </c>
      <c r="B113" s="317" t="s">
        <v>1140</v>
      </c>
      <c r="C113" s="306">
        <v>0</v>
      </c>
      <c r="D113" s="306">
        <v>0</v>
      </c>
      <c r="E113" s="306">
        <v>1</v>
      </c>
      <c r="F113" s="306">
        <v>0</v>
      </c>
      <c r="G113" s="306">
        <v>0</v>
      </c>
      <c r="H113" s="306">
        <v>0</v>
      </c>
      <c r="I113" s="306">
        <v>0</v>
      </c>
      <c r="J113" s="306">
        <v>1</v>
      </c>
      <c r="K113" s="306"/>
      <c r="L113" s="306" t="s">
        <v>683</v>
      </c>
      <c r="M113" s="306" t="s">
        <v>706</v>
      </c>
      <c r="N113" s="306" t="s">
        <v>908</v>
      </c>
      <c r="O113" s="306"/>
      <c r="P113" s="306" t="s">
        <v>1141</v>
      </c>
      <c r="Q113" s="306" t="s">
        <v>1142</v>
      </c>
      <c r="R113" s="306"/>
      <c r="S113" s="306" t="s">
        <v>1143</v>
      </c>
      <c r="T113" s="306" t="s">
        <v>1144</v>
      </c>
      <c r="U113" s="306" t="s">
        <v>355</v>
      </c>
      <c r="V113" s="306" t="s">
        <v>706</v>
      </c>
      <c r="W113" s="306" t="s">
        <v>773</v>
      </c>
      <c r="X113" s="306">
        <f t="shared" si="3"/>
        <v>20</v>
      </c>
    </row>
    <row r="114" spans="1:24" ht="128.25" customHeight="1" x14ac:dyDescent="0.2">
      <c r="A114" s="317" t="s">
        <v>100</v>
      </c>
      <c r="B114" s="317" t="s">
        <v>1145</v>
      </c>
      <c r="C114" s="306">
        <v>0</v>
      </c>
      <c r="D114" s="306">
        <v>0</v>
      </c>
      <c r="E114" s="306">
        <v>1</v>
      </c>
      <c r="F114" s="306">
        <v>0</v>
      </c>
      <c r="G114" s="306">
        <v>0</v>
      </c>
      <c r="H114" s="306">
        <v>0</v>
      </c>
      <c r="I114" s="306">
        <v>0</v>
      </c>
      <c r="J114" s="306">
        <v>1</v>
      </c>
      <c r="K114" s="306"/>
      <c r="L114" s="306" t="s">
        <v>683</v>
      </c>
      <c r="M114" s="306" t="s">
        <v>706</v>
      </c>
      <c r="N114" s="306" t="s">
        <v>908</v>
      </c>
      <c r="O114" s="306"/>
      <c r="P114" s="306" t="s">
        <v>1146</v>
      </c>
      <c r="Q114" s="306" t="s">
        <v>1147</v>
      </c>
      <c r="R114" s="306"/>
      <c r="S114" s="306" t="s">
        <v>1148</v>
      </c>
      <c r="T114" s="306" t="s">
        <v>1149</v>
      </c>
      <c r="U114" s="306" t="s">
        <v>355</v>
      </c>
      <c r="V114" s="306" t="s">
        <v>706</v>
      </c>
      <c r="W114" s="306" t="s">
        <v>773</v>
      </c>
      <c r="X114" s="306">
        <f t="shared" si="3"/>
        <v>20</v>
      </c>
    </row>
    <row r="115" spans="1:24" ht="185.25" customHeight="1" x14ac:dyDescent="0.2">
      <c r="A115" s="317" t="s">
        <v>101</v>
      </c>
      <c r="B115" s="317" t="s">
        <v>1150</v>
      </c>
      <c r="C115" s="306">
        <v>0</v>
      </c>
      <c r="D115" s="306">
        <v>0</v>
      </c>
      <c r="E115" s="306">
        <v>1</v>
      </c>
      <c r="F115" s="306">
        <v>0</v>
      </c>
      <c r="G115" s="306">
        <v>0</v>
      </c>
      <c r="H115" s="306">
        <v>0</v>
      </c>
      <c r="I115" s="306">
        <v>0</v>
      </c>
      <c r="J115" s="306">
        <v>0</v>
      </c>
      <c r="K115" s="306"/>
      <c r="L115" s="306" t="s">
        <v>683</v>
      </c>
      <c r="M115" s="306" t="s">
        <v>706</v>
      </c>
      <c r="N115" s="306" t="s">
        <v>908</v>
      </c>
      <c r="O115" s="306"/>
      <c r="P115" s="306" t="s">
        <v>1151</v>
      </c>
      <c r="Q115" s="306" t="s">
        <v>1152</v>
      </c>
      <c r="R115" s="306"/>
      <c r="S115" s="306" t="s">
        <v>1153</v>
      </c>
      <c r="T115" s="306" t="s">
        <v>1154</v>
      </c>
      <c r="U115" s="306" t="s">
        <v>355</v>
      </c>
      <c r="V115" s="306" t="s">
        <v>706</v>
      </c>
      <c r="W115" s="306" t="s">
        <v>773</v>
      </c>
      <c r="X115" s="306">
        <f t="shared" si="3"/>
        <v>20</v>
      </c>
    </row>
    <row r="116" spans="1:24" ht="156.75" customHeight="1" x14ac:dyDescent="0.2">
      <c r="A116" s="317" t="s">
        <v>102</v>
      </c>
      <c r="B116" s="317" t="s">
        <v>1155</v>
      </c>
      <c r="C116" s="306">
        <v>0</v>
      </c>
      <c r="D116" s="306">
        <v>0</v>
      </c>
      <c r="E116" s="306">
        <v>1</v>
      </c>
      <c r="F116" s="306">
        <v>0</v>
      </c>
      <c r="G116" s="306">
        <v>0</v>
      </c>
      <c r="H116" s="306">
        <v>0</v>
      </c>
      <c r="I116" s="306">
        <v>0</v>
      </c>
      <c r="J116" s="306">
        <v>1</v>
      </c>
      <c r="K116" s="306"/>
      <c r="L116" s="306" t="s">
        <v>683</v>
      </c>
      <c r="M116" s="306" t="s">
        <v>706</v>
      </c>
      <c r="N116" s="306" t="s">
        <v>908</v>
      </c>
      <c r="O116" s="306"/>
      <c r="P116" s="306" t="s">
        <v>1156</v>
      </c>
      <c r="Q116" s="306" t="s">
        <v>1157</v>
      </c>
      <c r="R116" s="306"/>
      <c r="S116" s="306" t="s">
        <v>1158</v>
      </c>
      <c r="T116" s="306" t="s">
        <v>1159</v>
      </c>
      <c r="U116" s="306" t="s">
        <v>355</v>
      </c>
      <c r="V116" s="306" t="s">
        <v>706</v>
      </c>
      <c r="W116" s="306" t="s">
        <v>773</v>
      </c>
      <c r="X116" s="306">
        <f t="shared" si="3"/>
        <v>20</v>
      </c>
    </row>
    <row r="117" spans="1:24" ht="128.25" customHeight="1" x14ac:dyDescent="0.2">
      <c r="A117" s="317" t="s">
        <v>103</v>
      </c>
      <c r="B117" s="317" t="s">
        <v>1160</v>
      </c>
      <c r="C117" s="306">
        <v>0</v>
      </c>
      <c r="D117" s="306">
        <v>0</v>
      </c>
      <c r="E117" s="306">
        <v>1</v>
      </c>
      <c r="F117" s="306">
        <v>0</v>
      </c>
      <c r="G117" s="306">
        <v>0</v>
      </c>
      <c r="H117" s="306">
        <v>0</v>
      </c>
      <c r="I117" s="306">
        <v>0</v>
      </c>
      <c r="J117" s="306">
        <v>1</v>
      </c>
      <c r="K117" s="306"/>
      <c r="L117" s="306" t="s">
        <v>683</v>
      </c>
      <c r="M117" s="306" t="s">
        <v>706</v>
      </c>
      <c r="N117" s="306" t="s">
        <v>908</v>
      </c>
      <c r="O117" s="306"/>
      <c r="P117" s="306" t="s">
        <v>1161</v>
      </c>
      <c r="Q117" s="306" t="s">
        <v>1162</v>
      </c>
      <c r="R117" s="306"/>
      <c r="S117" s="306" t="s">
        <v>1163</v>
      </c>
      <c r="T117" s="306" t="s">
        <v>1164</v>
      </c>
      <c r="U117" s="306" t="s">
        <v>355</v>
      </c>
      <c r="V117" s="306" t="s">
        <v>706</v>
      </c>
      <c r="W117" s="306" t="s">
        <v>773</v>
      </c>
      <c r="X117" s="306">
        <f t="shared" si="3"/>
        <v>20</v>
      </c>
    </row>
    <row r="118" spans="1:24" ht="185.25" customHeight="1" x14ac:dyDescent="0.2">
      <c r="A118" s="317" t="s">
        <v>104</v>
      </c>
      <c r="B118" s="317" t="s">
        <v>1165</v>
      </c>
      <c r="C118" s="306">
        <v>0</v>
      </c>
      <c r="D118" s="306">
        <v>0</v>
      </c>
      <c r="E118" s="306">
        <v>1</v>
      </c>
      <c r="F118" s="306">
        <v>0</v>
      </c>
      <c r="G118" s="306">
        <v>0</v>
      </c>
      <c r="H118" s="306">
        <v>0</v>
      </c>
      <c r="I118" s="306">
        <v>0</v>
      </c>
      <c r="J118" s="306">
        <v>0</v>
      </c>
      <c r="K118" s="306"/>
      <c r="L118" s="306" t="s">
        <v>683</v>
      </c>
      <c r="M118" s="306" t="s">
        <v>706</v>
      </c>
      <c r="N118" s="306" t="s">
        <v>908</v>
      </c>
      <c r="O118" s="306"/>
      <c r="P118" s="306"/>
      <c r="Q118" s="306" t="s">
        <v>1166</v>
      </c>
      <c r="R118" s="306"/>
      <c r="S118" s="306" t="s">
        <v>1167</v>
      </c>
      <c r="T118" s="306" t="s">
        <v>1168</v>
      </c>
      <c r="U118" s="306" t="s">
        <v>364</v>
      </c>
      <c r="V118" s="306" t="s">
        <v>706</v>
      </c>
      <c r="W118" s="306" t="s">
        <v>773</v>
      </c>
      <c r="X118" s="306">
        <f t="shared" si="3"/>
        <v>20</v>
      </c>
    </row>
    <row r="119" spans="1:24" ht="156.75" customHeight="1" x14ac:dyDescent="0.2">
      <c r="A119" s="317" t="s">
        <v>105</v>
      </c>
      <c r="B119" s="317" t="s">
        <v>1169</v>
      </c>
      <c r="C119" s="306">
        <v>0</v>
      </c>
      <c r="D119" s="306">
        <v>0</v>
      </c>
      <c r="E119" s="306">
        <v>1</v>
      </c>
      <c r="F119" s="306">
        <v>0</v>
      </c>
      <c r="G119" s="306">
        <v>0</v>
      </c>
      <c r="H119" s="306">
        <v>0</v>
      </c>
      <c r="I119" s="306">
        <v>0</v>
      </c>
      <c r="J119" s="306">
        <v>0</v>
      </c>
      <c r="K119" s="306"/>
      <c r="L119" s="306" t="s">
        <v>683</v>
      </c>
      <c r="M119" s="306" t="s">
        <v>706</v>
      </c>
      <c r="N119" s="306" t="s">
        <v>908</v>
      </c>
      <c r="O119" s="306"/>
      <c r="P119" s="306" t="s">
        <v>1170</v>
      </c>
      <c r="Q119" s="306" t="s">
        <v>1171</v>
      </c>
      <c r="R119" s="306"/>
      <c r="S119" s="306" t="s">
        <v>1172</v>
      </c>
      <c r="T119" s="306" t="s">
        <v>1173</v>
      </c>
      <c r="U119" s="306" t="s">
        <v>355</v>
      </c>
      <c r="V119" s="306" t="s">
        <v>706</v>
      </c>
      <c r="W119" s="306" t="s">
        <v>773</v>
      </c>
      <c r="X119" s="306">
        <f t="shared" si="3"/>
        <v>20</v>
      </c>
    </row>
    <row r="120" spans="1:24" ht="156.75" customHeight="1" x14ac:dyDescent="0.2">
      <c r="A120" s="306" t="s">
        <v>106</v>
      </c>
      <c r="B120" s="306" t="s">
        <v>1174</v>
      </c>
      <c r="C120" s="306">
        <v>0</v>
      </c>
      <c r="D120" s="306">
        <v>0</v>
      </c>
      <c r="E120" s="306">
        <v>1</v>
      </c>
      <c r="F120" s="306">
        <v>0</v>
      </c>
      <c r="G120" s="306">
        <v>0</v>
      </c>
      <c r="H120" s="306">
        <v>0</v>
      </c>
      <c r="I120" s="306">
        <v>0</v>
      </c>
      <c r="J120" s="306">
        <v>1</v>
      </c>
      <c r="K120" s="306"/>
      <c r="L120" s="306" t="s">
        <v>683</v>
      </c>
      <c r="M120" s="306" t="s">
        <v>706</v>
      </c>
      <c r="N120" s="306" t="s">
        <v>908</v>
      </c>
      <c r="O120" s="306" t="s">
        <v>1175</v>
      </c>
      <c r="P120" s="306" t="s">
        <v>1176</v>
      </c>
      <c r="Q120" s="306" t="s">
        <v>1157</v>
      </c>
      <c r="R120" s="306"/>
      <c r="S120" s="306" t="s">
        <v>1177</v>
      </c>
      <c r="T120" s="306" t="s">
        <v>1159</v>
      </c>
      <c r="U120" s="306" t="s">
        <v>355</v>
      </c>
      <c r="V120" s="306" t="s">
        <v>706</v>
      </c>
      <c r="W120" s="306" t="s">
        <v>722</v>
      </c>
      <c r="X120" s="306">
        <f t="shared" si="3"/>
        <v>10</v>
      </c>
    </row>
    <row r="121" spans="1:24" ht="171" customHeight="1" x14ac:dyDescent="0.2">
      <c r="A121" s="306" t="s">
        <v>107</v>
      </c>
      <c r="B121" s="306" t="s">
        <v>1178</v>
      </c>
      <c r="C121" s="306">
        <v>0</v>
      </c>
      <c r="D121" s="306">
        <v>0</v>
      </c>
      <c r="E121" s="306">
        <v>1</v>
      </c>
      <c r="F121" s="306">
        <v>0</v>
      </c>
      <c r="G121" s="306">
        <v>0</v>
      </c>
      <c r="H121" s="306">
        <v>0</v>
      </c>
      <c r="I121" s="306">
        <v>0</v>
      </c>
      <c r="J121" s="306">
        <v>1</v>
      </c>
      <c r="K121" s="306"/>
      <c r="L121" s="306" t="s">
        <v>683</v>
      </c>
      <c r="M121" s="306" t="s">
        <v>706</v>
      </c>
      <c r="N121" s="306" t="s">
        <v>908</v>
      </c>
      <c r="O121" s="306"/>
      <c r="P121" s="306" t="s">
        <v>1179</v>
      </c>
      <c r="Q121" s="306" t="s">
        <v>1180</v>
      </c>
      <c r="R121" s="306"/>
      <c r="S121" s="306" t="s">
        <v>1181</v>
      </c>
      <c r="T121" s="306" t="s">
        <v>1159</v>
      </c>
      <c r="U121" s="306" t="s">
        <v>355</v>
      </c>
      <c r="V121" s="306" t="s">
        <v>706</v>
      </c>
      <c r="W121" s="306" t="s">
        <v>722</v>
      </c>
      <c r="X121" s="306">
        <f t="shared" si="3"/>
        <v>10</v>
      </c>
    </row>
    <row r="122" spans="1:24" ht="114" customHeight="1" x14ac:dyDescent="0.2">
      <c r="A122" s="306" t="s">
        <v>108</v>
      </c>
      <c r="B122" s="306" t="s">
        <v>1182</v>
      </c>
      <c r="C122" s="306">
        <v>0</v>
      </c>
      <c r="D122" s="306">
        <v>0</v>
      </c>
      <c r="E122" s="306">
        <v>1</v>
      </c>
      <c r="F122" s="306">
        <v>0</v>
      </c>
      <c r="G122" s="306">
        <v>0</v>
      </c>
      <c r="H122" s="306">
        <v>0</v>
      </c>
      <c r="I122" s="306">
        <v>0</v>
      </c>
      <c r="J122" s="306">
        <v>1</v>
      </c>
      <c r="K122" s="306"/>
      <c r="L122" s="306" t="s">
        <v>683</v>
      </c>
      <c r="M122" s="306" t="s">
        <v>706</v>
      </c>
      <c r="N122" s="306" t="s">
        <v>908</v>
      </c>
      <c r="O122" s="306"/>
      <c r="P122" s="306" t="s">
        <v>1183</v>
      </c>
      <c r="Q122" s="306" t="s">
        <v>1184</v>
      </c>
      <c r="R122" s="307" t="s">
        <v>871</v>
      </c>
      <c r="S122" s="306" t="s">
        <v>1185</v>
      </c>
      <c r="T122" s="306" t="s">
        <v>1186</v>
      </c>
      <c r="U122" s="306" t="s">
        <v>355</v>
      </c>
      <c r="V122" s="306" t="s">
        <v>706</v>
      </c>
      <c r="W122" s="306" t="s">
        <v>722</v>
      </c>
      <c r="X122" s="306">
        <f t="shared" si="3"/>
        <v>10</v>
      </c>
    </row>
    <row r="123" spans="1:24" ht="185.25" customHeight="1" x14ac:dyDescent="0.2">
      <c r="A123" s="306" t="s">
        <v>109</v>
      </c>
      <c r="B123" s="306" t="s">
        <v>1187</v>
      </c>
      <c r="C123" s="306">
        <v>0</v>
      </c>
      <c r="D123" s="306">
        <v>0</v>
      </c>
      <c r="E123" s="306">
        <v>1</v>
      </c>
      <c r="F123" s="306">
        <v>0</v>
      </c>
      <c r="G123" s="306">
        <v>0</v>
      </c>
      <c r="H123" s="306">
        <v>0</v>
      </c>
      <c r="I123" s="306">
        <v>0</v>
      </c>
      <c r="J123" s="306">
        <v>1</v>
      </c>
      <c r="K123" s="306"/>
      <c r="L123" s="306" t="s">
        <v>683</v>
      </c>
      <c r="M123" s="306" t="s">
        <v>706</v>
      </c>
      <c r="N123" s="306" t="s">
        <v>908</v>
      </c>
      <c r="O123" s="306"/>
      <c r="P123" s="306" t="s">
        <v>1188</v>
      </c>
      <c r="Q123" s="306" t="s">
        <v>1189</v>
      </c>
      <c r="R123" s="306"/>
      <c r="S123" s="306" t="s">
        <v>1190</v>
      </c>
      <c r="T123" s="306" t="s">
        <v>1191</v>
      </c>
      <c r="U123" s="306" t="s">
        <v>355</v>
      </c>
      <c r="V123" s="306" t="s">
        <v>706</v>
      </c>
      <c r="W123" s="306" t="s">
        <v>722</v>
      </c>
      <c r="X123" s="306">
        <f t="shared" si="3"/>
        <v>10</v>
      </c>
    </row>
    <row r="124" spans="1:24" ht="148.5" customHeight="1" x14ac:dyDescent="0.2">
      <c r="A124" s="306" t="s">
        <v>110</v>
      </c>
      <c r="B124" s="306" t="s">
        <v>1192</v>
      </c>
      <c r="C124" s="306">
        <v>0</v>
      </c>
      <c r="D124" s="306">
        <v>0</v>
      </c>
      <c r="E124" s="306">
        <v>1</v>
      </c>
      <c r="F124" s="306">
        <v>0</v>
      </c>
      <c r="G124" s="306">
        <v>0</v>
      </c>
      <c r="H124" s="306">
        <v>0</v>
      </c>
      <c r="I124" s="306">
        <v>0</v>
      </c>
      <c r="J124" s="306">
        <v>1</v>
      </c>
      <c r="K124" s="306"/>
      <c r="L124" s="306" t="s">
        <v>683</v>
      </c>
      <c r="M124" s="306" t="s">
        <v>706</v>
      </c>
      <c r="N124" s="306" t="s">
        <v>908</v>
      </c>
      <c r="O124" s="306"/>
      <c r="P124" s="306" t="s">
        <v>1193</v>
      </c>
      <c r="Q124" s="306" t="s">
        <v>1194</v>
      </c>
      <c r="R124" s="306"/>
      <c r="S124" s="306" t="s">
        <v>1195</v>
      </c>
      <c r="T124" s="306" t="s">
        <v>1196</v>
      </c>
      <c r="U124" s="306" t="s">
        <v>355</v>
      </c>
      <c r="V124" s="306" t="s">
        <v>706</v>
      </c>
      <c r="W124" s="306" t="s">
        <v>722</v>
      </c>
      <c r="X124" s="306">
        <f t="shared" si="3"/>
        <v>10</v>
      </c>
    </row>
    <row r="125" spans="1:24" ht="147" customHeight="1" x14ac:dyDescent="0.2">
      <c r="A125" s="306" t="s">
        <v>111</v>
      </c>
      <c r="B125" s="306" t="s">
        <v>1197</v>
      </c>
      <c r="C125" s="306">
        <v>0</v>
      </c>
      <c r="D125" s="306">
        <v>0</v>
      </c>
      <c r="E125" s="306">
        <v>1</v>
      </c>
      <c r="F125" s="306">
        <v>0</v>
      </c>
      <c r="G125" s="306">
        <v>0</v>
      </c>
      <c r="H125" s="306">
        <v>0</v>
      </c>
      <c r="I125" s="306">
        <v>0</v>
      </c>
      <c r="J125" s="306">
        <v>1</v>
      </c>
      <c r="K125" s="306"/>
      <c r="L125" s="306" t="s">
        <v>683</v>
      </c>
      <c r="M125" s="306" t="s">
        <v>706</v>
      </c>
      <c r="N125" s="306" t="s">
        <v>908</v>
      </c>
      <c r="O125" s="306"/>
      <c r="P125" s="306" t="s">
        <v>1198</v>
      </c>
      <c r="Q125" s="306" t="s">
        <v>1199</v>
      </c>
      <c r="R125" s="306"/>
      <c r="S125" s="306" t="s">
        <v>1200</v>
      </c>
      <c r="T125" s="306" t="s">
        <v>1201</v>
      </c>
      <c r="U125" s="306" t="s">
        <v>355</v>
      </c>
      <c r="V125" s="306" t="s">
        <v>706</v>
      </c>
      <c r="W125" s="306" t="s">
        <v>731</v>
      </c>
      <c r="X125" s="306">
        <f t="shared" si="3"/>
        <v>5</v>
      </c>
    </row>
    <row r="126" spans="1:24" ht="156.75" customHeight="1" x14ac:dyDescent="0.2">
      <c r="A126" s="306" t="s">
        <v>112</v>
      </c>
      <c r="B126" s="306" t="s">
        <v>1202</v>
      </c>
      <c r="C126" s="306">
        <v>0</v>
      </c>
      <c r="D126" s="306">
        <v>0</v>
      </c>
      <c r="E126" s="306">
        <v>1</v>
      </c>
      <c r="F126" s="306">
        <v>0</v>
      </c>
      <c r="G126" s="306">
        <v>0</v>
      </c>
      <c r="H126" s="306">
        <v>0</v>
      </c>
      <c r="I126" s="306">
        <v>0</v>
      </c>
      <c r="J126" s="306">
        <v>0</v>
      </c>
      <c r="K126" s="306"/>
      <c r="L126" s="306" t="s">
        <v>683</v>
      </c>
      <c r="M126" s="306" t="s">
        <v>706</v>
      </c>
      <c r="N126" s="306" t="s">
        <v>908</v>
      </c>
      <c r="O126" s="306"/>
      <c r="P126" s="306" t="s">
        <v>1203</v>
      </c>
      <c r="Q126" s="306" t="s">
        <v>1204</v>
      </c>
      <c r="R126" s="306"/>
      <c r="S126" s="306" t="s">
        <v>1172</v>
      </c>
      <c r="T126" s="306" t="s">
        <v>1173</v>
      </c>
      <c r="U126" s="306" t="s">
        <v>355</v>
      </c>
      <c r="V126" s="306" t="s">
        <v>706</v>
      </c>
      <c r="W126" s="306" t="s">
        <v>722</v>
      </c>
      <c r="X126" s="306">
        <f t="shared" si="3"/>
        <v>10</v>
      </c>
    </row>
    <row r="127" spans="1:24" ht="156.75" customHeight="1" x14ac:dyDescent="0.2">
      <c r="A127" s="306" t="s">
        <v>113</v>
      </c>
      <c r="B127" s="306" t="s">
        <v>1205</v>
      </c>
      <c r="C127" s="306">
        <v>0</v>
      </c>
      <c r="D127" s="306">
        <v>0</v>
      </c>
      <c r="E127" s="306">
        <v>1</v>
      </c>
      <c r="F127" s="306">
        <v>0</v>
      </c>
      <c r="G127" s="306">
        <v>0</v>
      </c>
      <c r="H127" s="306">
        <v>0</v>
      </c>
      <c r="I127" s="306">
        <v>0</v>
      </c>
      <c r="J127" s="306">
        <v>0</v>
      </c>
      <c r="K127" s="306"/>
      <c r="L127" s="306" t="s">
        <v>683</v>
      </c>
      <c r="M127" s="306" t="s">
        <v>706</v>
      </c>
      <c r="N127" s="306" t="s">
        <v>908</v>
      </c>
      <c r="O127" s="306"/>
      <c r="P127" s="306" t="s">
        <v>1206</v>
      </c>
      <c r="Q127" s="306"/>
      <c r="R127" s="306"/>
      <c r="S127" s="306" t="s">
        <v>1172</v>
      </c>
      <c r="T127" s="306" t="s">
        <v>1207</v>
      </c>
      <c r="U127" s="306" t="s">
        <v>355</v>
      </c>
      <c r="V127" s="306" t="s">
        <v>706</v>
      </c>
      <c r="W127" s="306" t="s">
        <v>722</v>
      </c>
      <c r="X127" s="306">
        <f t="shared" si="3"/>
        <v>10</v>
      </c>
    </row>
    <row r="128" spans="1:24" ht="185.25" customHeight="1" x14ac:dyDescent="0.2">
      <c r="A128" s="306" t="s">
        <v>114</v>
      </c>
      <c r="B128" s="306" t="s">
        <v>1208</v>
      </c>
      <c r="C128" s="306">
        <v>0</v>
      </c>
      <c r="D128" s="306">
        <v>0</v>
      </c>
      <c r="E128" s="306">
        <v>1</v>
      </c>
      <c r="F128" s="306">
        <v>0</v>
      </c>
      <c r="G128" s="306">
        <v>0</v>
      </c>
      <c r="H128" s="306">
        <v>0</v>
      </c>
      <c r="I128" s="306">
        <v>0</v>
      </c>
      <c r="J128" s="306">
        <v>1</v>
      </c>
      <c r="K128" s="306"/>
      <c r="L128" s="306" t="s">
        <v>683</v>
      </c>
      <c r="M128" s="306" t="s">
        <v>706</v>
      </c>
      <c r="N128" s="306" t="s">
        <v>908</v>
      </c>
      <c r="O128" s="306"/>
      <c r="P128" s="306"/>
      <c r="Q128" s="306" t="s">
        <v>1209</v>
      </c>
      <c r="R128" s="306"/>
      <c r="S128" s="306" t="s">
        <v>1210</v>
      </c>
      <c r="T128" s="306" t="s">
        <v>1211</v>
      </c>
      <c r="U128" s="306" t="s">
        <v>364</v>
      </c>
      <c r="V128" s="306" t="s">
        <v>706</v>
      </c>
      <c r="W128" s="306" t="s">
        <v>722</v>
      </c>
      <c r="X128" s="306">
        <f t="shared" si="3"/>
        <v>10</v>
      </c>
    </row>
    <row r="129" spans="1:24" ht="409" customHeight="1" x14ac:dyDescent="0.2">
      <c r="A129" s="306" t="s">
        <v>115</v>
      </c>
      <c r="B129" s="306" t="s">
        <v>1212</v>
      </c>
      <c r="C129" s="306">
        <v>0</v>
      </c>
      <c r="D129" s="306">
        <v>0</v>
      </c>
      <c r="E129" s="306">
        <v>1</v>
      </c>
      <c r="F129" s="306">
        <v>0</v>
      </c>
      <c r="G129" s="306">
        <v>0</v>
      </c>
      <c r="H129" s="306">
        <v>0</v>
      </c>
      <c r="I129" s="306">
        <v>0</v>
      </c>
      <c r="J129" s="306">
        <v>0</v>
      </c>
      <c r="K129" s="306"/>
      <c r="L129" s="306" t="s">
        <v>683</v>
      </c>
      <c r="M129" s="306" t="s">
        <v>706</v>
      </c>
      <c r="N129" s="306" t="s">
        <v>908</v>
      </c>
      <c r="O129" s="306"/>
      <c r="P129" s="306"/>
      <c r="Q129" s="306" t="s">
        <v>1213</v>
      </c>
      <c r="R129" s="306"/>
      <c r="S129" s="306" t="s">
        <v>1214</v>
      </c>
      <c r="T129" s="306" t="s">
        <v>1215</v>
      </c>
      <c r="U129" s="306" t="s">
        <v>355</v>
      </c>
      <c r="V129" s="306" t="s">
        <v>706</v>
      </c>
      <c r="W129" s="306" t="s">
        <v>722</v>
      </c>
      <c r="X129" s="306">
        <f t="shared" si="3"/>
        <v>10</v>
      </c>
    </row>
    <row r="130" spans="1:24" ht="294" customHeight="1" x14ac:dyDescent="0.2">
      <c r="A130" s="306" t="s">
        <v>116</v>
      </c>
      <c r="B130" s="306" t="s">
        <v>1216</v>
      </c>
      <c r="C130" s="306">
        <v>0</v>
      </c>
      <c r="D130" s="306">
        <v>0</v>
      </c>
      <c r="E130" s="306">
        <v>1</v>
      </c>
      <c r="F130" s="306">
        <v>0</v>
      </c>
      <c r="G130" s="306">
        <v>0</v>
      </c>
      <c r="H130" s="306">
        <v>0</v>
      </c>
      <c r="I130" s="306">
        <v>0</v>
      </c>
      <c r="J130" s="306">
        <v>0</v>
      </c>
      <c r="K130" s="306"/>
      <c r="L130" s="306" t="s">
        <v>683</v>
      </c>
      <c r="M130" s="306" t="s">
        <v>706</v>
      </c>
      <c r="N130" s="306" t="s">
        <v>908</v>
      </c>
      <c r="O130" s="306"/>
      <c r="P130" s="306" t="s">
        <v>1217</v>
      </c>
      <c r="Q130" s="306" t="s">
        <v>1218</v>
      </c>
      <c r="R130" s="306"/>
      <c r="S130" s="306" t="s">
        <v>1219</v>
      </c>
      <c r="T130" s="306" t="s">
        <v>1220</v>
      </c>
      <c r="U130" s="306" t="s">
        <v>355</v>
      </c>
      <c r="V130" s="306" t="s">
        <v>706</v>
      </c>
      <c r="W130" s="306" t="s">
        <v>731</v>
      </c>
      <c r="X130" s="306">
        <f t="shared" si="3"/>
        <v>5</v>
      </c>
    </row>
    <row r="131" spans="1:24" ht="220.5" customHeight="1" x14ac:dyDescent="0.2">
      <c r="A131" s="306" t="s">
        <v>117</v>
      </c>
      <c r="B131" s="306" t="s">
        <v>1221</v>
      </c>
      <c r="C131" s="306">
        <v>0</v>
      </c>
      <c r="D131" s="306">
        <v>0</v>
      </c>
      <c r="E131" s="306">
        <v>1</v>
      </c>
      <c r="F131" s="306">
        <v>0</v>
      </c>
      <c r="G131" s="306">
        <v>0</v>
      </c>
      <c r="H131" s="306">
        <v>0</v>
      </c>
      <c r="I131" s="306">
        <v>0</v>
      </c>
      <c r="J131" s="306">
        <v>1</v>
      </c>
      <c r="K131" s="306"/>
      <c r="L131" s="306" t="s">
        <v>683</v>
      </c>
      <c r="M131" s="306" t="s">
        <v>706</v>
      </c>
      <c r="N131" s="306" t="s">
        <v>908</v>
      </c>
      <c r="O131" s="306"/>
      <c r="P131" s="306" t="s">
        <v>1222</v>
      </c>
      <c r="Q131" s="306" t="s">
        <v>1223</v>
      </c>
      <c r="R131" s="306"/>
      <c r="S131" s="306" t="s">
        <v>1224</v>
      </c>
      <c r="T131" s="306" t="s">
        <v>1164</v>
      </c>
      <c r="U131" s="306" t="s">
        <v>355</v>
      </c>
      <c r="V131" s="306" t="s">
        <v>706</v>
      </c>
      <c r="W131" s="306" t="s">
        <v>731</v>
      </c>
      <c r="X131" s="306">
        <f t="shared" si="3"/>
        <v>5</v>
      </c>
    </row>
    <row r="132" spans="1:24" ht="128.25" customHeight="1" x14ac:dyDescent="0.2">
      <c r="A132" s="306" t="s">
        <v>118</v>
      </c>
      <c r="B132" s="306" t="s">
        <v>1225</v>
      </c>
      <c r="C132" s="306">
        <v>0</v>
      </c>
      <c r="D132" s="306">
        <v>0</v>
      </c>
      <c r="E132" s="306">
        <v>1</v>
      </c>
      <c r="F132" s="306">
        <v>0</v>
      </c>
      <c r="G132" s="306">
        <v>0</v>
      </c>
      <c r="H132" s="306">
        <v>0</v>
      </c>
      <c r="I132" s="306">
        <v>0</v>
      </c>
      <c r="J132" s="306">
        <v>1</v>
      </c>
      <c r="K132" s="306"/>
      <c r="L132" s="306" t="s">
        <v>683</v>
      </c>
      <c r="M132" s="306" t="s">
        <v>706</v>
      </c>
      <c r="N132" s="306" t="s">
        <v>908</v>
      </c>
      <c r="O132" s="306"/>
      <c r="P132" s="306" t="s">
        <v>1226</v>
      </c>
      <c r="Q132" s="306" t="s">
        <v>1227</v>
      </c>
      <c r="R132" s="306"/>
      <c r="S132" s="306" t="s">
        <v>1163</v>
      </c>
      <c r="T132" s="306" t="s">
        <v>1164</v>
      </c>
      <c r="U132" s="306" t="s">
        <v>355</v>
      </c>
      <c r="V132" s="306" t="s">
        <v>706</v>
      </c>
      <c r="W132" s="306" t="s">
        <v>731</v>
      </c>
      <c r="X132" s="306">
        <f t="shared" si="3"/>
        <v>5</v>
      </c>
    </row>
    <row r="133" spans="1:24" ht="185.25" customHeight="1" x14ac:dyDescent="0.2">
      <c r="A133" s="306" t="s">
        <v>119</v>
      </c>
      <c r="B133" s="306" t="s">
        <v>1228</v>
      </c>
      <c r="C133" s="306">
        <v>0</v>
      </c>
      <c r="D133" s="306">
        <v>0</v>
      </c>
      <c r="E133" s="306">
        <v>1</v>
      </c>
      <c r="F133" s="306">
        <v>0</v>
      </c>
      <c r="G133" s="306">
        <v>0</v>
      </c>
      <c r="H133" s="306">
        <v>0</v>
      </c>
      <c r="I133" s="306">
        <v>0</v>
      </c>
      <c r="J133" s="306">
        <v>1</v>
      </c>
      <c r="K133" s="306"/>
      <c r="L133" s="306" t="s">
        <v>683</v>
      </c>
      <c r="M133" s="306" t="s">
        <v>706</v>
      </c>
      <c r="N133" s="306" t="s">
        <v>908</v>
      </c>
      <c r="O133" s="306" t="s">
        <v>1229</v>
      </c>
      <c r="P133" s="306" t="s">
        <v>1230</v>
      </c>
      <c r="Q133" s="306" t="s">
        <v>1231</v>
      </c>
      <c r="R133" s="306"/>
      <c r="S133" s="306" t="s">
        <v>1232</v>
      </c>
      <c r="T133" s="306" t="s">
        <v>1233</v>
      </c>
      <c r="U133" s="306" t="s">
        <v>355</v>
      </c>
      <c r="V133" s="306" t="s">
        <v>706</v>
      </c>
      <c r="W133" s="306" t="s">
        <v>731</v>
      </c>
      <c r="X133" s="306">
        <f t="shared" si="3"/>
        <v>5</v>
      </c>
    </row>
    <row r="134" spans="1:24" ht="242.25" customHeight="1" x14ac:dyDescent="0.2">
      <c r="A134" s="306" t="s">
        <v>120</v>
      </c>
      <c r="B134" s="306" t="s">
        <v>1234</v>
      </c>
      <c r="C134" s="306">
        <v>0</v>
      </c>
      <c r="D134" s="306">
        <v>0</v>
      </c>
      <c r="E134" s="306">
        <v>1</v>
      </c>
      <c r="F134" s="306">
        <v>0</v>
      </c>
      <c r="G134" s="306">
        <v>0</v>
      </c>
      <c r="H134" s="306">
        <v>0</v>
      </c>
      <c r="I134" s="306">
        <v>0</v>
      </c>
      <c r="J134" s="306">
        <v>0</v>
      </c>
      <c r="K134" s="306"/>
      <c r="L134" s="306" t="s">
        <v>683</v>
      </c>
      <c r="M134" s="306" t="s">
        <v>706</v>
      </c>
      <c r="N134" s="306" t="s">
        <v>908</v>
      </c>
      <c r="O134" s="306" t="s">
        <v>1235</v>
      </c>
      <c r="P134" s="306" t="s">
        <v>1235</v>
      </c>
      <c r="Q134" s="306" t="s">
        <v>1235</v>
      </c>
      <c r="R134" s="306"/>
      <c r="S134" s="306" t="s">
        <v>1236</v>
      </c>
      <c r="T134" s="306" t="s">
        <v>1237</v>
      </c>
      <c r="U134" s="306" t="s">
        <v>355</v>
      </c>
      <c r="V134" s="306" t="s">
        <v>706</v>
      </c>
      <c r="W134" s="306" t="s">
        <v>731</v>
      </c>
      <c r="X134" s="306">
        <f t="shared" si="3"/>
        <v>5</v>
      </c>
    </row>
    <row r="135" spans="1:24" ht="256.5" customHeight="1" x14ac:dyDescent="0.2">
      <c r="A135" s="215" t="s">
        <v>135</v>
      </c>
      <c r="B135" s="306" t="s">
        <v>1238</v>
      </c>
      <c r="C135" s="306">
        <v>0</v>
      </c>
      <c r="D135" s="306">
        <v>0</v>
      </c>
      <c r="E135" s="306">
        <v>0</v>
      </c>
      <c r="F135" s="306">
        <v>1</v>
      </c>
      <c r="G135" s="306">
        <v>0</v>
      </c>
      <c r="H135" s="306">
        <v>0</v>
      </c>
      <c r="I135" s="306">
        <v>0</v>
      </c>
      <c r="J135" s="306">
        <v>1</v>
      </c>
      <c r="K135" s="306"/>
      <c r="L135" s="306" t="s">
        <v>704</v>
      </c>
      <c r="M135" s="306" t="s">
        <v>706</v>
      </c>
      <c r="N135" s="306" t="s">
        <v>1239</v>
      </c>
      <c r="O135" s="306" t="s">
        <v>1240</v>
      </c>
      <c r="P135" s="306" t="s">
        <v>1240</v>
      </c>
      <c r="Q135" s="306" t="s">
        <v>1240</v>
      </c>
      <c r="R135" s="306"/>
      <c r="S135" s="306" t="s">
        <v>1241</v>
      </c>
      <c r="T135" s="306" t="s">
        <v>1242</v>
      </c>
      <c r="U135" s="306" t="s">
        <v>704</v>
      </c>
      <c r="V135" s="306" t="s">
        <v>706</v>
      </c>
      <c r="W135" s="306"/>
      <c r="X135" s="306"/>
    </row>
    <row r="136" spans="1:24" ht="409.5" customHeight="1" x14ac:dyDescent="0.2">
      <c r="A136" s="306" t="s">
        <v>136</v>
      </c>
      <c r="B136" s="306" t="s">
        <v>1243</v>
      </c>
      <c r="C136" s="306">
        <v>0</v>
      </c>
      <c r="D136" s="306">
        <v>0</v>
      </c>
      <c r="E136" s="306">
        <v>0</v>
      </c>
      <c r="F136" s="306">
        <v>1</v>
      </c>
      <c r="G136" s="306">
        <v>0</v>
      </c>
      <c r="H136" s="306">
        <v>0</v>
      </c>
      <c r="I136" s="306">
        <v>0</v>
      </c>
      <c r="J136" s="306">
        <v>0</v>
      </c>
      <c r="K136" s="306"/>
      <c r="L136" s="306" t="s">
        <v>907</v>
      </c>
      <c r="M136" s="306" t="s">
        <v>706</v>
      </c>
      <c r="N136" s="306"/>
      <c r="O136" s="306"/>
      <c r="P136" s="306"/>
      <c r="Q136" s="306" t="s">
        <v>1244</v>
      </c>
      <c r="R136" s="306"/>
      <c r="S136" s="306" t="s">
        <v>1245</v>
      </c>
      <c r="T136" s="306" t="s">
        <v>1246</v>
      </c>
      <c r="U136" s="306" t="s">
        <v>355</v>
      </c>
      <c r="V136" s="306" t="s">
        <v>706</v>
      </c>
      <c r="W136" s="306" t="s">
        <v>722</v>
      </c>
      <c r="X136" s="306">
        <f t="shared" ref="X136:X159" si="4">IF($W136="Critical Importance",20,IF($W136="Minor Importance",5,10))</f>
        <v>10</v>
      </c>
    </row>
    <row r="137" spans="1:24" ht="339.75" customHeight="1" x14ac:dyDescent="0.2">
      <c r="A137" s="215" t="s">
        <v>137</v>
      </c>
      <c r="B137" s="306" t="s">
        <v>1247</v>
      </c>
      <c r="C137" s="306">
        <v>0</v>
      </c>
      <c r="D137" s="306">
        <v>0</v>
      </c>
      <c r="E137" s="306">
        <v>0</v>
      </c>
      <c r="F137" s="306">
        <v>1</v>
      </c>
      <c r="G137" s="306">
        <v>0</v>
      </c>
      <c r="H137" s="306">
        <v>0</v>
      </c>
      <c r="I137" s="306">
        <v>0</v>
      </c>
      <c r="J137" s="306">
        <v>1</v>
      </c>
      <c r="K137" s="306"/>
      <c r="L137" s="306" t="s">
        <v>907</v>
      </c>
      <c r="M137" s="306" t="s">
        <v>706</v>
      </c>
      <c r="N137" s="306"/>
      <c r="O137" s="306" t="s">
        <v>1248</v>
      </c>
      <c r="P137" s="306" t="s">
        <v>1249</v>
      </c>
      <c r="Q137" s="306" t="s">
        <v>1248</v>
      </c>
      <c r="R137" s="306"/>
      <c r="S137" s="306" t="s">
        <v>1250</v>
      </c>
      <c r="T137" s="306" t="s">
        <v>1251</v>
      </c>
      <c r="U137" s="306" t="s">
        <v>355</v>
      </c>
      <c r="V137" s="306" t="s">
        <v>706</v>
      </c>
      <c r="W137" s="306" t="s">
        <v>722</v>
      </c>
      <c r="X137" s="306">
        <f t="shared" si="4"/>
        <v>10</v>
      </c>
    </row>
    <row r="138" spans="1:24" ht="186" customHeight="1" x14ac:dyDescent="0.2">
      <c r="A138" s="306" t="s">
        <v>138</v>
      </c>
      <c r="B138" s="306" t="s">
        <v>1252</v>
      </c>
      <c r="C138" s="306">
        <v>0</v>
      </c>
      <c r="D138" s="306">
        <v>0</v>
      </c>
      <c r="E138" s="306">
        <v>0</v>
      </c>
      <c r="F138" s="306">
        <v>1</v>
      </c>
      <c r="G138" s="306">
        <v>0</v>
      </c>
      <c r="H138" s="306">
        <v>0</v>
      </c>
      <c r="I138" s="306">
        <v>0</v>
      </c>
      <c r="J138" s="306">
        <v>0</v>
      </c>
      <c r="K138" s="306"/>
      <c r="L138" s="306" t="s">
        <v>907</v>
      </c>
      <c r="M138" s="306" t="s">
        <v>706</v>
      </c>
      <c r="N138" s="306"/>
      <c r="O138" s="306"/>
      <c r="P138" s="306" t="s">
        <v>1253</v>
      </c>
      <c r="Q138" s="306" t="s">
        <v>1254</v>
      </c>
      <c r="R138" s="306"/>
      <c r="S138" s="306" t="s">
        <v>1255</v>
      </c>
      <c r="T138" s="306" t="s">
        <v>1256</v>
      </c>
      <c r="U138" s="306" t="s">
        <v>355</v>
      </c>
      <c r="V138" s="306" t="s">
        <v>706</v>
      </c>
      <c r="W138" s="306" t="s">
        <v>722</v>
      </c>
      <c r="X138" s="306">
        <f t="shared" si="4"/>
        <v>10</v>
      </c>
    </row>
    <row r="139" spans="1:24" ht="185.25" customHeight="1" x14ac:dyDescent="0.2">
      <c r="A139" s="215" t="s">
        <v>139</v>
      </c>
      <c r="B139" s="306" t="s">
        <v>1257</v>
      </c>
      <c r="C139" s="306">
        <v>0</v>
      </c>
      <c r="D139" s="306">
        <v>0</v>
      </c>
      <c r="E139" s="306">
        <v>0</v>
      </c>
      <c r="F139" s="306">
        <v>1</v>
      </c>
      <c r="G139" s="306">
        <v>0</v>
      </c>
      <c r="H139" s="306">
        <v>0</v>
      </c>
      <c r="I139" s="306">
        <v>0</v>
      </c>
      <c r="J139" s="306">
        <v>0</v>
      </c>
      <c r="K139" s="306"/>
      <c r="L139" s="306" t="s">
        <v>907</v>
      </c>
      <c r="M139" s="306" t="s">
        <v>706</v>
      </c>
      <c r="N139" s="306"/>
      <c r="O139" s="306"/>
      <c r="P139" s="306" t="s">
        <v>1258</v>
      </c>
      <c r="Q139" s="306" t="s">
        <v>1259</v>
      </c>
      <c r="R139" s="306"/>
      <c r="S139" s="306" t="s">
        <v>1260</v>
      </c>
      <c r="T139" s="306" t="s">
        <v>1261</v>
      </c>
      <c r="U139" s="306" t="s">
        <v>355</v>
      </c>
      <c r="V139" s="306" t="s">
        <v>706</v>
      </c>
      <c r="W139" s="306" t="s">
        <v>722</v>
      </c>
      <c r="X139" s="306">
        <f t="shared" si="4"/>
        <v>10</v>
      </c>
    </row>
    <row r="140" spans="1:24" ht="185.25" customHeight="1" x14ac:dyDescent="0.2">
      <c r="A140" s="317" t="s">
        <v>140</v>
      </c>
      <c r="B140" s="317" t="s">
        <v>1262</v>
      </c>
      <c r="C140" s="306">
        <v>0</v>
      </c>
      <c r="D140" s="306">
        <v>0</v>
      </c>
      <c r="E140" s="306">
        <v>0</v>
      </c>
      <c r="F140" s="306">
        <v>1</v>
      </c>
      <c r="G140" s="306">
        <v>0</v>
      </c>
      <c r="H140" s="306">
        <v>0</v>
      </c>
      <c r="I140" s="306">
        <v>0</v>
      </c>
      <c r="J140" s="306">
        <v>0</v>
      </c>
      <c r="K140" s="306"/>
      <c r="L140" s="306" t="s">
        <v>907</v>
      </c>
      <c r="M140" s="306" t="s">
        <v>706</v>
      </c>
      <c r="N140" s="306"/>
      <c r="O140" s="306"/>
      <c r="P140" s="306" t="s">
        <v>1263</v>
      </c>
      <c r="Q140" s="306"/>
      <c r="R140" s="306"/>
      <c r="S140" s="306" t="s">
        <v>1260</v>
      </c>
      <c r="T140" s="306" t="s">
        <v>1261</v>
      </c>
      <c r="U140" s="306" t="s">
        <v>355</v>
      </c>
      <c r="V140" s="306" t="s">
        <v>706</v>
      </c>
      <c r="W140" s="306" t="s">
        <v>773</v>
      </c>
      <c r="X140" s="306">
        <f t="shared" si="4"/>
        <v>20</v>
      </c>
    </row>
    <row r="141" spans="1:24" ht="214.5" customHeight="1" x14ac:dyDescent="0.2">
      <c r="A141" s="215" t="s">
        <v>141</v>
      </c>
      <c r="B141" s="306" t="s">
        <v>1264</v>
      </c>
      <c r="C141" s="306">
        <v>0</v>
      </c>
      <c r="D141" s="306">
        <v>0</v>
      </c>
      <c r="E141" s="306">
        <v>0</v>
      </c>
      <c r="F141" s="306">
        <v>1</v>
      </c>
      <c r="G141" s="306">
        <v>0</v>
      </c>
      <c r="H141" s="306">
        <v>0</v>
      </c>
      <c r="I141" s="306">
        <v>0</v>
      </c>
      <c r="J141" s="306">
        <v>0</v>
      </c>
      <c r="K141" s="306"/>
      <c r="L141" s="306" t="s">
        <v>907</v>
      </c>
      <c r="M141" s="306" t="s">
        <v>706</v>
      </c>
      <c r="N141" s="306"/>
      <c r="O141" s="306"/>
      <c r="P141" s="306" t="s">
        <v>1265</v>
      </c>
      <c r="Q141" s="306" t="s">
        <v>1266</v>
      </c>
      <c r="R141" s="306"/>
      <c r="S141" s="306" t="s">
        <v>1267</v>
      </c>
      <c r="T141" s="306" t="s">
        <v>1268</v>
      </c>
      <c r="U141" s="306" t="s">
        <v>355</v>
      </c>
      <c r="V141" s="306" t="s">
        <v>706</v>
      </c>
      <c r="W141" s="306" t="s">
        <v>722</v>
      </c>
      <c r="X141" s="306">
        <f t="shared" si="4"/>
        <v>10</v>
      </c>
    </row>
    <row r="142" spans="1:24" ht="85.5" customHeight="1" x14ac:dyDescent="0.2">
      <c r="A142" s="306" t="s">
        <v>142</v>
      </c>
      <c r="B142" s="306" t="s">
        <v>1269</v>
      </c>
      <c r="C142" s="306">
        <v>0</v>
      </c>
      <c r="D142" s="306">
        <v>0</v>
      </c>
      <c r="E142" s="306">
        <v>0</v>
      </c>
      <c r="F142" s="306">
        <v>1</v>
      </c>
      <c r="G142" s="306">
        <v>0</v>
      </c>
      <c r="H142" s="306">
        <v>0</v>
      </c>
      <c r="I142" s="306">
        <v>0</v>
      </c>
      <c r="J142" s="306">
        <v>0</v>
      </c>
      <c r="K142" s="306"/>
      <c r="L142" s="306" t="s">
        <v>907</v>
      </c>
      <c r="M142" s="306" t="s">
        <v>706</v>
      </c>
      <c r="N142" s="306"/>
      <c r="O142" s="306"/>
      <c r="P142" s="306" t="s">
        <v>1270</v>
      </c>
      <c r="Q142" s="306" t="s">
        <v>1271</v>
      </c>
      <c r="R142" s="306"/>
      <c r="S142" s="306" t="s">
        <v>1272</v>
      </c>
      <c r="T142" s="306" t="s">
        <v>1273</v>
      </c>
      <c r="U142" s="306" t="s">
        <v>355</v>
      </c>
      <c r="V142" s="306" t="s">
        <v>706</v>
      </c>
      <c r="W142" s="306" t="s">
        <v>722</v>
      </c>
      <c r="X142" s="306">
        <f t="shared" si="4"/>
        <v>10</v>
      </c>
    </row>
    <row r="143" spans="1:24" ht="85.5" customHeight="1" x14ac:dyDescent="0.2">
      <c r="A143" s="215" t="s">
        <v>143</v>
      </c>
      <c r="B143" s="306" t="s">
        <v>1274</v>
      </c>
      <c r="C143" s="306">
        <v>0</v>
      </c>
      <c r="D143" s="306">
        <v>0</v>
      </c>
      <c r="E143" s="306">
        <v>0</v>
      </c>
      <c r="F143" s="306">
        <v>1</v>
      </c>
      <c r="G143" s="306">
        <v>0</v>
      </c>
      <c r="H143" s="306">
        <v>0</v>
      </c>
      <c r="I143" s="306">
        <v>0</v>
      </c>
      <c r="J143" s="306">
        <v>0</v>
      </c>
      <c r="K143" s="306"/>
      <c r="L143" s="306" t="s">
        <v>907</v>
      </c>
      <c r="M143" s="306" t="s">
        <v>706</v>
      </c>
      <c r="N143" s="306"/>
      <c r="O143" s="306"/>
      <c r="P143" s="306" t="s">
        <v>1275</v>
      </c>
      <c r="Q143" s="306" t="s">
        <v>1276</v>
      </c>
      <c r="R143" s="306"/>
      <c r="S143" s="306" t="s">
        <v>1272</v>
      </c>
      <c r="T143" s="306" t="s">
        <v>1273</v>
      </c>
      <c r="U143" s="306" t="s">
        <v>355</v>
      </c>
      <c r="V143" s="306" t="s">
        <v>706</v>
      </c>
      <c r="W143" s="306" t="s">
        <v>722</v>
      </c>
      <c r="X143" s="306">
        <f t="shared" si="4"/>
        <v>10</v>
      </c>
    </row>
    <row r="144" spans="1:24" ht="192.75" customHeight="1" x14ac:dyDescent="0.2">
      <c r="A144" s="317" t="s">
        <v>144</v>
      </c>
      <c r="B144" s="317" t="s">
        <v>1277</v>
      </c>
      <c r="C144" s="306">
        <v>0</v>
      </c>
      <c r="D144" s="306">
        <v>0</v>
      </c>
      <c r="E144" s="306">
        <v>0</v>
      </c>
      <c r="F144" s="306">
        <v>1</v>
      </c>
      <c r="G144" s="306">
        <v>0</v>
      </c>
      <c r="H144" s="306">
        <v>0</v>
      </c>
      <c r="I144" s="306">
        <v>0</v>
      </c>
      <c r="J144" s="306">
        <v>0</v>
      </c>
      <c r="K144" s="306"/>
      <c r="L144" s="306" t="s">
        <v>907</v>
      </c>
      <c r="M144" s="306" t="s">
        <v>706</v>
      </c>
      <c r="N144" s="306"/>
      <c r="O144" s="306"/>
      <c r="P144" s="306" t="s">
        <v>1278</v>
      </c>
      <c r="Q144" s="306" t="s">
        <v>1279</v>
      </c>
      <c r="R144" s="306"/>
      <c r="S144" s="306" t="s">
        <v>1280</v>
      </c>
      <c r="T144" s="306" t="s">
        <v>1281</v>
      </c>
      <c r="U144" s="306" t="s">
        <v>355</v>
      </c>
      <c r="V144" s="306" t="s">
        <v>706</v>
      </c>
      <c r="W144" s="306" t="s">
        <v>773</v>
      </c>
      <c r="X144" s="306">
        <f t="shared" si="4"/>
        <v>20</v>
      </c>
    </row>
    <row r="145" spans="1:24" ht="142.5" customHeight="1" x14ac:dyDescent="0.2">
      <c r="A145" s="215" t="s">
        <v>145</v>
      </c>
      <c r="B145" s="306" t="s">
        <v>1282</v>
      </c>
      <c r="C145" s="306">
        <v>0</v>
      </c>
      <c r="D145" s="306">
        <v>0</v>
      </c>
      <c r="E145" s="306">
        <v>0</v>
      </c>
      <c r="F145" s="306">
        <v>1</v>
      </c>
      <c r="G145" s="306">
        <v>0</v>
      </c>
      <c r="H145" s="306">
        <v>0</v>
      </c>
      <c r="I145" s="306">
        <v>0</v>
      </c>
      <c r="J145" s="306">
        <v>0</v>
      </c>
      <c r="K145" s="306"/>
      <c r="L145" s="306" t="s">
        <v>907</v>
      </c>
      <c r="M145" s="306" t="s">
        <v>706</v>
      </c>
      <c r="N145" s="306"/>
      <c r="O145" s="306"/>
      <c r="P145" s="306"/>
      <c r="Q145" s="306"/>
      <c r="R145" s="306"/>
      <c r="S145" s="306" t="s">
        <v>1283</v>
      </c>
      <c r="T145" s="306" t="s">
        <v>1284</v>
      </c>
      <c r="U145" s="306" t="s">
        <v>355</v>
      </c>
      <c r="V145" s="306" t="s">
        <v>706</v>
      </c>
      <c r="W145" s="306" t="s">
        <v>722</v>
      </c>
      <c r="X145" s="306">
        <f t="shared" si="4"/>
        <v>10</v>
      </c>
    </row>
    <row r="146" spans="1:24" ht="85.5" customHeight="1" x14ac:dyDescent="0.2">
      <c r="A146" s="306" t="s">
        <v>146</v>
      </c>
      <c r="B146" s="306" t="s">
        <v>1285</v>
      </c>
      <c r="C146" s="306">
        <v>0</v>
      </c>
      <c r="D146" s="306">
        <v>0</v>
      </c>
      <c r="E146" s="306">
        <v>0</v>
      </c>
      <c r="F146" s="306">
        <v>1</v>
      </c>
      <c r="G146" s="306">
        <v>0</v>
      </c>
      <c r="H146" s="306">
        <v>0</v>
      </c>
      <c r="I146" s="306">
        <v>0</v>
      </c>
      <c r="J146" s="306">
        <v>0</v>
      </c>
      <c r="K146" s="306"/>
      <c r="L146" s="306" t="s">
        <v>907</v>
      </c>
      <c r="M146" s="306" t="s">
        <v>706</v>
      </c>
      <c r="N146" s="306"/>
      <c r="O146" s="306" t="s">
        <v>1286</v>
      </c>
      <c r="P146" s="306" t="s">
        <v>1286</v>
      </c>
      <c r="Q146" s="306" t="s">
        <v>1287</v>
      </c>
      <c r="R146" s="306"/>
      <c r="S146" s="306" t="s">
        <v>1272</v>
      </c>
      <c r="T146" s="306" t="s">
        <v>1273</v>
      </c>
      <c r="U146" s="306" t="s">
        <v>355</v>
      </c>
      <c r="V146" s="306" t="s">
        <v>706</v>
      </c>
      <c r="W146" s="306" t="s">
        <v>722</v>
      </c>
      <c r="X146" s="306">
        <f t="shared" si="4"/>
        <v>10</v>
      </c>
    </row>
    <row r="147" spans="1:24" ht="85.5" customHeight="1" x14ac:dyDescent="0.2">
      <c r="A147" s="215" t="s">
        <v>147</v>
      </c>
      <c r="B147" s="306" t="s">
        <v>1288</v>
      </c>
      <c r="C147" s="306">
        <v>0</v>
      </c>
      <c r="D147" s="306">
        <v>0</v>
      </c>
      <c r="E147" s="306">
        <v>0</v>
      </c>
      <c r="F147" s="306">
        <v>1</v>
      </c>
      <c r="G147" s="306">
        <v>0</v>
      </c>
      <c r="H147" s="306">
        <v>0</v>
      </c>
      <c r="I147" s="306">
        <v>0</v>
      </c>
      <c r="J147" s="306">
        <v>0</v>
      </c>
      <c r="K147" s="306"/>
      <c r="L147" s="306" t="s">
        <v>907</v>
      </c>
      <c r="M147" s="306" t="s">
        <v>706</v>
      </c>
      <c r="N147" s="306"/>
      <c r="O147" s="306"/>
      <c r="P147" s="306" t="s">
        <v>1289</v>
      </c>
      <c r="Q147" s="306" t="s">
        <v>1290</v>
      </c>
      <c r="R147" s="306"/>
      <c r="S147" s="306" t="s">
        <v>1272</v>
      </c>
      <c r="T147" s="306" t="s">
        <v>1273</v>
      </c>
      <c r="U147" s="306" t="s">
        <v>355</v>
      </c>
      <c r="V147" s="306" t="s">
        <v>706</v>
      </c>
      <c r="W147" s="306" t="s">
        <v>722</v>
      </c>
      <c r="X147" s="306">
        <f t="shared" si="4"/>
        <v>10</v>
      </c>
    </row>
    <row r="148" spans="1:24" ht="114" customHeight="1" x14ac:dyDescent="0.2">
      <c r="A148" s="306" t="s">
        <v>148</v>
      </c>
      <c r="B148" s="306" t="s">
        <v>1291</v>
      </c>
      <c r="C148" s="306">
        <v>0</v>
      </c>
      <c r="D148" s="306">
        <v>0</v>
      </c>
      <c r="E148" s="306">
        <v>0</v>
      </c>
      <c r="F148" s="306">
        <v>1</v>
      </c>
      <c r="G148" s="306">
        <v>0</v>
      </c>
      <c r="H148" s="306">
        <v>0</v>
      </c>
      <c r="I148" s="306">
        <v>0</v>
      </c>
      <c r="J148" s="306">
        <v>0</v>
      </c>
      <c r="K148" s="306"/>
      <c r="L148" s="306" t="s">
        <v>907</v>
      </c>
      <c r="M148" s="306" t="s">
        <v>706</v>
      </c>
      <c r="N148" s="306"/>
      <c r="O148" s="306"/>
      <c r="P148" s="306" t="s">
        <v>1292</v>
      </c>
      <c r="Q148" s="306" t="s">
        <v>1293</v>
      </c>
      <c r="R148" s="306"/>
      <c r="S148" s="306" t="s">
        <v>1294</v>
      </c>
      <c r="T148" s="306" t="s">
        <v>1053</v>
      </c>
      <c r="U148" s="306" t="s">
        <v>355</v>
      </c>
      <c r="V148" s="306" t="s">
        <v>706</v>
      </c>
      <c r="W148" s="306" t="s">
        <v>722</v>
      </c>
      <c r="X148" s="306">
        <f t="shared" si="4"/>
        <v>10</v>
      </c>
    </row>
    <row r="149" spans="1:24" ht="71.25" customHeight="1" x14ac:dyDescent="0.2">
      <c r="A149" s="215" t="s">
        <v>149</v>
      </c>
      <c r="B149" s="306" t="s">
        <v>1295</v>
      </c>
      <c r="C149" s="306">
        <v>0</v>
      </c>
      <c r="D149" s="306">
        <v>0</v>
      </c>
      <c r="E149" s="306">
        <v>0</v>
      </c>
      <c r="F149" s="306">
        <v>1</v>
      </c>
      <c r="G149" s="306">
        <v>0</v>
      </c>
      <c r="H149" s="306">
        <v>0</v>
      </c>
      <c r="I149" s="306">
        <v>0</v>
      </c>
      <c r="J149" s="306">
        <v>0</v>
      </c>
      <c r="K149" s="306"/>
      <c r="L149" s="306" t="s">
        <v>907</v>
      </c>
      <c r="M149" s="306" t="s">
        <v>706</v>
      </c>
      <c r="N149" s="306"/>
      <c r="O149" s="306"/>
      <c r="P149" s="306" t="s">
        <v>1296</v>
      </c>
      <c r="Q149" s="306"/>
      <c r="R149" s="306"/>
      <c r="S149" s="306" t="s">
        <v>1297</v>
      </c>
      <c r="T149" s="306" t="s">
        <v>1298</v>
      </c>
      <c r="U149" s="306" t="s">
        <v>355</v>
      </c>
      <c r="V149" s="306" t="s">
        <v>706</v>
      </c>
      <c r="W149" s="306" t="s">
        <v>722</v>
      </c>
      <c r="X149" s="306">
        <f t="shared" si="4"/>
        <v>10</v>
      </c>
    </row>
    <row r="150" spans="1:24" ht="242.25" customHeight="1" x14ac:dyDescent="0.2">
      <c r="A150" s="306" t="s">
        <v>150</v>
      </c>
      <c r="B150" s="306" t="s">
        <v>1299</v>
      </c>
      <c r="C150" s="306">
        <v>0</v>
      </c>
      <c r="D150" s="306">
        <v>0</v>
      </c>
      <c r="E150" s="306">
        <v>0</v>
      </c>
      <c r="F150" s="306">
        <v>1</v>
      </c>
      <c r="G150" s="306">
        <v>0</v>
      </c>
      <c r="H150" s="306">
        <v>0</v>
      </c>
      <c r="I150" s="306">
        <v>0</v>
      </c>
      <c r="J150" s="306">
        <v>0</v>
      </c>
      <c r="K150" s="306"/>
      <c r="L150" s="306" t="s">
        <v>907</v>
      </c>
      <c r="M150" s="306" t="s">
        <v>706</v>
      </c>
      <c r="N150" s="306"/>
      <c r="O150" s="306" t="s">
        <v>1300</v>
      </c>
      <c r="P150" s="306" t="s">
        <v>1300</v>
      </c>
      <c r="Q150" s="306" t="s">
        <v>1300</v>
      </c>
      <c r="R150" s="306"/>
      <c r="S150" s="306" t="s">
        <v>1236</v>
      </c>
      <c r="T150" s="306" t="s">
        <v>1237</v>
      </c>
      <c r="U150" s="306" t="s">
        <v>364</v>
      </c>
      <c r="V150" s="306" t="s">
        <v>706</v>
      </c>
      <c r="W150" s="306" t="s">
        <v>722</v>
      </c>
      <c r="X150" s="306">
        <f t="shared" si="4"/>
        <v>10</v>
      </c>
    </row>
    <row r="151" spans="1:24" ht="183" customHeight="1" x14ac:dyDescent="0.2">
      <c r="A151" s="317" t="s">
        <v>151</v>
      </c>
      <c r="B151" s="317" t="s">
        <v>1301</v>
      </c>
      <c r="C151" s="306">
        <v>0</v>
      </c>
      <c r="D151" s="306">
        <v>0</v>
      </c>
      <c r="E151" s="306">
        <v>0</v>
      </c>
      <c r="F151" s="306">
        <v>1</v>
      </c>
      <c r="G151" s="306">
        <v>0</v>
      </c>
      <c r="H151" s="306">
        <v>0</v>
      </c>
      <c r="I151" s="306">
        <v>0</v>
      </c>
      <c r="J151" s="306">
        <v>1</v>
      </c>
      <c r="K151" s="306"/>
      <c r="L151" s="306" t="s">
        <v>907</v>
      </c>
      <c r="M151" s="306" t="s">
        <v>706</v>
      </c>
      <c r="N151" s="306" t="s">
        <v>908</v>
      </c>
      <c r="O151" s="306"/>
      <c r="P151" s="306" t="s">
        <v>1302</v>
      </c>
      <c r="Q151" s="306" t="s">
        <v>1303</v>
      </c>
      <c r="R151" s="306"/>
      <c r="S151" s="306" t="s">
        <v>1304</v>
      </c>
      <c r="T151" s="306" t="s">
        <v>1305</v>
      </c>
      <c r="U151" s="306" t="s">
        <v>355</v>
      </c>
      <c r="V151" s="306" t="s">
        <v>706</v>
      </c>
      <c r="W151" s="306" t="s">
        <v>773</v>
      </c>
      <c r="X151" s="306">
        <f t="shared" si="4"/>
        <v>20</v>
      </c>
    </row>
    <row r="152" spans="1:24" ht="181.5" customHeight="1" x14ac:dyDescent="0.2">
      <c r="A152" s="317" t="s">
        <v>152</v>
      </c>
      <c r="B152" s="317" t="s">
        <v>1306</v>
      </c>
      <c r="C152" s="306">
        <v>0</v>
      </c>
      <c r="D152" s="306">
        <v>0</v>
      </c>
      <c r="E152" s="306">
        <v>0</v>
      </c>
      <c r="F152" s="306">
        <v>1</v>
      </c>
      <c r="G152" s="306">
        <v>0</v>
      </c>
      <c r="H152" s="306">
        <v>0</v>
      </c>
      <c r="I152" s="306">
        <v>0</v>
      </c>
      <c r="J152" s="306">
        <v>1</v>
      </c>
      <c r="K152" s="306"/>
      <c r="L152" s="306" t="s">
        <v>907</v>
      </c>
      <c r="M152" s="306" t="s">
        <v>706</v>
      </c>
      <c r="N152" s="306" t="s">
        <v>908</v>
      </c>
      <c r="O152" s="306"/>
      <c r="P152" s="306" t="s">
        <v>1307</v>
      </c>
      <c r="Q152" s="306" t="s">
        <v>1308</v>
      </c>
      <c r="R152" s="306"/>
      <c r="S152" s="306" t="s">
        <v>1309</v>
      </c>
      <c r="T152" s="306" t="s">
        <v>1310</v>
      </c>
      <c r="U152" s="306" t="s">
        <v>355</v>
      </c>
      <c r="V152" s="306" t="s">
        <v>706</v>
      </c>
      <c r="W152" s="306" t="s">
        <v>773</v>
      </c>
      <c r="X152" s="306">
        <f t="shared" si="4"/>
        <v>20</v>
      </c>
    </row>
    <row r="153" spans="1:24" ht="204.75" customHeight="1" x14ac:dyDescent="0.2">
      <c r="A153" s="317" t="s">
        <v>153</v>
      </c>
      <c r="B153" s="317" t="s">
        <v>1311</v>
      </c>
      <c r="C153" s="306">
        <v>0</v>
      </c>
      <c r="D153" s="306">
        <v>0</v>
      </c>
      <c r="E153" s="306">
        <v>0</v>
      </c>
      <c r="F153" s="306">
        <v>1</v>
      </c>
      <c r="G153" s="306">
        <v>0</v>
      </c>
      <c r="H153" s="306">
        <v>0</v>
      </c>
      <c r="I153" s="306">
        <v>0</v>
      </c>
      <c r="J153" s="306">
        <v>1</v>
      </c>
      <c r="K153" s="306"/>
      <c r="L153" s="306" t="s">
        <v>907</v>
      </c>
      <c r="M153" s="306" t="s">
        <v>706</v>
      </c>
      <c r="N153" s="306" t="s">
        <v>908</v>
      </c>
      <c r="O153" s="306"/>
      <c r="P153" s="306" t="s">
        <v>1312</v>
      </c>
      <c r="Q153" s="306" t="s">
        <v>1313</v>
      </c>
      <c r="R153" s="306"/>
      <c r="S153" s="306" t="s">
        <v>1314</v>
      </c>
      <c r="T153" s="306" t="s">
        <v>1315</v>
      </c>
      <c r="U153" s="306" t="s">
        <v>355</v>
      </c>
      <c r="V153" s="306" t="s">
        <v>706</v>
      </c>
      <c r="W153" s="306" t="s">
        <v>773</v>
      </c>
      <c r="X153" s="306">
        <f t="shared" si="4"/>
        <v>20</v>
      </c>
    </row>
    <row r="154" spans="1:24" ht="203.25" customHeight="1" x14ac:dyDescent="0.2">
      <c r="A154" s="317" t="s">
        <v>154</v>
      </c>
      <c r="B154" s="317" t="s">
        <v>1316</v>
      </c>
      <c r="C154" s="306">
        <v>0</v>
      </c>
      <c r="D154" s="306">
        <v>0</v>
      </c>
      <c r="E154" s="306">
        <v>0</v>
      </c>
      <c r="F154" s="306">
        <v>1</v>
      </c>
      <c r="G154" s="306">
        <v>0</v>
      </c>
      <c r="H154" s="306">
        <v>0</v>
      </c>
      <c r="I154" s="306">
        <v>0</v>
      </c>
      <c r="J154" s="306">
        <v>0</v>
      </c>
      <c r="K154" s="306"/>
      <c r="L154" s="306" t="s">
        <v>907</v>
      </c>
      <c r="M154" s="306" t="s">
        <v>706</v>
      </c>
      <c r="N154" s="306" t="s">
        <v>908</v>
      </c>
      <c r="O154" s="306"/>
      <c r="P154" s="306" t="s">
        <v>1317</v>
      </c>
      <c r="Q154" s="306" t="s">
        <v>1318</v>
      </c>
      <c r="R154" s="306" t="s">
        <v>899</v>
      </c>
      <c r="S154" s="306" t="s">
        <v>1314</v>
      </c>
      <c r="T154" s="306" t="s">
        <v>1319</v>
      </c>
      <c r="U154" s="306" t="s">
        <v>355</v>
      </c>
      <c r="V154" s="306" t="s">
        <v>706</v>
      </c>
      <c r="W154" s="306" t="s">
        <v>773</v>
      </c>
      <c r="X154" s="306">
        <f t="shared" si="4"/>
        <v>20</v>
      </c>
    </row>
    <row r="155" spans="1:24" ht="185.25" customHeight="1" x14ac:dyDescent="0.2">
      <c r="A155" s="317" t="s">
        <v>155</v>
      </c>
      <c r="B155" s="317" t="s">
        <v>1320</v>
      </c>
      <c r="C155" s="306">
        <v>0</v>
      </c>
      <c r="D155" s="306">
        <v>0</v>
      </c>
      <c r="E155" s="306">
        <v>0</v>
      </c>
      <c r="F155" s="306">
        <v>1</v>
      </c>
      <c r="G155" s="306">
        <v>0</v>
      </c>
      <c r="H155" s="306">
        <v>0</v>
      </c>
      <c r="I155" s="306">
        <v>0</v>
      </c>
      <c r="J155" s="306">
        <v>0</v>
      </c>
      <c r="K155" s="306"/>
      <c r="L155" s="306" t="s">
        <v>907</v>
      </c>
      <c r="M155" s="306" t="s">
        <v>706</v>
      </c>
      <c r="N155" s="306" t="s">
        <v>908</v>
      </c>
      <c r="O155" s="306"/>
      <c r="P155" s="306" t="s">
        <v>1321</v>
      </c>
      <c r="Q155" s="306" t="s">
        <v>1322</v>
      </c>
      <c r="R155" s="306"/>
      <c r="S155" s="306" t="s">
        <v>1323</v>
      </c>
      <c r="T155" s="306" t="s">
        <v>1324</v>
      </c>
      <c r="U155" s="306" t="s">
        <v>355</v>
      </c>
      <c r="V155" s="306" t="s">
        <v>706</v>
      </c>
      <c r="W155" s="306" t="s">
        <v>773</v>
      </c>
      <c r="X155" s="306">
        <f t="shared" si="4"/>
        <v>20</v>
      </c>
    </row>
    <row r="156" spans="1:24" ht="165.75" customHeight="1" x14ac:dyDescent="0.2">
      <c r="A156" s="306" t="s">
        <v>156</v>
      </c>
      <c r="B156" s="306" t="s">
        <v>1325</v>
      </c>
      <c r="C156" s="306">
        <v>0</v>
      </c>
      <c r="D156" s="306">
        <v>0</v>
      </c>
      <c r="E156" s="306">
        <v>0</v>
      </c>
      <c r="F156" s="306">
        <v>1</v>
      </c>
      <c r="G156" s="306">
        <v>0</v>
      </c>
      <c r="H156" s="306">
        <v>0</v>
      </c>
      <c r="I156" s="306">
        <v>0</v>
      </c>
      <c r="J156" s="306">
        <v>1</v>
      </c>
      <c r="K156" s="306"/>
      <c r="L156" s="306" t="s">
        <v>907</v>
      </c>
      <c r="M156" s="306" t="s">
        <v>706</v>
      </c>
      <c r="N156" s="306" t="s">
        <v>908</v>
      </c>
      <c r="O156" s="306"/>
      <c r="P156" s="306" t="s">
        <v>1326</v>
      </c>
      <c r="Q156" s="306" t="s">
        <v>1327</v>
      </c>
      <c r="R156" s="306"/>
      <c r="S156" s="306" t="s">
        <v>1328</v>
      </c>
      <c r="T156" s="306" t="s">
        <v>1329</v>
      </c>
      <c r="U156" s="306" t="s">
        <v>355</v>
      </c>
      <c r="V156" s="306" t="s">
        <v>706</v>
      </c>
      <c r="W156" s="306" t="s">
        <v>722</v>
      </c>
      <c r="X156" s="306">
        <f t="shared" si="4"/>
        <v>10</v>
      </c>
    </row>
    <row r="157" spans="1:24" ht="216" customHeight="1" x14ac:dyDescent="0.2">
      <c r="A157" s="306" t="s">
        <v>157</v>
      </c>
      <c r="B157" s="306" t="s">
        <v>1330</v>
      </c>
      <c r="C157" s="306">
        <v>0</v>
      </c>
      <c r="D157" s="306">
        <v>0</v>
      </c>
      <c r="E157" s="306">
        <v>0</v>
      </c>
      <c r="F157" s="306">
        <v>1</v>
      </c>
      <c r="G157" s="306">
        <v>0</v>
      </c>
      <c r="H157" s="306">
        <v>0</v>
      </c>
      <c r="I157" s="306">
        <v>0</v>
      </c>
      <c r="J157" s="306">
        <v>1</v>
      </c>
      <c r="K157" s="306"/>
      <c r="L157" s="306" t="s">
        <v>907</v>
      </c>
      <c r="M157" s="306" t="s">
        <v>706</v>
      </c>
      <c r="N157" s="306" t="s">
        <v>908</v>
      </c>
      <c r="O157" s="306"/>
      <c r="P157" s="306" t="s">
        <v>1331</v>
      </c>
      <c r="Q157" s="306" t="s">
        <v>1332</v>
      </c>
      <c r="R157" s="306"/>
      <c r="S157" s="306" t="s">
        <v>1333</v>
      </c>
      <c r="T157" s="306" t="s">
        <v>1334</v>
      </c>
      <c r="U157" s="306" t="s">
        <v>355</v>
      </c>
      <c r="V157" s="306" t="s">
        <v>706</v>
      </c>
      <c r="W157" s="306" t="s">
        <v>722</v>
      </c>
      <c r="X157" s="306">
        <f t="shared" si="4"/>
        <v>10</v>
      </c>
    </row>
    <row r="158" spans="1:24" ht="210.75" customHeight="1" x14ac:dyDescent="0.2">
      <c r="A158" s="306" t="s">
        <v>158</v>
      </c>
      <c r="B158" s="306" t="s">
        <v>1335</v>
      </c>
      <c r="C158" s="306">
        <v>0</v>
      </c>
      <c r="D158" s="306">
        <v>0</v>
      </c>
      <c r="E158" s="306">
        <v>0</v>
      </c>
      <c r="F158" s="306">
        <v>1</v>
      </c>
      <c r="G158" s="306">
        <v>0</v>
      </c>
      <c r="H158" s="306">
        <v>0</v>
      </c>
      <c r="I158" s="306">
        <v>0</v>
      </c>
      <c r="J158" s="306">
        <v>0</v>
      </c>
      <c r="K158" s="306"/>
      <c r="L158" s="306" t="s">
        <v>907</v>
      </c>
      <c r="M158" s="306" t="s">
        <v>706</v>
      </c>
      <c r="N158" s="306" t="s">
        <v>908</v>
      </c>
      <c r="O158" s="306"/>
      <c r="P158" s="306" t="s">
        <v>1336</v>
      </c>
      <c r="Q158" s="306" t="s">
        <v>1337</v>
      </c>
      <c r="R158" s="306" t="s">
        <v>899</v>
      </c>
      <c r="S158" s="306" t="s">
        <v>1333</v>
      </c>
      <c r="T158" s="306" t="s">
        <v>1338</v>
      </c>
      <c r="U158" s="306" t="s">
        <v>355</v>
      </c>
      <c r="V158" s="306" t="s">
        <v>706</v>
      </c>
      <c r="W158" s="306" t="s">
        <v>722</v>
      </c>
      <c r="X158" s="306">
        <f t="shared" si="4"/>
        <v>10</v>
      </c>
    </row>
    <row r="159" spans="1:24" ht="175.5" customHeight="1" x14ac:dyDescent="0.2">
      <c r="A159" s="306" t="s">
        <v>159</v>
      </c>
      <c r="B159" s="306" t="s">
        <v>1339</v>
      </c>
      <c r="C159" s="306">
        <v>0</v>
      </c>
      <c r="D159" s="306">
        <v>0</v>
      </c>
      <c r="E159" s="306">
        <v>0</v>
      </c>
      <c r="F159" s="306">
        <v>1</v>
      </c>
      <c r="G159" s="306">
        <v>0</v>
      </c>
      <c r="H159" s="306">
        <v>0</v>
      </c>
      <c r="I159" s="306">
        <v>0</v>
      </c>
      <c r="J159" s="306">
        <v>0</v>
      </c>
      <c r="K159" s="306"/>
      <c r="L159" s="306" t="s">
        <v>907</v>
      </c>
      <c r="M159" s="306" t="s">
        <v>706</v>
      </c>
      <c r="N159" s="306" t="s">
        <v>908</v>
      </c>
      <c r="O159" s="306"/>
      <c r="P159" s="306" t="s">
        <v>1340</v>
      </c>
      <c r="Q159" s="306" t="s">
        <v>1341</v>
      </c>
      <c r="R159" s="306"/>
      <c r="S159" s="306" t="s">
        <v>1342</v>
      </c>
      <c r="T159" s="306" t="s">
        <v>1343</v>
      </c>
      <c r="U159" s="306" t="s">
        <v>355</v>
      </c>
      <c r="V159" s="306" t="s">
        <v>706</v>
      </c>
      <c r="W159" s="306" t="s">
        <v>722</v>
      </c>
      <c r="X159" s="306">
        <f t="shared" si="4"/>
        <v>10</v>
      </c>
    </row>
    <row r="160" spans="1:24" ht="192.75" customHeight="1" x14ac:dyDescent="0.2">
      <c r="A160" s="306" t="s">
        <v>160</v>
      </c>
      <c r="B160" s="306" t="s">
        <v>1344</v>
      </c>
      <c r="C160" s="306">
        <v>0</v>
      </c>
      <c r="D160" s="306">
        <v>0</v>
      </c>
      <c r="E160" s="306">
        <v>0</v>
      </c>
      <c r="F160" s="306">
        <v>1</v>
      </c>
      <c r="G160" s="306">
        <v>0</v>
      </c>
      <c r="H160" s="306">
        <v>0</v>
      </c>
      <c r="I160" s="306">
        <v>0</v>
      </c>
      <c r="J160" s="306">
        <v>0</v>
      </c>
      <c r="K160" s="306"/>
      <c r="L160" s="306" t="s">
        <v>704</v>
      </c>
      <c r="M160" s="306" t="s">
        <v>706</v>
      </c>
      <c r="N160" s="306" t="s">
        <v>908</v>
      </c>
      <c r="O160" s="306" t="s">
        <v>1345</v>
      </c>
      <c r="P160" s="306" t="s">
        <v>1345</v>
      </c>
      <c r="Q160" s="306" t="s">
        <v>1345</v>
      </c>
      <c r="R160" s="306"/>
      <c r="S160" s="306" t="s">
        <v>1346</v>
      </c>
      <c r="T160" s="306" t="s">
        <v>1347</v>
      </c>
      <c r="U160" s="306" t="s">
        <v>704</v>
      </c>
      <c r="V160" s="306" t="s">
        <v>706</v>
      </c>
      <c r="W160" s="306"/>
      <c r="X160" s="306"/>
    </row>
    <row r="161" spans="1:24" ht="185.25" customHeight="1" x14ac:dyDescent="0.2">
      <c r="A161" s="306" t="s">
        <v>161</v>
      </c>
      <c r="B161" s="306" t="s">
        <v>1348</v>
      </c>
      <c r="C161" s="306">
        <v>0</v>
      </c>
      <c r="D161" s="306">
        <v>0</v>
      </c>
      <c r="E161" s="306">
        <v>0</v>
      </c>
      <c r="F161" s="306">
        <v>1</v>
      </c>
      <c r="G161" s="306">
        <v>0</v>
      </c>
      <c r="H161" s="306">
        <v>0</v>
      </c>
      <c r="I161" s="306">
        <v>0</v>
      </c>
      <c r="J161" s="306">
        <v>1</v>
      </c>
      <c r="K161" s="306"/>
      <c r="L161" s="306" t="s">
        <v>907</v>
      </c>
      <c r="M161" s="306" t="s">
        <v>706</v>
      </c>
      <c r="N161" s="306" t="s">
        <v>908</v>
      </c>
      <c r="O161" s="306"/>
      <c r="P161" s="306" t="s">
        <v>1349</v>
      </c>
      <c r="Q161" s="306" t="s">
        <v>1350</v>
      </c>
      <c r="R161" s="306"/>
      <c r="S161" s="306" t="s">
        <v>1351</v>
      </c>
      <c r="T161" s="306" t="s">
        <v>1352</v>
      </c>
      <c r="U161" s="306" t="s">
        <v>355</v>
      </c>
      <c r="V161" s="306" t="s">
        <v>706</v>
      </c>
      <c r="W161" s="306" t="s">
        <v>731</v>
      </c>
      <c r="X161" s="306">
        <f t="shared" ref="X161:X192" si="5">IF($W161="Critical Importance",20,IF($W161="Minor Importance",5,10))</f>
        <v>5</v>
      </c>
    </row>
    <row r="162" spans="1:24" ht="171" customHeight="1" x14ac:dyDescent="0.2">
      <c r="A162" s="317" t="s">
        <v>65</v>
      </c>
      <c r="B162" s="317" t="s">
        <v>1353</v>
      </c>
      <c r="C162" s="306">
        <v>0</v>
      </c>
      <c r="D162" s="306">
        <v>1</v>
      </c>
      <c r="E162" s="306">
        <v>0</v>
      </c>
      <c r="F162" s="306">
        <v>0</v>
      </c>
      <c r="G162" s="306">
        <v>0</v>
      </c>
      <c r="H162" s="306">
        <v>0</v>
      </c>
      <c r="I162" s="306">
        <v>0</v>
      </c>
      <c r="J162" s="306">
        <v>0</v>
      </c>
      <c r="K162" s="306"/>
      <c r="L162" s="306" t="s">
        <v>771</v>
      </c>
      <c r="M162" s="306" t="s">
        <v>706</v>
      </c>
      <c r="N162" s="306"/>
      <c r="O162" s="306"/>
      <c r="P162" s="306"/>
      <c r="Q162" s="306"/>
      <c r="R162" s="306"/>
      <c r="S162" s="306" t="s">
        <v>1354</v>
      </c>
      <c r="T162" s="306" t="s">
        <v>1355</v>
      </c>
      <c r="U162" s="306" t="s">
        <v>355</v>
      </c>
      <c r="V162" s="306" t="s">
        <v>706</v>
      </c>
      <c r="W162" s="306" t="s">
        <v>773</v>
      </c>
      <c r="X162" s="306">
        <f t="shared" si="5"/>
        <v>20</v>
      </c>
    </row>
    <row r="163" spans="1:24" ht="114" customHeight="1" x14ac:dyDescent="0.2">
      <c r="A163" s="317" t="s">
        <v>66</v>
      </c>
      <c r="B163" s="317" t="s">
        <v>1356</v>
      </c>
      <c r="C163" s="306">
        <v>0</v>
      </c>
      <c r="D163" s="306">
        <v>1</v>
      </c>
      <c r="E163" s="306">
        <v>0</v>
      </c>
      <c r="F163" s="306">
        <v>0</v>
      </c>
      <c r="G163" s="306">
        <v>0</v>
      </c>
      <c r="H163" s="306">
        <v>0</v>
      </c>
      <c r="I163" s="306">
        <v>0</v>
      </c>
      <c r="J163" s="306">
        <v>0</v>
      </c>
      <c r="K163" s="306"/>
      <c r="L163" s="306" t="s">
        <v>771</v>
      </c>
      <c r="M163" s="306" t="s">
        <v>706</v>
      </c>
      <c r="N163" s="306"/>
      <c r="O163" s="306"/>
      <c r="P163" s="306" t="s">
        <v>1357</v>
      </c>
      <c r="Q163" s="306" t="s">
        <v>1358</v>
      </c>
      <c r="R163" s="306"/>
      <c r="S163" s="306" t="s">
        <v>1359</v>
      </c>
      <c r="T163" s="306" t="s">
        <v>1360</v>
      </c>
      <c r="U163" s="306" t="s">
        <v>355</v>
      </c>
      <c r="V163" s="306" t="s">
        <v>706</v>
      </c>
      <c r="W163" s="306" t="s">
        <v>773</v>
      </c>
      <c r="X163" s="306">
        <f t="shared" si="5"/>
        <v>20</v>
      </c>
    </row>
    <row r="164" spans="1:24" ht="114" customHeight="1" x14ac:dyDescent="0.2">
      <c r="A164" s="317" t="s">
        <v>67</v>
      </c>
      <c r="B164" s="317" t="s">
        <v>1361</v>
      </c>
      <c r="C164" s="306">
        <v>0</v>
      </c>
      <c r="D164" s="306">
        <v>1</v>
      </c>
      <c r="E164" s="306">
        <v>0</v>
      </c>
      <c r="F164" s="306">
        <v>0</v>
      </c>
      <c r="G164" s="306">
        <v>0</v>
      </c>
      <c r="H164" s="306">
        <v>0</v>
      </c>
      <c r="I164" s="306">
        <v>0</v>
      </c>
      <c r="J164" s="306">
        <v>0</v>
      </c>
      <c r="K164" s="306"/>
      <c r="L164" s="306" t="s">
        <v>771</v>
      </c>
      <c r="M164" s="306" t="s">
        <v>706</v>
      </c>
      <c r="N164" s="306"/>
      <c r="O164" s="306" t="s">
        <v>1362</v>
      </c>
      <c r="P164" s="306" t="s">
        <v>1362</v>
      </c>
      <c r="Q164" s="306" t="s">
        <v>1362</v>
      </c>
      <c r="R164" s="306"/>
      <c r="S164" s="306" t="s">
        <v>1363</v>
      </c>
      <c r="T164" s="306" t="s">
        <v>1364</v>
      </c>
      <c r="U164" s="306" t="s">
        <v>355</v>
      </c>
      <c r="V164" s="306" t="s">
        <v>706</v>
      </c>
      <c r="W164" s="306" t="s">
        <v>773</v>
      </c>
      <c r="X164" s="306">
        <f t="shared" si="5"/>
        <v>20</v>
      </c>
    </row>
    <row r="165" spans="1:24" ht="185.25" customHeight="1" x14ac:dyDescent="0.2">
      <c r="A165" s="306" t="s">
        <v>68</v>
      </c>
      <c r="B165" s="306" t="s">
        <v>1365</v>
      </c>
      <c r="C165" s="306">
        <v>0</v>
      </c>
      <c r="D165" s="306">
        <v>1</v>
      </c>
      <c r="E165" s="306">
        <v>0</v>
      </c>
      <c r="F165" s="306">
        <v>0</v>
      </c>
      <c r="G165" s="306">
        <v>0</v>
      </c>
      <c r="H165" s="306">
        <v>0</v>
      </c>
      <c r="I165" s="306">
        <v>0</v>
      </c>
      <c r="J165" s="306">
        <v>0</v>
      </c>
      <c r="K165" s="306"/>
      <c r="L165" s="306" t="s">
        <v>771</v>
      </c>
      <c r="M165" s="306" t="s">
        <v>706</v>
      </c>
      <c r="N165" s="306"/>
      <c r="O165" s="306"/>
      <c r="P165" s="306"/>
      <c r="Q165" s="306"/>
      <c r="R165" s="306"/>
      <c r="S165" s="306" t="s">
        <v>1153</v>
      </c>
      <c r="T165" s="306" t="s">
        <v>1154</v>
      </c>
      <c r="U165" s="306" t="s">
        <v>355</v>
      </c>
      <c r="V165" s="306" t="s">
        <v>706</v>
      </c>
      <c r="W165" s="306" t="s">
        <v>722</v>
      </c>
      <c r="X165" s="306">
        <f t="shared" si="5"/>
        <v>10</v>
      </c>
    </row>
    <row r="166" spans="1:24" ht="199.5" customHeight="1" x14ac:dyDescent="0.2">
      <c r="A166" s="306" t="s">
        <v>69</v>
      </c>
      <c r="B166" s="306" t="s">
        <v>1366</v>
      </c>
      <c r="C166" s="306">
        <v>0</v>
      </c>
      <c r="D166" s="306">
        <v>1</v>
      </c>
      <c r="E166" s="306">
        <v>0</v>
      </c>
      <c r="F166" s="306">
        <v>0</v>
      </c>
      <c r="G166" s="306">
        <v>0</v>
      </c>
      <c r="H166" s="306">
        <v>0</v>
      </c>
      <c r="I166" s="306">
        <v>0</v>
      </c>
      <c r="J166" s="306">
        <v>1</v>
      </c>
      <c r="K166" s="306"/>
      <c r="L166" s="306" t="s">
        <v>771</v>
      </c>
      <c r="M166" s="306" t="s">
        <v>706</v>
      </c>
      <c r="N166" s="306"/>
      <c r="O166" s="306"/>
      <c r="P166" s="306" t="s">
        <v>1367</v>
      </c>
      <c r="Q166" s="306" t="s">
        <v>1368</v>
      </c>
      <c r="R166" s="306"/>
      <c r="S166" s="306" t="s">
        <v>1369</v>
      </c>
      <c r="T166" s="306" t="s">
        <v>1370</v>
      </c>
      <c r="U166" s="306" t="s">
        <v>355</v>
      </c>
      <c r="V166" s="306" t="s">
        <v>706</v>
      </c>
      <c r="W166" s="306" t="s">
        <v>722</v>
      </c>
      <c r="X166" s="306">
        <f t="shared" si="5"/>
        <v>10</v>
      </c>
    </row>
    <row r="167" spans="1:24" ht="196.5" customHeight="1" x14ac:dyDescent="0.2">
      <c r="A167" s="306" t="s">
        <v>70</v>
      </c>
      <c r="B167" s="306" t="s">
        <v>1371</v>
      </c>
      <c r="C167" s="306">
        <v>0</v>
      </c>
      <c r="D167" s="306">
        <v>1</v>
      </c>
      <c r="E167" s="306">
        <v>0</v>
      </c>
      <c r="F167" s="306">
        <v>0</v>
      </c>
      <c r="G167" s="306">
        <v>0</v>
      </c>
      <c r="H167" s="306">
        <v>0</v>
      </c>
      <c r="I167" s="306">
        <v>0</v>
      </c>
      <c r="J167" s="306">
        <v>0</v>
      </c>
      <c r="K167" s="306"/>
      <c r="L167" s="306" t="s">
        <v>771</v>
      </c>
      <c r="M167" s="306" t="s">
        <v>706</v>
      </c>
      <c r="N167" s="306"/>
      <c r="O167" s="306"/>
      <c r="P167" s="306" t="s">
        <v>1372</v>
      </c>
      <c r="Q167" s="306" t="s">
        <v>1373</v>
      </c>
      <c r="R167" s="306"/>
      <c r="S167" s="306" t="s">
        <v>1374</v>
      </c>
      <c r="T167" s="306" t="s">
        <v>1375</v>
      </c>
      <c r="U167" s="306" t="s">
        <v>355</v>
      </c>
      <c r="V167" s="306" t="s">
        <v>706</v>
      </c>
      <c r="W167" s="306" t="s">
        <v>722</v>
      </c>
      <c r="X167" s="306">
        <f t="shared" si="5"/>
        <v>10</v>
      </c>
    </row>
    <row r="168" spans="1:24" ht="156.75" customHeight="1" x14ac:dyDescent="0.2">
      <c r="A168" s="306" t="s">
        <v>71</v>
      </c>
      <c r="B168" s="306" t="s">
        <v>1376</v>
      </c>
      <c r="C168" s="306">
        <v>0</v>
      </c>
      <c r="D168" s="306">
        <v>1</v>
      </c>
      <c r="E168" s="306">
        <v>0</v>
      </c>
      <c r="F168" s="306">
        <v>0</v>
      </c>
      <c r="G168" s="306">
        <v>0</v>
      </c>
      <c r="H168" s="306">
        <v>0</v>
      </c>
      <c r="I168" s="306">
        <v>0</v>
      </c>
      <c r="J168" s="306">
        <v>0</v>
      </c>
      <c r="K168" s="306"/>
      <c r="L168" s="306" t="s">
        <v>771</v>
      </c>
      <c r="M168" s="306" t="s">
        <v>706</v>
      </c>
      <c r="N168" s="306"/>
      <c r="O168" s="306"/>
      <c r="P168" s="306" t="s">
        <v>1377</v>
      </c>
      <c r="Q168" s="306" t="s">
        <v>1378</v>
      </c>
      <c r="R168" s="306"/>
      <c r="S168" s="306" t="s">
        <v>1379</v>
      </c>
      <c r="T168" s="306" t="s">
        <v>1380</v>
      </c>
      <c r="U168" s="306" t="s">
        <v>355</v>
      </c>
      <c r="V168" s="306" t="s">
        <v>706</v>
      </c>
      <c r="W168" s="306" t="s">
        <v>722</v>
      </c>
      <c r="X168" s="306">
        <f t="shared" si="5"/>
        <v>10</v>
      </c>
    </row>
    <row r="169" spans="1:24" ht="409.5" customHeight="1" x14ac:dyDescent="0.2">
      <c r="A169" s="306" t="s">
        <v>72</v>
      </c>
      <c r="B169" s="306" t="s">
        <v>1381</v>
      </c>
      <c r="C169" s="306">
        <v>0</v>
      </c>
      <c r="D169" s="306">
        <v>1</v>
      </c>
      <c r="E169" s="306">
        <v>0</v>
      </c>
      <c r="F169" s="306">
        <v>0</v>
      </c>
      <c r="G169" s="306">
        <v>0</v>
      </c>
      <c r="H169" s="306">
        <v>0</v>
      </c>
      <c r="I169" s="306">
        <v>0</v>
      </c>
      <c r="J169" s="306">
        <v>1</v>
      </c>
      <c r="K169" s="306"/>
      <c r="L169" s="306" t="s">
        <v>771</v>
      </c>
      <c r="M169" s="306" t="s">
        <v>706</v>
      </c>
      <c r="N169" s="306"/>
      <c r="O169" s="306"/>
      <c r="P169" s="306" t="s">
        <v>1382</v>
      </c>
      <c r="Q169" s="306" t="s">
        <v>1383</v>
      </c>
      <c r="R169" s="306"/>
      <c r="S169" s="306" t="s">
        <v>1384</v>
      </c>
      <c r="T169" s="306" t="s">
        <v>1385</v>
      </c>
      <c r="U169" s="306" t="s">
        <v>355</v>
      </c>
      <c r="V169" s="306" t="s">
        <v>706</v>
      </c>
      <c r="W169" s="306" t="s">
        <v>722</v>
      </c>
      <c r="X169" s="306">
        <f t="shared" si="5"/>
        <v>10</v>
      </c>
    </row>
    <row r="170" spans="1:24" ht="185.25" customHeight="1" x14ac:dyDescent="0.2">
      <c r="A170" s="306" t="s">
        <v>73</v>
      </c>
      <c r="B170" s="306" t="s">
        <v>1386</v>
      </c>
      <c r="C170" s="306">
        <v>0</v>
      </c>
      <c r="D170" s="306">
        <v>1</v>
      </c>
      <c r="E170" s="306">
        <v>0</v>
      </c>
      <c r="F170" s="306">
        <v>0</v>
      </c>
      <c r="G170" s="306">
        <v>0</v>
      </c>
      <c r="H170" s="306">
        <v>0</v>
      </c>
      <c r="I170" s="306">
        <v>0</v>
      </c>
      <c r="J170" s="306">
        <v>1</v>
      </c>
      <c r="K170" s="306"/>
      <c r="L170" s="306" t="s">
        <v>771</v>
      </c>
      <c r="M170" s="306" t="s">
        <v>706</v>
      </c>
      <c r="N170" s="306"/>
      <c r="O170" s="306"/>
      <c r="P170" s="306" t="s">
        <v>1387</v>
      </c>
      <c r="Q170" s="306" t="s">
        <v>1388</v>
      </c>
      <c r="R170" s="306"/>
      <c r="S170" s="306" t="s">
        <v>963</v>
      </c>
      <c r="T170" s="306" t="s">
        <v>964</v>
      </c>
      <c r="U170" s="306" t="s">
        <v>355</v>
      </c>
      <c r="V170" s="306" t="s">
        <v>706</v>
      </c>
      <c r="W170" s="306" t="s">
        <v>731</v>
      </c>
      <c r="X170" s="306">
        <f t="shared" si="5"/>
        <v>5</v>
      </c>
    </row>
    <row r="171" spans="1:24" ht="114" customHeight="1" x14ac:dyDescent="0.2">
      <c r="A171" s="306" t="s">
        <v>74</v>
      </c>
      <c r="B171" s="306" t="s">
        <v>1389</v>
      </c>
      <c r="C171" s="306">
        <v>0</v>
      </c>
      <c r="D171" s="306">
        <v>1</v>
      </c>
      <c r="E171" s="306">
        <v>0</v>
      </c>
      <c r="F171" s="306">
        <v>0</v>
      </c>
      <c r="G171" s="306">
        <v>0</v>
      </c>
      <c r="H171" s="306">
        <v>0</v>
      </c>
      <c r="I171" s="306">
        <v>0</v>
      </c>
      <c r="J171" s="306">
        <v>0</v>
      </c>
      <c r="K171" s="306"/>
      <c r="L171" s="306" t="s">
        <v>771</v>
      </c>
      <c r="M171" s="306" t="s">
        <v>706</v>
      </c>
      <c r="N171" s="306"/>
      <c r="O171" s="306"/>
      <c r="P171" s="306" t="s">
        <v>1390</v>
      </c>
      <c r="Q171" s="306" t="s">
        <v>1391</v>
      </c>
      <c r="R171" s="306"/>
      <c r="S171" s="306" t="s">
        <v>1363</v>
      </c>
      <c r="T171" s="306" t="s">
        <v>1364</v>
      </c>
      <c r="U171" s="306" t="s">
        <v>355</v>
      </c>
      <c r="V171" s="306" t="s">
        <v>706</v>
      </c>
      <c r="W171" s="306" t="s">
        <v>731</v>
      </c>
      <c r="X171" s="306">
        <f t="shared" si="5"/>
        <v>5</v>
      </c>
    </row>
    <row r="172" spans="1:24" ht="240" customHeight="1" x14ac:dyDescent="0.2">
      <c r="A172" s="306" t="s">
        <v>75</v>
      </c>
      <c r="B172" s="306" t="s">
        <v>1392</v>
      </c>
      <c r="C172" s="306">
        <v>0</v>
      </c>
      <c r="D172" s="306">
        <v>1</v>
      </c>
      <c r="E172" s="306">
        <v>0</v>
      </c>
      <c r="F172" s="306">
        <v>0</v>
      </c>
      <c r="G172" s="306">
        <v>0</v>
      </c>
      <c r="H172" s="306">
        <v>0</v>
      </c>
      <c r="I172" s="306">
        <v>0</v>
      </c>
      <c r="J172" s="306">
        <v>1</v>
      </c>
      <c r="K172" s="306"/>
      <c r="L172" s="306" t="s">
        <v>771</v>
      </c>
      <c r="M172" s="306" t="s">
        <v>706</v>
      </c>
      <c r="N172" s="306"/>
      <c r="O172" s="306"/>
      <c r="P172" s="306" t="s">
        <v>1393</v>
      </c>
      <c r="Q172" s="306" t="s">
        <v>1394</v>
      </c>
      <c r="R172" s="306"/>
      <c r="S172" s="306" t="s">
        <v>1395</v>
      </c>
      <c r="T172" s="306" t="s">
        <v>1396</v>
      </c>
      <c r="U172" s="306" t="s">
        <v>355</v>
      </c>
      <c r="V172" s="306" t="s">
        <v>706</v>
      </c>
      <c r="W172" s="306" t="s">
        <v>731</v>
      </c>
      <c r="X172" s="306">
        <f t="shared" si="5"/>
        <v>5</v>
      </c>
    </row>
    <row r="173" spans="1:24" ht="243" customHeight="1" x14ac:dyDescent="0.2">
      <c r="A173" s="306" t="s">
        <v>76</v>
      </c>
      <c r="B173" s="306" t="s">
        <v>1397</v>
      </c>
      <c r="C173" s="306">
        <v>0</v>
      </c>
      <c r="D173" s="306">
        <v>1</v>
      </c>
      <c r="E173" s="306">
        <v>0</v>
      </c>
      <c r="F173" s="306">
        <v>0</v>
      </c>
      <c r="G173" s="306">
        <v>0</v>
      </c>
      <c r="H173" s="306">
        <v>0</v>
      </c>
      <c r="I173" s="306">
        <v>0</v>
      </c>
      <c r="J173" s="306">
        <v>1</v>
      </c>
      <c r="K173" s="306"/>
      <c r="L173" s="306" t="s">
        <v>771</v>
      </c>
      <c r="M173" s="306" t="s">
        <v>706</v>
      </c>
      <c r="N173" s="306"/>
      <c r="O173" s="306"/>
      <c r="P173" s="306" t="s">
        <v>1398</v>
      </c>
      <c r="Q173" s="306" t="s">
        <v>1399</v>
      </c>
      <c r="R173" s="306"/>
      <c r="S173" s="306" t="s">
        <v>1395</v>
      </c>
      <c r="T173" s="306" t="s">
        <v>1396</v>
      </c>
      <c r="U173" s="306" t="s">
        <v>355</v>
      </c>
      <c r="V173" s="306" t="s">
        <v>706</v>
      </c>
      <c r="W173" s="306" t="s">
        <v>731</v>
      </c>
      <c r="X173" s="306">
        <f t="shared" si="5"/>
        <v>5</v>
      </c>
    </row>
    <row r="174" spans="1:24" ht="199.5" customHeight="1" x14ac:dyDescent="0.2">
      <c r="A174" s="306" t="s">
        <v>77</v>
      </c>
      <c r="B174" s="306" t="s">
        <v>1400</v>
      </c>
      <c r="C174" s="306">
        <v>0</v>
      </c>
      <c r="D174" s="306">
        <v>1</v>
      </c>
      <c r="E174" s="306">
        <v>0</v>
      </c>
      <c r="F174" s="306">
        <v>0</v>
      </c>
      <c r="G174" s="306">
        <v>0</v>
      </c>
      <c r="H174" s="306">
        <v>0</v>
      </c>
      <c r="I174" s="306">
        <v>0</v>
      </c>
      <c r="J174" s="306">
        <v>0</v>
      </c>
      <c r="K174" s="306"/>
      <c r="L174" s="306" t="s">
        <v>771</v>
      </c>
      <c r="M174" s="306" t="s">
        <v>706</v>
      </c>
      <c r="N174" s="306"/>
      <c r="O174" s="306"/>
      <c r="P174" s="306" t="s">
        <v>1401</v>
      </c>
      <c r="Q174" s="306" t="s">
        <v>1402</v>
      </c>
      <c r="R174" s="306"/>
      <c r="S174" s="306" t="s">
        <v>1403</v>
      </c>
      <c r="T174" s="306" t="s">
        <v>1404</v>
      </c>
      <c r="U174" s="306" t="s">
        <v>355</v>
      </c>
      <c r="V174" s="306" t="s">
        <v>706</v>
      </c>
      <c r="W174" s="306" t="s">
        <v>731</v>
      </c>
      <c r="X174" s="306">
        <f t="shared" si="5"/>
        <v>5</v>
      </c>
    </row>
    <row r="175" spans="1:24" ht="206.25" customHeight="1" x14ac:dyDescent="0.2">
      <c r="A175" s="306" t="s">
        <v>78</v>
      </c>
      <c r="B175" s="306" t="s">
        <v>1405</v>
      </c>
      <c r="C175" s="306">
        <v>0</v>
      </c>
      <c r="D175" s="306">
        <v>1</v>
      </c>
      <c r="E175" s="306">
        <v>0</v>
      </c>
      <c r="F175" s="306">
        <v>0</v>
      </c>
      <c r="G175" s="306">
        <v>0</v>
      </c>
      <c r="H175" s="306">
        <v>0</v>
      </c>
      <c r="I175" s="306">
        <v>0</v>
      </c>
      <c r="J175" s="306">
        <v>1</v>
      </c>
      <c r="K175" s="306"/>
      <c r="L175" s="306" t="s">
        <v>771</v>
      </c>
      <c r="M175" s="306" t="s">
        <v>706</v>
      </c>
      <c r="N175" s="306"/>
      <c r="O175" s="306"/>
      <c r="P175" s="306" t="s">
        <v>1406</v>
      </c>
      <c r="Q175" s="306" t="s">
        <v>1407</v>
      </c>
      <c r="R175" s="306"/>
      <c r="S175" s="306" t="s">
        <v>1408</v>
      </c>
      <c r="T175" s="306" t="s">
        <v>1409</v>
      </c>
      <c r="U175" s="306" t="s">
        <v>355</v>
      </c>
      <c r="V175" s="306" t="s">
        <v>706</v>
      </c>
      <c r="W175" s="306" t="s">
        <v>731</v>
      </c>
      <c r="X175" s="306">
        <f t="shared" si="5"/>
        <v>5</v>
      </c>
    </row>
    <row r="176" spans="1:24" ht="127.5" customHeight="1" x14ac:dyDescent="0.2">
      <c r="A176" s="306" t="s">
        <v>79</v>
      </c>
      <c r="B176" s="306" t="s">
        <v>1410</v>
      </c>
      <c r="C176" s="306">
        <v>0</v>
      </c>
      <c r="D176" s="306">
        <v>1</v>
      </c>
      <c r="E176" s="306">
        <v>0</v>
      </c>
      <c r="F176" s="306">
        <v>0</v>
      </c>
      <c r="G176" s="306">
        <v>0</v>
      </c>
      <c r="H176" s="306">
        <v>0</v>
      </c>
      <c r="I176" s="306">
        <v>0</v>
      </c>
      <c r="J176" s="306">
        <v>1</v>
      </c>
      <c r="K176" s="306"/>
      <c r="L176" s="306" t="s">
        <v>771</v>
      </c>
      <c r="M176" s="306" t="s">
        <v>706</v>
      </c>
      <c r="N176" s="306"/>
      <c r="O176" s="306"/>
      <c r="P176" s="306" t="s">
        <v>1411</v>
      </c>
      <c r="Q176" s="306" t="s">
        <v>1412</v>
      </c>
      <c r="R176" s="314" t="s">
        <v>871</v>
      </c>
      <c r="S176" s="306" t="s">
        <v>1413</v>
      </c>
      <c r="T176" s="306" t="s">
        <v>1414</v>
      </c>
      <c r="U176" s="306" t="s">
        <v>355</v>
      </c>
      <c r="V176" s="306" t="s">
        <v>706</v>
      </c>
      <c r="W176" s="306" t="s">
        <v>731</v>
      </c>
      <c r="X176" s="306">
        <f t="shared" si="5"/>
        <v>5</v>
      </c>
    </row>
    <row r="177" spans="1:24" ht="285" customHeight="1" x14ac:dyDescent="0.2">
      <c r="A177" s="306" t="s">
        <v>162</v>
      </c>
      <c r="B177" s="306" t="s">
        <v>1415</v>
      </c>
      <c r="C177" s="306">
        <v>0</v>
      </c>
      <c r="D177" s="306">
        <v>0</v>
      </c>
      <c r="E177" s="306">
        <v>0</v>
      </c>
      <c r="F177" s="306">
        <v>1</v>
      </c>
      <c r="G177" s="306">
        <v>0</v>
      </c>
      <c r="H177" s="306">
        <v>0</v>
      </c>
      <c r="I177" s="306">
        <v>0</v>
      </c>
      <c r="J177" s="306">
        <v>1</v>
      </c>
      <c r="K177" s="306"/>
      <c r="L177" s="306" t="s">
        <v>907</v>
      </c>
      <c r="M177" s="306" t="s">
        <v>706</v>
      </c>
      <c r="N177" s="306" t="s">
        <v>908</v>
      </c>
      <c r="O177" s="306"/>
      <c r="P177" s="306" t="s">
        <v>1416</v>
      </c>
      <c r="Q177" s="306" t="s">
        <v>1417</v>
      </c>
      <c r="R177" s="306"/>
      <c r="S177" s="306" t="s">
        <v>1418</v>
      </c>
      <c r="T177" s="306" t="s">
        <v>1419</v>
      </c>
      <c r="U177" s="306" t="s">
        <v>355</v>
      </c>
      <c r="V177" s="306" t="s">
        <v>706</v>
      </c>
      <c r="W177" s="306" t="s">
        <v>722</v>
      </c>
      <c r="X177" s="306">
        <f t="shared" si="5"/>
        <v>10</v>
      </c>
    </row>
    <row r="178" spans="1:24" ht="221.25" customHeight="1" x14ac:dyDescent="0.2">
      <c r="A178" s="306" t="s">
        <v>163</v>
      </c>
      <c r="B178" s="306" t="s">
        <v>1420</v>
      </c>
      <c r="C178" s="306">
        <v>0</v>
      </c>
      <c r="D178" s="306">
        <v>0</v>
      </c>
      <c r="E178" s="306">
        <v>0</v>
      </c>
      <c r="F178" s="306">
        <v>1</v>
      </c>
      <c r="G178" s="306">
        <v>0</v>
      </c>
      <c r="H178" s="306">
        <v>0</v>
      </c>
      <c r="I178" s="306">
        <v>0</v>
      </c>
      <c r="J178" s="306">
        <v>1</v>
      </c>
      <c r="K178" s="306"/>
      <c r="L178" s="306" t="s">
        <v>907</v>
      </c>
      <c r="M178" s="306" t="s">
        <v>706</v>
      </c>
      <c r="N178" s="306" t="s">
        <v>908</v>
      </c>
      <c r="O178" s="306"/>
      <c r="P178" s="306" t="s">
        <v>1421</v>
      </c>
      <c r="Q178" s="306" t="s">
        <v>1422</v>
      </c>
      <c r="R178" s="306"/>
      <c r="S178" s="306" t="s">
        <v>1423</v>
      </c>
      <c r="T178" s="306" t="s">
        <v>1419</v>
      </c>
      <c r="U178" s="306" t="s">
        <v>355</v>
      </c>
      <c r="V178" s="306" t="s">
        <v>706</v>
      </c>
      <c r="W178" s="306" t="s">
        <v>731</v>
      </c>
      <c r="X178" s="306">
        <f t="shared" si="5"/>
        <v>5</v>
      </c>
    </row>
    <row r="179" spans="1:24" ht="171" customHeight="1" x14ac:dyDescent="0.2">
      <c r="A179" s="306" t="s">
        <v>164</v>
      </c>
      <c r="B179" s="306" t="s">
        <v>1424</v>
      </c>
      <c r="C179" s="306">
        <v>0</v>
      </c>
      <c r="D179" s="306">
        <v>0</v>
      </c>
      <c r="E179" s="306">
        <v>0</v>
      </c>
      <c r="F179" s="306">
        <v>1</v>
      </c>
      <c r="G179" s="306">
        <v>0</v>
      </c>
      <c r="H179" s="306">
        <v>0</v>
      </c>
      <c r="I179" s="306">
        <v>0</v>
      </c>
      <c r="J179" s="306">
        <v>1</v>
      </c>
      <c r="K179" s="306"/>
      <c r="L179" s="306" t="s">
        <v>907</v>
      </c>
      <c r="M179" s="306" t="s">
        <v>706</v>
      </c>
      <c r="N179" s="306" t="s">
        <v>908</v>
      </c>
      <c r="O179" s="306"/>
      <c r="P179" s="306" t="s">
        <v>1425</v>
      </c>
      <c r="Q179" s="306" t="s">
        <v>1426</v>
      </c>
      <c r="R179" s="306"/>
      <c r="S179" s="306" t="s">
        <v>1427</v>
      </c>
      <c r="T179" s="306" t="s">
        <v>1428</v>
      </c>
      <c r="U179" s="306" t="s">
        <v>355</v>
      </c>
      <c r="V179" s="306" t="s">
        <v>706</v>
      </c>
      <c r="W179" s="306" t="s">
        <v>731</v>
      </c>
      <c r="X179" s="306">
        <f t="shared" si="5"/>
        <v>5</v>
      </c>
    </row>
    <row r="180" spans="1:24" ht="270.75" customHeight="1" x14ac:dyDescent="0.2">
      <c r="A180" s="306" t="s">
        <v>165</v>
      </c>
      <c r="B180" s="306" t="s">
        <v>1429</v>
      </c>
      <c r="C180" s="306">
        <v>0</v>
      </c>
      <c r="D180" s="306">
        <v>0</v>
      </c>
      <c r="E180" s="306">
        <v>0</v>
      </c>
      <c r="F180" s="306">
        <v>1</v>
      </c>
      <c r="G180" s="306">
        <v>0</v>
      </c>
      <c r="H180" s="306">
        <v>0</v>
      </c>
      <c r="I180" s="306">
        <v>0</v>
      </c>
      <c r="J180" s="306">
        <v>1</v>
      </c>
      <c r="K180" s="306"/>
      <c r="L180" s="306" t="s">
        <v>907</v>
      </c>
      <c r="M180" s="306"/>
      <c r="N180" s="306" t="s">
        <v>908</v>
      </c>
      <c r="O180" s="306"/>
      <c r="P180" s="306" t="s">
        <v>1430</v>
      </c>
      <c r="Q180" s="306" t="s">
        <v>1431</v>
      </c>
      <c r="R180" s="306"/>
      <c r="S180" s="306" t="s">
        <v>1432</v>
      </c>
      <c r="T180" s="306" t="s">
        <v>1385</v>
      </c>
      <c r="U180" s="306" t="s">
        <v>355</v>
      </c>
      <c r="V180" s="306"/>
      <c r="W180" s="306" t="s">
        <v>731</v>
      </c>
      <c r="X180" s="306">
        <f t="shared" si="5"/>
        <v>5</v>
      </c>
    </row>
    <row r="181" spans="1:24" ht="224.25" customHeight="1" x14ac:dyDescent="0.2">
      <c r="A181" s="317" t="s">
        <v>166</v>
      </c>
      <c r="B181" s="317" t="s">
        <v>1433</v>
      </c>
      <c r="C181" s="306">
        <v>0</v>
      </c>
      <c r="D181" s="306">
        <v>0</v>
      </c>
      <c r="E181" s="306">
        <v>0</v>
      </c>
      <c r="F181" s="306">
        <v>1</v>
      </c>
      <c r="G181" s="306">
        <v>0</v>
      </c>
      <c r="H181" s="306">
        <v>0</v>
      </c>
      <c r="I181" s="306">
        <v>0</v>
      </c>
      <c r="J181" s="306">
        <v>0</v>
      </c>
      <c r="K181" s="306"/>
      <c r="L181" s="306" t="s">
        <v>907</v>
      </c>
      <c r="M181" s="306" t="s">
        <v>706</v>
      </c>
      <c r="N181" s="306" t="s">
        <v>908</v>
      </c>
      <c r="O181" s="306"/>
      <c r="P181" s="306" t="s">
        <v>1434</v>
      </c>
      <c r="Q181" s="306" t="s">
        <v>1435</v>
      </c>
      <c r="R181" s="306"/>
      <c r="S181" s="306" t="s">
        <v>1436</v>
      </c>
      <c r="T181" s="306" t="s">
        <v>1437</v>
      </c>
      <c r="U181" s="306" t="s">
        <v>355</v>
      </c>
      <c r="V181" s="306" t="s">
        <v>706</v>
      </c>
      <c r="W181" s="306" t="s">
        <v>773</v>
      </c>
      <c r="X181" s="306">
        <f t="shared" si="5"/>
        <v>20</v>
      </c>
    </row>
    <row r="182" spans="1:24" ht="142.5" customHeight="1" x14ac:dyDescent="0.2">
      <c r="A182" s="317" t="s">
        <v>167</v>
      </c>
      <c r="B182" s="317" t="s">
        <v>1438</v>
      </c>
      <c r="C182" s="306">
        <v>0</v>
      </c>
      <c r="D182" s="306">
        <v>0</v>
      </c>
      <c r="E182" s="306">
        <v>0</v>
      </c>
      <c r="F182" s="306">
        <v>1</v>
      </c>
      <c r="G182" s="306">
        <v>0</v>
      </c>
      <c r="H182" s="306">
        <v>0</v>
      </c>
      <c r="I182" s="306">
        <v>0</v>
      </c>
      <c r="J182" s="306">
        <v>1</v>
      </c>
      <c r="K182" s="306"/>
      <c r="L182" s="306" t="s">
        <v>907</v>
      </c>
      <c r="M182" s="306" t="s">
        <v>706</v>
      </c>
      <c r="N182" s="306" t="s">
        <v>908</v>
      </c>
      <c r="O182" s="306"/>
      <c r="P182" s="306" t="s">
        <v>1439</v>
      </c>
      <c r="Q182" s="306" t="s">
        <v>1440</v>
      </c>
      <c r="R182" s="306"/>
      <c r="S182" s="306" t="s">
        <v>1441</v>
      </c>
      <c r="T182" s="306" t="s">
        <v>1442</v>
      </c>
      <c r="U182" s="306" t="s">
        <v>355</v>
      </c>
      <c r="V182" s="306" t="s">
        <v>706</v>
      </c>
      <c r="W182" s="306" t="s">
        <v>773</v>
      </c>
      <c r="X182" s="306">
        <f t="shared" si="5"/>
        <v>20</v>
      </c>
    </row>
    <row r="183" spans="1:24" ht="171" customHeight="1" x14ac:dyDescent="0.2">
      <c r="A183" s="317" t="s">
        <v>168</v>
      </c>
      <c r="B183" s="317" t="s">
        <v>1443</v>
      </c>
      <c r="C183" s="306">
        <v>0</v>
      </c>
      <c r="D183" s="306">
        <v>0</v>
      </c>
      <c r="E183" s="306">
        <v>0</v>
      </c>
      <c r="F183" s="306">
        <v>1</v>
      </c>
      <c r="G183" s="306">
        <v>0</v>
      </c>
      <c r="H183" s="306">
        <v>0</v>
      </c>
      <c r="I183" s="306">
        <v>0</v>
      </c>
      <c r="J183" s="306">
        <v>1</v>
      </c>
      <c r="K183" s="306"/>
      <c r="L183" s="306" t="s">
        <v>907</v>
      </c>
      <c r="M183" s="306" t="s">
        <v>706</v>
      </c>
      <c r="N183" s="306" t="s">
        <v>908</v>
      </c>
      <c r="O183" s="306"/>
      <c r="P183" s="306" t="s">
        <v>1444</v>
      </c>
      <c r="Q183" s="306" t="s">
        <v>1445</v>
      </c>
      <c r="R183" s="306"/>
      <c r="S183" s="306" t="s">
        <v>1446</v>
      </c>
      <c r="T183" s="306" t="s">
        <v>1447</v>
      </c>
      <c r="U183" s="306" t="s">
        <v>355</v>
      </c>
      <c r="V183" s="306" t="s">
        <v>706</v>
      </c>
      <c r="W183" s="306" t="s">
        <v>773</v>
      </c>
      <c r="X183" s="306">
        <f t="shared" si="5"/>
        <v>20</v>
      </c>
    </row>
    <row r="184" spans="1:24" ht="289.5" customHeight="1" x14ac:dyDescent="0.2">
      <c r="A184" s="306" t="s">
        <v>169</v>
      </c>
      <c r="B184" s="306" t="s">
        <v>1448</v>
      </c>
      <c r="C184" s="306">
        <v>0</v>
      </c>
      <c r="D184" s="306">
        <v>0</v>
      </c>
      <c r="E184" s="306">
        <v>0</v>
      </c>
      <c r="F184" s="306">
        <v>1</v>
      </c>
      <c r="G184" s="306">
        <v>0</v>
      </c>
      <c r="H184" s="306">
        <v>0</v>
      </c>
      <c r="I184" s="306">
        <v>0</v>
      </c>
      <c r="J184" s="306">
        <v>1</v>
      </c>
      <c r="K184" s="306"/>
      <c r="L184" s="306" t="s">
        <v>907</v>
      </c>
      <c r="M184" s="306" t="s">
        <v>706</v>
      </c>
      <c r="N184" s="306" t="s">
        <v>908</v>
      </c>
      <c r="O184" s="306"/>
      <c r="P184" s="306" t="s">
        <v>1449</v>
      </c>
      <c r="Q184" s="306" t="s">
        <v>1450</v>
      </c>
      <c r="R184" s="306"/>
      <c r="S184" s="306" t="s">
        <v>1451</v>
      </c>
      <c r="T184" s="306" t="s">
        <v>1452</v>
      </c>
      <c r="U184" s="306" t="s">
        <v>355</v>
      </c>
      <c r="V184" s="306" t="s">
        <v>706</v>
      </c>
      <c r="W184" s="306" t="s">
        <v>722</v>
      </c>
      <c r="X184" s="306">
        <f t="shared" si="5"/>
        <v>10</v>
      </c>
    </row>
    <row r="185" spans="1:24" ht="296.25" customHeight="1" x14ac:dyDescent="0.2">
      <c r="A185" s="306" t="s">
        <v>170</v>
      </c>
      <c r="B185" s="306" t="s">
        <v>1453</v>
      </c>
      <c r="C185" s="306">
        <v>0</v>
      </c>
      <c r="D185" s="306">
        <v>0</v>
      </c>
      <c r="E185" s="306">
        <v>0</v>
      </c>
      <c r="F185" s="306">
        <v>1</v>
      </c>
      <c r="G185" s="306">
        <v>0</v>
      </c>
      <c r="H185" s="306">
        <v>0</v>
      </c>
      <c r="I185" s="306">
        <v>0</v>
      </c>
      <c r="J185" s="306">
        <v>0</v>
      </c>
      <c r="K185" s="306"/>
      <c r="L185" s="306" t="s">
        <v>907</v>
      </c>
      <c r="M185" s="306" t="s">
        <v>706</v>
      </c>
      <c r="N185" s="306" t="s">
        <v>908</v>
      </c>
      <c r="O185" s="306" t="s">
        <v>1454</v>
      </c>
      <c r="P185" s="306" t="s">
        <v>1454</v>
      </c>
      <c r="Q185" s="306" t="s">
        <v>1454</v>
      </c>
      <c r="R185" s="306"/>
      <c r="S185" s="306" t="s">
        <v>1455</v>
      </c>
      <c r="T185" s="306" t="s">
        <v>1456</v>
      </c>
      <c r="U185" s="306" t="s">
        <v>355</v>
      </c>
      <c r="V185" s="306" t="s">
        <v>706</v>
      </c>
      <c r="W185" s="306" t="s">
        <v>722</v>
      </c>
      <c r="X185" s="306">
        <f t="shared" si="5"/>
        <v>10</v>
      </c>
    </row>
    <row r="186" spans="1:24" ht="300" customHeight="1" x14ac:dyDescent="0.2">
      <c r="A186" s="306" t="s">
        <v>171</v>
      </c>
      <c r="B186" s="306" t="s">
        <v>1457</v>
      </c>
      <c r="C186" s="306">
        <v>0</v>
      </c>
      <c r="D186" s="306">
        <v>0</v>
      </c>
      <c r="E186" s="306">
        <v>0</v>
      </c>
      <c r="F186" s="306">
        <v>1</v>
      </c>
      <c r="G186" s="306">
        <v>0</v>
      </c>
      <c r="H186" s="306">
        <v>0</v>
      </c>
      <c r="I186" s="306">
        <v>0</v>
      </c>
      <c r="J186" s="306">
        <v>1</v>
      </c>
      <c r="K186" s="306"/>
      <c r="L186" s="306" t="s">
        <v>907</v>
      </c>
      <c r="M186" s="306" t="s">
        <v>706</v>
      </c>
      <c r="N186" s="306" t="s">
        <v>908</v>
      </c>
      <c r="O186" s="306"/>
      <c r="P186" s="306" t="s">
        <v>1458</v>
      </c>
      <c r="Q186" s="306" t="s">
        <v>1459</v>
      </c>
      <c r="R186" s="306"/>
      <c r="S186" s="306" t="s">
        <v>1460</v>
      </c>
      <c r="T186" s="306" t="s">
        <v>1461</v>
      </c>
      <c r="U186" s="306" t="s">
        <v>355</v>
      </c>
      <c r="V186" s="306" t="s">
        <v>706</v>
      </c>
      <c r="W186" s="306" t="s">
        <v>731</v>
      </c>
      <c r="X186" s="306">
        <f t="shared" si="5"/>
        <v>5</v>
      </c>
    </row>
    <row r="187" spans="1:24" ht="77" customHeight="1" x14ac:dyDescent="0.2">
      <c r="A187" s="317" t="s">
        <v>199</v>
      </c>
      <c r="B187" s="317" t="s">
        <v>1462</v>
      </c>
      <c r="C187" s="306">
        <v>0</v>
      </c>
      <c r="D187" s="306">
        <v>0</v>
      </c>
      <c r="E187" s="306">
        <v>0</v>
      </c>
      <c r="F187" s="306">
        <v>0</v>
      </c>
      <c r="G187" s="306">
        <v>0</v>
      </c>
      <c r="H187" s="306">
        <v>1</v>
      </c>
      <c r="I187" s="306">
        <v>0</v>
      </c>
      <c r="J187" s="306">
        <v>1</v>
      </c>
      <c r="K187" s="306"/>
      <c r="L187" s="306" t="s">
        <v>1463</v>
      </c>
      <c r="M187" s="306" t="s">
        <v>706</v>
      </c>
      <c r="N187" s="306" t="s">
        <v>1464</v>
      </c>
      <c r="O187" s="306" t="s">
        <v>1465</v>
      </c>
      <c r="P187" s="306" t="s">
        <v>1465</v>
      </c>
      <c r="Q187" s="306" t="s">
        <v>1465</v>
      </c>
      <c r="R187" s="306"/>
      <c r="S187" s="306" t="s">
        <v>1466</v>
      </c>
      <c r="T187" s="306" t="s">
        <v>1467</v>
      </c>
      <c r="U187" s="306" t="s">
        <v>355</v>
      </c>
      <c r="V187" s="306" t="s">
        <v>706</v>
      </c>
      <c r="W187" s="306" t="s">
        <v>773</v>
      </c>
      <c r="X187" s="306">
        <f t="shared" si="5"/>
        <v>20</v>
      </c>
    </row>
    <row r="188" spans="1:24" ht="77" customHeight="1" x14ac:dyDescent="0.2">
      <c r="A188" s="317" t="s">
        <v>200</v>
      </c>
      <c r="B188" s="317" t="s">
        <v>1468</v>
      </c>
      <c r="C188" s="306">
        <v>0</v>
      </c>
      <c r="D188" s="306">
        <v>0</v>
      </c>
      <c r="E188" s="306">
        <v>0</v>
      </c>
      <c r="F188" s="306">
        <v>0</v>
      </c>
      <c r="G188" s="306">
        <v>0</v>
      </c>
      <c r="H188" s="306">
        <v>1</v>
      </c>
      <c r="I188" s="306">
        <v>0</v>
      </c>
      <c r="J188" s="306">
        <v>1</v>
      </c>
      <c r="K188" s="306"/>
      <c r="L188" s="306" t="s">
        <v>1463</v>
      </c>
      <c r="M188" s="306" t="s">
        <v>706</v>
      </c>
      <c r="N188" s="306" t="s">
        <v>1464</v>
      </c>
      <c r="O188" s="306" t="s">
        <v>1465</v>
      </c>
      <c r="P188" s="306" t="s">
        <v>1465</v>
      </c>
      <c r="Q188" s="306" t="s">
        <v>1465</v>
      </c>
      <c r="R188" s="306"/>
      <c r="S188" s="306" t="s">
        <v>1466</v>
      </c>
      <c r="T188" s="306" t="s">
        <v>1467</v>
      </c>
      <c r="U188" s="306" t="s">
        <v>355</v>
      </c>
      <c r="V188" s="306" t="s">
        <v>706</v>
      </c>
      <c r="W188" s="306" t="s">
        <v>773</v>
      </c>
      <c r="X188" s="306">
        <f t="shared" si="5"/>
        <v>20</v>
      </c>
    </row>
    <row r="189" spans="1:24" ht="77" customHeight="1" x14ac:dyDescent="0.2">
      <c r="A189" s="317" t="s">
        <v>201</v>
      </c>
      <c r="B189" s="317" t="s">
        <v>1469</v>
      </c>
      <c r="C189" s="306">
        <v>0</v>
      </c>
      <c r="D189" s="306">
        <v>0</v>
      </c>
      <c r="E189" s="306">
        <v>0</v>
      </c>
      <c r="F189" s="306">
        <v>0</v>
      </c>
      <c r="G189" s="306">
        <v>0</v>
      </c>
      <c r="H189" s="306">
        <v>1</v>
      </c>
      <c r="I189" s="306">
        <v>0</v>
      </c>
      <c r="J189" s="306">
        <v>1</v>
      </c>
      <c r="K189" s="306"/>
      <c r="L189" s="306" t="s">
        <v>1463</v>
      </c>
      <c r="M189" s="306" t="s">
        <v>706</v>
      </c>
      <c r="N189" s="306" t="s">
        <v>1464</v>
      </c>
      <c r="O189" s="306" t="s">
        <v>1465</v>
      </c>
      <c r="P189" s="306" t="s">
        <v>1465</v>
      </c>
      <c r="Q189" s="306" t="s">
        <v>1465</v>
      </c>
      <c r="R189" s="306"/>
      <c r="S189" s="306" t="s">
        <v>1466</v>
      </c>
      <c r="T189" s="306" t="s">
        <v>1467</v>
      </c>
      <c r="U189" s="306" t="s">
        <v>355</v>
      </c>
      <c r="V189" s="306" t="s">
        <v>706</v>
      </c>
      <c r="W189" s="306" t="s">
        <v>773</v>
      </c>
      <c r="X189" s="306">
        <f t="shared" si="5"/>
        <v>20</v>
      </c>
    </row>
    <row r="190" spans="1:24" ht="77" customHeight="1" x14ac:dyDescent="0.2">
      <c r="A190" s="317" t="s">
        <v>202</v>
      </c>
      <c r="B190" s="317" t="s">
        <v>1470</v>
      </c>
      <c r="C190" s="306">
        <v>0</v>
      </c>
      <c r="D190" s="306">
        <v>0</v>
      </c>
      <c r="E190" s="306">
        <v>0</v>
      </c>
      <c r="F190" s="306">
        <v>0</v>
      </c>
      <c r="G190" s="306">
        <v>0</v>
      </c>
      <c r="H190" s="306">
        <v>1</v>
      </c>
      <c r="I190" s="306">
        <v>0</v>
      </c>
      <c r="J190" s="306">
        <v>1</v>
      </c>
      <c r="K190" s="306"/>
      <c r="L190" s="306" t="s">
        <v>1463</v>
      </c>
      <c r="M190" s="306" t="s">
        <v>706</v>
      </c>
      <c r="N190" s="306" t="s">
        <v>1464</v>
      </c>
      <c r="O190" s="306" t="s">
        <v>1465</v>
      </c>
      <c r="P190" s="306" t="s">
        <v>1465</v>
      </c>
      <c r="Q190" s="306" t="s">
        <v>1465</v>
      </c>
      <c r="R190" s="306"/>
      <c r="S190" s="306" t="s">
        <v>1466</v>
      </c>
      <c r="T190" s="306" t="s">
        <v>1467</v>
      </c>
      <c r="U190" s="306" t="s">
        <v>355</v>
      </c>
      <c r="V190" s="306" t="s">
        <v>706</v>
      </c>
      <c r="W190" s="306" t="s">
        <v>773</v>
      </c>
      <c r="X190" s="306">
        <f t="shared" si="5"/>
        <v>20</v>
      </c>
    </row>
    <row r="191" spans="1:24" ht="77" customHeight="1" x14ac:dyDescent="0.2">
      <c r="A191" s="306" t="s">
        <v>203</v>
      </c>
      <c r="B191" s="306" t="s">
        <v>1471</v>
      </c>
      <c r="C191" s="306">
        <v>0</v>
      </c>
      <c r="D191" s="306">
        <v>0</v>
      </c>
      <c r="E191" s="306">
        <v>0</v>
      </c>
      <c r="F191" s="306">
        <v>0</v>
      </c>
      <c r="G191" s="306">
        <v>0</v>
      </c>
      <c r="H191" s="306">
        <v>1</v>
      </c>
      <c r="I191" s="306">
        <v>0</v>
      </c>
      <c r="J191" s="306">
        <v>1</v>
      </c>
      <c r="K191" s="306"/>
      <c r="L191" s="306" t="s">
        <v>1463</v>
      </c>
      <c r="M191" s="306" t="s">
        <v>706</v>
      </c>
      <c r="N191" s="306" t="s">
        <v>1464</v>
      </c>
      <c r="O191" s="306" t="s">
        <v>1465</v>
      </c>
      <c r="P191" s="306" t="s">
        <v>1465</v>
      </c>
      <c r="Q191" s="306" t="s">
        <v>1465</v>
      </c>
      <c r="R191" s="306"/>
      <c r="S191" s="306" t="s">
        <v>1466</v>
      </c>
      <c r="T191" s="306" t="s">
        <v>1467</v>
      </c>
      <c r="U191" s="306" t="s">
        <v>355</v>
      </c>
      <c r="V191" s="306" t="s">
        <v>706</v>
      </c>
      <c r="W191" s="306" t="s">
        <v>722</v>
      </c>
      <c r="X191" s="306">
        <f t="shared" si="5"/>
        <v>10</v>
      </c>
    </row>
    <row r="192" spans="1:24" ht="77" customHeight="1" x14ac:dyDescent="0.2">
      <c r="A192" s="306" t="s">
        <v>204</v>
      </c>
      <c r="B192" s="306" t="s">
        <v>1472</v>
      </c>
      <c r="C192" s="306">
        <v>0</v>
      </c>
      <c r="D192" s="306">
        <v>0</v>
      </c>
      <c r="E192" s="306">
        <v>0</v>
      </c>
      <c r="F192" s="306">
        <v>0</v>
      </c>
      <c r="G192" s="306">
        <v>0</v>
      </c>
      <c r="H192" s="306">
        <v>1</v>
      </c>
      <c r="I192" s="306">
        <v>0</v>
      </c>
      <c r="J192" s="306">
        <v>1</v>
      </c>
      <c r="K192" s="306"/>
      <c r="L192" s="306" t="s">
        <v>1463</v>
      </c>
      <c r="M192" s="306" t="s">
        <v>706</v>
      </c>
      <c r="N192" s="306" t="s">
        <v>1464</v>
      </c>
      <c r="O192" s="306" t="s">
        <v>1465</v>
      </c>
      <c r="P192" s="306" t="s">
        <v>1465</v>
      </c>
      <c r="Q192" s="306" t="s">
        <v>1465</v>
      </c>
      <c r="R192" s="306"/>
      <c r="S192" s="306" t="s">
        <v>1466</v>
      </c>
      <c r="T192" s="306" t="s">
        <v>1467</v>
      </c>
      <c r="U192" s="306" t="s">
        <v>355</v>
      </c>
      <c r="V192" s="306" t="s">
        <v>706</v>
      </c>
      <c r="W192" s="306" t="s">
        <v>722</v>
      </c>
      <c r="X192" s="306">
        <f t="shared" si="5"/>
        <v>10</v>
      </c>
    </row>
    <row r="193" spans="1:24" ht="77" customHeight="1" x14ac:dyDescent="0.2">
      <c r="A193" s="306" t="s">
        <v>205</v>
      </c>
      <c r="B193" s="306" t="s">
        <v>1473</v>
      </c>
      <c r="C193" s="306">
        <v>0</v>
      </c>
      <c r="D193" s="306">
        <v>0</v>
      </c>
      <c r="E193" s="306">
        <v>0</v>
      </c>
      <c r="F193" s="306">
        <v>0</v>
      </c>
      <c r="G193" s="306">
        <v>0</v>
      </c>
      <c r="H193" s="306">
        <v>1</v>
      </c>
      <c r="I193" s="306">
        <v>0</v>
      </c>
      <c r="J193" s="306">
        <v>1</v>
      </c>
      <c r="K193" s="306"/>
      <c r="L193" s="306" t="s">
        <v>1463</v>
      </c>
      <c r="M193" s="306" t="s">
        <v>706</v>
      </c>
      <c r="N193" s="306" t="s">
        <v>1464</v>
      </c>
      <c r="O193" s="306" t="s">
        <v>1465</v>
      </c>
      <c r="P193" s="306" t="s">
        <v>1465</v>
      </c>
      <c r="Q193" s="306" t="s">
        <v>1465</v>
      </c>
      <c r="R193" s="306"/>
      <c r="S193" s="306" t="s">
        <v>1466</v>
      </c>
      <c r="T193" s="306" t="s">
        <v>1467</v>
      </c>
      <c r="U193" s="306" t="s">
        <v>355</v>
      </c>
      <c r="V193" s="306" t="s">
        <v>706</v>
      </c>
      <c r="W193" s="306" t="s">
        <v>722</v>
      </c>
      <c r="X193" s="306">
        <f t="shared" ref="X193:X223" si="6">IF($W193="Critical Importance",20,IF($W193="Minor Importance",5,10))</f>
        <v>10</v>
      </c>
    </row>
    <row r="194" spans="1:24" ht="77" customHeight="1" x14ac:dyDescent="0.2">
      <c r="A194" s="306" t="s">
        <v>206</v>
      </c>
      <c r="B194" s="306" t="s">
        <v>1474</v>
      </c>
      <c r="C194" s="306">
        <v>0</v>
      </c>
      <c r="D194" s="306">
        <v>0</v>
      </c>
      <c r="E194" s="306">
        <v>0</v>
      </c>
      <c r="F194" s="306">
        <v>0</v>
      </c>
      <c r="G194" s="306">
        <v>0</v>
      </c>
      <c r="H194" s="306">
        <v>1</v>
      </c>
      <c r="I194" s="306">
        <v>0</v>
      </c>
      <c r="J194" s="306">
        <v>1</v>
      </c>
      <c r="K194" s="306"/>
      <c r="L194" s="306" t="s">
        <v>1463</v>
      </c>
      <c r="M194" s="306" t="s">
        <v>706</v>
      </c>
      <c r="N194" s="306" t="s">
        <v>1464</v>
      </c>
      <c r="O194" s="306" t="s">
        <v>1465</v>
      </c>
      <c r="P194" s="306" t="s">
        <v>1465</v>
      </c>
      <c r="Q194" s="306" t="s">
        <v>1465</v>
      </c>
      <c r="R194" s="306"/>
      <c r="S194" s="306" t="s">
        <v>1466</v>
      </c>
      <c r="T194" s="306" t="s">
        <v>1467</v>
      </c>
      <c r="U194" s="306" t="s">
        <v>355</v>
      </c>
      <c r="V194" s="306" t="s">
        <v>706</v>
      </c>
      <c r="W194" s="306" t="s">
        <v>722</v>
      </c>
      <c r="X194" s="306">
        <f t="shared" si="6"/>
        <v>10</v>
      </c>
    </row>
    <row r="195" spans="1:24" ht="77" customHeight="1" x14ac:dyDescent="0.2">
      <c r="A195" s="306" t="s">
        <v>207</v>
      </c>
      <c r="B195" s="306" t="s">
        <v>1475</v>
      </c>
      <c r="C195" s="306">
        <v>0</v>
      </c>
      <c r="D195" s="306">
        <v>0</v>
      </c>
      <c r="E195" s="306">
        <v>0</v>
      </c>
      <c r="F195" s="306">
        <v>0</v>
      </c>
      <c r="G195" s="306">
        <v>0</v>
      </c>
      <c r="H195" s="306">
        <v>1</v>
      </c>
      <c r="I195" s="306">
        <v>0</v>
      </c>
      <c r="J195" s="306">
        <v>1</v>
      </c>
      <c r="K195" s="306"/>
      <c r="L195" s="306" t="s">
        <v>1463</v>
      </c>
      <c r="M195" s="306" t="s">
        <v>706</v>
      </c>
      <c r="N195" s="306" t="s">
        <v>1464</v>
      </c>
      <c r="O195" s="306" t="s">
        <v>1465</v>
      </c>
      <c r="P195" s="306" t="s">
        <v>1465</v>
      </c>
      <c r="Q195" s="306" t="s">
        <v>1465</v>
      </c>
      <c r="R195" s="306"/>
      <c r="S195" s="306" t="s">
        <v>1466</v>
      </c>
      <c r="T195" s="306" t="s">
        <v>1467</v>
      </c>
      <c r="U195" s="306" t="s">
        <v>355</v>
      </c>
      <c r="V195" s="306" t="s">
        <v>706</v>
      </c>
      <c r="W195" s="306" t="s">
        <v>722</v>
      </c>
      <c r="X195" s="306">
        <f t="shared" si="6"/>
        <v>10</v>
      </c>
    </row>
    <row r="196" spans="1:24" ht="77" customHeight="1" x14ac:dyDescent="0.2">
      <c r="A196" s="306" t="s">
        <v>208</v>
      </c>
      <c r="B196" s="306" t="s">
        <v>1476</v>
      </c>
      <c r="C196" s="306">
        <v>0</v>
      </c>
      <c r="D196" s="306">
        <v>0</v>
      </c>
      <c r="E196" s="306">
        <v>0</v>
      </c>
      <c r="F196" s="306">
        <v>0</v>
      </c>
      <c r="G196" s="306">
        <v>0</v>
      </c>
      <c r="H196" s="306">
        <v>1</v>
      </c>
      <c r="I196" s="306">
        <v>0</v>
      </c>
      <c r="J196" s="306">
        <v>1</v>
      </c>
      <c r="K196" s="306"/>
      <c r="L196" s="306" t="s">
        <v>1463</v>
      </c>
      <c r="M196" s="306" t="s">
        <v>706</v>
      </c>
      <c r="N196" s="306" t="s">
        <v>1464</v>
      </c>
      <c r="O196" s="306" t="s">
        <v>1465</v>
      </c>
      <c r="P196" s="306" t="s">
        <v>1465</v>
      </c>
      <c r="Q196" s="306" t="s">
        <v>1465</v>
      </c>
      <c r="R196" s="306"/>
      <c r="S196" s="306" t="s">
        <v>1466</v>
      </c>
      <c r="T196" s="306" t="s">
        <v>1467</v>
      </c>
      <c r="U196" s="306" t="s">
        <v>355</v>
      </c>
      <c r="V196" s="306" t="s">
        <v>706</v>
      </c>
      <c r="W196" s="306" t="s">
        <v>722</v>
      </c>
      <c r="X196" s="306">
        <f t="shared" si="6"/>
        <v>10</v>
      </c>
    </row>
    <row r="197" spans="1:24" ht="77" customHeight="1" x14ac:dyDescent="0.2">
      <c r="A197" s="306" t="s">
        <v>209</v>
      </c>
      <c r="B197" s="306" t="s">
        <v>1477</v>
      </c>
      <c r="C197" s="306">
        <v>0</v>
      </c>
      <c r="D197" s="306">
        <v>0</v>
      </c>
      <c r="E197" s="306">
        <v>0</v>
      </c>
      <c r="F197" s="306">
        <v>0</v>
      </c>
      <c r="G197" s="306">
        <v>0</v>
      </c>
      <c r="H197" s="306">
        <v>1</v>
      </c>
      <c r="I197" s="306">
        <v>0</v>
      </c>
      <c r="J197" s="306">
        <v>1</v>
      </c>
      <c r="K197" s="306"/>
      <c r="L197" s="306" t="s">
        <v>1463</v>
      </c>
      <c r="M197" s="306" t="s">
        <v>706</v>
      </c>
      <c r="N197" s="306" t="s">
        <v>1464</v>
      </c>
      <c r="O197" s="306" t="s">
        <v>1465</v>
      </c>
      <c r="P197" s="306" t="s">
        <v>1465</v>
      </c>
      <c r="Q197" s="306" t="s">
        <v>1465</v>
      </c>
      <c r="R197" s="306"/>
      <c r="S197" s="306" t="s">
        <v>1466</v>
      </c>
      <c r="T197" s="306" t="s">
        <v>1467</v>
      </c>
      <c r="U197" s="306" t="s">
        <v>355</v>
      </c>
      <c r="V197" s="306" t="s">
        <v>706</v>
      </c>
      <c r="W197" s="306" t="s">
        <v>722</v>
      </c>
      <c r="X197" s="306">
        <f t="shared" si="6"/>
        <v>10</v>
      </c>
    </row>
    <row r="198" spans="1:24" ht="77" customHeight="1" x14ac:dyDescent="0.2">
      <c r="A198" s="306" t="s">
        <v>210</v>
      </c>
      <c r="B198" s="306" t="s">
        <v>1478</v>
      </c>
      <c r="C198" s="306">
        <v>0</v>
      </c>
      <c r="D198" s="306">
        <v>0</v>
      </c>
      <c r="E198" s="306">
        <v>0</v>
      </c>
      <c r="F198" s="306">
        <v>0</v>
      </c>
      <c r="G198" s="306">
        <v>0</v>
      </c>
      <c r="H198" s="306">
        <v>1</v>
      </c>
      <c r="I198" s="306">
        <v>0</v>
      </c>
      <c r="J198" s="306">
        <v>1</v>
      </c>
      <c r="K198" s="306"/>
      <c r="L198" s="306" t="s">
        <v>1463</v>
      </c>
      <c r="M198" s="306" t="s">
        <v>706</v>
      </c>
      <c r="N198" s="306" t="s">
        <v>1464</v>
      </c>
      <c r="O198" s="306" t="s">
        <v>1465</v>
      </c>
      <c r="P198" s="306" t="s">
        <v>1465</v>
      </c>
      <c r="Q198" s="306" t="s">
        <v>1465</v>
      </c>
      <c r="R198" s="306"/>
      <c r="S198" s="306" t="s">
        <v>1466</v>
      </c>
      <c r="T198" s="306" t="s">
        <v>1467</v>
      </c>
      <c r="U198" s="306" t="s">
        <v>355</v>
      </c>
      <c r="V198" s="306" t="s">
        <v>706</v>
      </c>
      <c r="W198" s="306" t="s">
        <v>722</v>
      </c>
      <c r="X198" s="306">
        <f t="shared" si="6"/>
        <v>10</v>
      </c>
    </row>
    <row r="199" spans="1:24" ht="77" customHeight="1" x14ac:dyDescent="0.2">
      <c r="A199" s="306" t="s">
        <v>211</v>
      </c>
      <c r="B199" s="306" t="s">
        <v>1479</v>
      </c>
      <c r="C199" s="306">
        <v>0</v>
      </c>
      <c r="D199" s="306">
        <v>0</v>
      </c>
      <c r="E199" s="306">
        <v>0</v>
      </c>
      <c r="F199" s="306">
        <v>0</v>
      </c>
      <c r="G199" s="306">
        <v>0</v>
      </c>
      <c r="H199" s="306">
        <v>1</v>
      </c>
      <c r="I199" s="306">
        <v>0</v>
      </c>
      <c r="J199" s="306">
        <v>1</v>
      </c>
      <c r="K199" s="306"/>
      <c r="L199" s="306" t="s">
        <v>1463</v>
      </c>
      <c r="M199" s="306" t="s">
        <v>706</v>
      </c>
      <c r="N199" s="306" t="s">
        <v>1464</v>
      </c>
      <c r="O199" s="306" t="s">
        <v>1465</v>
      </c>
      <c r="P199" s="306" t="s">
        <v>1465</v>
      </c>
      <c r="Q199" s="306" t="s">
        <v>1465</v>
      </c>
      <c r="R199" s="306"/>
      <c r="S199" s="306" t="s">
        <v>1466</v>
      </c>
      <c r="T199" s="306" t="s">
        <v>1467</v>
      </c>
      <c r="U199" s="306" t="s">
        <v>355</v>
      </c>
      <c r="V199" s="306" t="s">
        <v>706</v>
      </c>
      <c r="W199" s="306" t="s">
        <v>722</v>
      </c>
      <c r="X199" s="306">
        <f t="shared" si="6"/>
        <v>10</v>
      </c>
    </row>
    <row r="200" spans="1:24" ht="77" customHeight="1" x14ac:dyDescent="0.2">
      <c r="A200" s="306" t="s">
        <v>212</v>
      </c>
      <c r="B200" s="306" t="s">
        <v>1480</v>
      </c>
      <c r="C200" s="306">
        <v>0</v>
      </c>
      <c r="D200" s="306">
        <v>0</v>
      </c>
      <c r="E200" s="306">
        <v>0</v>
      </c>
      <c r="F200" s="306">
        <v>0</v>
      </c>
      <c r="G200" s="306">
        <v>0</v>
      </c>
      <c r="H200" s="306">
        <v>1</v>
      </c>
      <c r="I200" s="306">
        <v>0</v>
      </c>
      <c r="J200" s="306">
        <v>1</v>
      </c>
      <c r="K200" s="306"/>
      <c r="L200" s="306" t="s">
        <v>1463</v>
      </c>
      <c r="M200" s="306" t="s">
        <v>706</v>
      </c>
      <c r="N200" s="306" t="s">
        <v>1464</v>
      </c>
      <c r="O200" s="306" t="s">
        <v>1465</v>
      </c>
      <c r="P200" s="306" t="s">
        <v>1465</v>
      </c>
      <c r="Q200" s="306" t="s">
        <v>1465</v>
      </c>
      <c r="R200" s="306"/>
      <c r="S200" s="306" t="s">
        <v>1466</v>
      </c>
      <c r="T200" s="306" t="s">
        <v>1467</v>
      </c>
      <c r="U200" s="306" t="s">
        <v>364</v>
      </c>
      <c r="V200" s="306" t="s">
        <v>706</v>
      </c>
      <c r="W200" s="306" t="s">
        <v>722</v>
      </c>
      <c r="X200" s="306">
        <f t="shared" si="6"/>
        <v>10</v>
      </c>
    </row>
    <row r="201" spans="1:24" ht="77" customHeight="1" x14ac:dyDescent="0.2">
      <c r="A201" s="306" t="s">
        <v>213</v>
      </c>
      <c r="B201" s="306" t="s">
        <v>1481</v>
      </c>
      <c r="C201" s="306">
        <v>0</v>
      </c>
      <c r="D201" s="306">
        <v>0</v>
      </c>
      <c r="E201" s="306">
        <v>0</v>
      </c>
      <c r="F201" s="306">
        <v>0</v>
      </c>
      <c r="G201" s="306">
        <v>0</v>
      </c>
      <c r="H201" s="306">
        <v>1</v>
      </c>
      <c r="I201" s="306">
        <v>0</v>
      </c>
      <c r="J201" s="306">
        <v>1</v>
      </c>
      <c r="K201" s="306"/>
      <c r="L201" s="306" t="s">
        <v>1463</v>
      </c>
      <c r="M201" s="306" t="s">
        <v>706</v>
      </c>
      <c r="N201" s="306" t="s">
        <v>1464</v>
      </c>
      <c r="O201" s="306" t="s">
        <v>1465</v>
      </c>
      <c r="P201" s="306" t="s">
        <v>1465</v>
      </c>
      <c r="Q201" s="306" t="s">
        <v>1465</v>
      </c>
      <c r="R201" s="306"/>
      <c r="S201" s="306" t="s">
        <v>1466</v>
      </c>
      <c r="T201" s="306" t="s">
        <v>1467</v>
      </c>
      <c r="U201" s="306" t="s">
        <v>355</v>
      </c>
      <c r="V201" s="306" t="s">
        <v>706</v>
      </c>
      <c r="W201" s="306" t="s">
        <v>722</v>
      </c>
      <c r="X201" s="306">
        <f t="shared" si="6"/>
        <v>10</v>
      </c>
    </row>
    <row r="202" spans="1:24" ht="77" customHeight="1" x14ac:dyDescent="0.2">
      <c r="A202" s="306" t="s">
        <v>214</v>
      </c>
      <c r="B202" s="306" t="s">
        <v>1482</v>
      </c>
      <c r="C202" s="306">
        <v>0</v>
      </c>
      <c r="D202" s="306">
        <v>0</v>
      </c>
      <c r="E202" s="306">
        <v>0</v>
      </c>
      <c r="F202" s="306">
        <v>0</v>
      </c>
      <c r="G202" s="306">
        <v>0</v>
      </c>
      <c r="H202" s="306">
        <v>1</v>
      </c>
      <c r="I202" s="306">
        <v>0</v>
      </c>
      <c r="J202" s="306">
        <v>1</v>
      </c>
      <c r="K202" s="306"/>
      <c r="L202" s="306" t="s">
        <v>1463</v>
      </c>
      <c r="M202" s="306" t="s">
        <v>706</v>
      </c>
      <c r="N202" s="306" t="s">
        <v>1464</v>
      </c>
      <c r="O202" s="306" t="s">
        <v>1465</v>
      </c>
      <c r="P202" s="306" t="s">
        <v>1465</v>
      </c>
      <c r="Q202" s="306" t="s">
        <v>1465</v>
      </c>
      <c r="R202" s="306"/>
      <c r="S202" s="306" t="s">
        <v>1466</v>
      </c>
      <c r="T202" s="306" t="s">
        <v>1467</v>
      </c>
      <c r="U202" s="306" t="s">
        <v>355</v>
      </c>
      <c r="V202" s="306" t="s">
        <v>706</v>
      </c>
      <c r="W202" s="306" t="s">
        <v>722</v>
      </c>
      <c r="X202" s="306">
        <f t="shared" si="6"/>
        <v>10</v>
      </c>
    </row>
    <row r="203" spans="1:24" ht="77" customHeight="1" x14ac:dyDescent="0.2">
      <c r="A203" s="306" t="s">
        <v>215</v>
      </c>
      <c r="B203" s="306" t="s">
        <v>1483</v>
      </c>
      <c r="C203" s="306">
        <v>0</v>
      </c>
      <c r="D203" s="306">
        <v>0</v>
      </c>
      <c r="E203" s="306">
        <v>0</v>
      </c>
      <c r="F203" s="306">
        <v>0</v>
      </c>
      <c r="G203" s="306">
        <v>0</v>
      </c>
      <c r="H203" s="306">
        <v>1</v>
      </c>
      <c r="I203" s="306">
        <v>0</v>
      </c>
      <c r="J203" s="306">
        <v>1</v>
      </c>
      <c r="K203" s="306"/>
      <c r="L203" s="306" t="s">
        <v>1463</v>
      </c>
      <c r="M203" s="306" t="s">
        <v>706</v>
      </c>
      <c r="N203" s="306" t="s">
        <v>1464</v>
      </c>
      <c r="O203" s="306" t="s">
        <v>1465</v>
      </c>
      <c r="P203" s="306" t="s">
        <v>1465</v>
      </c>
      <c r="Q203" s="306" t="s">
        <v>1465</v>
      </c>
      <c r="R203" s="306"/>
      <c r="S203" s="306" t="s">
        <v>1466</v>
      </c>
      <c r="T203" s="306" t="s">
        <v>1467</v>
      </c>
      <c r="U203" s="306" t="s">
        <v>355</v>
      </c>
      <c r="V203" s="306" t="s">
        <v>706</v>
      </c>
      <c r="W203" s="306" t="s">
        <v>722</v>
      </c>
      <c r="X203" s="306">
        <f t="shared" si="6"/>
        <v>10</v>
      </c>
    </row>
    <row r="204" spans="1:24" ht="77" customHeight="1" x14ac:dyDescent="0.2">
      <c r="A204" s="306" t="s">
        <v>216</v>
      </c>
      <c r="B204" s="306" t="s">
        <v>1484</v>
      </c>
      <c r="C204" s="306">
        <v>0</v>
      </c>
      <c r="D204" s="306">
        <v>0</v>
      </c>
      <c r="E204" s="306">
        <v>0</v>
      </c>
      <c r="F204" s="306">
        <v>0</v>
      </c>
      <c r="G204" s="306">
        <v>0</v>
      </c>
      <c r="H204" s="306">
        <v>1</v>
      </c>
      <c r="I204" s="306">
        <v>0</v>
      </c>
      <c r="J204" s="306">
        <v>1</v>
      </c>
      <c r="K204" s="306"/>
      <c r="L204" s="306" t="s">
        <v>1463</v>
      </c>
      <c r="M204" s="306" t="s">
        <v>706</v>
      </c>
      <c r="N204" s="306" t="s">
        <v>1464</v>
      </c>
      <c r="O204" s="306" t="s">
        <v>1465</v>
      </c>
      <c r="P204" s="306" t="s">
        <v>1465</v>
      </c>
      <c r="Q204" s="306" t="s">
        <v>1465</v>
      </c>
      <c r="R204" s="306"/>
      <c r="S204" s="306" t="s">
        <v>1466</v>
      </c>
      <c r="T204" s="306" t="s">
        <v>1467</v>
      </c>
      <c r="U204" s="306" t="s">
        <v>364</v>
      </c>
      <c r="V204" s="306" t="s">
        <v>706</v>
      </c>
      <c r="W204" s="306" t="s">
        <v>722</v>
      </c>
      <c r="X204" s="306">
        <f t="shared" si="6"/>
        <v>10</v>
      </c>
    </row>
    <row r="205" spans="1:24" ht="77" customHeight="1" x14ac:dyDescent="0.2">
      <c r="A205" s="306" t="s">
        <v>217</v>
      </c>
      <c r="B205" s="306" t="s">
        <v>1485</v>
      </c>
      <c r="C205" s="306">
        <v>0</v>
      </c>
      <c r="D205" s="306">
        <v>0</v>
      </c>
      <c r="E205" s="306">
        <v>0</v>
      </c>
      <c r="F205" s="306">
        <v>0</v>
      </c>
      <c r="G205" s="306">
        <v>0</v>
      </c>
      <c r="H205" s="306">
        <v>1</v>
      </c>
      <c r="I205" s="306">
        <v>0</v>
      </c>
      <c r="J205" s="306">
        <v>1</v>
      </c>
      <c r="K205" s="306"/>
      <c r="L205" s="306" t="s">
        <v>1463</v>
      </c>
      <c r="M205" s="306" t="s">
        <v>706</v>
      </c>
      <c r="N205" s="306" t="s">
        <v>1464</v>
      </c>
      <c r="O205" s="306" t="s">
        <v>1465</v>
      </c>
      <c r="P205" s="306" t="s">
        <v>1465</v>
      </c>
      <c r="Q205" s="306" t="s">
        <v>1465</v>
      </c>
      <c r="R205" s="306"/>
      <c r="S205" s="306" t="s">
        <v>1466</v>
      </c>
      <c r="T205" s="306" t="s">
        <v>1467</v>
      </c>
      <c r="U205" s="306" t="s">
        <v>355</v>
      </c>
      <c r="V205" s="306" t="s">
        <v>706</v>
      </c>
      <c r="W205" s="306" t="s">
        <v>722</v>
      </c>
      <c r="X205" s="306">
        <f t="shared" si="6"/>
        <v>10</v>
      </c>
    </row>
    <row r="206" spans="1:24" ht="77" customHeight="1" x14ac:dyDescent="0.2">
      <c r="A206" s="306" t="s">
        <v>218</v>
      </c>
      <c r="B206" s="306" t="s">
        <v>1486</v>
      </c>
      <c r="C206" s="306">
        <v>0</v>
      </c>
      <c r="D206" s="306">
        <v>0</v>
      </c>
      <c r="E206" s="306">
        <v>0</v>
      </c>
      <c r="F206" s="306">
        <v>0</v>
      </c>
      <c r="G206" s="306">
        <v>0</v>
      </c>
      <c r="H206" s="306">
        <v>1</v>
      </c>
      <c r="I206" s="306">
        <v>0</v>
      </c>
      <c r="J206" s="306">
        <v>1</v>
      </c>
      <c r="K206" s="306"/>
      <c r="L206" s="306" t="s">
        <v>1463</v>
      </c>
      <c r="M206" s="306" t="s">
        <v>706</v>
      </c>
      <c r="N206" s="306" t="s">
        <v>1464</v>
      </c>
      <c r="O206" s="306" t="s">
        <v>1465</v>
      </c>
      <c r="P206" s="306" t="s">
        <v>1465</v>
      </c>
      <c r="Q206" s="306" t="s">
        <v>1465</v>
      </c>
      <c r="R206" s="306"/>
      <c r="S206" s="306" t="s">
        <v>1466</v>
      </c>
      <c r="T206" s="306" t="s">
        <v>1467</v>
      </c>
      <c r="U206" s="306" t="s">
        <v>355</v>
      </c>
      <c r="V206" s="306" t="s">
        <v>706</v>
      </c>
      <c r="W206" s="306" t="s">
        <v>722</v>
      </c>
      <c r="X206" s="306">
        <f t="shared" si="6"/>
        <v>10</v>
      </c>
    </row>
    <row r="207" spans="1:24" ht="77" customHeight="1" x14ac:dyDescent="0.2">
      <c r="A207" s="306" t="s">
        <v>219</v>
      </c>
      <c r="B207" s="306" t="s">
        <v>1487</v>
      </c>
      <c r="C207" s="306">
        <v>0</v>
      </c>
      <c r="D207" s="306">
        <v>0</v>
      </c>
      <c r="E207" s="306">
        <v>0</v>
      </c>
      <c r="F207" s="306">
        <v>0</v>
      </c>
      <c r="G207" s="306">
        <v>0</v>
      </c>
      <c r="H207" s="306">
        <v>1</v>
      </c>
      <c r="I207" s="306">
        <v>0</v>
      </c>
      <c r="J207" s="306">
        <v>1</v>
      </c>
      <c r="K207" s="306"/>
      <c r="L207" s="306" t="s">
        <v>1463</v>
      </c>
      <c r="M207" s="306" t="s">
        <v>706</v>
      </c>
      <c r="N207" s="306" t="s">
        <v>1464</v>
      </c>
      <c r="O207" s="306" t="s">
        <v>1465</v>
      </c>
      <c r="P207" s="306" t="s">
        <v>1465</v>
      </c>
      <c r="Q207" s="306" t="s">
        <v>1465</v>
      </c>
      <c r="R207" s="306"/>
      <c r="S207" s="306" t="s">
        <v>1466</v>
      </c>
      <c r="T207" s="306" t="s">
        <v>1467</v>
      </c>
      <c r="U207" s="306" t="s">
        <v>355</v>
      </c>
      <c r="V207" s="306" t="s">
        <v>706</v>
      </c>
      <c r="W207" s="306" t="s">
        <v>722</v>
      </c>
      <c r="X207" s="306">
        <f t="shared" si="6"/>
        <v>10</v>
      </c>
    </row>
    <row r="208" spans="1:24" ht="77" customHeight="1" x14ac:dyDescent="0.2">
      <c r="A208" s="306" t="s">
        <v>220</v>
      </c>
      <c r="B208" s="306" t="s">
        <v>1488</v>
      </c>
      <c r="C208" s="306">
        <v>0</v>
      </c>
      <c r="D208" s="306">
        <v>0</v>
      </c>
      <c r="E208" s="306">
        <v>0</v>
      </c>
      <c r="F208" s="306">
        <v>0</v>
      </c>
      <c r="G208" s="306">
        <v>0</v>
      </c>
      <c r="H208" s="306">
        <v>1</v>
      </c>
      <c r="I208" s="306">
        <v>0</v>
      </c>
      <c r="J208" s="306">
        <v>1</v>
      </c>
      <c r="K208" s="306"/>
      <c r="L208" s="306" t="s">
        <v>1463</v>
      </c>
      <c r="M208" s="306" t="s">
        <v>706</v>
      </c>
      <c r="N208" s="306" t="s">
        <v>1464</v>
      </c>
      <c r="O208" s="306" t="s">
        <v>1465</v>
      </c>
      <c r="P208" s="306" t="s">
        <v>1465</v>
      </c>
      <c r="Q208" s="306" t="s">
        <v>1465</v>
      </c>
      <c r="R208" s="306"/>
      <c r="S208" s="306" t="s">
        <v>1466</v>
      </c>
      <c r="T208" s="306" t="s">
        <v>1467</v>
      </c>
      <c r="U208" s="306" t="s">
        <v>355</v>
      </c>
      <c r="V208" s="306" t="s">
        <v>706</v>
      </c>
      <c r="W208" s="306" t="s">
        <v>722</v>
      </c>
      <c r="X208" s="306">
        <f t="shared" si="6"/>
        <v>10</v>
      </c>
    </row>
    <row r="209" spans="1:24" ht="77" customHeight="1" x14ac:dyDescent="0.2">
      <c r="A209" s="306" t="s">
        <v>221</v>
      </c>
      <c r="B209" s="306" t="s">
        <v>1489</v>
      </c>
      <c r="C209" s="306">
        <v>0</v>
      </c>
      <c r="D209" s="306">
        <v>0</v>
      </c>
      <c r="E209" s="306">
        <v>0</v>
      </c>
      <c r="F209" s="306">
        <v>0</v>
      </c>
      <c r="G209" s="306">
        <v>0</v>
      </c>
      <c r="H209" s="306">
        <v>1</v>
      </c>
      <c r="I209" s="306">
        <v>0</v>
      </c>
      <c r="J209" s="306">
        <v>1</v>
      </c>
      <c r="K209" s="306"/>
      <c r="L209" s="306" t="s">
        <v>1463</v>
      </c>
      <c r="M209" s="306" t="s">
        <v>706</v>
      </c>
      <c r="N209" s="306" t="s">
        <v>1464</v>
      </c>
      <c r="O209" s="306" t="s">
        <v>1465</v>
      </c>
      <c r="P209" s="306" t="s">
        <v>1490</v>
      </c>
      <c r="Q209" s="306" t="s">
        <v>1490</v>
      </c>
      <c r="R209" s="306"/>
      <c r="S209" s="306" t="s">
        <v>1466</v>
      </c>
      <c r="T209" s="306" t="s">
        <v>1467</v>
      </c>
      <c r="U209" s="306" t="s">
        <v>355</v>
      </c>
      <c r="V209" s="306" t="s">
        <v>706</v>
      </c>
      <c r="W209" s="306" t="s">
        <v>722</v>
      </c>
      <c r="X209" s="306">
        <f t="shared" si="6"/>
        <v>10</v>
      </c>
    </row>
    <row r="210" spans="1:24" ht="77" customHeight="1" x14ac:dyDescent="0.2">
      <c r="A210" s="306" t="s">
        <v>222</v>
      </c>
      <c r="B210" s="306" t="s">
        <v>1491</v>
      </c>
      <c r="C210" s="306">
        <v>0</v>
      </c>
      <c r="D210" s="306">
        <v>0</v>
      </c>
      <c r="E210" s="306">
        <v>0</v>
      </c>
      <c r="F210" s="306">
        <v>0</v>
      </c>
      <c r="G210" s="306">
        <v>0</v>
      </c>
      <c r="H210" s="306">
        <v>1</v>
      </c>
      <c r="I210" s="306">
        <v>0</v>
      </c>
      <c r="J210" s="306">
        <v>1</v>
      </c>
      <c r="K210" s="306"/>
      <c r="L210" s="306" t="s">
        <v>1463</v>
      </c>
      <c r="M210" s="306" t="s">
        <v>706</v>
      </c>
      <c r="N210" s="306" t="s">
        <v>1464</v>
      </c>
      <c r="O210" s="306" t="s">
        <v>1465</v>
      </c>
      <c r="P210" s="306" t="s">
        <v>1465</v>
      </c>
      <c r="Q210" s="306" t="s">
        <v>1465</v>
      </c>
      <c r="R210" s="306"/>
      <c r="S210" s="306" t="s">
        <v>1466</v>
      </c>
      <c r="T210" s="306" t="s">
        <v>1467</v>
      </c>
      <c r="U210" s="306" t="s">
        <v>355</v>
      </c>
      <c r="V210" s="306" t="s">
        <v>706</v>
      </c>
      <c r="W210" s="306" t="s">
        <v>722</v>
      </c>
      <c r="X210" s="306">
        <f t="shared" si="6"/>
        <v>10</v>
      </c>
    </row>
    <row r="211" spans="1:24" ht="77" customHeight="1" x14ac:dyDescent="0.2">
      <c r="A211" s="306" t="s">
        <v>223</v>
      </c>
      <c r="B211" s="306" t="s">
        <v>1492</v>
      </c>
      <c r="C211" s="306">
        <v>0</v>
      </c>
      <c r="D211" s="306">
        <v>0</v>
      </c>
      <c r="E211" s="306">
        <v>0</v>
      </c>
      <c r="F211" s="306">
        <v>0</v>
      </c>
      <c r="G211" s="306">
        <v>0</v>
      </c>
      <c r="H211" s="306">
        <v>1</v>
      </c>
      <c r="I211" s="306">
        <v>0</v>
      </c>
      <c r="J211" s="306">
        <v>1</v>
      </c>
      <c r="K211" s="306"/>
      <c r="L211" s="306" t="s">
        <v>1463</v>
      </c>
      <c r="M211" s="306" t="s">
        <v>706</v>
      </c>
      <c r="N211" s="306" t="s">
        <v>1464</v>
      </c>
      <c r="O211" s="306" t="s">
        <v>1465</v>
      </c>
      <c r="P211" s="306" t="s">
        <v>1465</v>
      </c>
      <c r="Q211" s="306" t="s">
        <v>1465</v>
      </c>
      <c r="R211" s="306"/>
      <c r="S211" s="306" t="s">
        <v>1466</v>
      </c>
      <c r="T211" s="306" t="s">
        <v>1467</v>
      </c>
      <c r="U211" s="306" t="s">
        <v>355</v>
      </c>
      <c r="V211" s="306" t="s">
        <v>706</v>
      </c>
      <c r="W211" s="306" t="s">
        <v>722</v>
      </c>
      <c r="X211" s="306">
        <f t="shared" si="6"/>
        <v>10</v>
      </c>
    </row>
    <row r="212" spans="1:24" ht="77" customHeight="1" x14ac:dyDescent="0.2">
      <c r="A212" s="306" t="s">
        <v>224</v>
      </c>
      <c r="B212" s="306" t="s">
        <v>1493</v>
      </c>
      <c r="C212" s="306">
        <v>0</v>
      </c>
      <c r="D212" s="306">
        <v>0</v>
      </c>
      <c r="E212" s="306">
        <v>0</v>
      </c>
      <c r="F212" s="306">
        <v>0</v>
      </c>
      <c r="G212" s="306">
        <v>0</v>
      </c>
      <c r="H212" s="306">
        <v>1</v>
      </c>
      <c r="I212" s="306">
        <v>0</v>
      </c>
      <c r="J212" s="306">
        <v>1</v>
      </c>
      <c r="K212" s="306"/>
      <c r="L212" s="306" t="s">
        <v>1463</v>
      </c>
      <c r="M212" s="306" t="s">
        <v>706</v>
      </c>
      <c r="N212" s="306" t="s">
        <v>1464</v>
      </c>
      <c r="O212" s="306" t="s">
        <v>1465</v>
      </c>
      <c r="P212" s="306" t="s">
        <v>1465</v>
      </c>
      <c r="Q212" s="306" t="s">
        <v>1465</v>
      </c>
      <c r="R212" s="306"/>
      <c r="S212" s="306" t="s">
        <v>1466</v>
      </c>
      <c r="T212" s="306" t="s">
        <v>1467</v>
      </c>
      <c r="U212" s="306" t="s">
        <v>355</v>
      </c>
      <c r="V212" s="306" t="s">
        <v>706</v>
      </c>
      <c r="W212" s="306" t="s">
        <v>722</v>
      </c>
      <c r="X212" s="306">
        <f t="shared" si="6"/>
        <v>10</v>
      </c>
    </row>
    <row r="213" spans="1:24" ht="77" customHeight="1" x14ac:dyDescent="0.2">
      <c r="A213" s="306" t="s">
        <v>225</v>
      </c>
      <c r="B213" s="306" t="s">
        <v>1494</v>
      </c>
      <c r="C213" s="306">
        <v>0</v>
      </c>
      <c r="D213" s="306">
        <v>0</v>
      </c>
      <c r="E213" s="306">
        <v>0</v>
      </c>
      <c r="F213" s="306">
        <v>0</v>
      </c>
      <c r="G213" s="306">
        <v>0</v>
      </c>
      <c r="H213" s="306">
        <v>1</v>
      </c>
      <c r="I213" s="306">
        <v>0</v>
      </c>
      <c r="J213" s="306">
        <v>1</v>
      </c>
      <c r="K213" s="306"/>
      <c r="L213" s="306" t="s">
        <v>1463</v>
      </c>
      <c r="M213" s="306" t="s">
        <v>706</v>
      </c>
      <c r="N213" s="306" t="s">
        <v>1464</v>
      </c>
      <c r="O213" s="306" t="s">
        <v>1465</v>
      </c>
      <c r="P213" s="306" t="s">
        <v>1465</v>
      </c>
      <c r="Q213" s="306" t="s">
        <v>1465</v>
      </c>
      <c r="R213" s="306"/>
      <c r="S213" s="306" t="s">
        <v>1466</v>
      </c>
      <c r="T213" s="306" t="s">
        <v>1467</v>
      </c>
      <c r="U213" s="306" t="s">
        <v>355</v>
      </c>
      <c r="V213" s="306" t="s">
        <v>706</v>
      </c>
      <c r="W213" s="306" t="s">
        <v>722</v>
      </c>
      <c r="X213" s="306">
        <f t="shared" si="6"/>
        <v>10</v>
      </c>
    </row>
    <row r="214" spans="1:24" ht="77" customHeight="1" x14ac:dyDescent="0.2">
      <c r="A214" s="306" t="s">
        <v>226</v>
      </c>
      <c r="B214" s="306" t="s">
        <v>1495</v>
      </c>
      <c r="C214" s="306">
        <v>0</v>
      </c>
      <c r="D214" s="306">
        <v>0</v>
      </c>
      <c r="E214" s="306">
        <v>0</v>
      </c>
      <c r="F214" s="306">
        <v>0</v>
      </c>
      <c r="G214" s="306">
        <v>0</v>
      </c>
      <c r="H214" s="306">
        <v>1</v>
      </c>
      <c r="I214" s="306">
        <v>0</v>
      </c>
      <c r="J214" s="306">
        <v>1</v>
      </c>
      <c r="K214" s="306"/>
      <c r="L214" s="306" t="s">
        <v>1463</v>
      </c>
      <c r="M214" s="306" t="s">
        <v>706</v>
      </c>
      <c r="N214" s="306" t="s">
        <v>1464</v>
      </c>
      <c r="O214" s="306" t="s">
        <v>1465</v>
      </c>
      <c r="P214" s="306" t="s">
        <v>1465</v>
      </c>
      <c r="Q214" s="306" t="s">
        <v>1465</v>
      </c>
      <c r="R214" s="306"/>
      <c r="S214" s="306" t="s">
        <v>1466</v>
      </c>
      <c r="T214" s="306" t="s">
        <v>1467</v>
      </c>
      <c r="U214" s="306" t="s">
        <v>355</v>
      </c>
      <c r="V214" s="306" t="s">
        <v>706</v>
      </c>
      <c r="W214" s="306" t="s">
        <v>722</v>
      </c>
      <c r="X214" s="306">
        <f t="shared" si="6"/>
        <v>10</v>
      </c>
    </row>
    <row r="215" spans="1:24" ht="77" customHeight="1" x14ac:dyDescent="0.2">
      <c r="A215" s="306" t="s">
        <v>227</v>
      </c>
      <c r="B215" s="306" t="s">
        <v>1496</v>
      </c>
      <c r="C215" s="306">
        <v>0</v>
      </c>
      <c r="D215" s="306">
        <v>0</v>
      </c>
      <c r="E215" s="306">
        <v>0</v>
      </c>
      <c r="F215" s="306">
        <v>0</v>
      </c>
      <c r="G215" s="306">
        <v>0</v>
      </c>
      <c r="H215" s="306">
        <v>1</v>
      </c>
      <c r="I215" s="306">
        <v>0</v>
      </c>
      <c r="J215" s="306">
        <v>1</v>
      </c>
      <c r="K215" s="306"/>
      <c r="L215" s="306" t="s">
        <v>1463</v>
      </c>
      <c r="M215" s="306" t="s">
        <v>706</v>
      </c>
      <c r="N215" s="306" t="s">
        <v>1464</v>
      </c>
      <c r="O215" s="306" t="s">
        <v>1465</v>
      </c>
      <c r="P215" s="306" t="s">
        <v>1465</v>
      </c>
      <c r="Q215" s="306" t="s">
        <v>1465</v>
      </c>
      <c r="R215" s="306"/>
      <c r="S215" s="306" t="s">
        <v>1466</v>
      </c>
      <c r="T215" s="306" t="s">
        <v>1467</v>
      </c>
      <c r="U215" s="306" t="s">
        <v>355</v>
      </c>
      <c r="V215" s="306" t="s">
        <v>706</v>
      </c>
      <c r="W215" s="306" t="s">
        <v>731</v>
      </c>
      <c r="X215" s="306">
        <f t="shared" si="6"/>
        <v>5</v>
      </c>
    </row>
    <row r="216" spans="1:24" ht="60.75" customHeight="1" x14ac:dyDescent="0.2">
      <c r="A216" s="317" t="s">
        <v>228</v>
      </c>
      <c r="B216" s="317" t="s">
        <v>1497</v>
      </c>
      <c r="C216" s="306">
        <v>0</v>
      </c>
      <c r="D216" s="306">
        <v>0</v>
      </c>
      <c r="E216" s="306">
        <v>0</v>
      </c>
      <c r="F216" s="306">
        <v>0</v>
      </c>
      <c r="G216" s="306">
        <v>0</v>
      </c>
      <c r="H216" s="306">
        <v>1</v>
      </c>
      <c r="I216" s="306">
        <v>0</v>
      </c>
      <c r="J216" s="306">
        <v>1</v>
      </c>
      <c r="K216" s="306"/>
      <c r="L216" s="306" t="s">
        <v>894</v>
      </c>
      <c r="M216" s="306" t="s">
        <v>706</v>
      </c>
      <c r="N216" s="306" t="s">
        <v>1498</v>
      </c>
      <c r="O216" s="306" t="s">
        <v>1499</v>
      </c>
      <c r="P216" s="306" t="s">
        <v>1499</v>
      </c>
      <c r="Q216" s="306" t="s">
        <v>1499</v>
      </c>
      <c r="R216" s="306"/>
      <c r="S216" s="306" t="s">
        <v>1500</v>
      </c>
      <c r="T216" s="306" t="s">
        <v>1501</v>
      </c>
      <c r="U216" s="306" t="s">
        <v>355</v>
      </c>
      <c r="V216" s="306" t="s">
        <v>706</v>
      </c>
      <c r="W216" s="306" t="s">
        <v>773</v>
      </c>
      <c r="X216" s="306">
        <f t="shared" si="6"/>
        <v>20</v>
      </c>
    </row>
    <row r="217" spans="1:24" ht="57" customHeight="1" x14ac:dyDescent="0.2">
      <c r="A217" s="317" t="s">
        <v>229</v>
      </c>
      <c r="B217" s="317" t="s">
        <v>1502</v>
      </c>
      <c r="C217" s="306">
        <v>0</v>
      </c>
      <c r="D217" s="306">
        <v>0</v>
      </c>
      <c r="E217" s="306">
        <v>0</v>
      </c>
      <c r="F217" s="306">
        <v>0</v>
      </c>
      <c r="G217" s="306">
        <v>0</v>
      </c>
      <c r="H217" s="306">
        <v>1</v>
      </c>
      <c r="I217" s="306">
        <v>0</v>
      </c>
      <c r="J217" s="306">
        <v>1</v>
      </c>
      <c r="K217" s="306"/>
      <c r="L217" s="306" t="s">
        <v>894</v>
      </c>
      <c r="M217" s="306" t="s">
        <v>706</v>
      </c>
      <c r="N217" s="306" t="s">
        <v>1498</v>
      </c>
      <c r="O217" s="306" t="s">
        <v>1499</v>
      </c>
      <c r="P217" s="306" t="s">
        <v>1499</v>
      </c>
      <c r="Q217" s="306" t="s">
        <v>1499</v>
      </c>
      <c r="R217" s="306"/>
      <c r="S217" s="306" t="s">
        <v>1500</v>
      </c>
      <c r="T217" s="306" t="s">
        <v>1501</v>
      </c>
      <c r="U217" s="306" t="s">
        <v>364</v>
      </c>
      <c r="V217" s="306" t="s">
        <v>706</v>
      </c>
      <c r="W217" s="306" t="s">
        <v>773</v>
      </c>
      <c r="X217" s="306">
        <f t="shared" si="6"/>
        <v>20</v>
      </c>
    </row>
    <row r="218" spans="1:24" ht="57" customHeight="1" x14ac:dyDescent="0.2">
      <c r="A218" s="317" t="s">
        <v>230</v>
      </c>
      <c r="B218" s="317" t="s">
        <v>1503</v>
      </c>
      <c r="C218" s="306">
        <v>0</v>
      </c>
      <c r="D218" s="306">
        <v>0</v>
      </c>
      <c r="E218" s="306">
        <v>0</v>
      </c>
      <c r="F218" s="306">
        <v>0</v>
      </c>
      <c r="G218" s="306">
        <v>0</v>
      </c>
      <c r="H218" s="306">
        <v>1</v>
      </c>
      <c r="I218" s="306">
        <v>0</v>
      </c>
      <c r="J218" s="306">
        <v>1</v>
      </c>
      <c r="K218" s="306"/>
      <c r="L218" s="306" t="s">
        <v>894</v>
      </c>
      <c r="M218" s="306" t="s">
        <v>706</v>
      </c>
      <c r="N218" s="306" t="s">
        <v>1498</v>
      </c>
      <c r="O218" s="306" t="s">
        <v>1499</v>
      </c>
      <c r="P218" s="306" t="s">
        <v>1499</v>
      </c>
      <c r="Q218" s="306" t="s">
        <v>1499</v>
      </c>
      <c r="R218" s="306"/>
      <c r="S218" s="306" t="s">
        <v>1500</v>
      </c>
      <c r="T218" s="306" t="s">
        <v>1501</v>
      </c>
      <c r="U218" s="306" t="s">
        <v>364</v>
      </c>
      <c r="V218" s="306" t="s">
        <v>706</v>
      </c>
      <c r="W218" s="306" t="s">
        <v>773</v>
      </c>
      <c r="X218" s="306">
        <f t="shared" si="6"/>
        <v>20</v>
      </c>
    </row>
    <row r="219" spans="1:24" ht="57" customHeight="1" x14ac:dyDescent="0.2">
      <c r="A219" s="306" t="s">
        <v>231</v>
      </c>
      <c r="B219" s="306" t="s">
        <v>1504</v>
      </c>
      <c r="C219" s="306">
        <v>0</v>
      </c>
      <c r="D219" s="306">
        <v>0</v>
      </c>
      <c r="E219" s="306">
        <v>0</v>
      </c>
      <c r="F219" s="306">
        <v>0</v>
      </c>
      <c r="G219" s="306">
        <v>0</v>
      </c>
      <c r="H219" s="306">
        <v>1</v>
      </c>
      <c r="I219" s="306">
        <v>0</v>
      </c>
      <c r="J219" s="306">
        <v>1</v>
      </c>
      <c r="K219" s="306"/>
      <c r="L219" s="306" t="s">
        <v>894</v>
      </c>
      <c r="M219" s="306" t="s">
        <v>706</v>
      </c>
      <c r="N219" s="306" t="s">
        <v>1498</v>
      </c>
      <c r="O219" s="306" t="s">
        <v>1499</v>
      </c>
      <c r="P219" s="306" t="s">
        <v>1499</v>
      </c>
      <c r="Q219" s="306" t="s">
        <v>1499</v>
      </c>
      <c r="R219" s="306"/>
      <c r="S219" s="306" t="s">
        <v>1500</v>
      </c>
      <c r="T219" s="306" t="s">
        <v>1501</v>
      </c>
      <c r="U219" s="306" t="s">
        <v>355</v>
      </c>
      <c r="V219" s="306" t="s">
        <v>706</v>
      </c>
      <c r="W219" s="306" t="s">
        <v>722</v>
      </c>
      <c r="X219" s="306">
        <f t="shared" si="6"/>
        <v>10</v>
      </c>
    </row>
    <row r="220" spans="1:24" ht="57" customHeight="1" x14ac:dyDescent="0.2">
      <c r="A220" s="306" t="s">
        <v>232</v>
      </c>
      <c r="B220" s="306" t="s">
        <v>1505</v>
      </c>
      <c r="C220" s="306">
        <v>0</v>
      </c>
      <c r="D220" s="306">
        <v>0</v>
      </c>
      <c r="E220" s="306">
        <v>0</v>
      </c>
      <c r="F220" s="306">
        <v>0</v>
      </c>
      <c r="G220" s="306">
        <v>0</v>
      </c>
      <c r="H220" s="306">
        <v>1</v>
      </c>
      <c r="I220" s="306">
        <v>0</v>
      </c>
      <c r="J220" s="306">
        <v>1</v>
      </c>
      <c r="K220" s="306"/>
      <c r="L220" s="306" t="s">
        <v>894</v>
      </c>
      <c r="M220" s="306" t="s">
        <v>706</v>
      </c>
      <c r="N220" s="306" t="s">
        <v>1498</v>
      </c>
      <c r="O220" s="306" t="s">
        <v>1499</v>
      </c>
      <c r="P220" s="306" t="s">
        <v>1499</v>
      </c>
      <c r="Q220" s="306" t="s">
        <v>1499</v>
      </c>
      <c r="R220" s="306"/>
      <c r="S220" s="306" t="s">
        <v>1500</v>
      </c>
      <c r="T220" s="306" t="s">
        <v>1501</v>
      </c>
      <c r="U220" s="306" t="s">
        <v>355</v>
      </c>
      <c r="V220" s="306" t="s">
        <v>706</v>
      </c>
      <c r="W220" s="306" t="s">
        <v>722</v>
      </c>
      <c r="X220" s="306">
        <f t="shared" si="6"/>
        <v>10</v>
      </c>
    </row>
    <row r="221" spans="1:24" ht="57" customHeight="1" x14ac:dyDescent="0.2">
      <c r="A221" s="306" t="s">
        <v>233</v>
      </c>
      <c r="B221" s="306" t="s">
        <v>1506</v>
      </c>
      <c r="C221" s="306">
        <v>0</v>
      </c>
      <c r="D221" s="306">
        <v>0</v>
      </c>
      <c r="E221" s="306">
        <v>0</v>
      </c>
      <c r="F221" s="306">
        <v>0</v>
      </c>
      <c r="G221" s="306">
        <v>0</v>
      </c>
      <c r="H221" s="306">
        <v>1</v>
      </c>
      <c r="I221" s="306">
        <v>0</v>
      </c>
      <c r="J221" s="306">
        <v>1</v>
      </c>
      <c r="K221" s="306"/>
      <c r="L221" s="306" t="s">
        <v>894</v>
      </c>
      <c r="M221" s="306" t="s">
        <v>706</v>
      </c>
      <c r="N221" s="306" t="s">
        <v>1498</v>
      </c>
      <c r="O221" s="306" t="s">
        <v>1499</v>
      </c>
      <c r="P221" s="306" t="s">
        <v>1499</v>
      </c>
      <c r="Q221" s="306" t="s">
        <v>1499</v>
      </c>
      <c r="R221" s="306"/>
      <c r="S221" s="306" t="s">
        <v>1500</v>
      </c>
      <c r="T221" s="306" t="s">
        <v>1501</v>
      </c>
      <c r="U221" s="306" t="s">
        <v>355</v>
      </c>
      <c r="V221" s="306" t="s">
        <v>706</v>
      </c>
      <c r="W221" s="306" t="s">
        <v>722</v>
      </c>
      <c r="X221" s="306">
        <f t="shared" si="6"/>
        <v>10</v>
      </c>
    </row>
    <row r="222" spans="1:24" ht="57" customHeight="1" x14ac:dyDescent="0.2">
      <c r="A222" s="306" t="s">
        <v>234</v>
      </c>
      <c r="B222" s="306" t="s">
        <v>1507</v>
      </c>
      <c r="C222" s="306">
        <v>0</v>
      </c>
      <c r="D222" s="306">
        <v>0</v>
      </c>
      <c r="E222" s="306">
        <v>0</v>
      </c>
      <c r="F222" s="306">
        <v>0</v>
      </c>
      <c r="G222" s="306">
        <v>0</v>
      </c>
      <c r="H222" s="306">
        <v>1</v>
      </c>
      <c r="I222" s="306">
        <v>0</v>
      </c>
      <c r="J222" s="306">
        <v>1</v>
      </c>
      <c r="K222" s="306"/>
      <c r="L222" s="306" t="s">
        <v>894</v>
      </c>
      <c r="M222" s="306" t="s">
        <v>706</v>
      </c>
      <c r="N222" s="306" t="s">
        <v>1498</v>
      </c>
      <c r="O222" s="306" t="s">
        <v>1499</v>
      </c>
      <c r="P222" s="306" t="s">
        <v>1499</v>
      </c>
      <c r="Q222" s="306" t="s">
        <v>1499</v>
      </c>
      <c r="R222" s="306"/>
      <c r="S222" s="306" t="s">
        <v>1500</v>
      </c>
      <c r="T222" s="306" t="s">
        <v>1501</v>
      </c>
      <c r="U222" s="306" t="s">
        <v>355</v>
      </c>
      <c r="V222" s="306" t="s">
        <v>706</v>
      </c>
      <c r="W222" s="306" t="s">
        <v>722</v>
      </c>
      <c r="X222" s="306">
        <f t="shared" si="6"/>
        <v>10</v>
      </c>
    </row>
    <row r="223" spans="1:24" ht="57" customHeight="1" x14ac:dyDescent="0.2">
      <c r="A223" s="306" t="s">
        <v>235</v>
      </c>
      <c r="B223" s="306" t="s">
        <v>1508</v>
      </c>
      <c r="C223" s="306">
        <v>0</v>
      </c>
      <c r="D223" s="306">
        <v>0</v>
      </c>
      <c r="E223" s="306">
        <v>0</v>
      </c>
      <c r="F223" s="306">
        <v>0</v>
      </c>
      <c r="G223" s="306">
        <v>0</v>
      </c>
      <c r="H223" s="306">
        <v>1</v>
      </c>
      <c r="I223" s="306">
        <v>0</v>
      </c>
      <c r="J223" s="306">
        <v>1</v>
      </c>
      <c r="K223" s="306"/>
      <c r="L223" s="306" t="s">
        <v>894</v>
      </c>
      <c r="M223" s="306" t="s">
        <v>706</v>
      </c>
      <c r="N223" s="306" t="s">
        <v>1498</v>
      </c>
      <c r="O223" s="306" t="s">
        <v>1499</v>
      </c>
      <c r="P223" s="306" t="s">
        <v>1499</v>
      </c>
      <c r="Q223" s="306" t="s">
        <v>1499</v>
      </c>
      <c r="R223" s="306"/>
      <c r="S223" s="306" t="s">
        <v>1500</v>
      </c>
      <c r="T223" s="306" t="s">
        <v>1501</v>
      </c>
      <c r="U223" s="306" t="s">
        <v>355</v>
      </c>
      <c r="V223" s="306" t="s">
        <v>706</v>
      </c>
      <c r="W223" s="306" t="s">
        <v>722</v>
      </c>
      <c r="X223" s="306">
        <f t="shared" si="6"/>
        <v>10</v>
      </c>
    </row>
    <row r="224" spans="1:24" ht="57" customHeight="1" x14ac:dyDescent="0.2">
      <c r="A224" s="306" t="s">
        <v>236</v>
      </c>
      <c r="B224" s="306" t="s">
        <v>1509</v>
      </c>
      <c r="C224" s="306">
        <v>0</v>
      </c>
      <c r="D224" s="306">
        <v>0</v>
      </c>
      <c r="E224" s="306">
        <v>0</v>
      </c>
      <c r="F224" s="306">
        <v>0</v>
      </c>
      <c r="G224" s="306">
        <v>0</v>
      </c>
      <c r="H224" s="306">
        <v>1</v>
      </c>
      <c r="I224" s="306">
        <v>0</v>
      </c>
      <c r="J224" s="306">
        <v>1</v>
      </c>
      <c r="K224" s="306"/>
      <c r="L224" s="306" t="s">
        <v>704</v>
      </c>
      <c r="M224" s="306" t="s">
        <v>706</v>
      </c>
      <c r="N224" s="306" t="s">
        <v>1498</v>
      </c>
      <c r="O224" s="306" t="s">
        <v>1499</v>
      </c>
      <c r="P224" s="306" t="s">
        <v>1499</v>
      </c>
      <c r="Q224" s="306" t="s">
        <v>1499</v>
      </c>
      <c r="R224" s="306"/>
      <c r="S224" s="306" t="s">
        <v>1500</v>
      </c>
      <c r="T224" s="306" t="s">
        <v>1501</v>
      </c>
      <c r="U224" s="306" t="s">
        <v>704</v>
      </c>
      <c r="V224" s="306" t="s">
        <v>706</v>
      </c>
      <c r="W224" s="306"/>
      <c r="X224" s="306"/>
    </row>
    <row r="225" spans="1:24" ht="57" customHeight="1" x14ac:dyDescent="0.2">
      <c r="A225" s="306" t="s">
        <v>237</v>
      </c>
      <c r="B225" s="306" t="s">
        <v>1510</v>
      </c>
      <c r="C225" s="306">
        <v>0</v>
      </c>
      <c r="D225" s="306">
        <v>0</v>
      </c>
      <c r="E225" s="306">
        <v>0</v>
      </c>
      <c r="F225" s="306">
        <v>0</v>
      </c>
      <c r="G225" s="306">
        <v>0</v>
      </c>
      <c r="H225" s="306">
        <v>1</v>
      </c>
      <c r="I225" s="306">
        <v>0</v>
      </c>
      <c r="J225" s="306">
        <v>1</v>
      </c>
      <c r="K225" s="306"/>
      <c r="L225" s="306" t="s">
        <v>704</v>
      </c>
      <c r="M225" s="306" t="s">
        <v>706</v>
      </c>
      <c r="N225" s="306" t="s">
        <v>1498</v>
      </c>
      <c r="O225" s="306" t="s">
        <v>1499</v>
      </c>
      <c r="P225" s="306" t="s">
        <v>1499</v>
      </c>
      <c r="Q225" s="306" t="s">
        <v>1499</v>
      </c>
      <c r="R225" s="306"/>
      <c r="S225" s="306" t="s">
        <v>1500</v>
      </c>
      <c r="T225" s="306" t="s">
        <v>1501</v>
      </c>
      <c r="U225" s="306" t="s">
        <v>704</v>
      </c>
      <c r="V225" s="306" t="s">
        <v>706</v>
      </c>
      <c r="W225" s="306"/>
      <c r="X225" s="306"/>
    </row>
    <row r="226" spans="1:24" ht="57" customHeight="1" x14ac:dyDescent="0.2">
      <c r="A226" s="306" t="s">
        <v>238</v>
      </c>
      <c r="B226" s="306" t="s">
        <v>1511</v>
      </c>
      <c r="C226" s="306">
        <v>0</v>
      </c>
      <c r="D226" s="306">
        <v>0</v>
      </c>
      <c r="E226" s="306">
        <v>0</v>
      </c>
      <c r="F226" s="306">
        <v>0</v>
      </c>
      <c r="G226" s="306">
        <v>0</v>
      </c>
      <c r="H226" s="306">
        <v>1</v>
      </c>
      <c r="I226" s="306">
        <v>0</v>
      </c>
      <c r="J226" s="306">
        <v>1</v>
      </c>
      <c r="K226" s="306"/>
      <c r="L226" s="306" t="s">
        <v>894</v>
      </c>
      <c r="M226" s="306" t="s">
        <v>706</v>
      </c>
      <c r="N226" s="306" t="s">
        <v>1498</v>
      </c>
      <c r="O226" s="306" t="s">
        <v>1499</v>
      </c>
      <c r="P226" s="306" t="s">
        <v>1499</v>
      </c>
      <c r="Q226" s="306" t="s">
        <v>1499</v>
      </c>
      <c r="R226" s="306"/>
      <c r="S226" s="306" t="s">
        <v>1500</v>
      </c>
      <c r="T226" s="306" t="s">
        <v>1501</v>
      </c>
      <c r="U226" s="306" t="s">
        <v>355</v>
      </c>
      <c r="V226" s="306" t="s">
        <v>706</v>
      </c>
      <c r="W226" s="306" t="s">
        <v>731</v>
      </c>
      <c r="X226" s="306">
        <f>IF($W226="Critical Importance",20,IF($W226="Minor Importance",5,10))</f>
        <v>5</v>
      </c>
    </row>
    <row r="227" spans="1:24" ht="71.25" customHeight="1" x14ac:dyDescent="0.2">
      <c r="A227" s="306" t="s">
        <v>239</v>
      </c>
      <c r="B227" s="306" t="s">
        <v>1512</v>
      </c>
      <c r="C227" s="306">
        <v>0</v>
      </c>
      <c r="D227" s="306">
        <v>0</v>
      </c>
      <c r="E227" s="306">
        <v>0</v>
      </c>
      <c r="F227" s="306">
        <v>0</v>
      </c>
      <c r="G227" s="306">
        <v>0</v>
      </c>
      <c r="H227" s="306">
        <v>1</v>
      </c>
      <c r="I227" s="306">
        <v>0</v>
      </c>
      <c r="J227" s="306">
        <v>1</v>
      </c>
      <c r="K227" s="306"/>
      <c r="L227" s="306" t="s">
        <v>704</v>
      </c>
      <c r="M227" s="306" t="s">
        <v>706</v>
      </c>
      <c r="N227" s="306" t="s">
        <v>1498</v>
      </c>
      <c r="O227" s="306" t="s">
        <v>1499</v>
      </c>
      <c r="P227" s="306" t="s">
        <v>1499</v>
      </c>
      <c r="Q227" s="306" t="s">
        <v>1499</v>
      </c>
      <c r="R227" s="306"/>
      <c r="S227" s="306" t="s">
        <v>1500</v>
      </c>
      <c r="T227" s="306" t="s">
        <v>1501</v>
      </c>
      <c r="U227" s="306" t="s">
        <v>704</v>
      </c>
      <c r="V227" s="306" t="s">
        <v>706</v>
      </c>
      <c r="W227" s="306"/>
      <c r="X227" s="306"/>
    </row>
    <row r="228" spans="1:24" ht="235.5" customHeight="1" x14ac:dyDescent="0.2">
      <c r="A228" s="215" t="s">
        <v>240</v>
      </c>
      <c r="B228" s="306" t="s">
        <v>1513</v>
      </c>
      <c r="C228" s="306">
        <v>0</v>
      </c>
      <c r="D228" s="306">
        <v>0</v>
      </c>
      <c r="E228" s="306">
        <v>0</v>
      </c>
      <c r="F228" s="306">
        <v>0</v>
      </c>
      <c r="G228" s="306">
        <v>0</v>
      </c>
      <c r="H228" s="306">
        <v>1</v>
      </c>
      <c r="I228" s="306">
        <v>0</v>
      </c>
      <c r="J228" s="306">
        <v>0</v>
      </c>
      <c r="K228" s="306"/>
      <c r="L228" s="306" t="s">
        <v>894</v>
      </c>
      <c r="M228" s="306"/>
      <c r="N228" s="306" t="s">
        <v>1514</v>
      </c>
      <c r="O228" s="306"/>
      <c r="P228" s="306" t="s">
        <v>1515</v>
      </c>
      <c r="Q228" s="306" t="s">
        <v>1516</v>
      </c>
      <c r="R228" s="306"/>
      <c r="S228" s="306" t="s">
        <v>1517</v>
      </c>
      <c r="T228" s="306" t="s">
        <v>1518</v>
      </c>
      <c r="U228" s="306" t="s">
        <v>355</v>
      </c>
      <c r="V228" s="306"/>
      <c r="W228" s="306" t="s">
        <v>722</v>
      </c>
      <c r="X228" s="306">
        <f t="shared" ref="X228:X234" si="7">IF($W228="Critical Importance",20,IF($W228="Minor Importance",5,10))</f>
        <v>10</v>
      </c>
    </row>
    <row r="229" spans="1:24" ht="231" customHeight="1" x14ac:dyDescent="0.2">
      <c r="A229" s="215" t="s">
        <v>241</v>
      </c>
      <c r="B229" s="306" t="s">
        <v>1519</v>
      </c>
      <c r="C229" s="306">
        <v>0</v>
      </c>
      <c r="D229" s="306">
        <v>0</v>
      </c>
      <c r="E229" s="306">
        <v>0</v>
      </c>
      <c r="F229" s="306">
        <v>0</v>
      </c>
      <c r="G229" s="306">
        <v>0</v>
      </c>
      <c r="H229" s="306">
        <v>1</v>
      </c>
      <c r="I229" s="306">
        <v>0</v>
      </c>
      <c r="J229" s="306">
        <v>0</v>
      </c>
      <c r="K229" s="306"/>
      <c r="L229" s="306" t="s">
        <v>894</v>
      </c>
      <c r="M229" s="306"/>
      <c r="N229" s="306" t="s">
        <v>1514</v>
      </c>
      <c r="O229" s="306"/>
      <c r="P229" s="306"/>
      <c r="Q229" s="306" t="s">
        <v>1520</v>
      </c>
      <c r="R229" s="306"/>
      <c r="S229" s="306" t="s">
        <v>1521</v>
      </c>
      <c r="T229" s="306" t="s">
        <v>1522</v>
      </c>
      <c r="U229" s="306" t="s">
        <v>364</v>
      </c>
      <c r="V229" s="306"/>
      <c r="W229" s="306" t="s">
        <v>722</v>
      </c>
      <c r="X229" s="306">
        <f t="shared" si="7"/>
        <v>10</v>
      </c>
    </row>
    <row r="230" spans="1:24" ht="213.75" customHeight="1" x14ac:dyDescent="0.2">
      <c r="A230" s="215" t="s">
        <v>242</v>
      </c>
      <c r="B230" s="306" t="s">
        <v>1523</v>
      </c>
      <c r="C230" s="306">
        <v>0</v>
      </c>
      <c r="D230" s="306">
        <v>0</v>
      </c>
      <c r="E230" s="306">
        <v>0</v>
      </c>
      <c r="F230" s="306">
        <v>0</v>
      </c>
      <c r="G230" s="306">
        <v>0</v>
      </c>
      <c r="H230" s="306">
        <v>1</v>
      </c>
      <c r="I230" s="306">
        <v>0</v>
      </c>
      <c r="J230" s="306">
        <v>0</v>
      </c>
      <c r="K230" s="306"/>
      <c r="L230" s="306" t="s">
        <v>894</v>
      </c>
      <c r="M230" s="306"/>
      <c r="N230" s="306" t="s">
        <v>1514</v>
      </c>
      <c r="O230" s="306"/>
      <c r="P230" s="306" t="s">
        <v>1524</v>
      </c>
      <c r="Q230" s="306" t="s">
        <v>1525</v>
      </c>
      <c r="R230" s="306"/>
      <c r="S230" s="306" t="s">
        <v>1526</v>
      </c>
      <c r="T230" s="306" t="s">
        <v>1527</v>
      </c>
      <c r="U230" s="306" t="s">
        <v>355</v>
      </c>
      <c r="V230" s="306"/>
      <c r="W230" s="306" t="s">
        <v>722</v>
      </c>
      <c r="X230" s="306">
        <f t="shared" si="7"/>
        <v>10</v>
      </c>
    </row>
    <row r="231" spans="1:24" ht="228.75" customHeight="1" x14ac:dyDescent="0.2">
      <c r="A231" s="215" t="s">
        <v>243</v>
      </c>
      <c r="B231" s="306" t="s">
        <v>1528</v>
      </c>
      <c r="C231" s="306">
        <v>0</v>
      </c>
      <c r="D231" s="306">
        <v>0</v>
      </c>
      <c r="E231" s="306">
        <v>0</v>
      </c>
      <c r="F231" s="306">
        <v>0</v>
      </c>
      <c r="G231" s="306">
        <v>0</v>
      </c>
      <c r="H231" s="306">
        <v>1</v>
      </c>
      <c r="I231" s="306">
        <v>0</v>
      </c>
      <c r="J231" s="306">
        <v>0</v>
      </c>
      <c r="K231" s="306"/>
      <c r="L231" s="306" t="s">
        <v>894</v>
      </c>
      <c r="M231" s="306"/>
      <c r="N231" s="306" t="s">
        <v>1514</v>
      </c>
      <c r="O231" s="306"/>
      <c r="P231" s="306"/>
      <c r="Q231" s="306" t="s">
        <v>1520</v>
      </c>
      <c r="R231" s="306"/>
      <c r="S231" s="306" t="s">
        <v>1529</v>
      </c>
      <c r="T231" s="306" t="s">
        <v>1522</v>
      </c>
      <c r="U231" s="306" t="s">
        <v>364</v>
      </c>
      <c r="V231" s="306"/>
      <c r="W231" s="306" t="s">
        <v>722</v>
      </c>
      <c r="X231" s="306">
        <f t="shared" si="7"/>
        <v>10</v>
      </c>
    </row>
    <row r="232" spans="1:24" ht="214.5" customHeight="1" x14ac:dyDescent="0.2">
      <c r="A232" s="215" t="s">
        <v>244</v>
      </c>
      <c r="B232" s="306" t="s">
        <v>1530</v>
      </c>
      <c r="C232" s="306">
        <v>0</v>
      </c>
      <c r="D232" s="306">
        <v>0</v>
      </c>
      <c r="E232" s="306">
        <v>0</v>
      </c>
      <c r="F232" s="306">
        <v>0</v>
      </c>
      <c r="G232" s="306">
        <v>0</v>
      </c>
      <c r="H232" s="306">
        <v>1</v>
      </c>
      <c r="I232" s="306">
        <v>0</v>
      </c>
      <c r="J232" s="306">
        <v>0</v>
      </c>
      <c r="K232" s="306"/>
      <c r="L232" s="306" t="s">
        <v>894</v>
      </c>
      <c r="M232" s="306"/>
      <c r="N232" s="306" t="s">
        <v>1514</v>
      </c>
      <c r="O232" s="306"/>
      <c r="P232" s="306"/>
      <c r="Q232" s="306" t="s">
        <v>1531</v>
      </c>
      <c r="R232" s="306" t="s">
        <v>899</v>
      </c>
      <c r="S232" s="306" t="s">
        <v>1532</v>
      </c>
      <c r="T232" s="306" t="s">
        <v>1533</v>
      </c>
      <c r="U232" s="306" t="s">
        <v>355</v>
      </c>
      <c r="V232" s="306"/>
      <c r="W232" s="306" t="s">
        <v>722</v>
      </c>
      <c r="X232" s="306">
        <f t="shared" si="7"/>
        <v>10</v>
      </c>
    </row>
    <row r="233" spans="1:24" ht="90" customHeight="1" x14ac:dyDescent="0.2">
      <c r="A233" s="215" t="s">
        <v>245</v>
      </c>
      <c r="B233" s="306" t="s">
        <v>1534</v>
      </c>
      <c r="C233" s="306">
        <v>0</v>
      </c>
      <c r="D233" s="306">
        <v>0</v>
      </c>
      <c r="E233" s="306">
        <v>0</v>
      </c>
      <c r="F233" s="306">
        <v>0</v>
      </c>
      <c r="G233" s="306">
        <v>0</v>
      </c>
      <c r="H233" s="306">
        <v>1</v>
      </c>
      <c r="I233" s="306">
        <v>0</v>
      </c>
      <c r="J233" s="306">
        <v>0</v>
      </c>
      <c r="K233" s="306"/>
      <c r="L233" s="306" t="s">
        <v>894</v>
      </c>
      <c r="M233" s="306"/>
      <c r="N233" s="306" t="s">
        <v>1514</v>
      </c>
      <c r="O233" s="306"/>
      <c r="P233" s="306" t="s">
        <v>1535</v>
      </c>
      <c r="Q233" s="306" t="s">
        <v>1536</v>
      </c>
      <c r="R233" s="306" t="s">
        <v>899</v>
      </c>
      <c r="S233" s="306" t="s">
        <v>1537</v>
      </c>
      <c r="T233" s="306" t="s">
        <v>1538</v>
      </c>
      <c r="U233" s="306" t="s">
        <v>355</v>
      </c>
      <c r="V233" s="306"/>
      <c r="W233" s="306" t="s">
        <v>722</v>
      </c>
      <c r="X233" s="306">
        <f t="shared" si="7"/>
        <v>10</v>
      </c>
    </row>
    <row r="234" spans="1:24" ht="142.5" customHeight="1" x14ac:dyDescent="0.2">
      <c r="A234" s="215" t="s">
        <v>246</v>
      </c>
      <c r="B234" s="306" t="s">
        <v>1539</v>
      </c>
      <c r="C234" s="306">
        <v>0</v>
      </c>
      <c r="D234" s="306">
        <v>0</v>
      </c>
      <c r="E234" s="306">
        <v>0</v>
      </c>
      <c r="F234" s="306">
        <v>0</v>
      </c>
      <c r="G234" s="306">
        <v>0</v>
      </c>
      <c r="H234" s="306">
        <v>1</v>
      </c>
      <c r="I234" s="306">
        <v>0</v>
      </c>
      <c r="J234" s="306">
        <v>0</v>
      </c>
      <c r="K234" s="306"/>
      <c r="L234" s="306" t="s">
        <v>894</v>
      </c>
      <c r="M234" s="306"/>
      <c r="N234" s="306" t="s">
        <v>1514</v>
      </c>
      <c r="O234" s="306"/>
      <c r="P234" s="306" t="s">
        <v>1540</v>
      </c>
      <c r="Q234" s="306" t="s">
        <v>1541</v>
      </c>
      <c r="R234" s="306"/>
      <c r="S234" s="306" t="s">
        <v>1542</v>
      </c>
      <c r="T234" s="306" t="s">
        <v>1543</v>
      </c>
      <c r="U234" s="306" t="s">
        <v>355</v>
      </c>
      <c r="V234" s="306"/>
      <c r="W234" s="306" t="s">
        <v>722</v>
      </c>
      <c r="X234" s="306">
        <f t="shared" si="7"/>
        <v>10</v>
      </c>
    </row>
    <row r="235" spans="1:24" ht="142.5" customHeight="1" x14ac:dyDescent="0.2">
      <c r="A235" s="215" t="s">
        <v>247</v>
      </c>
      <c r="B235" s="306" t="s">
        <v>1544</v>
      </c>
      <c r="C235" s="306">
        <v>0</v>
      </c>
      <c r="D235" s="306">
        <v>0</v>
      </c>
      <c r="E235" s="306">
        <v>0</v>
      </c>
      <c r="F235" s="306">
        <v>0</v>
      </c>
      <c r="G235" s="306">
        <v>0</v>
      </c>
      <c r="H235" s="306">
        <v>1</v>
      </c>
      <c r="I235" s="306">
        <v>0</v>
      </c>
      <c r="J235" s="306">
        <v>0</v>
      </c>
      <c r="K235" s="306"/>
      <c r="L235" s="306" t="s">
        <v>704</v>
      </c>
      <c r="M235" s="306"/>
      <c r="N235" s="306" t="s">
        <v>1514</v>
      </c>
      <c r="O235" s="306" t="s">
        <v>1545</v>
      </c>
      <c r="P235" s="306" t="s">
        <v>1545</v>
      </c>
      <c r="Q235" s="306" t="s">
        <v>1545</v>
      </c>
      <c r="R235" s="306"/>
      <c r="S235" s="306" t="s">
        <v>1546</v>
      </c>
      <c r="T235" s="306" t="s">
        <v>1547</v>
      </c>
      <c r="U235" s="306" t="s">
        <v>704</v>
      </c>
      <c r="V235" s="306"/>
      <c r="W235" s="306"/>
      <c r="X235" s="306"/>
    </row>
    <row r="236" spans="1:24" ht="171" customHeight="1" x14ac:dyDescent="0.2">
      <c r="A236" s="215" t="s">
        <v>248</v>
      </c>
      <c r="B236" s="306" t="s">
        <v>1548</v>
      </c>
      <c r="C236" s="306">
        <v>0</v>
      </c>
      <c r="D236" s="306">
        <v>0</v>
      </c>
      <c r="E236" s="306">
        <v>0</v>
      </c>
      <c r="F236" s="306">
        <v>0</v>
      </c>
      <c r="G236" s="306">
        <v>0</v>
      </c>
      <c r="H236" s="306">
        <v>1</v>
      </c>
      <c r="I236" s="306">
        <v>0</v>
      </c>
      <c r="J236" s="306">
        <v>0</v>
      </c>
      <c r="K236" s="306"/>
      <c r="L236" s="306" t="s">
        <v>704</v>
      </c>
      <c r="M236" s="306"/>
      <c r="N236" s="306" t="s">
        <v>1514</v>
      </c>
      <c r="O236" s="306" t="s">
        <v>1549</v>
      </c>
      <c r="P236" s="306" t="s">
        <v>1549</v>
      </c>
      <c r="Q236" s="306" t="s">
        <v>1549</v>
      </c>
      <c r="R236" s="306"/>
      <c r="S236" s="306" t="s">
        <v>1550</v>
      </c>
      <c r="T236" s="306" t="s">
        <v>1551</v>
      </c>
      <c r="U236" s="306" t="s">
        <v>704</v>
      </c>
      <c r="V236" s="306"/>
      <c r="W236" s="306"/>
      <c r="X236" s="306"/>
    </row>
    <row r="237" spans="1:24" ht="199.5" customHeight="1" x14ac:dyDescent="0.2">
      <c r="A237" s="215" t="s">
        <v>249</v>
      </c>
      <c r="B237" s="306" t="s">
        <v>1552</v>
      </c>
      <c r="C237" s="306">
        <v>0</v>
      </c>
      <c r="D237" s="306">
        <v>0</v>
      </c>
      <c r="E237" s="306">
        <v>0</v>
      </c>
      <c r="F237" s="306">
        <v>0</v>
      </c>
      <c r="G237" s="306">
        <v>0</v>
      </c>
      <c r="H237" s="306">
        <v>1</v>
      </c>
      <c r="I237" s="306">
        <v>0</v>
      </c>
      <c r="J237" s="306">
        <v>0</v>
      </c>
      <c r="K237" s="306"/>
      <c r="L237" s="306" t="s">
        <v>894</v>
      </c>
      <c r="M237" s="306"/>
      <c r="N237" s="306" t="s">
        <v>1514</v>
      </c>
      <c r="O237" s="306"/>
      <c r="P237" s="306" t="s">
        <v>1553</v>
      </c>
      <c r="Q237" s="306" t="s">
        <v>1554</v>
      </c>
      <c r="R237" s="306"/>
      <c r="S237" s="306" t="s">
        <v>1555</v>
      </c>
      <c r="T237" s="306" t="s">
        <v>1556</v>
      </c>
      <c r="U237" s="306" t="s">
        <v>355</v>
      </c>
      <c r="V237" s="306"/>
      <c r="W237" s="306" t="s">
        <v>731</v>
      </c>
      <c r="X237" s="306">
        <f>IF($W237="Critical Importance",20,IF($W237="Minor Importance",5,10))</f>
        <v>5</v>
      </c>
    </row>
    <row r="238" spans="1:24" ht="99.75" customHeight="1" x14ac:dyDescent="0.2">
      <c r="A238" s="307" t="s">
        <v>283</v>
      </c>
      <c r="B238" s="307" t="s">
        <v>1557</v>
      </c>
      <c r="C238" s="308">
        <v>0</v>
      </c>
      <c r="D238" s="308">
        <v>0</v>
      </c>
      <c r="E238" s="308">
        <v>0</v>
      </c>
      <c r="F238" s="308">
        <v>0</v>
      </c>
      <c r="G238" s="308">
        <v>0</v>
      </c>
      <c r="H238" s="308">
        <v>0</v>
      </c>
      <c r="I238" s="308">
        <v>0</v>
      </c>
      <c r="J238" s="308">
        <v>1</v>
      </c>
      <c r="K238" s="307" t="s">
        <v>702</v>
      </c>
      <c r="L238" s="307" t="s">
        <v>704</v>
      </c>
      <c r="M238" s="309"/>
      <c r="N238" s="309"/>
      <c r="O238" s="307" t="s">
        <v>1558</v>
      </c>
      <c r="P238" s="307" t="s">
        <v>1558</v>
      </c>
      <c r="Q238" s="307" t="s">
        <v>1559</v>
      </c>
      <c r="R238" s="309"/>
      <c r="S238" s="307" t="s">
        <v>1560</v>
      </c>
      <c r="T238" s="307" t="s">
        <v>1561</v>
      </c>
      <c r="U238" s="307" t="s">
        <v>704</v>
      </c>
      <c r="V238" s="309"/>
      <c r="W238" s="309"/>
      <c r="X238" s="308"/>
    </row>
    <row r="239" spans="1:24" ht="171" customHeight="1" x14ac:dyDescent="0.2">
      <c r="A239" s="307" t="s">
        <v>284</v>
      </c>
      <c r="B239" s="307" t="s">
        <v>1562</v>
      </c>
      <c r="C239" s="308">
        <v>0</v>
      </c>
      <c r="D239" s="308">
        <v>0</v>
      </c>
      <c r="E239" s="308">
        <v>0</v>
      </c>
      <c r="F239" s="308">
        <v>0</v>
      </c>
      <c r="G239" s="308">
        <v>0</v>
      </c>
      <c r="H239" s="308">
        <v>0</v>
      </c>
      <c r="I239" s="308">
        <v>0</v>
      </c>
      <c r="J239" s="308">
        <v>1</v>
      </c>
      <c r="K239" s="307" t="s">
        <v>702</v>
      </c>
      <c r="L239" s="307" t="s">
        <v>704</v>
      </c>
      <c r="M239" s="309"/>
      <c r="N239" s="309"/>
      <c r="O239" s="307" t="s">
        <v>1563</v>
      </c>
      <c r="P239" s="307" t="s">
        <v>1563</v>
      </c>
      <c r="Q239" s="307" t="s">
        <v>1564</v>
      </c>
      <c r="R239" s="309"/>
      <c r="S239" s="307" t="s">
        <v>1560</v>
      </c>
      <c r="T239" s="309"/>
      <c r="U239" s="307" t="s">
        <v>704</v>
      </c>
      <c r="V239" s="309"/>
      <c r="W239" s="309"/>
      <c r="X239" s="308"/>
    </row>
    <row r="240" spans="1:24" ht="71.25" customHeight="1" x14ac:dyDescent="0.2">
      <c r="A240" s="307" t="s">
        <v>285</v>
      </c>
      <c r="B240" s="307" t="s">
        <v>1565</v>
      </c>
      <c r="C240" s="308">
        <v>0</v>
      </c>
      <c r="D240" s="308">
        <v>0</v>
      </c>
      <c r="E240" s="308">
        <v>0</v>
      </c>
      <c r="F240" s="308">
        <v>0</v>
      </c>
      <c r="G240" s="308">
        <v>0</v>
      </c>
      <c r="H240" s="308">
        <v>0</v>
      </c>
      <c r="I240" s="308">
        <v>0</v>
      </c>
      <c r="J240" s="308">
        <v>1</v>
      </c>
      <c r="K240" s="307" t="s">
        <v>702</v>
      </c>
      <c r="L240" s="307" t="s">
        <v>704</v>
      </c>
      <c r="M240" s="309"/>
      <c r="N240" s="309"/>
      <c r="O240" s="309"/>
      <c r="P240" s="309"/>
      <c r="Q240" s="307" t="s">
        <v>1566</v>
      </c>
      <c r="R240" s="309"/>
      <c r="S240" s="307" t="s">
        <v>1560</v>
      </c>
      <c r="T240" s="309"/>
      <c r="U240" s="307" t="s">
        <v>704</v>
      </c>
      <c r="V240" s="309"/>
      <c r="W240" s="309"/>
      <c r="X240" s="308"/>
    </row>
    <row r="241" spans="1:24" ht="85.5" customHeight="1" x14ac:dyDescent="0.2">
      <c r="A241" s="307" t="s">
        <v>286</v>
      </c>
      <c r="B241" s="307" t="s">
        <v>1567</v>
      </c>
      <c r="C241" s="308">
        <v>0</v>
      </c>
      <c r="D241" s="308">
        <v>0</v>
      </c>
      <c r="E241" s="308">
        <v>0</v>
      </c>
      <c r="F241" s="308">
        <v>0</v>
      </c>
      <c r="G241" s="308">
        <v>0</v>
      </c>
      <c r="H241" s="308">
        <v>0</v>
      </c>
      <c r="I241" s="308">
        <v>0</v>
      </c>
      <c r="J241" s="308">
        <v>1</v>
      </c>
      <c r="K241" s="307" t="s">
        <v>702</v>
      </c>
      <c r="L241" s="307" t="s">
        <v>704</v>
      </c>
      <c r="M241" s="309"/>
      <c r="N241" s="309"/>
      <c r="O241" s="309"/>
      <c r="P241" s="309"/>
      <c r="Q241" s="307" t="s">
        <v>1568</v>
      </c>
      <c r="R241" s="309"/>
      <c r="S241" s="307" t="s">
        <v>1560</v>
      </c>
      <c r="T241" s="309"/>
      <c r="U241" s="307" t="s">
        <v>704</v>
      </c>
      <c r="V241" s="309"/>
      <c r="W241" s="309"/>
      <c r="X241" s="308"/>
    </row>
    <row r="242" spans="1:24" ht="85.5" customHeight="1" x14ac:dyDescent="0.2">
      <c r="A242" s="307" t="s">
        <v>287</v>
      </c>
      <c r="B242" s="307" t="s">
        <v>1569</v>
      </c>
      <c r="C242" s="308">
        <v>0</v>
      </c>
      <c r="D242" s="308">
        <v>0</v>
      </c>
      <c r="E242" s="308">
        <v>0</v>
      </c>
      <c r="F242" s="308">
        <v>0</v>
      </c>
      <c r="G242" s="308">
        <v>0</v>
      </c>
      <c r="H242" s="308">
        <v>0</v>
      </c>
      <c r="I242" s="308">
        <v>0</v>
      </c>
      <c r="J242" s="308">
        <v>1</v>
      </c>
      <c r="K242" s="307"/>
      <c r="L242" s="307" t="s">
        <v>704</v>
      </c>
      <c r="M242" s="309"/>
      <c r="N242" s="309"/>
      <c r="O242" s="307" t="s">
        <v>1570</v>
      </c>
      <c r="P242" s="307" t="s">
        <v>1570</v>
      </c>
      <c r="Q242" s="307" t="s">
        <v>1570</v>
      </c>
      <c r="R242" s="309"/>
      <c r="S242" s="309" t="s">
        <v>1571</v>
      </c>
      <c r="T242" s="309" t="s">
        <v>1572</v>
      </c>
      <c r="U242" s="310" t="s">
        <v>704</v>
      </c>
      <c r="V242" s="309"/>
      <c r="W242" s="307"/>
      <c r="X242" s="308"/>
    </row>
    <row r="243" spans="1:24" ht="99.75" customHeight="1" x14ac:dyDescent="0.2">
      <c r="A243" s="319" t="s">
        <v>288</v>
      </c>
      <c r="B243" s="319" t="s">
        <v>1573</v>
      </c>
      <c r="C243" s="308">
        <v>0</v>
      </c>
      <c r="D243" s="308">
        <v>0</v>
      </c>
      <c r="E243" s="308">
        <v>0</v>
      </c>
      <c r="F243" s="308">
        <v>0</v>
      </c>
      <c r="G243" s="308">
        <v>0</v>
      </c>
      <c r="H243" s="308">
        <v>0</v>
      </c>
      <c r="I243" s="308">
        <v>0</v>
      </c>
      <c r="J243" s="308">
        <v>1</v>
      </c>
      <c r="K243" s="309"/>
      <c r="L243" s="307" t="s">
        <v>688</v>
      </c>
      <c r="M243" s="309"/>
      <c r="N243" s="309"/>
      <c r="O243" s="309"/>
      <c r="P243" s="309"/>
      <c r="Q243" s="307" t="s">
        <v>1574</v>
      </c>
      <c r="R243" s="309"/>
      <c r="S243" s="307" t="s">
        <v>1575</v>
      </c>
      <c r="T243" s="309"/>
      <c r="U243" s="307" t="s">
        <v>364</v>
      </c>
      <c r="V243" s="309"/>
      <c r="W243" s="307" t="s">
        <v>773</v>
      </c>
      <c r="X243" s="308">
        <v>20</v>
      </c>
    </row>
    <row r="244" spans="1:24" ht="15.75" customHeight="1" x14ac:dyDescent="0.2">
      <c r="A244" s="307" t="s">
        <v>289</v>
      </c>
      <c r="B244" s="307" t="s">
        <v>1576</v>
      </c>
      <c r="C244" s="308">
        <v>0</v>
      </c>
      <c r="D244" s="308">
        <v>0</v>
      </c>
      <c r="E244" s="308">
        <v>0</v>
      </c>
      <c r="F244" s="308">
        <v>0</v>
      </c>
      <c r="G244" s="308">
        <v>0</v>
      </c>
      <c r="H244" s="308">
        <v>0</v>
      </c>
      <c r="I244" s="308">
        <v>0</v>
      </c>
      <c r="J244" s="308">
        <v>1</v>
      </c>
      <c r="K244" s="307"/>
      <c r="L244" s="307" t="s">
        <v>704</v>
      </c>
      <c r="M244" s="309"/>
      <c r="N244" s="309"/>
      <c r="O244" s="307" t="s">
        <v>1577</v>
      </c>
      <c r="P244" s="307" t="s">
        <v>1577</v>
      </c>
      <c r="Q244" s="307" t="s">
        <v>1577</v>
      </c>
      <c r="R244" s="309"/>
      <c r="S244" s="309" t="s">
        <v>1578</v>
      </c>
      <c r="T244" s="309"/>
      <c r="U244" s="310" t="s">
        <v>704</v>
      </c>
      <c r="V244" s="309"/>
      <c r="W244" s="307"/>
      <c r="X244" s="308"/>
    </row>
    <row r="245" spans="1:24" ht="85.5" customHeight="1" x14ac:dyDescent="0.2">
      <c r="A245" s="307" t="s">
        <v>290</v>
      </c>
      <c r="B245" s="307" t="s">
        <v>1579</v>
      </c>
      <c r="C245" s="308">
        <v>0</v>
      </c>
      <c r="D245" s="308">
        <v>0</v>
      </c>
      <c r="E245" s="308">
        <v>0</v>
      </c>
      <c r="F245" s="308">
        <v>0</v>
      </c>
      <c r="G245" s="308">
        <v>0</v>
      </c>
      <c r="H245" s="308">
        <v>0</v>
      </c>
      <c r="I245" s="308">
        <v>0</v>
      </c>
      <c r="J245" s="308">
        <v>1</v>
      </c>
      <c r="K245" s="309"/>
      <c r="L245" s="307" t="s">
        <v>688</v>
      </c>
      <c r="M245" s="309"/>
      <c r="N245" s="309"/>
      <c r="O245" s="309"/>
      <c r="P245" s="309"/>
      <c r="Q245" s="307" t="s">
        <v>1580</v>
      </c>
      <c r="R245" s="309"/>
      <c r="S245" s="307" t="s">
        <v>1581</v>
      </c>
      <c r="T245" s="309"/>
      <c r="U245" s="307" t="s">
        <v>364</v>
      </c>
      <c r="V245" s="309"/>
      <c r="W245" s="307" t="s">
        <v>731</v>
      </c>
      <c r="X245" s="308">
        <v>5</v>
      </c>
    </row>
    <row r="246" spans="1:24" ht="85.5" customHeight="1" x14ac:dyDescent="0.2">
      <c r="A246" s="307" t="s">
        <v>291</v>
      </c>
      <c r="B246" s="307" t="s">
        <v>1582</v>
      </c>
      <c r="C246" s="308">
        <v>0</v>
      </c>
      <c r="D246" s="308">
        <v>0</v>
      </c>
      <c r="E246" s="308">
        <v>0</v>
      </c>
      <c r="F246" s="308">
        <v>0</v>
      </c>
      <c r="G246" s="308">
        <v>0</v>
      </c>
      <c r="H246" s="308">
        <v>0</v>
      </c>
      <c r="I246" s="308">
        <v>0</v>
      </c>
      <c r="J246" s="308">
        <v>1</v>
      </c>
      <c r="K246" s="309"/>
      <c r="L246" s="307" t="s">
        <v>688</v>
      </c>
      <c r="M246" s="309"/>
      <c r="N246" s="309"/>
      <c r="O246" s="307" t="s">
        <v>1583</v>
      </c>
      <c r="P246" s="307" t="s">
        <v>1584</v>
      </c>
      <c r="Q246" s="307" t="s">
        <v>1585</v>
      </c>
      <c r="R246" s="309"/>
      <c r="S246" s="307" t="s">
        <v>1586</v>
      </c>
      <c r="T246" s="309"/>
      <c r="U246" s="307" t="s">
        <v>355</v>
      </c>
      <c r="V246" s="309"/>
      <c r="W246" s="307" t="s">
        <v>731</v>
      </c>
      <c r="X246" s="308">
        <v>5</v>
      </c>
    </row>
    <row r="247" spans="1:24" ht="256.5" customHeight="1" x14ac:dyDescent="0.2">
      <c r="A247" s="307" t="s">
        <v>292</v>
      </c>
      <c r="B247" s="307" t="s">
        <v>1587</v>
      </c>
      <c r="C247" s="308">
        <v>0</v>
      </c>
      <c r="D247" s="308">
        <v>0</v>
      </c>
      <c r="E247" s="308">
        <v>0</v>
      </c>
      <c r="F247" s="308">
        <v>0</v>
      </c>
      <c r="G247" s="308">
        <v>0</v>
      </c>
      <c r="H247" s="308">
        <v>0</v>
      </c>
      <c r="I247" s="308">
        <v>0</v>
      </c>
      <c r="J247" s="308">
        <v>1</v>
      </c>
      <c r="K247" s="307"/>
      <c r="L247" s="307" t="s">
        <v>704</v>
      </c>
      <c r="M247" s="309"/>
      <c r="N247" s="309"/>
      <c r="O247" s="307" t="s">
        <v>1588</v>
      </c>
      <c r="P247" s="307" t="s">
        <v>1589</v>
      </c>
      <c r="Q247" s="307" t="s">
        <v>1590</v>
      </c>
      <c r="R247" s="307" t="s">
        <v>871</v>
      </c>
      <c r="S247" s="307" t="s">
        <v>1591</v>
      </c>
      <c r="T247" s="309"/>
      <c r="U247" s="307" t="s">
        <v>704</v>
      </c>
      <c r="V247" s="309"/>
      <c r="W247" s="309"/>
      <c r="X247" s="308"/>
    </row>
    <row r="248" spans="1:24" ht="171" customHeight="1" x14ac:dyDescent="0.2">
      <c r="A248" s="307" t="s">
        <v>293</v>
      </c>
      <c r="B248" s="307" t="s">
        <v>1592</v>
      </c>
      <c r="C248" s="308">
        <v>0</v>
      </c>
      <c r="D248" s="308">
        <v>0</v>
      </c>
      <c r="E248" s="308">
        <v>0</v>
      </c>
      <c r="F248" s="308">
        <v>0</v>
      </c>
      <c r="G248" s="308">
        <v>0</v>
      </c>
      <c r="H248" s="308">
        <v>0</v>
      </c>
      <c r="I248" s="308">
        <v>0</v>
      </c>
      <c r="J248" s="308">
        <v>1</v>
      </c>
      <c r="K248" s="307"/>
      <c r="L248" s="307" t="s">
        <v>704</v>
      </c>
      <c r="M248" s="309"/>
      <c r="N248" s="309"/>
      <c r="O248" s="307" t="s">
        <v>1593</v>
      </c>
      <c r="P248" s="307" t="s">
        <v>1594</v>
      </c>
      <c r="Q248" s="307" t="s">
        <v>1595</v>
      </c>
      <c r="R248" s="307" t="s">
        <v>871</v>
      </c>
      <c r="S248" s="307" t="s">
        <v>1596</v>
      </c>
      <c r="T248" s="307" t="s">
        <v>1597</v>
      </c>
      <c r="U248" s="307" t="s">
        <v>704</v>
      </c>
      <c r="V248" s="309"/>
      <c r="W248" s="309"/>
      <c r="X248" s="308"/>
    </row>
    <row r="249" spans="1:24" ht="270.75" customHeight="1" x14ac:dyDescent="0.2">
      <c r="A249" s="307" t="s">
        <v>294</v>
      </c>
      <c r="B249" s="307" t="s">
        <v>1598</v>
      </c>
      <c r="C249" s="308">
        <v>0</v>
      </c>
      <c r="D249" s="308">
        <v>0</v>
      </c>
      <c r="E249" s="308">
        <v>0</v>
      </c>
      <c r="F249" s="308">
        <v>0</v>
      </c>
      <c r="G249" s="308">
        <v>0</v>
      </c>
      <c r="H249" s="308">
        <v>0</v>
      </c>
      <c r="I249" s="308">
        <v>0</v>
      </c>
      <c r="J249" s="308">
        <v>1</v>
      </c>
      <c r="K249" s="309"/>
      <c r="L249" s="307" t="s">
        <v>688</v>
      </c>
      <c r="M249" s="309"/>
      <c r="N249" s="309"/>
      <c r="O249" s="309"/>
      <c r="P249" s="307" t="s">
        <v>1599</v>
      </c>
      <c r="Q249" s="307" t="s">
        <v>1600</v>
      </c>
      <c r="R249" s="307" t="s">
        <v>871</v>
      </c>
      <c r="S249" s="307" t="s">
        <v>1601</v>
      </c>
      <c r="T249" s="307" t="s">
        <v>1602</v>
      </c>
      <c r="U249" s="307" t="s">
        <v>355</v>
      </c>
      <c r="V249" s="309"/>
      <c r="W249" s="307" t="s">
        <v>722</v>
      </c>
      <c r="X249" s="308">
        <v>10</v>
      </c>
    </row>
    <row r="250" spans="1:24" ht="156.75" customHeight="1" x14ac:dyDescent="0.2">
      <c r="A250" s="319" t="s">
        <v>295</v>
      </c>
      <c r="B250" s="319" t="s">
        <v>1603</v>
      </c>
      <c r="C250" s="308">
        <v>0</v>
      </c>
      <c r="D250" s="308">
        <v>0</v>
      </c>
      <c r="E250" s="308">
        <v>0</v>
      </c>
      <c r="F250" s="308">
        <v>0</v>
      </c>
      <c r="G250" s="308">
        <v>0</v>
      </c>
      <c r="H250" s="308">
        <v>0</v>
      </c>
      <c r="I250" s="308">
        <v>0</v>
      </c>
      <c r="J250" s="308">
        <v>1</v>
      </c>
      <c r="K250" s="309"/>
      <c r="L250" s="307" t="s">
        <v>688</v>
      </c>
      <c r="M250" s="309"/>
      <c r="N250" s="309"/>
      <c r="O250" s="307" t="s">
        <v>1604</v>
      </c>
      <c r="P250" s="307" t="s">
        <v>1605</v>
      </c>
      <c r="Q250" s="307" t="s">
        <v>1606</v>
      </c>
      <c r="R250" s="307" t="s">
        <v>871</v>
      </c>
      <c r="S250" s="307" t="s">
        <v>1607</v>
      </c>
      <c r="T250" s="309"/>
      <c r="U250" s="307" t="s">
        <v>355</v>
      </c>
      <c r="V250" s="309"/>
      <c r="W250" s="307" t="s">
        <v>773</v>
      </c>
      <c r="X250" s="308">
        <v>20</v>
      </c>
    </row>
    <row r="251" spans="1:24" ht="327.75" customHeight="1" x14ac:dyDescent="0.2">
      <c r="A251" s="307" t="s">
        <v>296</v>
      </c>
      <c r="B251" s="307" t="s">
        <v>1608</v>
      </c>
      <c r="C251" s="308">
        <v>0</v>
      </c>
      <c r="D251" s="308">
        <v>0</v>
      </c>
      <c r="E251" s="308">
        <v>0</v>
      </c>
      <c r="F251" s="308">
        <v>0</v>
      </c>
      <c r="G251" s="308">
        <v>0</v>
      </c>
      <c r="H251" s="308">
        <v>0</v>
      </c>
      <c r="I251" s="308">
        <v>0</v>
      </c>
      <c r="J251" s="308">
        <v>1</v>
      </c>
      <c r="K251" s="309"/>
      <c r="L251" s="307" t="s">
        <v>688</v>
      </c>
      <c r="M251" s="309"/>
      <c r="N251" s="309"/>
      <c r="O251" s="307" t="s">
        <v>1609</v>
      </c>
      <c r="P251" s="307" t="s">
        <v>1610</v>
      </c>
      <c r="Q251" s="307" t="s">
        <v>1611</v>
      </c>
      <c r="R251" s="306" t="s">
        <v>899</v>
      </c>
      <c r="S251" s="307" t="s">
        <v>1612</v>
      </c>
      <c r="T251" s="307" t="s">
        <v>1613</v>
      </c>
      <c r="U251" s="307" t="s">
        <v>355</v>
      </c>
      <c r="V251" s="309"/>
      <c r="W251" s="307" t="s">
        <v>731</v>
      </c>
      <c r="X251" s="308">
        <v>5</v>
      </c>
    </row>
    <row r="252" spans="1:24" ht="85.5" customHeight="1" x14ac:dyDescent="0.2">
      <c r="A252" s="307" t="s">
        <v>297</v>
      </c>
      <c r="B252" s="307" t="s">
        <v>1614</v>
      </c>
      <c r="C252" s="308">
        <v>0</v>
      </c>
      <c r="D252" s="308">
        <v>0</v>
      </c>
      <c r="E252" s="308">
        <v>0</v>
      </c>
      <c r="F252" s="308">
        <v>0</v>
      </c>
      <c r="G252" s="308">
        <v>0</v>
      </c>
      <c r="H252" s="308">
        <v>0</v>
      </c>
      <c r="I252" s="308">
        <v>0</v>
      </c>
      <c r="J252" s="308">
        <v>1</v>
      </c>
      <c r="K252" s="307"/>
      <c r="L252" s="307" t="s">
        <v>688</v>
      </c>
      <c r="M252" s="309"/>
      <c r="N252" s="309"/>
      <c r="O252" s="307" t="s">
        <v>1615</v>
      </c>
      <c r="P252" s="307" t="s">
        <v>1265</v>
      </c>
      <c r="Q252" s="307" t="s">
        <v>1616</v>
      </c>
      <c r="R252" s="309"/>
      <c r="S252" s="307" t="s">
        <v>1617</v>
      </c>
      <c r="T252" s="307" t="s">
        <v>1618</v>
      </c>
      <c r="U252" s="307" t="s">
        <v>355</v>
      </c>
      <c r="V252" s="309"/>
      <c r="W252" s="309" t="s">
        <v>722</v>
      </c>
      <c r="X252" s="308">
        <v>10</v>
      </c>
    </row>
    <row r="253" spans="1:24" ht="71.25" customHeight="1" x14ac:dyDescent="0.2">
      <c r="A253" s="307" t="s">
        <v>298</v>
      </c>
      <c r="B253" s="307" t="s">
        <v>1619</v>
      </c>
      <c r="C253" s="308">
        <v>0</v>
      </c>
      <c r="D253" s="308">
        <v>0</v>
      </c>
      <c r="E253" s="308">
        <v>0</v>
      </c>
      <c r="F253" s="308">
        <v>0</v>
      </c>
      <c r="G253" s="308">
        <v>0</v>
      </c>
      <c r="H253" s="308">
        <v>0</v>
      </c>
      <c r="I253" s="308">
        <v>0</v>
      </c>
      <c r="J253" s="308">
        <v>1</v>
      </c>
      <c r="K253" s="309"/>
      <c r="L253" s="307" t="s">
        <v>688</v>
      </c>
      <c r="M253" s="309"/>
      <c r="N253" s="309"/>
      <c r="O253" s="307" t="s">
        <v>1620</v>
      </c>
      <c r="P253" s="307" t="s">
        <v>1265</v>
      </c>
      <c r="Q253" s="307" t="s">
        <v>1621</v>
      </c>
      <c r="R253" s="309"/>
      <c r="S253" s="307" t="s">
        <v>1622</v>
      </c>
      <c r="T253" s="307" t="s">
        <v>1618</v>
      </c>
      <c r="U253" s="307" t="s">
        <v>355</v>
      </c>
      <c r="V253" s="309"/>
      <c r="W253" s="307" t="s">
        <v>731</v>
      </c>
      <c r="X253" s="308">
        <v>5</v>
      </c>
    </row>
    <row r="254" spans="1:24" ht="270.75" customHeight="1" x14ac:dyDescent="0.15">
      <c r="A254" s="319" t="s">
        <v>299</v>
      </c>
      <c r="B254" s="319" t="s">
        <v>1623</v>
      </c>
      <c r="C254" s="308">
        <v>0</v>
      </c>
      <c r="D254" s="308">
        <v>0</v>
      </c>
      <c r="E254" s="308">
        <v>0</v>
      </c>
      <c r="F254" s="308">
        <v>0</v>
      </c>
      <c r="G254" s="308">
        <v>0</v>
      </c>
      <c r="H254" s="308">
        <v>0</v>
      </c>
      <c r="I254" s="308">
        <v>0</v>
      </c>
      <c r="J254" s="308">
        <v>1</v>
      </c>
      <c r="K254" s="307"/>
      <c r="L254" s="307" t="s">
        <v>688</v>
      </c>
      <c r="M254" s="309"/>
      <c r="N254" s="309"/>
      <c r="O254" s="311" t="s">
        <v>1624</v>
      </c>
      <c r="P254" s="311" t="s">
        <v>1624</v>
      </c>
      <c r="Q254" s="307" t="s">
        <v>1625</v>
      </c>
      <c r="R254" s="309"/>
      <c r="S254" s="307" t="s">
        <v>1626</v>
      </c>
      <c r="T254" s="307" t="s">
        <v>1627</v>
      </c>
      <c r="U254" s="307" t="s">
        <v>364</v>
      </c>
      <c r="V254" s="309"/>
      <c r="W254" s="307" t="s">
        <v>773</v>
      </c>
      <c r="X254" s="308">
        <v>20</v>
      </c>
    </row>
    <row r="255" spans="1:24" ht="327.75" customHeight="1" x14ac:dyDescent="0.15">
      <c r="A255" s="319" t="s">
        <v>300</v>
      </c>
      <c r="B255" s="319" t="s">
        <v>1628</v>
      </c>
      <c r="C255" s="308">
        <v>0</v>
      </c>
      <c r="D255" s="308">
        <v>0</v>
      </c>
      <c r="E255" s="308">
        <v>0</v>
      </c>
      <c r="F255" s="308">
        <v>0</v>
      </c>
      <c r="G255" s="308">
        <v>0</v>
      </c>
      <c r="H255" s="308">
        <v>0</v>
      </c>
      <c r="I255" s="308">
        <v>0</v>
      </c>
      <c r="J255" s="308">
        <v>1</v>
      </c>
      <c r="K255" s="307"/>
      <c r="L255" s="307" t="s">
        <v>688</v>
      </c>
      <c r="M255" s="309"/>
      <c r="N255" s="309"/>
      <c r="O255" s="311" t="s">
        <v>1629</v>
      </c>
      <c r="P255" s="311" t="s">
        <v>1629</v>
      </c>
      <c r="Q255" s="307" t="s">
        <v>1630</v>
      </c>
      <c r="R255" s="309"/>
      <c r="S255" s="307" t="s">
        <v>1626</v>
      </c>
      <c r="T255" s="307" t="s">
        <v>1627</v>
      </c>
      <c r="U255" s="307" t="s">
        <v>364</v>
      </c>
      <c r="V255" s="309"/>
      <c r="W255" s="307" t="s">
        <v>773</v>
      </c>
      <c r="X255" s="308">
        <v>20</v>
      </c>
    </row>
    <row r="256" spans="1:24" ht="242.25" customHeight="1" x14ac:dyDescent="0.15">
      <c r="A256" s="319" t="s">
        <v>301</v>
      </c>
      <c r="B256" s="319" t="s">
        <v>1631</v>
      </c>
      <c r="C256" s="308">
        <v>0</v>
      </c>
      <c r="D256" s="308">
        <v>0</v>
      </c>
      <c r="E256" s="308">
        <v>0</v>
      </c>
      <c r="F256" s="308">
        <v>0</v>
      </c>
      <c r="G256" s="308">
        <v>0</v>
      </c>
      <c r="H256" s="308">
        <v>0</v>
      </c>
      <c r="I256" s="308">
        <v>0</v>
      </c>
      <c r="J256" s="308">
        <v>1</v>
      </c>
      <c r="K256" s="307"/>
      <c r="L256" s="307" t="s">
        <v>688</v>
      </c>
      <c r="M256" s="309"/>
      <c r="N256" s="309"/>
      <c r="O256" s="311" t="s">
        <v>1632</v>
      </c>
      <c r="P256" s="311" t="s">
        <v>1632</v>
      </c>
      <c r="Q256" s="307" t="s">
        <v>1633</v>
      </c>
      <c r="R256" s="309"/>
      <c r="S256" s="309" t="s">
        <v>1634</v>
      </c>
      <c r="T256" s="309" t="s">
        <v>1635</v>
      </c>
      <c r="U256" s="307" t="s">
        <v>364</v>
      </c>
      <c r="V256" s="309"/>
      <c r="W256" s="307" t="s">
        <v>773</v>
      </c>
      <c r="X256" s="308">
        <v>20</v>
      </c>
    </row>
    <row r="257" spans="1:24" ht="171" customHeight="1" x14ac:dyDescent="0.15">
      <c r="A257" s="307" t="s">
        <v>302</v>
      </c>
      <c r="B257" s="307" t="s">
        <v>1636</v>
      </c>
      <c r="C257" s="308">
        <v>0</v>
      </c>
      <c r="D257" s="308">
        <v>0</v>
      </c>
      <c r="E257" s="308">
        <v>0</v>
      </c>
      <c r="F257" s="308">
        <v>0</v>
      </c>
      <c r="G257" s="308">
        <v>0</v>
      </c>
      <c r="H257" s="308">
        <v>0</v>
      </c>
      <c r="I257" s="308">
        <v>0</v>
      </c>
      <c r="J257" s="308">
        <v>1</v>
      </c>
      <c r="K257" s="309"/>
      <c r="L257" s="307" t="s">
        <v>688</v>
      </c>
      <c r="M257" s="309"/>
      <c r="N257" s="309"/>
      <c r="O257" s="311" t="s">
        <v>1637</v>
      </c>
      <c r="P257" s="311" t="s">
        <v>1637</v>
      </c>
      <c r="Q257" s="311" t="s">
        <v>1638</v>
      </c>
      <c r="R257" s="309"/>
      <c r="S257" s="309" t="s">
        <v>1639</v>
      </c>
      <c r="T257" s="309" t="s">
        <v>1640</v>
      </c>
      <c r="U257" s="307" t="s">
        <v>364</v>
      </c>
      <c r="V257" s="309"/>
      <c r="W257" s="307" t="s">
        <v>731</v>
      </c>
      <c r="X257" s="308">
        <v>5</v>
      </c>
    </row>
    <row r="258" spans="1:24" ht="128.25" customHeight="1" x14ac:dyDescent="0.15">
      <c r="A258" s="307" t="s">
        <v>303</v>
      </c>
      <c r="B258" s="307" t="s">
        <v>1641</v>
      </c>
      <c r="C258" s="308">
        <v>0</v>
      </c>
      <c r="D258" s="308">
        <v>0</v>
      </c>
      <c r="E258" s="308">
        <v>0</v>
      </c>
      <c r="F258" s="308">
        <v>0</v>
      </c>
      <c r="G258" s="308">
        <v>0</v>
      </c>
      <c r="H258" s="308">
        <v>0</v>
      </c>
      <c r="I258" s="308">
        <v>0</v>
      </c>
      <c r="J258" s="308">
        <v>1</v>
      </c>
      <c r="K258" s="309"/>
      <c r="L258" s="307" t="s">
        <v>688</v>
      </c>
      <c r="M258" s="309"/>
      <c r="N258" s="309"/>
      <c r="O258" s="311" t="s">
        <v>1642</v>
      </c>
      <c r="P258" s="311" t="s">
        <v>1642</v>
      </c>
      <c r="Q258" s="307" t="s">
        <v>1643</v>
      </c>
      <c r="R258" s="309"/>
      <c r="S258" s="307" t="s">
        <v>1644</v>
      </c>
      <c r="T258" s="309"/>
      <c r="U258" s="307" t="s">
        <v>364</v>
      </c>
      <c r="V258" s="309"/>
      <c r="W258" s="307" t="s">
        <v>731</v>
      </c>
      <c r="X258" s="308">
        <v>5</v>
      </c>
    </row>
    <row r="259" spans="1:24" ht="71.25" customHeight="1" x14ac:dyDescent="0.15">
      <c r="A259" s="307" t="s">
        <v>304</v>
      </c>
      <c r="B259" s="307" t="s">
        <v>1645</v>
      </c>
      <c r="C259" s="308">
        <v>0</v>
      </c>
      <c r="D259" s="308">
        <v>0</v>
      </c>
      <c r="E259" s="308">
        <v>0</v>
      </c>
      <c r="F259" s="308">
        <v>0</v>
      </c>
      <c r="G259" s="308">
        <v>0</v>
      </c>
      <c r="H259" s="308">
        <v>0</v>
      </c>
      <c r="I259" s="308">
        <v>0</v>
      </c>
      <c r="J259" s="308">
        <v>1</v>
      </c>
      <c r="K259" s="309"/>
      <c r="L259" s="307" t="s">
        <v>688</v>
      </c>
      <c r="M259" s="309"/>
      <c r="N259" s="309"/>
      <c r="O259" s="311" t="s">
        <v>1646</v>
      </c>
      <c r="P259" s="311" t="s">
        <v>1646</v>
      </c>
      <c r="Q259" s="307" t="s">
        <v>1647</v>
      </c>
      <c r="R259" s="309"/>
      <c r="S259" s="311" t="s">
        <v>1646</v>
      </c>
      <c r="T259" s="309"/>
      <c r="U259" s="307" t="s">
        <v>364</v>
      </c>
      <c r="V259" s="309"/>
      <c r="W259" s="307" t="s">
        <v>731</v>
      </c>
      <c r="X259" s="308">
        <v>5</v>
      </c>
    </row>
    <row r="260" spans="1:24" ht="71.25" customHeight="1" x14ac:dyDescent="0.15">
      <c r="A260" s="307" t="s">
        <v>305</v>
      </c>
      <c r="B260" s="307" t="s">
        <v>1648</v>
      </c>
      <c r="C260" s="308">
        <v>0</v>
      </c>
      <c r="D260" s="308">
        <v>0</v>
      </c>
      <c r="E260" s="308">
        <v>0</v>
      </c>
      <c r="F260" s="308">
        <v>0</v>
      </c>
      <c r="G260" s="308">
        <v>0</v>
      </c>
      <c r="H260" s="308">
        <v>0</v>
      </c>
      <c r="I260" s="308">
        <v>0</v>
      </c>
      <c r="J260" s="308">
        <v>1</v>
      </c>
      <c r="K260" s="309"/>
      <c r="L260" s="307" t="s">
        <v>688</v>
      </c>
      <c r="M260" s="309"/>
      <c r="N260" s="309"/>
      <c r="O260" s="311" t="s">
        <v>1649</v>
      </c>
      <c r="P260" s="311" t="s">
        <v>1649</v>
      </c>
      <c r="Q260" s="307" t="s">
        <v>1650</v>
      </c>
      <c r="R260" s="309"/>
      <c r="S260" s="307" t="s">
        <v>1651</v>
      </c>
      <c r="T260" s="309"/>
      <c r="U260" s="307" t="s">
        <v>364</v>
      </c>
      <c r="V260" s="309"/>
      <c r="W260" s="307" t="s">
        <v>731</v>
      </c>
      <c r="X260" s="308">
        <v>5</v>
      </c>
    </row>
    <row r="261" spans="1:24" ht="71.25" customHeight="1" x14ac:dyDescent="0.15">
      <c r="A261" s="307" t="s">
        <v>306</v>
      </c>
      <c r="B261" s="307" t="s">
        <v>1652</v>
      </c>
      <c r="C261" s="308">
        <v>0</v>
      </c>
      <c r="D261" s="308">
        <v>0</v>
      </c>
      <c r="E261" s="308">
        <v>0</v>
      </c>
      <c r="F261" s="308">
        <v>0</v>
      </c>
      <c r="G261" s="308">
        <v>0</v>
      </c>
      <c r="H261" s="308">
        <v>0</v>
      </c>
      <c r="I261" s="308">
        <v>0</v>
      </c>
      <c r="J261" s="308">
        <v>1</v>
      </c>
      <c r="K261" s="307"/>
      <c r="L261" s="307" t="s">
        <v>704</v>
      </c>
      <c r="M261" s="309"/>
      <c r="N261" s="309"/>
      <c r="O261" s="312"/>
      <c r="P261" s="307" t="s">
        <v>1653</v>
      </c>
      <c r="Q261" s="309"/>
      <c r="R261" s="309"/>
      <c r="S261" s="307" t="s">
        <v>1654</v>
      </c>
      <c r="T261" s="309"/>
      <c r="U261" s="307" t="s">
        <v>704</v>
      </c>
      <c r="V261" s="309"/>
      <c r="W261" s="307"/>
      <c r="X261" s="308"/>
    </row>
    <row r="262" spans="1:24" ht="171" customHeight="1" x14ac:dyDescent="0.15">
      <c r="A262" s="307" t="s">
        <v>307</v>
      </c>
      <c r="B262" s="307" t="s">
        <v>1655</v>
      </c>
      <c r="C262" s="308">
        <v>0</v>
      </c>
      <c r="D262" s="308">
        <v>0</v>
      </c>
      <c r="E262" s="308">
        <v>0</v>
      </c>
      <c r="F262" s="308">
        <v>0</v>
      </c>
      <c r="G262" s="308">
        <v>0</v>
      </c>
      <c r="H262" s="308">
        <v>0</v>
      </c>
      <c r="I262" s="308">
        <v>0</v>
      </c>
      <c r="J262" s="308">
        <v>1</v>
      </c>
      <c r="K262" s="309"/>
      <c r="L262" s="307" t="s">
        <v>688</v>
      </c>
      <c r="M262" s="309"/>
      <c r="N262" s="309"/>
      <c r="O262" s="312"/>
      <c r="P262" s="307" t="s">
        <v>1656</v>
      </c>
      <c r="Q262" s="307" t="s">
        <v>1657</v>
      </c>
      <c r="R262" s="309"/>
      <c r="S262" s="307" t="s">
        <v>1658</v>
      </c>
      <c r="T262" s="313" t="s">
        <v>1659</v>
      </c>
      <c r="U262" s="307" t="s">
        <v>355</v>
      </c>
      <c r="V262" s="309"/>
      <c r="W262" s="307" t="s">
        <v>731</v>
      </c>
      <c r="X262" s="308">
        <v>5</v>
      </c>
    </row>
    <row r="263" spans="1:24" ht="199.5" customHeight="1" x14ac:dyDescent="0.2">
      <c r="A263" s="307" t="s">
        <v>308</v>
      </c>
      <c r="B263" s="307" t="s">
        <v>1660</v>
      </c>
      <c r="C263" s="308">
        <v>0</v>
      </c>
      <c r="D263" s="308">
        <v>0</v>
      </c>
      <c r="E263" s="308">
        <v>0</v>
      </c>
      <c r="F263" s="308">
        <v>0</v>
      </c>
      <c r="G263" s="308">
        <v>0</v>
      </c>
      <c r="H263" s="308">
        <v>0</v>
      </c>
      <c r="I263" s="308">
        <v>0</v>
      </c>
      <c r="J263" s="308">
        <v>1</v>
      </c>
      <c r="K263" s="309"/>
      <c r="L263" s="307" t="s">
        <v>688</v>
      </c>
      <c r="M263" s="309"/>
      <c r="N263" s="309"/>
      <c r="O263" s="307" t="s">
        <v>1661</v>
      </c>
      <c r="P263" s="307" t="s">
        <v>1662</v>
      </c>
      <c r="Q263" s="307" t="s">
        <v>1663</v>
      </c>
      <c r="R263" s="309"/>
      <c r="S263" s="307" t="s">
        <v>1664</v>
      </c>
      <c r="T263" s="309"/>
      <c r="U263" s="307" t="s">
        <v>355</v>
      </c>
      <c r="V263" s="309"/>
      <c r="W263" s="307" t="s">
        <v>731</v>
      </c>
      <c r="X263" s="308">
        <v>5</v>
      </c>
    </row>
    <row r="264" spans="1:24" ht="114" customHeight="1" x14ac:dyDescent="0.2">
      <c r="A264" s="307" t="s">
        <v>309</v>
      </c>
      <c r="B264" s="307" t="s">
        <v>1389</v>
      </c>
      <c r="C264" s="308">
        <v>0</v>
      </c>
      <c r="D264" s="308">
        <v>0</v>
      </c>
      <c r="E264" s="308">
        <v>0</v>
      </c>
      <c r="F264" s="308">
        <v>0</v>
      </c>
      <c r="G264" s="308">
        <v>0</v>
      </c>
      <c r="H264" s="308">
        <v>0</v>
      </c>
      <c r="I264" s="308">
        <v>0</v>
      </c>
      <c r="J264" s="308">
        <v>1</v>
      </c>
      <c r="K264" s="309"/>
      <c r="L264" s="307" t="s">
        <v>688</v>
      </c>
      <c r="M264" s="309"/>
      <c r="N264" s="309"/>
      <c r="O264" s="309"/>
      <c r="P264" s="307" t="s">
        <v>1665</v>
      </c>
      <c r="Q264" s="307" t="s">
        <v>1666</v>
      </c>
      <c r="R264" s="309"/>
      <c r="S264" s="307" t="s">
        <v>1667</v>
      </c>
      <c r="T264" s="307" t="s">
        <v>1668</v>
      </c>
      <c r="U264" s="307" t="s">
        <v>355</v>
      </c>
      <c r="V264" s="309"/>
      <c r="W264" s="307" t="s">
        <v>722</v>
      </c>
      <c r="X264" s="308">
        <v>10</v>
      </c>
    </row>
    <row r="265" spans="1:24" ht="99.75" customHeight="1" x14ac:dyDescent="0.2">
      <c r="A265" s="307" t="s">
        <v>310</v>
      </c>
      <c r="B265" s="307" t="s">
        <v>1669</v>
      </c>
      <c r="C265" s="308">
        <v>0</v>
      </c>
      <c r="D265" s="308">
        <v>0</v>
      </c>
      <c r="E265" s="308">
        <v>0</v>
      </c>
      <c r="F265" s="308">
        <v>0</v>
      </c>
      <c r="G265" s="308">
        <v>0</v>
      </c>
      <c r="H265" s="308">
        <v>0</v>
      </c>
      <c r="I265" s="308">
        <v>0</v>
      </c>
      <c r="J265" s="308">
        <v>1</v>
      </c>
      <c r="K265" s="309"/>
      <c r="L265" s="307" t="s">
        <v>688</v>
      </c>
      <c r="M265" s="309"/>
      <c r="N265" s="309"/>
      <c r="O265" s="307" t="s">
        <v>1670</v>
      </c>
      <c r="P265" s="307" t="s">
        <v>1671</v>
      </c>
      <c r="Q265" s="309"/>
      <c r="R265" s="309"/>
      <c r="S265" s="307" t="s">
        <v>1672</v>
      </c>
      <c r="T265" s="307" t="s">
        <v>1673</v>
      </c>
      <c r="U265" s="307" t="s">
        <v>355</v>
      </c>
      <c r="V265" s="309"/>
      <c r="W265" s="307" t="s">
        <v>731</v>
      </c>
      <c r="X265" s="308">
        <v>5</v>
      </c>
    </row>
    <row r="266" spans="1:24" ht="114" customHeight="1" x14ac:dyDescent="0.2">
      <c r="A266" s="307" t="s">
        <v>311</v>
      </c>
      <c r="B266" s="307" t="s">
        <v>1674</v>
      </c>
      <c r="C266" s="308">
        <v>0</v>
      </c>
      <c r="D266" s="308">
        <v>0</v>
      </c>
      <c r="E266" s="308">
        <v>0</v>
      </c>
      <c r="F266" s="308">
        <v>0</v>
      </c>
      <c r="G266" s="308">
        <v>0</v>
      </c>
      <c r="H266" s="308">
        <v>0</v>
      </c>
      <c r="I266" s="308">
        <v>0</v>
      </c>
      <c r="J266" s="308">
        <v>1</v>
      </c>
      <c r="K266" s="309"/>
      <c r="L266" s="307" t="s">
        <v>688</v>
      </c>
      <c r="M266" s="309"/>
      <c r="N266" s="309"/>
      <c r="O266" s="307" t="s">
        <v>1675</v>
      </c>
      <c r="P266" s="307" t="s">
        <v>1676</v>
      </c>
      <c r="Q266" s="309"/>
      <c r="R266" s="309"/>
      <c r="S266" s="307" t="s">
        <v>1677</v>
      </c>
      <c r="T266" s="307" t="s">
        <v>1678</v>
      </c>
      <c r="U266" s="307" t="s">
        <v>355</v>
      </c>
      <c r="V266" s="309"/>
      <c r="W266" s="307" t="s">
        <v>731</v>
      </c>
      <c r="X266" s="308">
        <v>5</v>
      </c>
    </row>
    <row r="267" spans="1:24" ht="213.75" customHeight="1" x14ac:dyDescent="0.2">
      <c r="A267" s="319" t="s">
        <v>312</v>
      </c>
      <c r="B267" s="319" t="s">
        <v>1679</v>
      </c>
      <c r="C267" s="308">
        <v>0</v>
      </c>
      <c r="D267" s="308">
        <v>0</v>
      </c>
      <c r="E267" s="308">
        <v>0</v>
      </c>
      <c r="F267" s="308">
        <v>0</v>
      </c>
      <c r="G267" s="308">
        <v>0</v>
      </c>
      <c r="H267" s="308">
        <v>0</v>
      </c>
      <c r="I267" s="308">
        <v>0</v>
      </c>
      <c r="J267" s="308">
        <v>1</v>
      </c>
      <c r="K267" s="309"/>
      <c r="L267" s="307" t="s">
        <v>688</v>
      </c>
      <c r="M267" s="309"/>
      <c r="N267" s="309"/>
      <c r="O267" s="307" t="s">
        <v>1680</v>
      </c>
      <c r="P267" s="307" t="s">
        <v>1681</v>
      </c>
      <c r="Q267" s="307" t="s">
        <v>1682</v>
      </c>
      <c r="R267" s="309"/>
      <c r="S267" s="307" t="s">
        <v>1683</v>
      </c>
      <c r="T267" s="309"/>
      <c r="U267" s="307" t="s">
        <v>355</v>
      </c>
      <c r="V267" s="309"/>
      <c r="W267" s="307" t="s">
        <v>773</v>
      </c>
      <c r="X267" s="308">
        <v>20</v>
      </c>
    </row>
    <row r="268" spans="1:24" ht="128.25" customHeight="1" x14ac:dyDescent="0.2">
      <c r="A268" s="307" t="s">
        <v>313</v>
      </c>
      <c r="B268" s="307" t="s">
        <v>1684</v>
      </c>
      <c r="C268" s="308">
        <v>0</v>
      </c>
      <c r="D268" s="308">
        <v>0</v>
      </c>
      <c r="E268" s="308">
        <v>0</v>
      </c>
      <c r="F268" s="308">
        <v>0</v>
      </c>
      <c r="G268" s="308">
        <v>0</v>
      </c>
      <c r="H268" s="308">
        <v>0</v>
      </c>
      <c r="I268" s="308">
        <v>0</v>
      </c>
      <c r="J268" s="308">
        <v>1</v>
      </c>
      <c r="K268" s="309"/>
      <c r="L268" s="307" t="s">
        <v>688</v>
      </c>
      <c r="M268" s="309"/>
      <c r="N268" s="309"/>
      <c r="O268" s="309"/>
      <c r="P268" s="307" t="s">
        <v>1685</v>
      </c>
      <c r="Q268" s="307" t="s">
        <v>1686</v>
      </c>
      <c r="R268" s="309"/>
      <c r="S268" s="307" t="s">
        <v>1687</v>
      </c>
      <c r="T268" s="307" t="s">
        <v>1688</v>
      </c>
      <c r="U268" s="307" t="s">
        <v>355</v>
      </c>
      <c r="V268" s="309"/>
      <c r="W268" s="307" t="s">
        <v>731</v>
      </c>
      <c r="X268" s="308">
        <v>5</v>
      </c>
    </row>
    <row r="269" spans="1:24" ht="185.25" customHeight="1" x14ac:dyDescent="0.2">
      <c r="A269" s="307" t="s">
        <v>314</v>
      </c>
      <c r="B269" s="307" t="s">
        <v>1689</v>
      </c>
      <c r="C269" s="308">
        <v>0</v>
      </c>
      <c r="D269" s="308">
        <v>0</v>
      </c>
      <c r="E269" s="308">
        <v>0</v>
      </c>
      <c r="F269" s="308">
        <v>0</v>
      </c>
      <c r="G269" s="308">
        <v>0</v>
      </c>
      <c r="H269" s="308">
        <v>0</v>
      </c>
      <c r="I269" s="308">
        <v>0</v>
      </c>
      <c r="J269" s="308">
        <v>1</v>
      </c>
      <c r="K269" s="309"/>
      <c r="L269" s="307" t="s">
        <v>688</v>
      </c>
      <c r="M269" s="309"/>
      <c r="N269" s="309"/>
      <c r="O269" s="309"/>
      <c r="P269" s="307" t="s">
        <v>1690</v>
      </c>
      <c r="Q269" s="307" t="s">
        <v>1682</v>
      </c>
      <c r="R269" s="306" t="s">
        <v>899</v>
      </c>
      <c r="S269" s="307" t="s">
        <v>1691</v>
      </c>
      <c r="T269" s="307" t="s">
        <v>1692</v>
      </c>
      <c r="U269" s="307" t="s">
        <v>355</v>
      </c>
      <c r="V269" s="309"/>
      <c r="W269" s="307" t="s">
        <v>731</v>
      </c>
      <c r="X269" s="308">
        <v>5</v>
      </c>
    </row>
    <row r="270" spans="1:24" ht="199.5" customHeight="1" x14ac:dyDescent="0.2">
      <c r="A270" s="307" t="s">
        <v>315</v>
      </c>
      <c r="B270" s="307" t="s">
        <v>1693</v>
      </c>
      <c r="C270" s="308">
        <v>0</v>
      </c>
      <c r="D270" s="308">
        <v>0</v>
      </c>
      <c r="E270" s="308">
        <v>0</v>
      </c>
      <c r="F270" s="308">
        <v>0</v>
      </c>
      <c r="G270" s="308">
        <v>0</v>
      </c>
      <c r="H270" s="308">
        <v>0</v>
      </c>
      <c r="I270" s="308">
        <v>0</v>
      </c>
      <c r="J270" s="308">
        <v>1</v>
      </c>
      <c r="K270" s="309"/>
      <c r="L270" s="307" t="s">
        <v>688</v>
      </c>
      <c r="M270" s="309"/>
      <c r="N270" s="309"/>
      <c r="O270" s="307" t="s">
        <v>1694</v>
      </c>
      <c r="P270" s="307" t="s">
        <v>1694</v>
      </c>
      <c r="Q270" s="307" t="s">
        <v>1695</v>
      </c>
      <c r="R270" s="309"/>
      <c r="S270" s="307" t="s">
        <v>1696</v>
      </c>
      <c r="T270" s="307" t="s">
        <v>1697</v>
      </c>
      <c r="U270" s="307" t="s">
        <v>364</v>
      </c>
      <c r="V270" s="309"/>
      <c r="W270" s="307" t="s">
        <v>731</v>
      </c>
      <c r="X270" s="308">
        <v>5</v>
      </c>
    </row>
    <row r="271" spans="1:24" ht="199.5" customHeight="1" x14ac:dyDescent="0.15">
      <c r="A271" s="307" t="s">
        <v>316</v>
      </c>
      <c r="B271" s="307" t="s">
        <v>1698</v>
      </c>
      <c r="C271" s="308">
        <v>0</v>
      </c>
      <c r="D271" s="308">
        <v>0</v>
      </c>
      <c r="E271" s="308">
        <v>0</v>
      </c>
      <c r="F271" s="308">
        <v>0</v>
      </c>
      <c r="G271" s="308">
        <v>0</v>
      </c>
      <c r="H271" s="308">
        <v>0</v>
      </c>
      <c r="I271" s="308">
        <v>0</v>
      </c>
      <c r="J271" s="308">
        <v>1</v>
      </c>
      <c r="K271" s="309"/>
      <c r="L271" s="307" t="s">
        <v>688</v>
      </c>
      <c r="M271" s="309"/>
      <c r="N271" s="309"/>
      <c r="O271" s="309"/>
      <c r="P271" s="307" t="s">
        <v>1699</v>
      </c>
      <c r="Q271" s="307" t="s">
        <v>1700</v>
      </c>
      <c r="R271" s="307" t="s">
        <v>871</v>
      </c>
      <c r="S271" s="307" t="s">
        <v>1701</v>
      </c>
      <c r="T271" s="312"/>
      <c r="U271" s="307" t="s">
        <v>355</v>
      </c>
      <c r="V271" s="309"/>
      <c r="W271" s="307" t="s">
        <v>731</v>
      </c>
      <c r="X271" s="308">
        <v>5</v>
      </c>
    </row>
    <row r="272" spans="1:24" ht="128.25" customHeight="1" x14ac:dyDescent="0.15">
      <c r="A272" s="307" t="s">
        <v>317</v>
      </c>
      <c r="B272" s="307" t="s">
        <v>1702</v>
      </c>
      <c r="C272" s="308">
        <v>0</v>
      </c>
      <c r="D272" s="308">
        <v>0</v>
      </c>
      <c r="E272" s="308">
        <v>0</v>
      </c>
      <c r="F272" s="308">
        <v>0</v>
      </c>
      <c r="G272" s="308">
        <v>0</v>
      </c>
      <c r="H272" s="308">
        <v>0</v>
      </c>
      <c r="I272" s="308">
        <v>0</v>
      </c>
      <c r="J272" s="308">
        <v>1</v>
      </c>
      <c r="K272" s="309"/>
      <c r="L272" s="307" t="s">
        <v>688</v>
      </c>
      <c r="M272" s="309"/>
      <c r="N272" s="309"/>
      <c r="O272" s="312"/>
      <c r="P272" s="307" t="s">
        <v>1703</v>
      </c>
      <c r="Q272" s="307" t="s">
        <v>1704</v>
      </c>
      <c r="R272" s="309"/>
      <c r="S272" s="307" t="s">
        <v>1705</v>
      </c>
      <c r="T272" s="309"/>
      <c r="U272" s="307" t="s">
        <v>355</v>
      </c>
      <c r="V272" s="309"/>
      <c r="W272" s="307" t="s">
        <v>731</v>
      </c>
      <c r="X272" s="308">
        <v>5</v>
      </c>
    </row>
    <row r="273" spans="1:24" ht="89.25" customHeight="1" x14ac:dyDescent="0.2">
      <c r="A273" s="319" t="s">
        <v>318</v>
      </c>
      <c r="B273" s="319" t="s">
        <v>1706</v>
      </c>
      <c r="C273" s="308">
        <v>0</v>
      </c>
      <c r="D273" s="308">
        <v>0</v>
      </c>
      <c r="E273" s="308">
        <v>0</v>
      </c>
      <c r="F273" s="308">
        <v>0</v>
      </c>
      <c r="G273" s="308">
        <v>0</v>
      </c>
      <c r="H273" s="308">
        <v>0</v>
      </c>
      <c r="I273" s="308">
        <v>0</v>
      </c>
      <c r="J273" s="308">
        <v>1</v>
      </c>
      <c r="K273" s="309"/>
      <c r="L273" s="307" t="s">
        <v>688</v>
      </c>
      <c r="M273" s="309"/>
      <c r="N273" s="309"/>
      <c r="O273" s="309"/>
      <c r="P273" s="307" t="s">
        <v>1707</v>
      </c>
      <c r="Q273" s="307" t="s">
        <v>1708</v>
      </c>
      <c r="R273" s="309"/>
      <c r="S273" s="309" t="s">
        <v>1709</v>
      </c>
      <c r="T273" s="309" t="s">
        <v>1710</v>
      </c>
      <c r="U273" s="307" t="s">
        <v>364</v>
      </c>
      <c r="V273" s="309"/>
      <c r="W273" s="307" t="s">
        <v>773</v>
      </c>
      <c r="X273" s="308">
        <v>20</v>
      </c>
    </row>
    <row r="274" spans="1:24" ht="114" customHeight="1" x14ac:dyDescent="0.2">
      <c r="A274" s="307" t="s">
        <v>319</v>
      </c>
      <c r="B274" s="307" t="s">
        <v>1711</v>
      </c>
      <c r="C274" s="308">
        <v>0</v>
      </c>
      <c r="D274" s="308">
        <v>0</v>
      </c>
      <c r="E274" s="308">
        <v>0</v>
      </c>
      <c r="F274" s="308">
        <v>0</v>
      </c>
      <c r="G274" s="308">
        <v>0</v>
      </c>
      <c r="H274" s="308">
        <v>0</v>
      </c>
      <c r="I274" s="308">
        <v>0</v>
      </c>
      <c r="J274" s="308">
        <v>1</v>
      </c>
      <c r="K274" s="309"/>
      <c r="L274" s="307" t="s">
        <v>688</v>
      </c>
      <c r="M274" s="309"/>
      <c r="N274" s="309"/>
      <c r="O274" s="307" t="s">
        <v>1712</v>
      </c>
      <c r="P274" s="307" t="s">
        <v>1713</v>
      </c>
      <c r="Q274" s="307" t="s">
        <v>1714</v>
      </c>
      <c r="R274" s="309"/>
      <c r="S274" s="307" t="s">
        <v>1715</v>
      </c>
      <c r="T274" s="309"/>
      <c r="U274" s="307" t="s">
        <v>355</v>
      </c>
      <c r="V274" s="309"/>
      <c r="W274" s="307" t="s">
        <v>731</v>
      </c>
      <c r="X274" s="308">
        <v>5</v>
      </c>
    </row>
    <row r="275" spans="1:24" ht="99.75" customHeight="1" x14ac:dyDescent="0.2">
      <c r="A275" s="307" t="s">
        <v>320</v>
      </c>
      <c r="B275" s="307" t="s">
        <v>1716</v>
      </c>
      <c r="C275" s="308">
        <v>0</v>
      </c>
      <c r="D275" s="308">
        <v>0</v>
      </c>
      <c r="E275" s="308">
        <v>0</v>
      </c>
      <c r="F275" s="308">
        <v>0</v>
      </c>
      <c r="G275" s="308">
        <v>0</v>
      </c>
      <c r="H275" s="308">
        <v>0</v>
      </c>
      <c r="I275" s="308">
        <v>0</v>
      </c>
      <c r="J275" s="308">
        <v>1</v>
      </c>
      <c r="K275" s="307"/>
      <c r="L275" s="307" t="s">
        <v>688</v>
      </c>
      <c r="M275" s="309"/>
      <c r="N275" s="309"/>
      <c r="O275" s="307" t="s">
        <v>1717</v>
      </c>
      <c r="P275" s="309"/>
      <c r="Q275" s="307" t="s">
        <v>1718</v>
      </c>
      <c r="R275" s="309"/>
      <c r="S275" s="307" t="s">
        <v>1719</v>
      </c>
      <c r="T275" s="307" t="s">
        <v>1720</v>
      </c>
      <c r="U275" s="307" t="s">
        <v>364</v>
      </c>
      <c r="V275" s="309"/>
      <c r="W275" s="307" t="s">
        <v>722</v>
      </c>
      <c r="X275" s="308">
        <v>10</v>
      </c>
    </row>
    <row r="276" spans="1:24" ht="71.25" customHeight="1" x14ac:dyDescent="0.2">
      <c r="A276" s="307" t="s">
        <v>321</v>
      </c>
      <c r="B276" s="307" t="s">
        <v>1721</v>
      </c>
      <c r="C276" s="308">
        <v>0</v>
      </c>
      <c r="D276" s="308">
        <v>0</v>
      </c>
      <c r="E276" s="308">
        <v>0</v>
      </c>
      <c r="F276" s="308">
        <v>0</v>
      </c>
      <c r="G276" s="308">
        <v>0</v>
      </c>
      <c r="H276" s="308">
        <v>0</v>
      </c>
      <c r="I276" s="308">
        <v>0</v>
      </c>
      <c r="J276" s="308">
        <v>1</v>
      </c>
      <c r="K276" s="307"/>
      <c r="L276" s="307" t="s">
        <v>688</v>
      </c>
      <c r="M276" s="309"/>
      <c r="N276" s="309"/>
      <c r="O276" s="307" t="s">
        <v>1722</v>
      </c>
      <c r="P276" s="307" t="s">
        <v>1713</v>
      </c>
      <c r="Q276" s="307" t="s">
        <v>1723</v>
      </c>
      <c r="R276" s="309"/>
      <c r="S276" s="307" t="s">
        <v>1724</v>
      </c>
      <c r="T276" s="309"/>
      <c r="U276" s="307" t="s">
        <v>355</v>
      </c>
      <c r="V276" s="309"/>
      <c r="W276" s="307" t="s">
        <v>722</v>
      </c>
      <c r="X276" s="308">
        <v>10</v>
      </c>
    </row>
    <row r="277" spans="1:24" ht="57" customHeight="1" x14ac:dyDescent="0.2">
      <c r="A277" s="307" t="s">
        <v>322</v>
      </c>
      <c r="B277" s="307" t="s">
        <v>1725</v>
      </c>
      <c r="C277" s="308">
        <v>0</v>
      </c>
      <c r="D277" s="308">
        <v>0</v>
      </c>
      <c r="E277" s="308">
        <v>0</v>
      </c>
      <c r="F277" s="308">
        <v>0</v>
      </c>
      <c r="G277" s="308">
        <v>0</v>
      </c>
      <c r="H277" s="308">
        <v>0</v>
      </c>
      <c r="I277" s="308">
        <v>0</v>
      </c>
      <c r="J277" s="308">
        <v>1</v>
      </c>
      <c r="K277" s="307"/>
      <c r="L277" s="307" t="s">
        <v>688</v>
      </c>
      <c r="M277" s="309"/>
      <c r="N277" s="309"/>
      <c r="O277" s="307" t="s">
        <v>1726</v>
      </c>
      <c r="P277" s="307" t="s">
        <v>1713</v>
      </c>
      <c r="Q277" s="309"/>
      <c r="R277" s="309"/>
      <c r="S277" s="307" t="s">
        <v>1727</v>
      </c>
      <c r="T277" s="309"/>
      <c r="U277" s="307" t="s">
        <v>355</v>
      </c>
      <c r="V277" s="309"/>
      <c r="W277" s="307" t="s">
        <v>722</v>
      </c>
      <c r="X277" s="308">
        <v>10</v>
      </c>
    </row>
    <row r="278" spans="1:24" ht="99.75" customHeight="1" x14ac:dyDescent="0.2">
      <c r="A278" s="307" t="s">
        <v>281</v>
      </c>
      <c r="B278" s="307" t="s">
        <v>1728</v>
      </c>
      <c r="C278" s="308">
        <v>0</v>
      </c>
      <c r="D278" s="308">
        <v>0</v>
      </c>
      <c r="E278" s="308">
        <v>0</v>
      </c>
      <c r="F278" s="308">
        <v>0</v>
      </c>
      <c r="G278" s="308">
        <v>0</v>
      </c>
      <c r="H278" s="308">
        <v>0</v>
      </c>
      <c r="I278" s="308">
        <v>0</v>
      </c>
      <c r="J278" s="308">
        <v>1</v>
      </c>
      <c r="K278" s="307"/>
      <c r="L278" s="307" t="s">
        <v>688</v>
      </c>
      <c r="M278" s="309"/>
      <c r="N278" s="309"/>
      <c r="O278" s="307" t="s">
        <v>1729</v>
      </c>
      <c r="P278" s="307" t="s">
        <v>1729</v>
      </c>
      <c r="Q278" s="307" t="s">
        <v>1730</v>
      </c>
      <c r="R278" s="309"/>
      <c r="S278" s="307" t="s">
        <v>1731</v>
      </c>
      <c r="T278" s="307" t="s">
        <v>1732</v>
      </c>
      <c r="U278" s="307" t="s">
        <v>364</v>
      </c>
      <c r="V278" s="309"/>
      <c r="W278" s="307" t="s">
        <v>722</v>
      </c>
      <c r="X278" s="308">
        <v>10</v>
      </c>
    </row>
    <row r="279" spans="1:24" ht="57" customHeight="1" x14ac:dyDescent="0.2">
      <c r="A279" s="307" t="s">
        <v>282</v>
      </c>
      <c r="B279" s="307" t="s">
        <v>1733</v>
      </c>
      <c r="C279" s="308">
        <v>0</v>
      </c>
      <c r="D279" s="308">
        <v>0</v>
      </c>
      <c r="E279" s="308">
        <v>0</v>
      </c>
      <c r="F279" s="308">
        <v>0</v>
      </c>
      <c r="G279" s="308">
        <v>0</v>
      </c>
      <c r="H279" s="308">
        <v>0</v>
      </c>
      <c r="I279" s="308">
        <v>0</v>
      </c>
      <c r="J279" s="308">
        <v>1</v>
      </c>
      <c r="K279" s="307"/>
      <c r="L279" s="307" t="s">
        <v>688</v>
      </c>
      <c r="M279" s="309"/>
      <c r="N279" s="309"/>
      <c r="O279" s="307" t="s">
        <v>1734</v>
      </c>
      <c r="P279" s="307" t="s">
        <v>1713</v>
      </c>
      <c r="Q279" s="309"/>
      <c r="R279" s="306" t="s">
        <v>899</v>
      </c>
      <c r="S279" s="307" t="s">
        <v>1735</v>
      </c>
      <c r="T279" s="309"/>
      <c r="U279" s="307" t="s">
        <v>355</v>
      </c>
      <c r="V279" s="309"/>
      <c r="W279" s="307" t="s">
        <v>722</v>
      </c>
      <c r="X279" s="308">
        <v>10</v>
      </c>
    </row>
    <row r="280" spans="1:24" ht="89.25" customHeight="1" x14ac:dyDescent="0.2">
      <c r="A280" s="307" t="s">
        <v>323</v>
      </c>
      <c r="B280" s="307" t="s">
        <v>1736</v>
      </c>
      <c r="C280" s="308">
        <v>0</v>
      </c>
      <c r="D280" s="308">
        <v>0</v>
      </c>
      <c r="E280" s="308">
        <v>0</v>
      </c>
      <c r="F280" s="308">
        <v>0</v>
      </c>
      <c r="G280" s="308">
        <v>0</v>
      </c>
      <c r="H280" s="308">
        <v>0</v>
      </c>
      <c r="I280" s="308">
        <v>0</v>
      </c>
      <c r="J280" s="308">
        <v>1</v>
      </c>
      <c r="K280" s="309"/>
      <c r="L280" s="307" t="s">
        <v>688</v>
      </c>
      <c r="M280" s="309"/>
      <c r="N280" s="309"/>
      <c r="O280" s="309"/>
      <c r="P280" s="307" t="s">
        <v>1737</v>
      </c>
      <c r="Q280" s="307" t="s">
        <v>1738</v>
      </c>
      <c r="R280" s="309"/>
      <c r="S280" s="309" t="s">
        <v>1739</v>
      </c>
      <c r="T280" s="309" t="s">
        <v>1740</v>
      </c>
      <c r="U280" s="307" t="s">
        <v>355</v>
      </c>
      <c r="V280" s="309"/>
      <c r="W280" s="307" t="s">
        <v>722</v>
      </c>
      <c r="X280" s="308">
        <v>10</v>
      </c>
    </row>
    <row r="281" spans="1:24" ht="89.25" customHeight="1" x14ac:dyDescent="0.2">
      <c r="A281" s="307" t="s">
        <v>324</v>
      </c>
      <c r="B281" s="307" t="s">
        <v>1741</v>
      </c>
      <c r="C281" s="308">
        <v>0</v>
      </c>
      <c r="D281" s="308">
        <v>0</v>
      </c>
      <c r="E281" s="308">
        <v>0</v>
      </c>
      <c r="F281" s="308">
        <v>0</v>
      </c>
      <c r="G281" s="308">
        <v>0</v>
      </c>
      <c r="H281" s="308">
        <v>0</v>
      </c>
      <c r="I281" s="308">
        <v>0</v>
      </c>
      <c r="J281" s="308">
        <v>1</v>
      </c>
      <c r="K281" s="309"/>
      <c r="L281" s="307" t="s">
        <v>688</v>
      </c>
      <c r="M281" s="309"/>
      <c r="N281" s="309"/>
      <c r="O281" s="309"/>
      <c r="P281" s="307" t="s">
        <v>1713</v>
      </c>
      <c r="Q281" s="307" t="s">
        <v>1742</v>
      </c>
      <c r="R281" s="309"/>
      <c r="S281" s="309" t="s">
        <v>1743</v>
      </c>
      <c r="T281" s="307" t="s">
        <v>1744</v>
      </c>
      <c r="U281" s="307" t="s">
        <v>355</v>
      </c>
      <c r="V281" s="309"/>
      <c r="W281" s="307" t="s">
        <v>722</v>
      </c>
      <c r="X281" s="308">
        <v>10</v>
      </c>
    </row>
    <row r="282" spans="1:24" ht="89.25" customHeight="1" x14ac:dyDescent="0.2">
      <c r="A282" s="307" t="s">
        <v>325</v>
      </c>
      <c r="B282" s="307" t="s">
        <v>1745</v>
      </c>
      <c r="C282" s="308">
        <v>0</v>
      </c>
      <c r="D282" s="308">
        <v>0</v>
      </c>
      <c r="E282" s="308">
        <v>0</v>
      </c>
      <c r="F282" s="308">
        <v>0</v>
      </c>
      <c r="G282" s="308">
        <v>0</v>
      </c>
      <c r="H282" s="308">
        <v>0</v>
      </c>
      <c r="I282" s="308">
        <v>0</v>
      </c>
      <c r="J282" s="308">
        <v>1</v>
      </c>
      <c r="K282" s="309"/>
      <c r="L282" s="307" t="s">
        <v>688</v>
      </c>
      <c r="M282" s="309"/>
      <c r="N282" s="309"/>
      <c r="O282" s="309"/>
      <c r="P282" s="307" t="s">
        <v>1713</v>
      </c>
      <c r="Q282" s="307" t="s">
        <v>1738</v>
      </c>
      <c r="R282" s="314" t="s">
        <v>1746</v>
      </c>
      <c r="S282" s="309" t="s">
        <v>1747</v>
      </c>
      <c r="T282" s="309" t="s">
        <v>1748</v>
      </c>
      <c r="U282" s="307" t="s">
        <v>355</v>
      </c>
      <c r="V282" s="309"/>
      <c r="W282" s="307" t="s">
        <v>722</v>
      </c>
      <c r="X282" s="308">
        <v>10</v>
      </c>
    </row>
    <row r="283" spans="1:24" ht="142.5" customHeight="1" x14ac:dyDescent="0.2">
      <c r="A283" s="307" t="s">
        <v>326</v>
      </c>
      <c r="B283" s="307" t="s">
        <v>1749</v>
      </c>
      <c r="C283" s="308">
        <v>0</v>
      </c>
      <c r="D283" s="308">
        <v>0</v>
      </c>
      <c r="E283" s="308">
        <v>0</v>
      </c>
      <c r="F283" s="308">
        <v>0</v>
      </c>
      <c r="G283" s="308">
        <v>0</v>
      </c>
      <c r="H283" s="308">
        <v>0</v>
      </c>
      <c r="I283" s="308">
        <v>0</v>
      </c>
      <c r="J283" s="308">
        <v>1</v>
      </c>
      <c r="K283" s="309"/>
      <c r="L283" s="307" t="s">
        <v>688</v>
      </c>
      <c r="M283" s="309"/>
      <c r="N283" s="309"/>
      <c r="O283" s="307" t="s">
        <v>1750</v>
      </c>
      <c r="P283" s="307" t="s">
        <v>1713</v>
      </c>
      <c r="Q283" s="307" t="s">
        <v>1751</v>
      </c>
      <c r="R283" s="314" t="s">
        <v>1752</v>
      </c>
      <c r="S283" s="307" t="s">
        <v>1753</v>
      </c>
      <c r="T283" s="309"/>
      <c r="U283" s="307" t="s">
        <v>355</v>
      </c>
      <c r="V283" s="309"/>
      <c r="W283" s="307" t="s">
        <v>722</v>
      </c>
      <c r="X283" s="308">
        <v>10</v>
      </c>
    </row>
    <row r="284" spans="1:24" ht="102" customHeight="1" x14ac:dyDescent="0.2">
      <c r="A284" s="307" t="s">
        <v>327</v>
      </c>
      <c r="B284" s="307" t="s">
        <v>1754</v>
      </c>
      <c r="C284" s="308">
        <v>0</v>
      </c>
      <c r="D284" s="308">
        <v>0</v>
      </c>
      <c r="E284" s="308">
        <v>0</v>
      </c>
      <c r="F284" s="308">
        <v>0</v>
      </c>
      <c r="G284" s="308">
        <v>0</v>
      </c>
      <c r="H284" s="308">
        <v>0</v>
      </c>
      <c r="I284" s="308">
        <v>0</v>
      </c>
      <c r="J284" s="308">
        <v>1</v>
      </c>
      <c r="K284" s="309"/>
      <c r="L284" s="307" t="s">
        <v>688</v>
      </c>
      <c r="M284" s="309"/>
      <c r="N284" s="309"/>
      <c r="O284" s="309"/>
      <c r="P284" s="307" t="s">
        <v>1713</v>
      </c>
      <c r="Q284" s="307" t="s">
        <v>1738</v>
      </c>
      <c r="R284" s="314" t="s">
        <v>1755</v>
      </c>
      <c r="S284" s="309" t="s">
        <v>1756</v>
      </c>
      <c r="T284" s="309" t="s">
        <v>1757</v>
      </c>
      <c r="U284" s="307" t="s">
        <v>355</v>
      </c>
      <c r="V284" s="309"/>
      <c r="W284" s="307" t="s">
        <v>722</v>
      </c>
      <c r="X284" s="308">
        <v>10</v>
      </c>
    </row>
    <row r="285" spans="1:24" ht="114" customHeight="1" x14ac:dyDescent="0.15">
      <c r="A285" s="307" t="s">
        <v>328</v>
      </c>
      <c r="B285" s="307" t="s">
        <v>1758</v>
      </c>
      <c r="C285" s="308">
        <v>0</v>
      </c>
      <c r="D285" s="308">
        <v>0</v>
      </c>
      <c r="E285" s="308">
        <v>0</v>
      </c>
      <c r="F285" s="308">
        <v>0</v>
      </c>
      <c r="G285" s="308">
        <v>0</v>
      </c>
      <c r="H285" s="308">
        <v>0</v>
      </c>
      <c r="I285" s="308">
        <v>0</v>
      </c>
      <c r="J285" s="308">
        <v>1</v>
      </c>
      <c r="K285" s="309"/>
      <c r="L285" s="307" t="s">
        <v>688</v>
      </c>
      <c r="M285" s="309"/>
      <c r="N285" s="309"/>
      <c r="O285" s="309"/>
      <c r="P285" s="307" t="s">
        <v>1759</v>
      </c>
      <c r="Q285" s="312"/>
      <c r="R285" s="314" t="s">
        <v>1760</v>
      </c>
      <c r="S285" s="307" t="s">
        <v>1761</v>
      </c>
      <c r="T285" s="309"/>
      <c r="U285" s="307" t="s">
        <v>355</v>
      </c>
      <c r="V285" s="309"/>
      <c r="W285" s="307" t="s">
        <v>722</v>
      </c>
      <c r="X285" s="308">
        <v>10</v>
      </c>
    </row>
    <row r="286" spans="1:24" ht="213.75" customHeight="1" x14ac:dyDescent="0.2">
      <c r="A286" s="307" t="s">
        <v>329</v>
      </c>
      <c r="B286" s="307" t="s">
        <v>1762</v>
      </c>
      <c r="C286" s="308">
        <v>0</v>
      </c>
      <c r="D286" s="308">
        <v>0</v>
      </c>
      <c r="E286" s="308">
        <v>0</v>
      </c>
      <c r="F286" s="308">
        <v>0</v>
      </c>
      <c r="G286" s="308">
        <v>0</v>
      </c>
      <c r="H286" s="308">
        <v>0</v>
      </c>
      <c r="I286" s="308">
        <v>0</v>
      </c>
      <c r="J286" s="308">
        <v>1</v>
      </c>
      <c r="K286" s="309"/>
      <c r="L286" s="307" t="s">
        <v>688</v>
      </c>
      <c r="M286" s="309"/>
      <c r="N286" s="309"/>
      <c r="O286" s="307" t="s">
        <v>1763</v>
      </c>
      <c r="P286" s="307" t="s">
        <v>1763</v>
      </c>
      <c r="Q286" s="307" t="s">
        <v>1763</v>
      </c>
      <c r="R286" s="314" t="s">
        <v>1764</v>
      </c>
      <c r="S286" s="307" t="s">
        <v>1765</v>
      </c>
      <c r="T286" s="309"/>
      <c r="U286" s="307" t="s">
        <v>355</v>
      </c>
      <c r="V286" s="309"/>
      <c r="W286" s="307" t="s">
        <v>722</v>
      </c>
      <c r="X286" s="308">
        <v>10</v>
      </c>
    </row>
    <row r="287" spans="1:24" ht="89.25" customHeight="1" x14ac:dyDescent="0.2">
      <c r="A287" s="307" t="s">
        <v>330</v>
      </c>
      <c r="B287" s="307" t="s">
        <v>1766</v>
      </c>
      <c r="C287" s="308">
        <v>0</v>
      </c>
      <c r="D287" s="308">
        <v>0</v>
      </c>
      <c r="E287" s="308">
        <v>0</v>
      </c>
      <c r="F287" s="308">
        <v>0</v>
      </c>
      <c r="G287" s="308">
        <v>0</v>
      </c>
      <c r="H287" s="308">
        <v>0</v>
      </c>
      <c r="I287" s="308">
        <v>0</v>
      </c>
      <c r="J287" s="308">
        <v>1</v>
      </c>
      <c r="K287" s="309"/>
      <c r="L287" s="307" t="s">
        <v>688</v>
      </c>
      <c r="M287" s="309"/>
      <c r="N287" s="309"/>
      <c r="O287" s="309"/>
      <c r="P287" s="309"/>
      <c r="Q287" s="309"/>
      <c r="R287" s="314" t="s">
        <v>1767</v>
      </c>
      <c r="S287" s="309" t="s">
        <v>1768</v>
      </c>
      <c r="T287" s="309" t="s">
        <v>1769</v>
      </c>
      <c r="U287" s="307" t="s">
        <v>355</v>
      </c>
      <c r="V287" s="309"/>
      <c r="W287" s="307" t="s">
        <v>722</v>
      </c>
      <c r="X287" s="308">
        <v>10</v>
      </c>
    </row>
    <row r="288" spans="1:24" ht="85.5" customHeight="1" x14ac:dyDescent="0.2">
      <c r="A288" s="307" t="s">
        <v>331</v>
      </c>
      <c r="B288" s="307" t="s">
        <v>1770</v>
      </c>
      <c r="C288" s="308">
        <v>0</v>
      </c>
      <c r="D288" s="308">
        <v>0</v>
      </c>
      <c r="E288" s="308">
        <v>0</v>
      </c>
      <c r="F288" s="308">
        <v>0</v>
      </c>
      <c r="G288" s="308">
        <v>0</v>
      </c>
      <c r="H288" s="308">
        <v>0</v>
      </c>
      <c r="I288" s="308">
        <v>0</v>
      </c>
      <c r="J288" s="308">
        <v>1</v>
      </c>
      <c r="K288" s="309"/>
      <c r="L288" s="307" t="s">
        <v>688</v>
      </c>
      <c r="M288" s="309"/>
      <c r="N288" s="309"/>
      <c r="O288" s="309"/>
      <c r="P288" s="309"/>
      <c r="Q288" s="309"/>
      <c r="R288" s="314" t="s">
        <v>1771</v>
      </c>
      <c r="S288" s="309" t="s">
        <v>1772</v>
      </c>
      <c r="T288" s="309" t="s">
        <v>1773</v>
      </c>
      <c r="U288" s="307" t="s">
        <v>355</v>
      </c>
      <c r="V288" s="309"/>
      <c r="W288" s="307" t="s">
        <v>722</v>
      </c>
      <c r="X288" s="308">
        <v>10</v>
      </c>
    </row>
    <row r="289" spans="1:24" ht="102" customHeight="1" x14ac:dyDescent="0.2">
      <c r="A289" s="307" t="s">
        <v>332</v>
      </c>
      <c r="B289" s="307" t="s">
        <v>1774</v>
      </c>
      <c r="C289" s="308">
        <v>0</v>
      </c>
      <c r="D289" s="308">
        <v>0</v>
      </c>
      <c r="E289" s="308">
        <v>0</v>
      </c>
      <c r="F289" s="308">
        <v>0</v>
      </c>
      <c r="G289" s="308">
        <v>0</v>
      </c>
      <c r="H289" s="308">
        <v>0</v>
      </c>
      <c r="I289" s="308">
        <v>0</v>
      </c>
      <c r="J289" s="308">
        <v>1</v>
      </c>
      <c r="K289" s="309"/>
      <c r="L289" s="307" t="s">
        <v>688</v>
      </c>
      <c r="M289" s="309"/>
      <c r="N289" s="309"/>
      <c r="O289" s="309"/>
      <c r="P289" s="309"/>
      <c r="Q289" s="309"/>
      <c r="R289" s="314" t="s">
        <v>1775</v>
      </c>
      <c r="S289" s="309" t="s">
        <v>1776</v>
      </c>
      <c r="T289" s="309" t="s">
        <v>1777</v>
      </c>
      <c r="U289" s="307" t="s">
        <v>355</v>
      </c>
      <c r="V289" s="309"/>
      <c r="W289" s="307" t="s">
        <v>722</v>
      </c>
      <c r="X289" s="308">
        <v>10</v>
      </c>
    </row>
    <row r="290" spans="1:24" ht="102" customHeight="1" x14ac:dyDescent="0.15">
      <c r="A290" s="307" t="s">
        <v>333</v>
      </c>
      <c r="B290" s="307" t="s">
        <v>1778</v>
      </c>
      <c r="C290" s="308">
        <v>0</v>
      </c>
      <c r="D290" s="308">
        <v>0</v>
      </c>
      <c r="E290" s="308">
        <v>0</v>
      </c>
      <c r="F290" s="308">
        <v>0</v>
      </c>
      <c r="G290" s="308">
        <v>0</v>
      </c>
      <c r="H290" s="308">
        <v>0</v>
      </c>
      <c r="I290" s="308">
        <v>0</v>
      </c>
      <c r="J290" s="308">
        <v>1</v>
      </c>
      <c r="K290" s="309"/>
      <c r="L290" s="307" t="s">
        <v>688</v>
      </c>
      <c r="M290" s="309"/>
      <c r="N290" s="309"/>
      <c r="O290" s="312"/>
      <c r="P290" s="309"/>
      <c r="Q290" s="307" t="s">
        <v>1779</v>
      </c>
      <c r="R290" s="314" t="s">
        <v>1780</v>
      </c>
      <c r="S290" s="309" t="s">
        <v>1781</v>
      </c>
      <c r="T290" s="309" t="s">
        <v>1782</v>
      </c>
      <c r="U290" s="307" t="s">
        <v>355</v>
      </c>
      <c r="V290" s="309"/>
      <c r="W290" s="307" t="s">
        <v>722</v>
      </c>
      <c r="X290" s="308">
        <v>10</v>
      </c>
    </row>
    <row r="291" spans="1:24" ht="102" customHeight="1" x14ac:dyDescent="0.2">
      <c r="A291" s="307" t="s">
        <v>334</v>
      </c>
      <c r="B291" s="307" t="s">
        <v>1783</v>
      </c>
      <c r="C291" s="308">
        <v>0</v>
      </c>
      <c r="D291" s="308">
        <v>0</v>
      </c>
      <c r="E291" s="308">
        <v>0</v>
      </c>
      <c r="F291" s="308">
        <v>0</v>
      </c>
      <c r="G291" s="308">
        <v>0</v>
      </c>
      <c r="H291" s="308">
        <v>0</v>
      </c>
      <c r="I291" s="308">
        <v>0</v>
      </c>
      <c r="J291" s="308">
        <v>1</v>
      </c>
      <c r="K291" s="309"/>
      <c r="L291" s="307" t="s">
        <v>688</v>
      </c>
      <c r="M291" s="309"/>
      <c r="N291" s="309"/>
      <c r="O291" s="309"/>
      <c r="P291" s="309"/>
      <c r="Q291" s="307" t="s">
        <v>1784</v>
      </c>
      <c r="R291" s="314" t="s">
        <v>1785</v>
      </c>
      <c r="S291" s="309" t="s">
        <v>1786</v>
      </c>
      <c r="T291" s="309" t="s">
        <v>1787</v>
      </c>
      <c r="U291" s="307" t="s">
        <v>355</v>
      </c>
      <c r="V291" s="309"/>
      <c r="W291" s="307" t="s">
        <v>722</v>
      </c>
      <c r="X291" s="308">
        <v>10</v>
      </c>
    </row>
    <row r="292" spans="1:24" ht="114.75" customHeight="1" x14ac:dyDescent="0.2">
      <c r="A292" s="307" t="s">
        <v>335</v>
      </c>
      <c r="B292" s="307" t="s">
        <v>1788</v>
      </c>
      <c r="C292" s="308">
        <v>0</v>
      </c>
      <c r="D292" s="308">
        <v>0</v>
      </c>
      <c r="E292" s="308">
        <v>0</v>
      </c>
      <c r="F292" s="308">
        <v>0</v>
      </c>
      <c r="G292" s="308">
        <v>0</v>
      </c>
      <c r="H292" s="308">
        <v>0</v>
      </c>
      <c r="I292" s="308">
        <v>0</v>
      </c>
      <c r="J292" s="308">
        <v>1</v>
      </c>
      <c r="K292" s="309"/>
      <c r="L292" s="307" t="s">
        <v>688</v>
      </c>
      <c r="M292" s="309"/>
      <c r="N292" s="309"/>
      <c r="O292" s="309"/>
      <c r="P292" s="309"/>
      <c r="Q292" s="307" t="s">
        <v>1789</v>
      </c>
      <c r="R292" s="314" t="s">
        <v>1790</v>
      </c>
      <c r="S292" s="309" t="s">
        <v>1791</v>
      </c>
      <c r="T292" s="309" t="s">
        <v>1792</v>
      </c>
      <c r="U292" s="307" t="s">
        <v>364</v>
      </c>
      <c r="V292" s="309"/>
      <c r="W292" s="307" t="s">
        <v>722</v>
      </c>
      <c r="X292" s="308">
        <v>10</v>
      </c>
    </row>
    <row r="293" spans="1:24" ht="242.25" customHeight="1" x14ac:dyDescent="0.2">
      <c r="A293" s="307" t="s">
        <v>336</v>
      </c>
      <c r="B293" s="307" t="s">
        <v>1793</v>
      </c>
      <c r="C293" s="308">
        <v>0</v>
      </c>
      <c r="D293" s="308">
        <v>0</v>
      </c>
      <c r="E293" s="308">
        <v>0</v>
      </c>
      <c r="F293" s="308">
        <v>0</v>
      </c>
      <c r="G293" s="308">
        <v>0</v>
      </c>
      <c r="H293" s="308">
        <v>0</v>
      </c>
      <c r="I293" s="308">
        <v>0</v>
      </c>
      <c r="J293" s="308">
        <v>1</v>
      </c>
      <c r="K293" s="309"/>
      <c r="L293" s="307" t="s">
        <v>688</v>
      </c>
      <c r="M293" s="309"/>
      <c r="N293" s="309"/>
      <c r="O293" s="307" t="s">
        <v>1794</v>
      </c>
      <c r="P293" s="307" t="s">
        <v>1794</v>
      </c>
      <c r="Q293" s="307" t="s">
        <v>1795</v>
      </c>
      <c r="R293" s="314" t="s">
        <v>1796</v>
      </c>
      <c r="S293" s="307" t="s">
        <v>1797</v>
      </c>
      <c r="T293" s="307" t="s">
        <v>1798</v>
      </c>
      <c r="U293" s="307" t="s">
        <v>355</v>
      </c>
      <c r="V293" s="309"/>
      <c r="W293" s="307" t="s">
        <v>722</v>
      </c>
      <c r="X293" s="308">
        <v>10</v>
      </c>
    </row>
    <row r="294" spans="1:24" ht="185.25" customHeight="1" x14ac:dyDescent="0.2">
      <c r="A294" s="307" t="s">
        <v>337</v>
      </c>
      <c r="B294" s="307" t="s">
        <v>1799</v>
      </c>
      <c r="C294" s="308">
        <v>0</v>
      </c>
      <c r="D294" s="308">
        <v>0</v>
      </c>
      <c r="E294" s="308">
        <v>0</v>
      </c>
      <c r="F294" s="308">
        <v>0</v>
      </c>
      <c r="G294" s="308">
        <v>0</v>
      </c>
      <c r="H294" s="308">
        <v>0</v>
      </c>
      <c r="I294" s="308">
        <v>0</v>
      </c>
      <c r="J294" s="308">
        <v>1</v>
      </c>
      <c r="K294" s="309"/>
      <c r="L294" s="307" t="s">
        <v>688</v>
      </c>
      <c r="M294" s="309"/>
      <c r="N294" s="309"/>
      <c r="O294" s="309"/>
      <c r="P294" s="309"/>
      <c r="Q294" s="307" t="s">
        <v>1800</v>
      </c>
      <c r="R294" s="309"/>
      <c r="S294" s="307" t="s">
        <v>1801</v>
      </c>
      <c r="T294" s="309"/>
      <c r="U294" s="307" t="s">
        <v>355</v>
      </c>
      <c r="V294" s="309"/>
      <c r="W294" s="307" t="s">
        <v>722</v>
      </c>
      <c r="X294" s="308">
        <v>10</v>
      </c>
    </row>
    <row r="295" spans="1:24" ht="142.5" customHeight="1" x14ac:dyDescent="0.15">
      <c r="A295" s="307" t="s">
        <v>338</v>
      </c>
      <c r="B295" s="307" t="s">
        <v>1802</v>
      </c>
      <c r="C295" s="308">
        <v>0</v>
      </c>
      <c r="D295" s="308">
        <v>0</v>
      </c>
      <c r="E295" s="308">
        <v>0</v>
      </c>
      <c r="F295" s="308">
        <v>0</v>
      </c>
      <c r="G295" s="308">
        <v>0</v>
      </c>
      <c r="H295" s="308">
        <v>0</v>
      </c>
      <c r="I295" s="308">
        <v>0</v>
      </c>
      <c r="J295" s="308">
        <v>1</v>
      </c>
      <c r="K295" s="307"/>
      <c r="L295" s="307" t="s">
        <v>688</v>
      </c>
      <c r="M295" s="309"/>
      <c r="N295" s="307" t="s">
        <v>1803</v>
      </c>
      <c r="O295" s="312"/>
      <c r="P295" s="307" t="s">
        <v>1804</v>
      </c>
      <c r="Q295" s="307" t="s">
        <v>1805</v>
      </c>
      <c r="R295" s="306" t="s">
        <v>899</v>
      </c>
      <c r="S295" s="309" t="s">
        <v>1806</v>
      </c>
      <c r="T295" s="307" t="s">
        <v>1807</v>
      </c>
      <c r="U295" s="307" t="s">
        <v>364</v>
      </c>
      <c r="V295" s="309"/>
      <c r="W295" s="307" t="s">
        <v>722</v>
      </c>
      <c r="X295" s="308">
        <v>10</v>
      </c>
    </row>
    <row r="296" spans="1:24" ht="128.25" customHeight="1" x14ac:dyDescent="0.2">
      <c r="A296" s="319" t="s">
        <v>339</v>
      </c>
      <c r="B296" s="319" t="s">
        <v>1808</v>
      </c>
      <c r="C296" s="308">
        <v>0</v>
      </c>
      <c r="D296" s="308">
        <v>0</v>
      </c>
      <c r="E296" s="308">
        <v>0</v>
      </c>
      <c r="F296" s="308">
        <v>0</v>
      </c>
      <c r="G296" s="308">
        <v>0</v>
      </c>
      <c r="H296" s="308">
        <v>0</v>
      </c>
      <c r="I296" s="308">
        <v>0</v>
      </c>
      <c r="J296" s="308">
        <v>1</v>
      </c>
      <c r="K296" s="309"/>
      <c r="L296" s="307" t="s">
        <v>688</v>
      </c>
      <c r="M296" s="309"/>
      <c r="N296" s="307" t="s">
        <v>1803</v>
      </c>
      <c r="O296" s="309"/>
      <c r="P296" s="307" t="s">
        <v>1809</v>
      </c>
      <c r="Q296" s="307" t="s">
        <v>1810</v>
      </c>
      <c r="R296" s="306" t="s">
        <v>899</v>
      </c>
      <c r="S296" s="307" t="s">
        <v>1811</v>
      </c>
      <c r="T296" s="307" t="s">
        <v>1812</v>
      </c>
      <c r="U296" s="307" t="s">
        <v>364</v>
      </c>
      <c r="V296" s="309"/>
      <c r="W296" s="307" t="s">
        <v>773</v>
      </c>
      <c r="X296" s="308">
        <v>20</v>
      </c>
    </row>
    <row r="297" spans="1:24" ht="114" customHeight="1" x14ac:dyDescent="0.2">
      <c r="A297" s="319" t="s">
        <v>340</v>
      </c>
      <c r="B297" s="319" t="s">
        <v>1813</v>
      </c>
      <c r="C297" s="308">
        <v>0</v>
      </c>
      <c r="D297" s="308">
        <v>0</v>
      </c>
      <c r="E297" s="308">
        <v>0</v>
      </c>
      <c r="F297" s="308">
        <v>0</v>
      </c>
      <c r="G297" s="308">
        <v>0</v>
      </c>
      <c r="H297" s="308">
        <v>0</v>
      </c>
      <c r="I297" s="308">
        <v>0</v>
      </c>
      <c r="J297" s="308">
        <v>1</v>
      </c>
      <c r="K297" s="309"/>
      <c r="L297" s="307" t="s">
        <v>688</v>
      </c>
      <c r="M297" s="309"/>
      <c r="N297" s="307" t="s">
        <v>1803</v>
      </c>
      <c r="O297" s="309"/>
      <c r="P297" s="307" t="s">
        <v>1814</v>
      </c>
      <c r="Q297" s="307" t="s">
        <v>1815</v>
      </c>
      <c r="R297" s="306" t="s">
        <v>899</v>
      </c>
      <c r="S297" s="307" t="s">
        <v>1816</v>
      </c>
      <c r="T297" s="307" t="s">
        <v>1817</v>
      </c>
      <c r="U297" s="307" t="s">
        <v>355</v>
      </c>
      <c r="V297" s="309"/>
      <c r="W297" s="307" t="s">
        <v>773</v>
      </c>
      <c r="X297" s="308">
        <v>20</v>
      </c>
    </row>
    <row r="298" spans="1:24" ht="114" customHeight="1" x14ac:dyDescent="0.2">
      <c r="A298" s="307" t="s">
        <v>341</v>
      </c>
      <c r="B298" s="307" t="s">
        <v>1818</v>
      </c>
      <c r="C298" s="308">
        <v>0</v>
      </c>
      <c r="D298" s="308">
        <v>0</v>
      </c>
      <c r="E298" s="308">
        <v>0</v>
      </c>
      <c r="F298" s="308">
        <v>0</v>
      </c>
      <c r="G298" s="308">
        <v>0</v>
      </c>
      <c r="H298" s="308">
        <v>0</v>
      </c>
      <c r="I298" s="308">
        <v>0</v>
      </c>
      <c r="J298" s="308">
        <v>1</v>
      </c>
      <c r="K298" s="307"/>
      <c r="L298" s="307" t="s">
        <v>688</v>
      </c>
      <c r="M298" s="309"/>
      <c r="N298" s="307" t="s">
        <v>1803</v>
      </c>
      <c r="O298" s="309"/>
      <c r="P298" s="307" t="s">
        <v>1819</v>
      </c>
      <c r="Q298" s="307" t="s">
        <v>1820</v>
      </c>
      <c r="R298" s="306" t="s">
        <v>899</v>
      </c>
      <c r="S298" s="307" t="s">
        <v>1821</v>
      </c>
      <c r="T298" s="307" t="s">
        <v>1822</v>
      </c>
      <c r="U298" s="307" t="s">
        <v>364</v>
      </c>
      <c r="V298" s="309"/>
      <c r="W298" s="307" t="s">
        <v>722</v>
      </c>
      <c r="X298" s="308">
        <v>10</v>
      </c>
    </row>
    <row r="299" spans="1:24" ht="114" customHeight="1" x14ac:dyDescent="0.2">
      <c r="A299" s="307" t="s">
        <v>342</v>
      </c>
      <c r="B299" s="307" t="s">
        <v>1823</v>
      </c>
      <c r="C299" s="308">
        <v>0</v>
      </c>
      <c r="D299" s="308">
        <v>0</v>
      </c>
      <c r="E299" s="308">
        <v>0</v>
      </c>
      <c r="F299" s="308">
        <v>0</v>
      </c>
      <c r="G299" s="308">
        <v>0</v>
      </c>
      <c r="H299" s="308">
        <v>0</v>
      </c>
      <c r="I299" s="308">
        <v>0</v>
      </c>
      <c r="J299" s="308">
        <v>1</v>
      </c>
      <c r="K299" s="307"/>
      <c r="L299" s="307" t="s">
        <v>688</v>
      </c>
      <c r="M299" s="309"/>
      <c r="N299" s="307" t="s">
        <v>1803</v>
      </c>
      <c r="O299" s="309"/>
      <c r="P299" s="307" t="s">
        <v>1824</v>
      </c>
      <c r="Q299" s="307" t="s">
        <v>1824</v>
      </c>
      <c r="R299" s="306" t="s">
        <v>899</v>
      </c>
      <c r="S299" s="307" t="s">
        <v>1825</v>
      </c>
      <c r="T299" s="307" t="s">
        <v>1826</v>
      </c>
      <c r="U299" s="307" t="s">
        <v>355</v>
      </c>
      <c r="V299" s="309"/>
      <c r="W299" s="307" t="s">
        <v>731</v>
      </c>
      <c r="X299" s="308">
        <v>5</v>
      </c>
    </row>
    <row r="300" spans="1:24" ht="156.75" customHeight="1" x14ac:dyDescent="0.2">
      <c r="A300" s="307" t="s">
        <v>343</v>
      </c>
      <c r="B300" s="307" t="s">
        <v>1827</v>
      </c>
      <c r="C300" s="308">
        <v>0</v>
      </c>
      <c r="D300" s="308">
        <v>0</v>
      </c>
      <c r="E300" s="308">
        <v>0</v>
      </c>
      <c r="F300" s="308">
        <v>0</v>
      </c>
      <c r="G300" s="308">
        <v>0</v>
      </c>
      <c r="H300" s="308">
        <v>0</v>
      </c>
      <c r="I300" s="308">
        <v>0</v>
      </c>
      <c r="J300" s="308">
        <v>1</v>
      </c>
      <c r="K300" s="307"/>
      <c r="L300" s="307" t="s">
        <v>688</v>
      </c>
      <c r="M300" s="309"/>
      <c r="N300" s="307" t="s">
        <v>1803</v>
      </c>
      <c r="O300" s="307" t="s">
        <v>1828</v>
      </c>
      <c r="P300" s="307" t="s">
        <v>1828</v>
      </c>
      <c r="Q300" s="307" t="s">
        <v>1828</v>
      </c>
      <c r="R300" s="306" t="s">
        <v>899</v>
      </c>
      <c r="S300" s="307" t="s">
        <v>1829</v>
      </c>
      <c r="T300" s="309"/>
      <c r="U300" s="307" t="s">
        <v>364</v>
      </c>
      <c r="V300" s="309"/>
      <c r="W300" s="307" t="s">
        <v>731</v>
      </c>
      <c r="X300" s="308">
        <v>5</v>
      </c>
    </row>
    <row r="301" spans="1:24" ht="213.75" customHeight="1" x14ac:dyDescent="0.15">
      <c r="A301" s="307" t="s">
        <v>344</v>
      </c>
      <c r="B301" s="307" t="s">
        <v>1830</v>
      </c>
      <c r="C301" s="308">
        <v>0</v>
      </c>
      <c r="D301" s="308">
        <v>0</v>
      </c>
      <c r="E301" s="308">
        <v>0</v>
      </c>
      <c r="F301" s="308">
        <v>0</v>
      </c>
      <c r="G301" s="308">
        <v>0</v>
      </c>
      <c r="H301" s="308">
        <v>0</v>
      </c>
      <c r="I301" s="308">
        <v>0</v>
      </c>
      <c r="J301" s="308">
        <v>1</v>
      </c>
      <c r="K301" s="307"/>
      <c r="L301" s="307" t="s">
        <v>688</v>
      </c>
      <c r="M301" s="309"/>
      <c r="N301" s="307" t="s">
        <v>1803</v>
      </c>
      <c r="O301" s="309"/>
      <c r="P301" s="307" t="s">
        <v>1713</v>
      </c>
      <c r="Q301" s="307" t="s">
        <v>1831</v>
      </c>
      <c r="R301" s="306" t="s">
        <v>899</v>
      </c>
      <c r="S301" s="311" t="s">
        <v>1832</v>
      </c>
      <c r="T301" s="309"/>
      <c r="U301" s="307" t="s">
        <v>355</v>
      </c>
      <c r="V301" s="309"/>
      <c r="W301" s="307" t="s">
        <v>731</v>
      </c>
      <c r="X301" s="308">
        <v>5</v>
      </c>
    </row>
    <row r="302" spans="1:24" ht="89.25" customHeight="1" x14ac:dyDescent="0.2">
      <c r="A302" s="307" t="s">
        <v>345</v>
      </c>
      <c r="B302" s="307" t="s">
        <v>1833</v>
      </c>
      <c r="C302" s="308">
        <v>0</v>
      </c>
      <c r="D302" s="308">
        <v>0</v>
      </c>
      <c r="E302" s="308">
        <v>0</v>
      </c>
      <c r="F302" s="308">
        <v>0</v>
      </c>
      <c r="G302" s="308">
        <v>0</v>
      </c>
      <c r="H302" s="308">
        <v>0</v>
      </c>
      <c r="I302" s="308">
        <v>0</v>
      </c>
      <c r="J302" s="308">
        <v>1</v>
      </c>
      <c r="K302" s="307"/>
      <c r="L302" s="307" t="s">
        <v>688</v>
      </c>
      <c r="M302" s="309"/>
      <c r="N302" s="307" t="s">
        <v>1803</v>
      </c>
      <c r="O302" s="309"/>
      <c r="P302" s="307" t="s">
        <v>1713</v>
      </c>
      <c r="Q302" s="307" t="s">
        <v>1834</v>
      </c>
      <c r="R302" s="306" t="s">
        <v>899</v>
      </c>
      <c r="S302" s="309" t="s">
        <v>1835</v>
      </c>
      <c r="T302" s="309" t="s">
        <v>1836</v>
      </c>
      <c r="U302" s="307" t="s">
        <v>355</v>
      </c>
      <c r="V302" s="309"/>
      <c r="W302" s="307" t="s">
        <v>731</v>
      </c>
      <c r="X302" s="308">
        <v>5</v>
      </c>
    </row>
    <row r="303" spans="1:24" ht="114" customHeight="1" x14ac:dyDescent="0.2">
      <c r="A303" s="215" t="s">
        <v>250</v>
      </c>
      <c r="B303" s="306" t="s">
        <v>1837</v>
      </c>
      <c r="C303" s="306">
        <v>0</v>
      </c>
      <c r="D303" s="306">
        <v>0</v>
      </c>
      <c r="E303" s="306">
        <v>0</v>
      </c>
      <c r="F303" s="306">
        <v>0</v>
      </c>
      <c r="G303" s="306">
        <v>0</v>
      </c>
      <c r="H303" s="306">
        <v>0</v>
      </c>
      <c r="I303" s="306">
        <v>1</v>
      </c>
      <c r="J303" s="306">
        <v>0</v>
      </c>
      <c r="K303" s="306" t="s">
        <v>702</v>
      </c>
      <c r="L303" s="306" t="s">
        <v>704</v>
      </c>
      <c r="M303" s="306"/>
      <c r="N303" s="306" t="s">
        <v>1803</v>
      </c>
      <c r="O303" s="306" t="s">
        <v>1838</v>
      </c>
      <c r="P303" s="306" t="s">
        <v>1839</v>
      </c>
      <c r="Q303" s="306" t="s">
        <v>1840</v>
      </c>
      <c r="S303" s="306"/>
      <c r="T303" s="306"/>
      <c r="U303" s="306" t="s">
        <v>704</v>
      </c>
      <c r="V303" s="306"/>
      <c r="W303" s="306"/>
      <c r="X303" s="306"/>
    </row>
    <row r="304" spans="1:24" ht="99.75" customHeight="1" x14ac:dyDescent="0.2">
      <c r="A304" s="215" t="s">
        <v>251</v>
      </c>
      <c r="B304" s="306" t="s">
        <v>1841</v>
      </c>
      <c r="C304" s="306">
        <v>0</v>
      </c>
      <c r="D304" s="306">
        <v>0</v>
      </c>
      <c r="E304" s="306">
        <v>0</v>
      </c>
      <c r="F304" s="306">
        <v>0</v>
      </c>
      <c r="G304" s="306">
        <v>0</v>
      </c>
      <c r="H304" s="306">
        <v>0</v>
      </c>
      <c r="I304" s="306">
        <v>1</v>
      </c>
      <c r="J304" s="306">
        <v>0</v>
      </c>
      <c r="K304" s="306" t="s">
        <v>702</v>
      </c>
      <c r="L304" s="306" t="s">
        <v>704</v>
      </c>
      <c r="M304" s="306"/>
      <c r="N304" s="306" t="s">
        <v>1803</v>
      </c>
      <c r="O304" s="306" t="s">
        <v>1842</v>
      </c>
      <c r="P304" s="306" t="s">
        <v>1843</v>
      </c>
      <c r="Q304" s="306" t="s">
        <v>1844</v>
      </c>
      <c r="S304" s="306"/>
      <c r="T304" s="306"/>
      <c r="U304" s="306" t="s">
        <v>704</v>
      </c>
      <c r="V304" s="306"/>
      <c r="W304" s="306"/>
      <c r="X304" s="306"/>
    </row>
    <row r="305" spans="1:24" ht="114" customHeight="1" x14ac:dyDescent="0.2">
      <c r="A305" s="318" t="s">
        <v>252</v>
      </c>
      <c r="B305" s="317" t="s">
        <v>1845</v>
      </c>
      <c r="C305" s="306">
        <v>0</v>
      </c>
      <c r="D305" s="306">
        <v>0</v>
      </c>
      <c r="E305" s="306">
        <v>0</v>
      </c>
      <c r="F305" s="306">
        <v>0</v>
      </c>
      <c r="G305" s="306">
        <v>0</v>
      </c>
      <c r="H305" s="306">
        <v>0</v>
      </c>
      <c r="I305" s="306">
        <v>1</v>
      </c>
      <c r="J305" s="306">
        <v>0</v>
      </c>
      <c r="K305" s="306"/>
      <c r="L305" s="306" t="s">
        <v>687</v>
      </c>
      <c r="M305" s="306"/>
      <c r="N305" s="306" t="s">
        <v>1803</v>
      </c>
      <c r="O305" s="306" t="s">
        <v>1846</v>
      </c>
      <c r="P305" s="306" t="s">
        <v>1847</v>
      </c>
      <c r="Q305" s="306" t="s">
        <v>1848</v>
      </c>
      <c r="R305" s="306"/>
      <c r="S305" s="306" t="s">
        <v>1849</v>
      </c>
      <c r="T305" s="306" t="s">
        <v>1850</v>
      </c>
      <c r="U305" s="306" t="s">
        <v>355</v>
      </c>
      <c r="V305" s="306"/>
      <c r="W305" s="306" t="s">
        <v>773</v>
      </c>
      <c r="X305" s="306">
        <f>IF($W305="Critical Importance",20,IF($W305="Minor Importance",5,10))</f>
        <v>20</v>
      </c>
    </row>
    <row r="306" spans="1:24" ht="85.5" customHeight="1" x14ac:dyDescent="0.2">
      <c r="A306" s="318" t="s">
        <v>253</v>
      </c>
      <c r="B306" s="317" t="s">
        <v>1851</v>
      </c>
      <c r="C306" s="306">
        <v>0</v>
      </c>
      <c r="D306" s="306">
        <v>0</v>
      </c>
      <c r="E306" s="306">
        <v>0</v>
      </c>
      <c r="F306" s="306">
        <v>0</v>
      </c>
      <c r="G306" s="306">
        <v>0</v>
      </c>
      <c r="H306" s="306">
        <v>0</v>
      </c>
      <c r="I306" s="306">
        <v>1</v>
      </c>
      <c r="J306" s="306">
        <v>0</v>
      </c>
      <c r="K306" s="306"/>
      <c r="L306" s="306" t="s">
        <v>687</v>
      </c>
      <c r="M306" s="306"/>
      <c r="N306" s="306" t="s">
        <v>1803</v>
      </c>
      <c r="O306" s="306"/>
      <c r="P306" s="306" t="s">
        <v>1852</v>
      </c>
      <c r="Q306" s="306" t="s">
        <v>1853</v>
      </c>
      <c r="R306" s="306" t="s">
        <v>1854</v>
      </c>
      <c r="S306" s="306" t="s">
        <v>1855</v>
      </c>
      <c r="T306" s="306" t="s">
        <v>1856</v>
      </c>
      <c r="U306" s="306" t="s">
        <v>355</v>
      </c>
      <c r="V306" s="306"/>
      <c r="W306" s="306" t="s">
        <v>773</v>
      </c>
      <c r="X306" s="306">
        <f>IF($W306="Critical Importance",20,IF($W306="Minor Importance",5,10))</f>
        <v>20</v>
      </c>
    </row>
    <row r="307" spans="1:24" ht="128.25" customHeight="1" x14ac:dyDescent="0.2">
      <c r="A307" s="318" t="s">
        <v>254</v>
      </c>
      <c r="B307" s="317" t="s">
        <v>1857</v>
      </c>
      <c r="C307" s="306">
        <v>0</v>
      </c>
      <c r="D307" s="306">
        <v>0</v>
      </c>
      <c r="E307" s="306">
        <v>0</v>
      </c>
      <c r="F307" s="306">
        <v>0</v>
      </c>
      <c r="G307" s="306">
        <v>0</v>
      </c>
      <c r="H307" s="306">
        <v>0</v>
      </c>
      <c r="I307" s="306">
        <v>1</v>
      </c>
      <c r="J307" s="306">
        <v>0</v>
      </c>
      <c r="K307" s="306"/>
      <c r="L307" s="306" t="s">
        <v>687</v>
      </c>
      <c r="M307" s="306"/>
      <c r="N307" s="306" t="s">
        <v>1803</v>
      </c>
      <c r="O307" s="306"/>
      <c r="P307" s="306" t="s">
        <v>1858</v>
      </c>
      <c r="Q307" s="306" t="s">
        <v>1859</v>
      </c>
      <c r="R307" s="306"/>
      <c r="S307" s="306" t="s">
        <v>1860</v>
      </c>
      <c r="T307" s="306" t="s">
        <v>1861</v>
      </c>
      <c r="U307" s="306" t="s">
        <v>355</v>
      </c>
      <c r="V307" s="306"/>
      <c r="W307" s="306" t="s">
        <v>773</v>
      </c>
      <c r="X307" s="306">
        <f>IF($W307="Critical Importance",20,IF($W307="Minor Importance",5,10))</f>
        <v>20</v>
      </c>
    </row>
    <row r="308" spans="1:24" ht="156.75" customHeight="1" x14ac:dyDescent="0.2">
      <c r="A308" s="215" t="s">
        <v>255</v>
      </c>
      <c r="B308" s="306" t="s">
        <v>1862</v>
      </c>
      <c r="C308" s="306">
        <v>0</v>
      </c>
      <c r="D308" s="306">
        <v>0</v>
      </c>
      <c r="E308" s="306">
        <v>0</v>
      </c>
      <c r="F308" s="306">
        <v>0</v>
      </c>
      <c r="G308" s="306">
        <v>0</v>
      </c>
      <c r="H308" s="306">
        <v>0</v>
      </c>
      <c r="I308" s="306">
        <v>1</v>
      </c>
      <c r="J308" s="306">
        <v>0</v>
      </c>
      <c r="K308" s="306"/>
      <c r="L308" s="306" t="s">
        <v>704</v>
      </c>
      <c r="M308" s="306"/>
      <c r="N308" s="306" t="s">
        <v>1803</v>
      </c>
      <c r="O308" s="306" t="s">
        <v>1863</v>
      </c>
      <c r="P308" s="306"/>
      <c r="Q308" s="306"/>
      <c r="R308" s="306"/>
      <c r="S308" s="306" t="s">
        <v>1864</v>
      </c>
      <c r="T308" s="306" t="s">
        <v>1865</v>
      </c>
      <c r="U308" s="306" t="s">
        <v>704</v>
      </c>
      <c r="V308" s="306"/>
      <c r="W308" s="306"/>
      <c r="X308" s="306"/>
    </row>
    <row r="309" spans="1:24" ht="114" customHeight="1" x14ac:dyDescent="0.2">
      <c r="A309" s="215" t="s">
        <v>256</v>
      </c>
      <c r="B309" s="306" t="s">
        <v>1866</v>
      </c>
      <c r="C309" s="306">
        <v>0</v>
      </c>
      <c r="D309" s="306">
        <v>0</v>
      </c>
      <c r="E309" s="306">
        <v>0</v>
      </c>
      <c r="F309" s="306">
        <v>0</v>
      </c>
      <c r="G309" s="306">
        <v>0</v>
      </c>
      <c r="H309" s="306">
        <v>0</v>
      </c>
      <c r="I309" s="306">
        <v>1</v>
      </c>
      <c r="J309" s="306">
        <v>0</v>
      </c>
      <c r="K309" s="306"/>
      <c r="L309" s="306" t="s">
        <v>687</v>
      </c>
      <c r="M309" s="306"/>
      <c r="N309" s="306" t="s">
        <v>1803</v>
      </c>
      <c r="O309" s="306"/>
      <c r="P309" s="306" t="s">
        <v>1867</v>
      </c>
      <c r="Q309" s="306" t="s">
        <v>1868</v>
      </c>
      <c r="R309" s="306"/>
      <c r="S309" s="306" t="s">
        <v>1869</v>
      </c>
      <c r="T309" s="306" t="s">
        <v>1870</v>
      </c>
      <c r="U309" s="306" t="s">
        <v>355</v>
      </c>
      <c r="V309" s="306"/>
      <c r="W309" s="306" t="s">
        <v>722</v>
      </c>
      <c r="X309" s="306">
        <f t="shared" ref="X309:X317" si="8">IF($W309="Critical Importance",20,IF($W309="Minor Importance",5,10))</f>
        <v>10</v>
      </c>
    </row>
    <row r="310" spans="1:24" ht="128.25" customHeight="1" x14ac:dyDescent="0.2">
      <c r="A310" s="318" t="s">
        <v>257</v>
      </c>
      <c r="B310" s="317" t="s">
        <v>1871</v>
      </c>
      <c r="C310" s="306">
        <v>0</v>
      </c>
      <c r="D310" s="306">
        <v>0</v>
      </c>
      <c r="E310" s="306">
        <v>0</v>
      </c>
      <c r="F310" s="306">
        <v>0</v>
      </c>
      <c r="G310" s="306">
        <v>0</v>
      </c>
      <c r="H310" s="306">
        <v>0</v>
      </c>
      <c r="I310" s="306">
        <v>1</v>
      </c>
      <c r="J310" s="306">
        <v>0</v>
      </c>
      <c r="K310" s="306"/>
      <c r="L310" s="306" t="s">
        <v>687</v>
      </c>
      <c r="M310" s="306"/>
      <c r="N310" s="306" t="s">
        <v>1803</v>
      </c>
      <c r="O310" s="306"/>
      <c r="P310" s="306" t="s">
        <v>1872</v>
      </c>
      <c r="Q310" s="306"/>
      <c r="R310" s="306"/>
      <c r="S310" s="306" t="s">
        <v>1873</v>
      </c>
      <c r="T310" s="306" t="s">
        <v>1874</v>
      </c>
      <c r="U310" s="306" t="s">
        <v>355</v>
      </c>
      <c r="V310" s="306"/>
      <c r="W310" s="306" t="s">
        <v>773</v>
      </c>
      <c r="X310" s="306">
        <f t="shared" si="8"/>
        <v>20</v>
      </c>
    </row>
    <row r="311" spans="1:24" ht="171" customHeight="1" x14ac:dyDescent="0.2">
      <c r="A311" s="318" t="s">
        <v>258</v>
      </c>
      <c r="B311" s="317" t="s">
        <v>1875</v>
      </c>
      <c r="C311" s="306">
        <v>0</v>
      </c>
      <c r="D311" s="306">
        <v>0</v>
      </c>
      <c r="E311" s="306">
        <v>0</v>
      </c>
      <c r="F311" s="306">
        <v>0</v>
      </c>
      <c r="G311" s="306">
        <v>0</v>
      </c>
      <c r="H311" s="306">
        <v>0</v>
      </c>
      <c r="I311" s="306">
        <v>1</v>
      </c>
      <c r="J311" s="306">
        <v>0</v>
      </c>
      <c r="K311" s="306"/>
      <c r="L311" s="306" t="s">
        <v>687</v>
      </c>
      <c r="M311" s="306"/>
      <c r="N311" s="306" t="s">
        <v>1803</v>
      </c>
      <c r="O311" s="306"/>
      <c r="P311" s="306" t="s">
        <v>1876</v>
      </c>
      <c r="Q311" s="306" t="s">
        <v>1877</v>
      </c>
      <c r="R311" s="306"/>
      <c r="S311" s="306" t="s">
        <v>1878</v>
      </c>
      <c r="T311" s="306" t="s">
        <v>1879</v>
      </c>
      <c r="U311" s="306" t="s">
        <v>355</v>
      </c>
      <c r="V311" s="306"/>
      <c r="W311" s="306" t="s">
        <v>773</v>
      </c>
      <c r="X311" s="306">
        <f t="shared" si="8"/>
        <v>20</v>
      </c>
    </row>
    <row r="312" spans="1:24" ht="199.5" customHeight="1" x14ac:dyDescent="0.2">
      <c r="A312" s="318" t="s">
        <v>259</v>
      </c>
      <c r="B312" s="317" t="s">
        <v>1880</v>
      </c>
      <c r="C312" s="306">
        <v>0</v>
      </c>
      <c r="D312" s="306">
        <v>0</v>
      </c>
      <c r="E312" s="306">
        <v>0</v>
      </c>
      <c r="F312" s="306">
        <v>0</v>
      </c>
      <c r="G312" s="306">
        <v>0</v>
      </c>
      <c r="H312" s="306">
        <v>0</v>
      </c>
      <c r="I312" s="306">
        <v>1</v>
      </c>
      <c r="J312" s="306">
        <v>0</v>
      </c>
      <c r="K312" s="306"/>
      <c r="L312" s="306" t="s">
        <v>687</v>
      </c>
      <c r="M312" s="306"/>
      <c r="N312" s="306" t="s">
        <v>1803</v>
      </c>
      <c r="O312" s="306"/>
      <c r="P312" s="306" t="s">
        <v>1881</v>
      </c>
      <c r="Q312" s="306" t="s">
        <v>1882</v>
      </c>
      <c r="R312" s="306"/>
      <c r="S312" s="306" t="s">
        <v>1883</v>
      </c>
      <c r="T312" s="306" t="s">
        <v>1884</v>
      </c>
      <c r="U312" s="306" t="s">
        <v>355</v>
      </c>
      <c r="V312" s="306"/>
      <c r="W312" s="306" t="s">
        <v>773</v>
      </c>
      <c r="X312" s="306">
        <f t="shared" si="8"/>
        <v>20</v>
      </c>
    </row>
    <row r="313" spans="1:24" ht="99.75" customHeight="1" x14ac:dyDescent="0.2">
      <c r="A313" s="318" t="s">
        <v>260</v>
      </c>
      <c r="B313" s="317" t="s">
        <v>1885</v>
      </c>
      <c r="C313" s="306">
        <v>0</v>
      </c>
      <c r="D313" s="306">
        <v>0</v>
      </c>
      <c r="E313" s="306">
        <v>0</v>
      </c>
      <c r="F313" s="306">
        <v>0</v>
      </c>
      <c r="G313" s="306">
        <v>0</v>
      </c>
      <c r="H313" s="306">
        <v>0</v>
      </c>
      <c r="I313" s="306">
        <v>1</v>
      </c>
      <c r="J313" s="306">
        <v>0</v>
      </c>
      <c r="K313" s="306"/>
      <c r="L313" s="306" t="s">
        <v>687</v>
      </c>
      <c r="M313" s="306"/>
      <c r="N313" s="306" t="s">
        <v>1803</v>
      </c>
      <c r="O313" s="306"/>
      <c r="P313" s="306" t="s">
        <v>1886</v>
      </c>
      <c r="Q313" s="306" t="s">
        <v>1887</v>
      </c>
      <c r="R313" s="306" t="s">
        <v>899</v>
      </c>
      <c r="S313" s="306" t="s">
        <v>1888</v>
      </c>
      <c r="T313" s="306"/>
      <c r="U313" s="306" t="s">
        <v>355</v>
      </c>
      <c r="V313" s="306"/>
      <c r="W313" s="306" t="s">
        <v>773</v>
      </c>
      <c r="X313" s="306">
        <f t="shared" si="8"/>
        <v>20</v>
      </c>
    </row>
    <row r="314" spans="1:24" ht="185.25" customHeight="1" x14ac:dyDescent="0.2">
      <c r="A314" s="215" t="s">
        <v>261</v>
      </c>
      <c r="B314" s="306" t="s">
        <v>1889</v>
      </c>
      <c r="C314" s="306">
        <v>0</v>
      </c>
      <c r="D314" s="306">
        <v>0</v>
      </c>
      <c r="E314" s="306">
        <v>0</v>
      </c>
      <c r="F314" s="306">
        <v>0</v>
      </c>
      <c r="G314" s="306">
        <v>0</v>
      </c>
      <c r="H314" s="306">
        <v>0</v>
      </c>
      <c r="I314" s="306">
        <v>1</v>
      </c>
      <c r="J314" s="306">
        <v>0</v>
      </c>
      <c r="K314" s="306"/>
      <c r="L314" s="306" t="s">
        <v>687</v>
      </c>
      <c r="M314" s="306"/>
      <c r="N314" s="306" t="s">
        <v>1803</v>
      </c>
      <c r="O314" s="306" t="s">
        <v>1890</v>
      </c>
      <c r="P314" s="306" t="s">
        <v>1891</v>
      </c>
      <c r="Q314" s="306"/>
      <c r="R314" s="306"/>
      <c r="S314" s="306" t="s">
        <v>1892</v>
      </c>
      <c r="T314" s="306" t="s">
        <v>1893</v>
      </c>
      <c r="U314" s="306" t="s">
        <v>355</v>
      </c>
      <c r="V314" s="306"/>
      <c r="W314" s="306" t="s">
        <v>731</v>
      </c>
      <c r="X314" s="306">
        <f t="shared" si="8"/>
        <v>5</v>
      </c>
    </row>
    <row r="315" spans="1:24" ht="285" customHeight="1" x14ac:dyDescent="0.2">
      <c r="A315" s="318" t="s">
        <v>262</v>
      </c>
      <c r="B315" s="317" t="s">
        <v>1894</v>
      </c>
      <c r="C315" s="306">
        <v>0</v>
      </c>
      <c r="D315" s="306">
        <v>0</v>
      </c>
      <c r="E315" s="306">
        <v>0</v>
      </c>
      <c r="F315" s="306">
        <v>0</v>
      </c>
      <c r="G315" s="306">
        <v>0</v>
      </c>
      <c r="H315" s="306">
        <v>0</v>
      </c>
      <c r="I315" s="306">
        <v>1</v>
      </c>
      <c r="J315" s="306">
        <v>0</v>
      </c>
      <c r="K315" s="306"/>
      <c r="L315" s="306" t="s">
        <v>687</v>
      </c>
      <c r="M315" s="306"/>
      <c r="N315" s="306" t="s">
        <v>1803</v>
      </c>
      <c r="O315" s="306" t="s">
        <v>1895</v>
      </c>
      <c r="P315" s="306" t="s">
        <v>1896</v>
      </c>
      <c r="Q315" s="306" t="s">
        <v>1897</v>
      </c>
      <c r="R315" s="306"/>
      <c r="S315" s="306" t="s">
        <v>1898</v>
      </c>
      <c r="T315" s="306" t="s">
        <v>1899</v>
      </c>
      <c r="U315" s="306" t="s">
        <v>355</v>
      </c>
      <c r="V315" s="306"/>
      <c r="W315" s="306" t="s">
        <v>773</v>
      </c>
      <c r="X315" s="306">
        <f t="shared" si="8"/>
        <v>20</v>
      </c>
    </row>
    <row r="316" spans="1:24" ht="299.25" customHeight="1" x14ac:dyDescent="0.2">
      <c r="A316" s="318" t="s">
        <v>263</v>
      </c>
      <c r="B316" s="317" t="s">
        <v>1900</v>
      </c>
      <c r="C316" s="306">
        <v>0</v>
      </c>
      <c r="D316" s="306">
        <v>0</v>
      </c>
      <c r="E316" s="306">
        <v>0</v>
      </c>
      <c r="F316" s="306">
        <v>0</v>
      </c>
      <c r="G316" s="306">
        <v>0</v>
      </c>
      <c r="H316" s="306">
        <v>0</v>
      </c>
      <c r="I316" s="306">
        <v>1</v>
      </c>
      <c r="J316" s="306">
        <v>0</v>
      </c>
      <c r="K316" s="306"/>
      <c r="L316" s="306" t="s">
        <v>687</v>
      </c>
      <c r="M316" s="306"/>
      <c r="N316" s="306" t="s">
        <v>1803</v>
      </c>
      <c r="O316" s="306" t="s">
        <v>1901</v>
      </c>
      <c r="P316" s="306" t="s">
        <v>1902</v>
      </c>
      <c r="Q316" s="306" t="s">
        <v>1903</v>
      </c>
      <c r="R316" s="306"/>
      <c r="S316" s="306" t="s">
        <v>1904</v>
      </c>
      <c r="T316" s="306" t="s">
        <v>1905</v>
      </c>
      <c r="U316" s="306" t="s">
        <v>364</v>
      </c>
      <c r="V316" s="306"/>
      <c r="W316" s="306" t="s">
        <v>773</v>
      </c>
      <c r="X316" s="306">
        <f t="shared" si="8"/>
        <v>20</v>
      </c>
    </row>
    <row r="317" spans="1:24" ht="213.75" customHeight="1" x14ac:dyDescent="0.2">
      <c r="A317" s="318" t="s">
        <v>264</v>
      </c>
      <c r="B317" s="317" t="s">
        <v>1906</v>
      </c>
      <c r="C317" s="306">
        <v>0</v>
      </c>
      <c r="D317" s="306">
        <v>0</v>
      </c>
      <c r="E317" s="306">
        <v>0</v>
      </c>
      <c r="F317" s="306">
        <v>0</v>
      </c>
      <c r="G317" s="306">
        <v>0</v>
      </c>
      <c r="H317" s="306">
        <v>0</v>
      </c>
      <c r="I317" s="306">
        <v>1</v>
      </c>
      <c r="J317" s="306">
        <v>0</v>
      </c>
      <c r="K317" s="306"/>
      <c r="L317" s="306" t="s">
        <v>687</v>
      </c>
      <c r="M317" s="306"/>
      <c r="N317" s="306" t="s">
        <v>1803</v>
      </c>
      <c r="O317" s="306" t="s">
        <v>1907</v>
      </c>
      <c r="P317" s="306" t="s">
        <v>1908</v>
      </c>
      <c r="Q317" s="306" t="s">
        <v>1909</v>
      </c>
      <c r="R317" s="306"/>
      <c r="S317" s="306" t="s">
        <v>1910</v>
      </c>
      <c r="T317" s="306" t="s">
        <v>1911</v>
      </c>
      <c r="U317" s="306" t="s">
        <v>355</v>
      </c>
      <c r="V317" s="306"/>
      <c r="W317" s="306" t="s">
        <v>773</v>
      </c>
      <c r="X317" s="306">
        <f t="shared" si="8"/>
        <v>20</v>
      </c>
    </row>
    <row r="318" spans="1:24" ht="213.75" customHeight="1" x14ac:dyDescent="0.2">
      <c r="A318" s="215" t="s">
        <v>265</v>
      </c>
      <c r="B318" s="306" t="s">
        <v>1912</v>
      </c>
      <c r="C318" s="306">
        <v>0</v>
      </c>
      <c r="D318" s="306">
        <v>0</v>
      </c>
      <c r="E318" s="306">
        <v>0</v>
      </c>
      <c r="F318" s="306">
        <v>0</v>
      </c>
      <c r="G318" s="306">
        <v>0</v>
      </c>
      <c r="H318" s="306">
        <v>0</v>
      </c>
      <c r="I318" s="306">
        <v>1</v>
      </c>
      <c r="J318" s="306">
        <v>0</v>
      </c>
      <c r="K318" s="306"/>
      <c r="L318" s="306" t="s">
        <v>704</v>
      </c>
      <c r="M318" s="306"/>
      <c r="N318" s="306" t="s">
        <v>1803</v>
      </c>
      <c r="O318" s="306" t="s">
        <v>1913</v>
      </c>
      <c r="P318" s="306"/>
      <c r="Q318" s="306"/>
      <c r="R318" s="306"/>
      <c r="S318" s="306" t="s">
        <v>1914</v>
      </c>
      <c r="T318" s="306" t="s">
        <v>1915</v>
      </c>
      <c r="U318" s="306" t="s">
        <v>704</v>
      </c>
      <c r="V318" s="306"/>
      <c r="W318" s="306"/>
      <c r="X318" s="306"/>
    </row>
    <row r="319" spans="1:24" ht="242.25" customHeight="1" x14ac:dyDescent="0.2">
      <c r="A319" s="215" t="s">
        <v>266</v>
      </c>
      <c r="B319" s="306" t="s">
        <v>1916</v>
      </c>
      <c r="C319" s="306">
        <v>0</v>
      </c>
      <c r="D319" s="306">
        <v>0</v>
      </c>
      <c r="E319" s="306">
        <v>0</v>
      </c>
      <c r="F319" s="306">
        <v>0</v>
      </c>
      <c r="G319" s="306">
        <v>0</v>
      </c>
      <c r="H319" s="306">
        <v>0</v>
      </c>
      <c r="I319" s="306">
        <v>1</v>
      </c>
      <c r="J319" s="306">
        <v>0</v>
      </c>
      <c r="K319" s="306"/>
      <c r="L319" s="306" t="s">
        <v>687</v>
      </c>
      <c r="M319" s="306"/>
      <c r="N319" s="306" t="s">
        <v>1803</v>
      </c>
      <c r="O319" s="306"/>
      <c r="P319" s="306" t="s">
        <v>1917</v>
      </c>
      <c r="Q319" s="306" t="s">
        <v>1918</v>
      </c>
      <c r="R319" s="306"/>
      <c r="S319" s="306" t="s">
        <v>1919</v>
      </c>
      <c r="T319" s="306" t="s">
        <v>1920</v>
      </c>
      <c r="U319" s="306" t="s">
        <v>355</v>
      </c>
      <c r="V319" s="306"/>
      <c r="W319" s="306" t="s">
        <v>722</v>
      </c>
      <c r="X319" s="306">
        <f t="shared" ref="X319:X334" si="9">IF($W319="Critical Importance",20,IF($W319="Minor Importance",5,10))</f>
        <v>10</v>
      </c>
    </row>
    <row r="320" spans="1:24" ht="342" customHeight="1" x14ac:dyDescent="0.2">
      <c r="A320" s="318" t="s">
        <v>267</v>
      </c>
      <c r="B320" s="317" t="s">
        <v>1921</v>
      </c>
      <c r="C320" s="306">
        <v>0</v>
      </c>
      <c r="D320" s="306">
        <v>0</v>
      </c>
      <c r="E320" s="306">
        <v>0</v>
      </c>
      <c r="F320" s="306">
        <v>0</v>
      </c>
      <c r="G320" s="306">
        <v>0</v>
      </c>
      <c r="H320" s="306">
        <v>0</v>
      </c>
      <c r="I320" s="306">
        <v>1</v>
      </c>
      <c r="J320" s="306">
        <v>0</v>
      </c>
      <c r="K320" s="306"/>
      <c r="L320" s="306" t="s">
        <v>687</v>
      </c>
      <c r="M320" s="306"/>
      <c r="N320" s="306" t="s">
        <v>1922</v>
      </c>
      <c r="O320" s="306" t="s">
        <v>1923</v>
      </c>
      <c r="P320" s="306" t="s">
        <v>1924</v>
      </c>
      <c r="Q320" s="306" t="s">
        <v>1925</v>
      </c>
      <c r="R320" s="306"/>
      <c r="S320" s="306" t="s">
        <v>1926</v>
      </c>
      <c r="T320" s="306" t="s">
        <v>1927</v>
      </c>
      <c r="U320" s="306" t="s">
        <v>355</v>
      </c>
      <c r="V320" s="306"/>
      <c r="W320" s="306" t="s">
        <v>773</v>
      </c>
      <c r="X320" s="306">
        <f t="shared" si="9"/>
        <v>20</v>
      </c>
    </row>
    <row r="321" spans="1:24" ht="128.25" customHeight="1" x14ac:dyDescent="0.2">
      <c r="A321" s="318" t="s">
        <v>268</v>
      </c>
      <c r="B321" s="317" t="s">
        <v>1928</v>
      </c>
      <c r="C321" s="306">
        <v>0</v>
      </c>
      <c r="D321" s="306">
        <v>0</v>
      </c>
      <c r="E321" s="306">
        <v>0</v>
      </c>
      <c r="F321" s="306">
        <v>0</v>
      </c>
      <c r="G321" s="306">
        <v>0</v>
      </c>
      <c r="H321" s="306">
        <v>0</v>
      </c>
      <c r="I321" s="306">
        <v>1</v>
      </c>
      <c r="J321" s="306">
        <v>0</v>
      </c>
      <c r="K321" s="306"/>
      <c r="L321" s="306" t="s">
        <v>687</v>
      </c>
      <c r="M321" s="306"/>
      <c r="N321" s="306" t="s">
        <v>1922</v>
      </c>
      <c r="O321" s="306"/>
      <c r="P321" s="306" t="s">
        <v>1929</v>
      </c>
      <c r="Q321" s="306" t="s">
        <v>1930</v>
      </c>
      <c r="R321" s="306"/>
      <c r="S321" s="306" t="s">
        <v>1931</v>
      </c>
      <c r="T321" s="306" t="s">
        <v>1932</v>
      </c>
      <c r="U321" s="306" t="s">
        <v>355</v>
      </c>
      <c r="V321" s="306"/>
      <c r="W321" s="306" t="s">
        <v>773</v>
      </c>
      <c r="X321" s="306">
        <f t="shared" si="9"/>
        <v>20</v>
      </c>
    </row>
    <row r="322" spans="1:24" ht="144.75" customHeight="1" x14ac:dyDescent="0.2">
      <c r="A322" s="215" t="s">
        <v>269</v>
      </c>
      <c r="B322" s="306" t="s">
        <v>1933</v>
      </c>
      <c r="C322" s="306">
        <v>0</v>
      </c>
      <c r="D322" s="306">
        <v>0</v>
      </c>
      <c r="E322" s="306">
        <v>0</v>
      </c>
      <c r="F322" s="306">
        <v>0</v>
      </c>
      <c r="G322" s="306">
        <v>0</v>
      </c>
      <c r="H322" s="306">
        <v>0</v>
      </c>
      <c r="I322" s="306">
        <v>1</v>
      </c>
      <c r="J322" s="306">
        <v>0</v>
      </c>
      <c r="K322" s="306"/>
      <c r="L322" s="306" t="s">
        <v>687</v>
      </c>
      <c r="M322" s="306"/>
      <c r="N322" s="306" t="s">
        <v>1922</v>
      </c>
      <c r="O322" s="306"/>
      <c r="P322" s="306" t="s">
        <v>1934</v>
      </c>
      <c r="Q322" s="306" t="s">
        <v>1935</v>
      </c>
      <c r="R322" s="306"/>
      <c r="S322" s="306" t="s">
        <v>1936</v>
      </c>
      <c r="T322" s="306" t="s">
        <v>1937</v>
      </c>
      <c r="U322" s="306" t="s">
        <v>355</v>
      </c>
      <c r="V322" s="306"/>
      <c r="W322" s="306" t="s">
        <v>722</v>
      </c>
      <c r="X322" s="306">
        <f t="shared" si="9"/>
        <v>10</v>
      </c>
    </row>
    <row r="323" spans="1:24" ht="90" customHeight="1" x14ac:dyDescent="0.2">
      <c r="A323" s="215" t="s">
        <v>270</v>
      </c>
      <c r="B323" s="306" t="s">
        <v>1938</v>
      </c>
      <c r="C323" s="306">
        <v>0</v>
      </c>
      <c r="D323" s="306">
        <v>0</v>
      </c>
      <c r="E323" s="306">
        <v>0</v>
      </c>
      <c r="F323" s="306">
        <v>0</v>
      </c>
      <c r="G323" s="306">
        <v>0</v>
      </c>
      <c r="H323" s="306">
        <v>0</v>
      </c>
      <c r="I323" s="306">
        <v>1</v>
      </c>
      <c r="J323" s="306">
        <v>0</v>
      </c>
      <c r="K323" s="306"/>
      <c r="L323" s="306" t="s">
        <v>687</v>
      </c>
      <c r="M323" s="306"/>
      <c r="N323" s="306" t="s">
        <v>1922</v>
      </c>
      <c r="O323" s="306"/>
      <c r="P323" s="306" t="s">
        <v>1939</v>
      </c>
      <c r="Q323" s="306" t="s">
        <v>1940</v>
      </c>
      <c r="R323" s="306"/>
      <c r="S323" s="306" t="s">
        <v>1941</v>
      </c>
      <c r="T323" s="306" t="s">
        <v>1942</v>
      </c>
      <c r="U323" s="306" t="s">
        <v>355</v>
      </c>
      <c r="V323" s="306"/>
      <c r="W323" s="306" t="s">
        <v>722</v>
      </c>
      <c r="X323" s="306">
        <f t="shared" si="9"/>
        <v>10</v>
      </c>
    </row>
    <row r="324" spans="1:24" ht="90" customHeight="1" x14ac:dyDescent="0.2">
      <c r="A324" s="215" t="s">
        <v>271</v>
      </c>
      <c r="B324" s="306" t="s">
        <v>1943</v>
      </c>
      <c r="C324" s="306">
        <v>0</v>
      </c>
      <c r="D324" s="306">
        <v>0</v>
      </c>
      <c r="E324" s="306">
        <v>0</v>
      </c>
      <c r="F324" s="306">
        <v>0</v>
      </c>
      <c r="G324" s="306">
        <v>0</v>
      </c>
      <c r="H324" s="306">
        <v>0</v>
      </c>
      <c r="I324" s="306">
        <v>1</v>
      </c>
      <c r="J324" s="306">
        <v>0</v>
      </c>
      <c r="K324" s="306"/>
      <c r="L324" s="306" t="s">
        <v>687</v>
      </c>
      <c r="M324" s="306"/>
      <c r="N324" s="306" t="s">
        <v>1922</v>
      </c>
      <c r="O324" s="306"/>
      <c r="P324" s="306" t="s">
        <v>1944</v>
      </c>
      <c r="Q324" s="306" t="s">
        <v>1945</v>
      </c>
      <c r="R324" s="306"/>
      <c r="S324" s="306" t="s">
        <v>1941</v>
      </c>
      <c r="T324" s="306"/>
      <c r="U324" s="306" t="s">
        <v>355</v>
      </c>
      <c r="V324" s="306"/>
      <c r="W324" s="306" t="s">
        <v>731</v>
      </c>
      <c r="X324" s="306">
        <f t="shared" si="9"/>
        <v>5</v>
      </c>
    </row>
    <row r="325" spans="1:24" ht="90" customHeight="1" x14ac:dyDescent="0.2">
      <c r="A325" s="215" t="s">
        <v>272</v>
      </c>
      <c r="B325" s="306" t="s">
        <v>1946</v>
      </c>
      <c r="C325" s="306">
        <v>0</v>
      </c>
      <c r="D325" s="306">
        <v>0</v>
      </c>
      <c r="E325" s="306">
        <v>0</v>
      </c>
      <c r="F325" s="306">
        <v>0</v>
      </c>
      <c r="G325" s="306">
        <v>0</v>
      </c>
      <c r="H325" s="306">
        <v>0</v>
      </c>
      <c r="I325" s="306">
        <v>1</v>
      </c>
      <c r="J325" s="306">
        <v>0</v>
      </c>
      <c r="K325" s="306"/>
      <c r="L325" s="306" t="s">
        <v>687</v>
      </c>
      <c r="M325" s="306"/>
      <c r="N325" s="306" t="s">
        <v>1922</v>
      </c>
      <c r="O325" s="306"/>
      <c r="P325" s="306" t="s">
        <v>1947</v>
      </c>
      <c r="Q325" s="306" t="s">
        <v>1948</v>
      </c>
      <c r="R325" s="306"/>
      <c r="S325" s="306" t="s">
        <v>1949</v>
      </c>
      <c r="T325" s="306" t="s">
        <v>1950</v>
      </c>
      <c r="U325" s="306" t="s">
        <v>355</v>
      </c>
      <c r="V325" s="306"/>
      <c r="W325" s="306" t="s">
        <v>731</v>
      </c>
      <c r="X325" s="306">
        <f t="shared" si="9"/>
        <v>5</v>
      </c>
    </row>
    <row r="326" spans="1:24" ht="114" customHeight="1" x14ac:dyDescent="0.2">
      <c r="A326" s="215" t="s">
        <v>273</v>
      </c>
      <c r="B326" s="306" t="s">
        <v>1951</v>
      </c>
      <c r="C326" s="306">
        <v>0</v>
      </c>
      <c r="D326" s="306">
        <v>0</v>
      </c>
      <c r="E326" s="306">
        <v>0</v>
      </c>
      <c r="F326" s="306">
        <v>0</v>
      </c>
      <c r="G326" s="306">
        <v>0</v>
      </c>
      <c r="H326" s="306">
        <v>0</v>
      </c>
      <c r="I326" s="306">
        <v>1</v>
      </c>
      <c r="J326" s="306">
        <v>0</v>
      </c>
      <c r="K326" s="306"/>
      <c r="L326" s="306" t="s">
        <v>687</v>
      </c>
      <c r="M326" s="306"/>
      <c r="N326" s="306" t="s">
        <v>1922</v>
      </c>
      <c r="O326" s="306"/>
      <c r="P326" s="306" t="s">
        <v>1952</v>
      </c>
      <c r="Q326" s="306" t="s">
        <v>1953</v>
      </c>
      <c r="R326" s="306"/>
      <c r="S326" s="306" t="s">
        <v>1954</v>
      </c>
      <c r="T326" s="306" t="s">
        <v>1955</v>
      </c>
      <c r="U326" s="306" t="s">
        <v>355</v>
      </c>
      <c r="V326" s="306"/>
      <c r="W326" s="306" t="s">
        <v>731</v>
      </c>
      <c r="X326" s="306">
        <f t="shared" si="9"/>
        <v>5</v>
      </c>
    </row>
    <row r="327" spans="1:24" ht="90" customHeight="1" x14ac:dyDescent="0.2">
      <c r="A327" s="215" t="s">
        <v>274</v>
      </c>
      <c r="B327" s="306" t="s">
        <v>1956</v>
      </c>
      <c r="C327" s="306">
        <v>0</v>
      </c>
      <c r="D327" s="306">
        <v>0</v>
      </c>
      <c r="E327" s="306">
        <v>0</v>
      </c>
      <c r="F327" s="306">
        <v>0</v>
      </c>
      <c r="G327" s="306">
        <v>0</v>
      </c>
      <c r="H327" s="306">
        <v>0</v>
      </c>
      <c r="I327" s="306">
        <v>1</v>
      </c>
      <c r="J327" s="306">
        <v>0</v>
      </c>
      <c r="K327" s="306"/>
      <c r="L327" s="306" t="s">
        <v>687</v>
      </c>
      <c r="M327" s="306"/>
      <c r="N327" s="306" t="s">
        <v>1922</v>
      </c>
      <c r="O327" s="306"/>
      <c r="P327" s="306" t="s">
        <v>1957</v>
      </c>
      <c r="Q327" s="306" t="s">
        <v>1958</v>
      </c>
      <c r="R327" s="306"/>
      <c r="S327" s="306" t="s">
        <v>1959</v>
      </c>
      <c r="T327" s="306" t="s">
        <v>1960</v>
      </c>
      <c r="U327" s="306" t="s">
        <v>355</v>
      </c>
      <c r="V327" s="306"/>
      <c r="W327" s="306" t="s">
        <v>731</v>
      </c>
      <c r="X327" s="306">
        <f t="shared" si="9"/>
        <v>5</v>
      </c>
    </row>
    <row r="328" spans="1:24" ht="90" customHeight="1" x14ac:dyDescent="0.2">
      <c r="A328" s="318" t="s">
        <v>275</v>
      </c>
      <c r="B328" s="317" t="s">
        <v>1961</v>
      </c>
      <c r="C328" s="306">
        <v>0</v>
      </c>
      <c r="D328" s="306">
        <v>0</v>
      </c>
      <c r="E328" s="306">
        <v>0</v>
      </c>
      <c r="F328" s="306">
        <v>0</v>
      </c>
      <c r="G328" s="306">
        <v>0</v>
      </c>
      <c r="H328" s="306">
        <v>0</v>
      </c>
      <c r="I328" s="306">
        <v>1</v>
      </c>
      <c r="J328" s="306">
        <v>0</v>
      </c>
      <c r="K328" s="306"/>
      <c r="L328" s="306" t="s">
        <v>687</v>
      </c>
      <c r="M328" s="306"/>
      <c r="N328" s="306" t="s">
        <v>1922</v>
      </c>
      <c r="O328" s="306"/>
      <c r="P328" s="306" t="s">
        <v>1962</v>
      </c>
      <c r="Q328" s="306" t="s">
        <v>1963</v>
      </c>
      <c r="R328" s="306"/>
      <c r="S328" s="306" t="s">
        <v>1964</v>
      </c>
      <c r="T328" s="306" t="s">
        <v>1965</v>
      </c>
      <c r="U328" s="306" t="s">
        <v>355</v>
      </c>
      <c r="V328" s="306"/>
      <c r="W328" s="306" t="s">
        <v>773</v>
      </c>
      <c r="X328" s="306">
        <f t="shared" si="9"/>
        <v>20</v>
      </c>
    </row>
    <row r="329" spans="1:24" ht="171" customHeight="1" x14ac:dyDescent="0.2">
      <c r="A329" s="318" t="s">
        <v>276</v>
      </c>
      <c r="B329" s="317" t="s">
        <v>1966</v>
      </c>
      <c r="C329" s="306">
        <v>0</v>
      </c>
      <c r="D329" s="306">
        <v>0</v>
      </c>
      <c r="E329" s="306">
        <v>0</v>
      </c>
      <c r="F329" s="306">
        <v>0</v>
      </c>
      <c r="G329" s="306">
        <v>0</v>
      </c>
      <c r="H329" s="306">
        <v>0</v>
      </c>
      <c r="I329" s="306">
        <v>1</v>
      </c>
      <c r="J329" s="306">
        <v>0</v>
      </c>
      <c r="K329" s="306"/>
      <c r="L329" s="306" t="s">
        <v>687</v>
      </c>
      <c r="M329" s="306"/>
      <c r="N329" s="306" t="s">
        <v>1967</v>
      </c>
      <c r="O329" s="306"/>
      <c r="P329" s="306" t="s">
        <v>1968</v>
      </c>
      <c r="Q329" s="306" t="s">
        <v>1969</v>
      </c>
      <c r="R329" s="306"/>
      <c r="S329" s="306" t="s">
        <v>1970</v>
      </c>
      <c r="T329" s="306" t="s">
        <v>1971</v>
      </c>
      <c r="U329" s="306" t="s">
        <v>355</v>
      </c>
      <c r="V329" s="306"/>
      <c r="W329" s="306" t="s">
        <v>773</v>
      </c>
      <c r="X329" s="306">
        <f t="shared" si="9"/>
        <v>20</v>
      </c>
    </row>
    <row r="330" spans="1:24" ht="90" customHeight="1" x14ac:dyDescent="0.2">
      <c r="A330" s="318" t="s">
        <v>277</v>
      </c>
      <c r="B330" s="317" t="s">
        <v>1972</v>
      </c>
      <c r="C330" s="306">
        <v>0</v>
      </c>
      <c r="D330" s="306">
        <v>0</v>
      </c>
      <c r="E330" s="306">
        <v>0</v>
      </c>
      <c r="F330" s="306">
        <v>0</v>
      </c>
      <c r="G330" s="306">
        <v>0</v>
      </c>
      <c r="H330" s="306">
        <v>0</v>
      </c>
      <c r="I330" s="306">
        <v>1</v>
      </c>
      <c r="J330" s="306">
        <v>0</v>
      </c>
      <c r="K330" s="306"/>
      <c r="L330" s="306" t="s">
        <v>687</v>
      </c>
      <c r="M330" s="306"/>
      <c r="N330" s="306" t="s">
        <v>1967</v>
      </c>
      <c r="O330" s="306"/>
      <c r="P330" s="306" t="s">
        <v>1973</v>
      </c>
      <c r="Q330" s="306" t="s">
        <v>1974</v>
      </c>
      <c r="R330" s="306"/>
      <c r="S330" s="306" t="s">
        <v>1975</v>
      </c>
      <c r="T330" s="306" t="s">
        <v>1976</v>
      </c>
      <c r="U330" s="306" t="s">
        <v>355</v>
      </c>
      <c r="V330" s="306"/>
      <c r="W330" s="306" t="s">
        <v>773</v>
      </c>
      <c r="X330" s="306">
        <f t="shared" si="9"/>
        <v>20</v>
      </c>
    </row>
    <row r="331" spans="1:24" ht="90" customHeight="1" x14ac:dyDescent="0.2">
      <c r="A331" s="318" t="s">
        <v>278</v>
      </c>
      <c r="B331" s="317" t="s">
        <v>1977</v>
      </c>
      <c r="C331" s="306">
        <v>0</v>
      </c>
      <c r="D331" s="306">
        <v>0</v>
      </c>
      <c r="E331" s="306">
        <v>0</v>
      </c>
      <c r="F331" s="306">
        <v>0</v>
      </c>
      <c r="G331" s="306">
        <v>0</v>
      </c>
      <c r="H331" s="306">
        <v>0</v>
      </c>
      <c r="I331" s="306">
        <v>1</v>
      </c>
      <c r="J331" s="306">
        <v>0</v>
      </c>
      <c r="K331" s="306"/>
      <c r="L331" s="306" t="s">
        <v>687</v>
      </c>
      <c r="M331" s="306"/>
      <c r="N331" s="306" t="s">
        <v>1978</v>
      </c>
      <c r="O331" s="306"/>
      <c r="P331" s="306" t="s">
        <v>1979</v>
      </c>
      <c r="Q331" s="306" t="s">
        <v>1980</v>
      </c>
      <c r="R331" s="306"/>
      <c r="S331" s="306" t="s">
        <v>1981</v>
      </c>
      <c r="T331" s="306" t="s">
        <v>1982</v>
      </c>
      <c r="U331" s="306" t="s">
        <v>355</v>
      </c>
      <c r="V331" s="306"/>
      <c r="W331" s="306" t="s">
        <v>773</v>
      </c>
      <c r="X331" s="306">
        <f t="shared" si="9"/>
        <v>20</v>
      </c>
    </row>
    <row r="332" spans="1:24" ht="90" customHeight="1" x14ac:dyDescent="0.2">
      <c r="A332" s="215" t="s">
        <v>279</v>
      </c>
      <c r="B332" s="306" t="s">
        <v>1983</v>
      </c>
      <c r="C332" s="306">
        <v>0</v>
      </c>
      <c r="D332" s="306">
        <v>0</v>
      </c>
      <c r="E332" s="306">
        <v>0</v>
      </c>
      <c r="F332" s="306">
        <v>0</v>
      </c>
      <c r="G332" s="306">
        <v>0</v>
      </c>
      <c r="H332" s="306">
        <v>0</v>
      </c>
      <c r="I332" s="306">
        <v>1</v>
      </c>
      <c r="J332" s="306">
        <v>0</v>
      </c>
      <c r="K332" s="306"/>
      <c r="L332" s="306" t="s">
        <v>687</v>
      </c>
      <c r="M332" s="306"/>
      <c r="N332" s="306" t="s">
        <v>1967</v>
      </c>
      <c r="O332" s="306"/>
      <c r="P332" s="306" t="s">
        <v>1984</v>
      </c>
      <c r="Q332" s="306" t="s">
        <v>1985</v>
      </c>
      <c r="R332" s="306"/>
      <c r="S332" s="306" t="s">
        <v>1986</v>
      </c>
      <c r="T332" s="306" t="s">
        <v>1987</v>
      </c>
      <c r="U332" s="306" t="s">
        <v>355</v>
      </c>
      <c r="V332" s="306"/>
      <c r="W332" s="306" t="s">
        <v>722</v>
      </c>
      <c r="X332" s="306">
        <f t="shared" si="9"/>
        <v>10</v>
      </c>
    </row>
    <row r="333" spans="1:24" ht="90" customHeight="1" x14ac:dyDescent="0.2">
      <c r="A333" s="215" t="s">
        <v>280</v>
      </c>
      <c r="B333" s="306" t="s">
        <v>1988</v>
      </c>
      <c r="C333" s="306">
        <v>0</v>
      </c>
      <c r="D333" s="306">
        <v>0</v>
      </c>
      <c r="E333" s="306">
        <v>0</v>
      </c>
      <c r="F333" s="306">
        <v>0</v>
      </c>
      <c r="G333" s="306">
        <v>0</v>
      </c>
      <c r="H333" s="306">
        <v>0</v>
      </c>
      <c r="I333" s="306">
        <v>1</v>
      </c>
      <c r="J333" s="306">
        <v>0</v>
      </c>
      <c r="K333" s="306"/>
      <c r="L333" s="306" t="s">
        <v>687</v>
      </c>
      <c r="M333" s="306"/>
      <c r="N333" s="306" t="s">
        <v>1967</v>
      </c>
      <c r="O333" s="306"/>
      <c r="P333" s="306" t="s">
        <v>1989</v>
      </c>
      <c r="Q333" s="306" t="s">
        <v>1990</v>
      </c>
      <c r="R333" s="306"/>
      <c r="S333" s="306" t="s">
        <v>1991</v>
      </c>
      <c r="T333" s="306" t="s">
        <v>1992</v>
      </c>
      <c r="U333" s="306" t="s">
        <v>355</v>
      </c>
      <c r="V333" s="306"/>
      <c r="W333" s="306" t="s">
        <v>722</v>
      </c>
      <c r="X333" s="306">
        <f t="shared" si="9"/>
        <v>10</v>
      </c>
    </row>
    <row r="334" spans="1:24" ht="90" customHeight="1" x14ac:dyDescent="0.2">
      <c r="A334" s="215" t="s">
        <v>1993</v>
      </c>
      <c r="B334" s="306" t="s">
        <v>1994</v>
      </c>
      <c r="C334" s="306">
        <v>0</v>
      </c>
      <c r="D334" s="306">
        <v>0</v>
      </c>
      <c r="E334" s="306">
        <v>0</v>
      </c>
      <c r="F334" s="306">
        <v>0</v>
      </c>
      <c r="G334" s="306">
        <v>0</v>
      </c>
      <c r="H334" s="306">
        <v>0</v>
      </c>
      <c r="I334" s="306">
        <v>1</v>
      </c>
      <c r="J334" s="306">
        <v>0</v>
      </c>
      <c r="K334" s="306"/>
      <c r="L334" s="306" t="s">
        <v>687</v>
      </c>
      <c r="M334" s="306"/>
      <c r="N334" s="306" t="s">
        <v>1967</v>
      </c>
      <c r="O334" s="306" t="s">
        <v>1995</v>
      </c>
      <c r="P334" s="306"/>
      <c r="Q334" s="306"/>
      <c r="R334" s="306"/>
      <c r="S334" s="306"/>
      <c r="T334" s="306"/>
      <c r="U334" s="306" t="s">
        <v>355</v>
      </c>
      <c r="V334" s="306"/>
      <c r="W334" s="306" t="s">
        <v>731</v>
      </c>
      <c r="X334" s="306">
        <f t="shared" si="9"/>
        <v>5</v>
      </c>
    </row>
    <row r="335" spans="1:24" ht="14.25" customHeight="1" x14ac:dyDescent="0.2">
      <c r="A335" s="215"/>
      <c r="B335" s="215"/>
      <c r="C335" s="215"/>
      <c r="D335" s="215"/>
      <c r="E335" s="215"/>
      <c r="F335" s="215"/>
      <c r="G335" s="215"/>
      <c r="H335" s="215"/>
      <c r="I335" s="215"/>
      <c r="J335" s="215"/>
      <c r="K335" s="215"/>
      <c r="L335" s="215"/>
      <c r="M335" s="215"/>
      <c r="N335" s="215"/>
      <c r="O335" s="215"/>
      <c r="P335" s="215"/>
      <c r="Q335" s="215"/>
      <c r="R335" s="215"/>
      <c r="S335" s="215"/>
      <c r="T335" s="215"/>
      <c r="U335" s="215"/>
      <c r="V335" s="215"/>
      <c r="W335" s="215"/>
      <c r="X335" s="215"/>
    </row>
    <row r="336" spans="1:24" ht="14.25" customHeight="1" x14ac:dyDescent="0.2">
      <c r="A336" s="215"/>
      <c r="B336" s="215"/>
      <c r="C336" s="215"/>
      <c r="D336" s="215"/>
      <c r="E336" s="215"/>
      <c r="F336" s="215"/>
      <c r="G336" s="215"/>
      <c r="H336" s="215"/>
      <c r="I336" s="215"/>
      <c r="J336" s="215"/>
      <c r="K336" s="215"/>
      <c r="L336" s="215"/>
      <c r="M336" s="215"/>
      <c r="N336" s="215"/>
      <c r="O336" s="215"/>
      <c r="P336" s="215"/>
      <c r="Q336" s="215"/>
      <c r="R336" s="215"/>
      <c r="S336" s="215"/>
      <c r="T336" s="215"/>
      <c r="U336" s="215"/>
      <c r="V336" s="215"/>
      <c r="W336" s="215"/>
      <c r="X336" s="215"/>
    </row>
    <row r="337" spans="1:24" ht="14.25" customHeight="1" x14ac:dyDescent="0.2">
      <c r="A337" s="215"/>
      <c r="B337" s="215"/>
      <c r="C337" s="215"/>
      <c r="D337" s="215"/>
      <c r="E337" s="215"/>
      <c r="F337" s="215"/>
      <c r="G337" s="215"/>
      <c r="H337" s="215"/>
      <c r="I337" s="215"/>
      <c r="J337" s="215"/>
      <c r="K337" s="215"/>
      <c r="L337" s="215"/>
      <c r="M337" s="215"/>
      <c r="N337" s="215"/>
      <c r="O337" s="215"/>
      <c r="P337" s="215"/>
      <c r="Q337" s="215"/>
      <c r="R337" s="215"/>
      <c r="S337" s="215"/>
      <c r="T337" s="215"/>
      <c r="U337" s="215"/>
      <c r="V337" s="215"/>
      <c r="W337" s="215"/>
      <c r="X337" s="215"/>
    </row>
    <row r="338" spans="1:24" ht="14.25" customHeight="1" x14ac:dyDescent="0.2">
      <c r="A338" s="215"/>
      <c r="B338" s="215"/>
      <c r="C338" s="215"/>
      <c r="D338" s="215"/>
      <c r="E338" s="215"/>
      <c r="F338" s="215"/>
      <c r="G338" s="215"/>
      <c r="H338" s="215"/>
      <c r="I338" s="215"/>
      <c r="J338" s="215"/>
      <c r="K338" s="215"/>
      <c r="L338" s="215"/>
      <c r="M338" s="215"/>
      <c r="N338" s="215"/>
      <c r="O338" s="215"/>
      <c r="P338" s="215"/>
      <c r="Q338" s="215"/>
      <c r="R338" s="215"/>
      <c r="S338" s="215"/>
      <c r="T338" s="215"/>
      <c r="U338" s="215"/>
      <c r="V338" s="215"/>
      <c r="W338" s="215"/>
      <c r="X338" s="215"/>
    </row>
    <row r="339" spans="1:24" ht="14.25" customHeight="1" x14ac:dyDescent="0.2">
      <c r="A339" s="215"/>
      <c r="B339" s="215"/>
      <c r="C339" s="215"/>
      <c r="D339" s="215"/>
      <c r="E339" s="215"/>
      <c r="F339" s="215"/>
      <c r="G339" s="215"/>
      <c r="H339" s="215"/>
      <c r="I339" s="215"/>
      <c r="J339" s="215"/>
      <c r="K339" s="215"/>
      <c r="L339" s="215"/>
      <c r="M339" s="215"/>
      <c r="N339" s="215"/>
      <c r="O339" s="215"/>
      <c r="P339" s="215"/>
      <c r="Q339" s="215"/>
      <c r="R339" s="215"/>
      <c r="S339" s="215"/>
      <c r="T339" s="215"/>
      <c r="U339" s="215"/>
      <c r="V339" s="215"/>
      <c r="W339" s="215"/>
      <c r="X339" s="215"/>
    </row>
    <row r="340" spans="1:24" ht="14.25" customHeight="1" x14ac:dyDescent="0.2">
      <c r="A340" s="215"/>
      <c r="B340" s="215"/>
      <c r="C340" s="215"/>
      <c r="D340" s="215"/>
      <c r="E340" s="215"/>
      <c r="F340" s="215"/>
      <c r="G340" s="215"/>
      <c r="H340" s="215"/>
      <c r="I340" s="215"/>
      <c r="J340" s="215"/>
      <c r="K340" s="215"/>
      <c r="L340" s="215"/>
      <c r="M340" s="215"/>
      <c r="N340" s="215"/>
      <c r="O340" s="215"/>
      <c r="P340" s="215"/>
      <c r="Q340" s="215"/>
      <c r="R340" s="215"/>
      <c r="S340" s="215"/>
      <c r="T340" s="215"/>
      <c r="U340" s="215"/>
      <c r="V340" s="215"/>
      <c r="W340" s="215"/>
      <c r="X340" s="215"/>
    </row>
    <row r="341" spans="1:24" ht="14.25" customHeight="1" x14ac:dyDescent="0.2">
      <c r="A341" s="215"/>
      <c r="B341" s="215"/>
      <c r="C341" s="215"/>
      <c r="D341" s="215"/>
      <c r="E341" s="215"/>
      <c r="F341" s="215"/>
      <c r="G341" s="215"/>
      <c r="H341" s="215"/>
      <c r="I341" s="215"/>
      <c r="J341" s="215"/>
      <c r="K341" s="215"/>
      <c r="L341" s="215"/>
      <c r="M341" s="215"/>
      <c r="N341" s="215"/>
      <c r="O341" s="215"/>
      <c r="P341" s="215"/>
      <c r="Q341" s="215"/>
      <c r="R341" s="215"/>
      <c r="S341" s="215"/>
      <c r="T341" s="215"/>
      <c r="U341" s="215"/>
      <c r="V341" s="215"/>
      <c r="W341" s="215"/>
      <c r="X341" s="215"/>
    </row>
    <row r="342" spans="1:24" ht="14.25" customHeight="1" x14ac:dyDescent="0.2">
      <c r="A342" s="215"/>
      <c r="B342" s="215"/>
      <c r="C342" s="215"/>
      <c r="D342" s="215"/>
      <c r="E342" s="215"/>
      <c r="F342" s="215"/>
      <c r="G342" s="215"/>
      <c r="H342" s="215"/>
      <c r="I342" s="215"/>
      <c r="J342" s="215"/>
      <c r="K342" s="215"/>
      <c r="L342" s="215"/>
      <c r="M342" s="215"/>
      <c r="N342" s="215"/>
      <c r="O342" s="215"/>
      <c r="P342" s="215"/>
      <c r="Q342" s="215"/>
      <c r="R342" s="215"/>
      <c r="S342" s="215"/>
      <c r="T342" s="215"/>
      <c r="U342" s="215"/>
      <c r="V342" s="215"/>
      <c r="W342" s="215"/>
      <c r="X342" s="215"/>
    </row>
    <row r="343" spans="1:24" ht="14.25" customHeight="1" x14ac:dyDescent="0.2">
      <c r="A343" s="215"/>
      <c r="B343" s="215"/>
      <c r="C343" s="215"/>
      <c r="D343" s="215"/>
      <c r="E343" s="215"/>
      <c r="F343" s="215"/>
      <c r="G343" s="215"/>
      <c r="H343" s="215"/>
      <c r="I343" s="215"/>
      <c r="J343" s="215"/>
      <c r="K343" s="215"/>
      <c r="L343" s="215"/>
      <c r="M343" s="215"/>
      <c r="N343" s="215"/>
      <c r="O343" s="215"/>
      <c r="P343" s="215"/>
      <c r="Q343" s="215"/>
      <c r="R343" s="215"/>
      <c r="S343" s="215"/>
      <c r="T343" s="215"/>
      <c r="U343" s="215"/>
      <c r="V343" s="215"/>
      <c r="W343" s="215"/>
      <c r="X343" s="215"/>
    </row>
    <row r="344" spans="1:24" ht="14.25" customHeight="1" x14ac:dyDescent="0.2">
      <c r="A344" s="215"/>
      <c r="B344" s="215"/>
      <c r="C344" s="215"/>
      <c r="D344" s="215"/>
      <c r="E344" s="215"/>
      <c r="F344" s="215"/>
      <c r="G344" s="215"/>
      <c r="H344" s="215"/>
      <c r="I344" s="215"/>
      <c r="J344" s="215"/>
      <c r="K344" s="215"/>
      <c r="L344" s="215"/>
      <c r="M344" s="215"/>
      <c r="N344" s="215"/>
      <c r="O344" s="215"/>
      <c r="P344" s="215"/>
      <c r="Q344" s="215"/>
      <c r="R344" s="215"/>
      <c r="S344" s="215"/>
      <c r="T344" s="215"/>
      <c r="U344" s="215"/>
      <c r="V344" s="215"/>
      <c r="W344" s="215"/>
      <c r="X344" s="215"/>
    </row>
    <row r="345" spans="1:24" ht="14.25" customHeight="1" x14ac:dyDescent="0.2">
      <c r="A345" s="215"/>
      <c r="B345" s="215"/>
      <c r="C345" s="215"/>
      <c r="D345" s="215"/>
      <c r="E345" s="215"/>
      <c r="F345" s="215"/>
      <c r="G345" s="215"/>
      <c r="H345" s="215"/>
      <c r="I345" s="215"/>
      <c r="J345" s="215"/>
      <c r="K345" s="215"/>
      <c r="L345" s="215"/>
      <c r="M345" s="215"/>
      <c r="N345" s="215"/>
      <c r="O345" s="215"/>
      <c r="P345" s="215"/>
      <c r="Q345" s="215"/>
      <c r="R345" s="215"/>
      <c r="S345" s="215"/>
      <c r="T345" s="215"/>
      <c r="U345" s="215"/>
      <c r="V345" s="215"/>
      <c r="W345" s="215"/>
      <c r="X345" s="215"/>
    </row>
    <row r="346" spans="1:24" ht="14.25" customHeight="1" x14ac:dyDescent="0.2">
      <c r="A346" s="215"/>
      <c r="B346" s="215"/>
      <c r="C346" s="215"/>
      <c r="D346" s="215"/>
      <c r="E346" s="215"/>
      <c r="F346" s="215"/>
      <c r="G346" s="215"/>
      <c r="H346" s="215"/>
      <c r="I346" s="215"/>
      <c r="J346" s="215"/>
      <c r="K346" s="215"/>
      <c r="L346" s="215"/>
      <c r="M346" s="215"/>
      <c r="N346" s="215"/>
      <c r="O346" s="215"/>
      <c r="P346" s="215"/>
      <c r="Q346" s="215"/>
      <c r="R346" s="215"/>
      <c r="S346" s="215"/>
      <c r="T346" s="215"/>
      <c r="U346" s="215"/>
      <c r="V346" s="215"/>
      <c r="W346" s="215"/>
      <c r="X346" s="215"/>
    </row>
    <row r="347" spans="1:24" ht="14.25" customHeight="1" x14ac:dyDescent="0.2">
      <c r="A347" s="215"/>
      <c r="B347" s="215"/>
      <c r="C347" s="215"/>
      <c r="D347" s="215"/>
      <c r="E347" s="215"/>
      <c r="F347" s="215"/>
      <c r="G347" s="215"/>
      <c r="H347" s="215"/>
      <c r="I347" s="215"/>
      <c r="J347" s="215"/>
      <c r="K347" s="215"/>
      <c r="L347" s="215"/>
      <c r="M347" s="215"/>
      <c r="N347" s="215"/>
      <c r="O347" s="215"/>
      <c r="P347" s="215"/>
      <c r="Q347" s="215"/>
      <c r="R347" s="215"/>
      <c r="S347" s="215"/>
      <c r="T347" s="215"/>
      <c r="U347" s="215"/>
      <c r="V347" s="215"/>
      <c r="W347" s="215"/>
      <c r="X347" s="215"/>
    </row>
    <row r="348" spans="1:24" ht="14.25" customHeight="1" x14ac:dyDescent="0.2">
      <c r="A348" s="215"/>
      <c r="B348" s="215"/>
      <c r="C348" s="215"/>
      <c r="D348" s="215"/>
      <c r="E348" s="215"/>
      <c r="F348" s="215"/>
      <c r="G348" s="215"/>
      <c r="H348" s="215"/>
      <c r="I348" s="215"/>
      <c r="J348" s="215"/>
      <c r="K348" s="215"/>
      <c r="L348" s="215"/>
      <c r="M348" s="215"/>
      <c r="N348" s="215"/>
      <c r="O348" s="215"/>
      <c r="P348" s="215"/>
      <c r="Q348" s="215"/>
      <c r="R348" s="215"/>
      <c r="S348" s="215"/>
      <c r="T348" s="215"/>
      <c r="U348" s="215"/>
      <c r="V348" s="215"/>
      <c r="W348" s="215"/>
      <c r="X348" s="215"/>
    </row>
    <row r="349" spans="1:24" ht="14.25" customHeight="1" x14ac:dyDescent="0.2">
      <c r="A349" s="215"/>
      <c r="B349" s="215"/>
      <c r="C349" s="215"/>
      <c r="D349" s="215"/>
      <c r="E349" s="215"/>
      <c r="F349" s="215"/>
      <c r="G349" s="215"/>
      <c r="H349" s="215"/>
      <c r="I349" s="215"/>
      <c r="J349" s="215"/>
      <c r="K349" s="215"/>
      <c r="L349" s="215"/>
      <c r="M349" s="215"/>
      <c r="N349" s="215"/>
      <c r="O349" s="215"/>
      <c r="P349" s="215"/>
      <c r="Q349" s="215"/>
      <c r="R349" s="215"/>
      <c r="S349" s="215"/>
      <c r="T349" s="215"/>
      <c r="U349" s="215"/>
      <c r="V349" s="215"/>
      <c r="W349" s="215"/>
      <c r="X349" s="215"/>
    </row>
    <row r="350" spans="1:24" ht="14.25" customHeight="1" x14ac:dyDescent="0.2">
      <c r="A350" s="215"/>
      <c r="B350" s="215"/>
      <c r="C350" s="215"/>
      <c r="D350" s="215"/>
      <c r="E350" s="215"/>
      <c r="F350" s="215"/>
      <c r="G350" s="215"/>
      <c r="H350" s="215"/>
      <c r="I350" s="215"/>
      <c r="J350" s="215"/>
      <c r="K350" s="215"/>
      <c r="L350" s="215"/>
      <c r="M350" s="215"/>
      <c r="N350" s="215"/>
      <c r="O350" s="215"/>
      <c r="P350" s="215"/>
      <c r="Q350" s="215"/>
      <c r="R350" s="215"/>
      <c r="S350" s="215"/>
      <c r="T350" s="215"/>
      <c r="U350" s="215"/>
      <c r="V350" s="215"/>
      <c r="W350" s="215"/>
      <c r="X350" s="215"/>
    </row>
    <row r="351" spans="1:24" ht="14.25" customHeight="1" x14ac:dyDescent="0.2">
      <c r="A351" s="215"/>
      <c r="B351" s="215"/>
      <c r="C351" s="215"/>
      <c r="D351" s="215"/>
      <c r="E351" s="215"/>
      <c r="F351" s="215"/>
      <c r="G351" s="215"/>
      <c r="H351" s="215"/>
      <c r="I351" s="215"/>
      <c r="J351" s="215"/>
      <c r="K351" s="215"/>
      <c r="L351" s="215"/>
      <c r="M351" s="215"/>
      <c r="N351" s="215"/>
      <c r="O351" s="215"/>
      <c r="P351" s="215"/>
      <c r="Q351" s="215"/>
      <c r="R351" s="215"/>
      <c r="S351" s="215"/>
      <c r="T351" s="215"/>
      <c r="U351" s="215"/>
      <c r="V351" s="215"/>
      <c r="W351" s="215"/>
      <c r="X351" s="215"/>
    </row>
    <row r="352" spans="1:24" ht="14.25" customHeight="1" x14ac:dyDescent="0.2">
      <c r="A352" s="215"/>
      <c r="B352" s="215"/>
      <c r="C352" s="215"/>
      <c r="D352" s="215"/>
      <c r="E352" s="215"/>
      <c r="F352" s="215"/>
      <c r="G352" s="215"/>
      <c r="H352" s="215"/>
      <c r="I352" s="215"/>
      <c r="J352" s="215"/>
      <c r="K352" s="215"/>
      <c r="L352" s="215"/>
      <c r="M352" s="215"/>
      <c r="N352" s="215"/>
      <c r="O352" s="215"/>
      <c r="P352" s="215"/>
      <c r="Q352" s="215"/>
      <c r="R352" s="215"/>
      <c r="S352" s="215"/>
      <c r="T352" s="215"/>
      <c r="U352" s="215"/>
      <c r="V352" s="215"/>
      <c r="W352" s="215"/>
      <c r="X352" s="215"/>
    </row>
    <row r="353" spans="1:24" ht="14.25" customHeight="1" x14ac:dyDescent="0.2">
      <c r="A353" s="215"/>
      <c r="B353" s="215"/>
      <c r="C353" s="215"/>
      <c r="D353" s="215"/>
      <c r="E353" s="215"/>
      <c r="F353" s="215"/>
      <c r="G353" s="215"/>
      <c r="H353" s="215"/>
      <c r="I353" s="215"/>
      <c r="J353" s="215"/>
      <c r="K353" s="215"/>
      <c r="L353" s="215"/>
      <c r="M353" s="215"/>
      <c r="N353" s="215"/>
      <c r="O353" s="215"/>
      <c r="P353" s="215"/>
      <c r="Q353" s="215"/>
      <c r="R353" s="215"/>
      <c r="S353" s="215"/>
      <c r="T353" s="215"/>
      <c r="U353" s="215"/>
      <c r="V353" s="215"/>
      <c r="W353" s="215"/>
      <c r="X353" s="215"/>
    </row>
    <row r="354" spans="1:24" ht="14.25" customHeight="1" x14ac:dyDescent="0.2">
      <c r="A354" s="215"/>
      <c r="B354" s="215"/>
      <c r="C354" s="215"/>
      <c r="D354" s="215"/>
      <c r="E354" s="215"/>
      <c r="F354" s="215"/>
      <c r="G354" s="215"/>
      <c r="H354" s="215"/>
      <c r="I354" s="215"/>
      <c r="J354" s="215"/>
      <c r="K354" s="215"/>
      <c r="L354" s="215"/>
      <c r="M354" s="215"/>
      <c r="N354" s="215"/>
      <c r="O354" s="215"/>
      <c r="P354" s="215"/>
      <c r="Q354" s="215"/>
      <c r="R354" s="215"/>
      <c r="S354" s="215"/>
      <c r="T354" s="215"/>
      <c r="U354" s="215"/>
      <c r="V354" s="215"/>
      <c r="W354" s="215"/>
      <c r="X354" s="215"/>
    </row>
    <row r="355" spans="1:24" ht="14.25" customHeight="1" x14ac:dyDescent="0.2">
      <c r="A355" s="215"/>
      <c r="B355" s="215"/>
      <c r="C355" s="215"/>
      <c r="D355" s="215"/>
      <c r="E355" s="215"/>
      <c r="F355" s="215"/>
      <c r="G355" s="215"/>
      <c r="H355" s="215"/>
      <c r="I355" s="215"/>
      <c r="J355" s="215"/>
      <c r="K355" s="215"/>
      <c r="L355" s="215"/>
      <c r="M355" s="215"/>
      <c r="N355" s="215"/>
      <c r="O355" s="215"/>
      <c r="P355" s="215"/>
      <c r="Q355" s="215"/>
      <c r="R355" s="215"/>
      <c r="S355" s="215"/>
      <c r="T355" s="215"/>
      <c r="U355" s="215"/>
      <c r="V355" s="215"/>
      <c r="W355" s="215"/>
      <c r="X355" s="215"/>
    </row>
    <row r="356" spans="1:24" ht="14.25" customHeight="1" x14ac:dyDescent="0.2">
      <c r="A356" s="215"/>
      <c r="B356" s="215"/>
      <c r="C356" s="215"/>
      <c r="D356" s="215"/>
      <c r="E356" s="215"/>
      <c r="F356" s="215"/>
      <c r="G356" s="215"/>
      <c r="H356" s="215"/>
      <c r="I356" s="215"/>
      <c r="J356" s="215"/>
      <c r="K356" s="215"/>
      <c r="L356" s="215"/>
      <c r="M356" s="215"/>
      <c r="N356" s="215"/>
      <c r="O356" s="215"/>
      <c r="P356" s="215"/>
      <c r="Q356" s="215"/>
      <c r="R356" s="215"/>
      <c r="S356" s="215"/>
      <c r="T356" s="215"/>
      <c r="U356" s="215"/>
      <c r="V356" s="215"/>
      <c r="W356" s="215"/>
      <c r="X356" s="215"/>
    </row>
    <row r="357" spans="1:24" ht="14.25" customHeight="1" x14ac:dyDescent="0.2">
      <c r="A357" s="215"/>
      <c r="B357" s="215"/>
      <c r="C357" s="215"/>
      <c r="D357" s="215"/>
      <c r="E357" s="215"/>
      <c r="F357" s="215"/>
      <c r="G357" s="215"/>
      <c r="H357" s="215"/>
      <c r="I357" s="215"/>
      <c r="J357" s="215"/>
      <c r="K357" s="215"/>
      <c r="L357" s="215"/>
      <c r="M357" s="215"/>
      <c r="N357" s="215"/>
      <c r="O357" s="215"/>
      <c r="P357" s="215"/>
      <c r="Q357" s="215"/>
      <c r="R357" s="215"/>
      <c r="S357" s="215"/>
      <c r="T357" s="215"/>
      <c r="U357" s="215"/>
      <c r="V357" s="215"/>
      <c r="W357" s="215"/>
      <c r="X357" s="215"/>
    </row>
    <row r="358" spans="1:24" ht="14.25" customHeight="1" x14ac:dyDescent="0.2">
      <c r="A358" s="215"/>
      <c r="B358" s="215"/>
      <c r="C358" s="215"/>
      <c r="D358" s="215"/>
      <c r="E358" s="215"/>
      <c r="F358" s="215"/>
      <c r="G358" s="215"/>
      <c r="H358" s="215"/>
      <c r="I358" s="215"/>
      <c r="J358" s="215"/>
      <c r="K358" s="215"/>
      <c r="L358" s="215"/>
      <c r="M358" s="215"/>
      <c r="N358" s="215"/>
      <c r="O358" s="215"/>
      <c r="P358" s="215"/>
      <c r="Q358" s="215"/>
      <c r="R358" s="215"/>
      <c r="S358" s="215"/>
      <c r="T358" s="215"/>
      <c r="U358" s="215"/>
      <c r="V358" s="215"/>
      <c r="W358" s="215"/>
      <c r="X358" s="215"/>
    </row>
    <row r="359" spans="1:24" ht="14.25" customHeight="1" x14ac:dyDescent="0.2">
      <c r="A359" s="215"/>
      <c r="B359" s="215"/>
      <c r="C359" s="215"/>
      <c r="D359" s="215"/>
      <c r="E359" s="215"/>
      <c r="F359" s="215"/>
      <c r="G359" s="215"/>
      <c r="H359" s="215"/>
      <c r="I359" s="215"/>
      <c r="J359" s="215"/>
      <c r="K359" s="215"/>
      <c r="L359" s="215"/>
      <c r="M359" s="215"/>
      <c r="N359" s="215"/>
      <c r="O359" s="215"/>
      <c r="P359" s="215"/>
      <c r="Q359" s="215"/>
      <c r="R359" s="215"/>
      <c r="S359" s="215"/>
      <c r="T359" s="215"/>
      <c r="U359" s="215"/>
      <c r="V359" s="215"/>
      <c r="W359" s="215"/>
      <c r="X359" s="215"/>
    </row>
    <row r="360" spans="1:24" ht="14.25" customHeight="1" x14ac:dyDescent="0.2">
      <c r="A360" s="215"/>
      <c r="B360" s="215"/>
      <c r="C360" s="215"/>
      <c r="D360" s="215"/>
      <c r="E360" s="215"/>
      <c r="F360" s="215"/>
      <c r="G360" s="215"/>
      <c r="H360" s="215"/>
      <c r="I360" s="215"/>
      <c r="J360" s="215"/>
      <c r="K360" s="215"/>
      <c r="L360" s="215"/>
      <c r="M360" s="215"/>
      <c r="N360" s="215"/>
      <c r="O360" s="215"/>
      <c r="P360" s="215"/>
      <c r="Q360" s="215"/>
      <c r="R360" s="215"/>
      <c r="S360" s="215"/>
      <c r="T360" s="215"/>
      <c r="U360" s="215"/>
      <c r="V360" s="215"/>
      <c r="W360" s="215"/>
      <c r="X360" s="215"/>
    </row>
    <row r="361" spans="1:24" ht="14.25" customHeight="1" x14ac:dyDescent="0.2">
      <c r="A361" s="215"/>
      <c r="B361" s="215"/>
      <c r="C361" s="215"/>
      <c r="D361" s="215"/>
      <c r="E361" s="215"/>
      <c r="F361" s="215"/>
      <c r="G361" s="215"/>
      <c r="H361" s="215"/>
      <c r="I361" s="215"/>
      <c r="J361" s="215"/>
      <c r="K361" s="215"/>
      <c r="L361" s="215"/>
      <c r="M361" s="215"/>
      <c r="N361" s="215"/>
      <c r="O361" s="215"/>
      <c r="P361" s="215"/>
      <c r="Q361" s="215"/>
      <c r="R361" s="215"/>
      <c r="S361" s="215"/>
      <c r="T361" s="215"/>
      <c r="U361" s="215"/>
      <c r="V361" s="215"/>
      <c r="W361" s="215"/>
      <c r="X361" s="215"/>
    </row>
    <row r="362" spans="1:24" ht="14.25" customHeight="1" x14ac:dyDescent="0.2">
      <c r="A362" s="215"/>
      <c r="B362" s="215"/>
      <c r="C362" s="215"/>
      <c r="D362" s="215"/>
      <c r="E362" s="215"/>
      <c r="F362" s="215"/>
      <c r="G362" s="215"/>
      <c r="H362" s="215"/>
      <c r="I362" s="215"/>
      <c r="J362" s="215"/>
      <c r="K362" s="215"/>
      <c r="L362" s="215"/>
      <c r="M362" s="215"/>
      <c r="N362" s="215"/>
      <c r="O362" s="215"/>
      <c r="P362" s="215"/>
      <c r="Q362" s="215"/>
      <c r="R362" s="215"/>
      <c r="S362" s="215"/>
      <c r="T362" s="215"/>
      <c r="U362" s="215"/>
      <c r="V362" s="215"/>
      <c r="W362" s="215"/>
      <c r="X362" s="215"/>
    </row>
    <row r="363" spans="1:24" ht="14.25" customHeight="1" x14ac:dyDescent="0.2">
      <c r="A363" s="215"/>
      <c r="B363" s="215"/>
      <c r="C363" s="215"/>
      <c r="D363" s="215"/>
      <c r="E363" s="215"/>
      <c r="F363" s="215"/>
      <c r="G363" s="215"/>
      <c r="H363" s="215"/>
      <c r="I363" s="215"/>
      <c r="J363" s="215"/>
      <c r="K363" s="215"/>
      <c r="L363" s="215"/>
      <c r="M363" s="215"/>
      <c r="N363" s="215"/>
      <c r="O363" s="215"/>
      <c r="P363" s="215"/>
      <c r="Q363" s="215"/>
      <c r="R363" s="215"/>
      <c r="S363" s="215"/>
      <c r="T363" s="215"/>
      <c r="U363" s="215"/>
      <c r="V363" s="215"/>
      <c r="W363" s="215"/>
      <c r="X363" s="215"/>
    </row>
    <row r="364" spans="1:24" ht="14.25" customHeight="1" x14ac:dyDescent="0.2">
      <c r="A364" s="215"/>
      <c r="B364" s="215"/>
      <c r="C364" s="215"/>
      <c r="D364" s="215"/>
      <c r="E364" s="215"/>
      <c r="F364" s="215"/>
      <c r="G364" s="215"/>
      <c r="H364" s="215"/>
      <c r="I364" s="215"/>
      <c r="J364" s="215"/>
      <c r="K364" s="215"/>
      <c r="L364" s="215"/>
      <c r="M364" s="215"/>
      <c r="N364" s="215"/>
      <c r="O364" s="215"/>
      <c r="P364" s="215"/>
      <c r="Q364" s="215"/>
      <c r="R364" s="215"/>
      <c r="S364" s="215"/>
      <c r="T364" s="215"/>
      <c r="U364" s="215"/>
      <c r="V364" s="215"/>
      <c r="W364" s="215"/>
      <c r="X364" s="215"/>
    </row>
    <row r="365" spans="1:24" ht="14.25" customHeight="1" x14ac:dyDescent="0.2">
      <c r="A365" s="215"/>
      <c r="B365" s="215"/>
      <c r="C365" s="215"/>
      <c r="D365" s="215"/>
      <c r="E365" s="215"/>
      <c r="F365" s="215"/>
      <c r="G365" s="215"/>
      <c r="H365" s="215"/>
      <c r="I365" s="215"/>
      <c r="J365" s="215"/>
      <c r="K365" s="215"/>
      <c r="L365" s="215"/>
      <c r="M365" s="215"/>
      <c r="N365" s="215"/>
      <c r="O365" s="215"/>
      <c r="P365" s="215"/>
      <c r="Q365" s="215"/>
      <c r="R365" s="215"/>
      <c r="S365" s="215"/>
      <c r="T365" s="215"/>
      <c r="U365" s="215"/>
      <c r="V365" s="215"/>
      <c r="W365" s="215"/>
      <c r="X365" s="215"/>
    </row>
    <row r="366" spans="1:24" ht="14.25" customHeight="1" x14ac:dyDescent="0.2">
      <c r="A366" s="215"/>
      <c r="B366" s="215"/>
      <c r="C366" s="215"/>
      <c r="D366" s="215"/>
      <c r="E366" s="215"/>
      <c r="F366" s="215"/>
      <c r="G366" s="215"/>
      <c r="H366" s="215"/>
      <c r="I366" s="215"/>
      <c r="J366" s="215"/>
      <c r="K366" s="215"/>
      <c r="L366" s="215"/>
      <c r="M366" s="215"/>
      <c r="N366" s="215"/>
      <c r="O366" s="215"/>
      <c r="P366" s="215"/>
      <c r="Q366" s="215"/>
      <c r="R366" s="215"/>
      <c r="S366" s="215"/>
      <c r="T366" s="215"/>
      <c r="U366" s="215"/>
      <c r="V366" s="215"/>
      <c r="W366" s="215"/>
      <c r="X366" s="215"/>
    </row>
    <row r="367" spans="1:24" ht="14.25" customHeight="1" x14ac:dyDescent="0.2">
      <c r="A367" s="215"/>
      <c r="B367" s="215"/>
      <c r="C367" s="215"/>
      <c r="D367" s="215"/>
      <c r="E367" s="215"/>
      <c r="F367" s="215"/>
      <c r="G367" s="215"/>
      <c r="H367" s="215"/>
      <c r="I367" s="215"/>
      <c r="J367" s="215"/>
      <c r="K367" s="215"/>
      <c r="L367" s="215"/>
      <c r="M367" s="215"/>
      <c r="N367" s="215"/>
      <c r="O367" s="215"/>
      <c r="P367" s="215"/>
      <c r="Q367" s="215"/>
      <c r="R367" s="215"/>
      <c r="S367" s="215"/>
      <c r="T367" s="215"/>
      <c r="U367" s="215"/>
      <c r="V367" s="215"/>
      <c r="W367" s="215"/>
      <c r="X367" s="215"/>
    </row>
    <row r="368" spans="1:24" ht="14.25" customHeight="1" x14ac:dyDescent="0.2">
      <c r="A368" s="215"/>
      <c r="B368" s="215"/>
      <c r="C368" s="215"/>
      <c r="D368" s="215"/>
      <c r="E368" s="215"/>
      <c r="F368" s="215"/>
      <c r="G368" s="215"/>
      <c r="H368" s="215"/>
      <c r="I368" s="215"/>
      <c r="J368" s="215"/>
      <c r="K368" s="215"/>
      <c r="L368" s="215"/>
      <c r="M368" s="215"/>
      <c r="N368" s="215"/>
      <c r="O368" s="215"/>
      <c r="P368" s="215"/>
      <c r="Q368" s="215"/>
      <c r="R368" s="215"/>
      <c r="S368" s="215"/>
      <c r="T368" s="215"/>
      <c r="U368" s="215"/>
      <c r="V368" s="215"/>
      <c r="W368" s="215"/>
      <c r="X368" s="215"/>
    </row>
    <row r="369" spans="1:24" ht="14.25" customHeight="1" x14ac:dyDescent="0.2">
      <c r="A369" s="215"/>
      <c r="B369" s="215"/>
      <c r="C369" s="215"/>
      <c r="D369" s="215"/>
      <c r="E369" s="215"/>
      <c r="F369" s="215"/>
      <c r="G369" s="215"/>
      <c r="H369" s="215"/>
      <c r="I369" s="215"/>
      <c r="J369" s="215"/>
      <c r="K369" s="215"/>
      <c r="L369" s="215"/>
      <c r="M369" s="215"/>
      <c r="N369" s="215"/>
      <c r="O369" s="215"/>
      <c r="P369" s="215"/>
      <c r="Q369" s="215"/>
      <c r="R369" s="215"/>
      <c r="S369" s="215"/>
      <c r="T369" s="215"/>
      <c r="U369" s="215"/>
      <c r="V369" s="215"/>
      <c r="W369" s="215"/>
      <c r="X369" s="215"/>
    </row>
    <row r="370" spans="1:24" ht="14.25" customHeight="1" x14ac:dyDescent="0.2">
      <c r="A370" s="215"/>
      <c r="B370" s="215"/>
      <c r="C370" s="215"/>
      <c r="D370" s="215"/>
      <c r="E370" s="215"/>
      <c r="F370" s="215"/>
      <c r="G370" s="215"/>
      <c r="H370" s="215"/>
      <c r="I370" s="215"/>
      <c r="J370" s="215"/>
      <c r="K370" s="215"/>
      <c r="L370" s="215"/>
      <c r="M370" s="215"/>
      <c r="N370" s="215"/>
      <c r="O370" s="215"/>
      <c r="P370" s="215"/>
      <c r="Q370" s="215"/>
      <c r="R370" s="215"/>
      <c r="S370" s="215"/>
      <c r="T370" s="215"/>
      <c r="U370" s="215"/>
      <c r="V370" s="215"/>
      <c r="W370" s="215"/>
      <c r="X370" s="215"/>
    </row>
    <row r="371" spans="1:24" ht="14.25" customHeight="1" x14ac:dyDescent="0.2">
      <c r="A371" s="215"/>
      <c r="B371" s="215"/>
      <c r="C371" s="215"/>
      <c r="D371" s="215"/>
      <c r="E371" s="215"/>
      <c r="F371" s="215"/>
      <c r="G371" s="215"/>
      <c r="H371" s="215"/>
      <c r="I371" s="215"/>
      <c r="J371" s="215"/>
      <c r="K371" s="215"/>
      <c r="L371" s="215"/>
      <c r="M371" s="215"/>
      <c r="N371" s="215"/>
      <c r="O371" s="215"/>
      <c r="P371" s="215"/>
      <c r="Q371" s="215"/>
      <c r="R371" s="215"/>
      <c r="S371" s="215"/>
      <c r="T371" s="215"/>
      <c r="U371" s="215"/>
      <c r="V371" s="215"/>
      <c r="W371" s="215"/>
      <c r="X371" s="215"/>
    </row>
    <row r="372" spans="1:24" ht="14.25" customHeight="1" x14ac:dyDescent="0.2">
      <c r="A372" s="215"/>
      <c r="B372" s="215"/>
      <c r="C372" s="215"/>
      <c r="D372" s="215"/>
      <c r="E372" s="215"/>
      <c r="F372" s="215"/>
      <c r="G372" s="215"/>
      <c r="H372" s="215"/>
      <c r="I372" s="215"/>
      <c r="J372" s="215"/>
      <c r="K372" s="215"/>
      <c r="L372" s="215"/>
      <c r="M372" s="215"/>
      <c r="N372" s="215"/>
      <c r="O372" s="215"/>
      <c r="P372" s="215"/>
      <c r="Q372" s="215"/>
      <c r="R372" s="215"/>
      <c r="S372" s="215"/>
      <c r="T372" s="215"/>
      <c r="U372" s="215"/>
      <c r="V372" s="215"/>
      <c r="W372" s="215"/>
      <c r="X372" s="215"/>
    </row>
    <row r="373" spans="1:24" ht="14.25" customHeight="1" x14ac:dyDescent="0.2">
      <c r="A373" s="215"/>
      <c r="B373" s="215"/>
      <c r="C373" s="215"/>
      <c r="D373" s="215"/>
      <c r="E373" s="215"/>
      <c r="F373" s="215"/>
      <c r="G373" s="215"/>
      <c r="H373" s="215"/>
      <c r="I373" s="215"/>
      <c r="J373" s="215"/>
      <c r="K373" s="215"/>
      <c r="L373" s="215"/>
      <c r="M373" s="215"/>
      <c r="N373" s="215"/>
      <c r="O373" s="215"/>
      <c r="P373" s="215"/>
      <c r="Q373" s="215"/>
      <c r="R373" s="215"/>
      <c r="S373" s="215"/>
      <c r="T373" s="215"/>
      <c r="U373" s="215"/>
      <c r="V373" s="215"/>
      <c r="W373" s="215"/>
      <c r="X373" s="215"/>
    </row>
    <row r="374" spans="1:24" ht="14.25" customHeight="1" x14ac:dyDescent="0.2">
      <c r="A374" s="215"/>
      <c r="B374" s="215"/>
      <c r="C374" s="215"/>
      <c r="D374" s="215"/>
      <c r="E374" s="215"/>
      <c r="F374" s="215"/>
      <c r="G374" s="215"/>
      <c r="H374" s="215"/>
      <c r="I374" s="215"/>
      <c r="J374" s="215"/>
      <c r="K374" s="215"/>
      <c r="L374" s="215"/>
      <c r="M374" s="215"/>
      <c r="N374" s="215"/>
      <c r="O374" s="215"/>
      <c r="P374" s="215"/>
      <c r="Q374" s="215"/>
      <c r="R374" s="215"/>
      <c r="S374" s="215"/>
      <c r="T374" s="215"/>
      <c r="U374" s="215"/>
      <c r="V374" s="215"/>
      <c r="W374" s="215"/>
      <c r="X374" s="215"/>
    </row>
    <row r="375" spans="1:24" ht="14.25" customHeight="1" x14ac:dyDescent="0.2">
      <c r="A375" s="215"/>
      <c r="B375" s="215"/>
      <c r="C375" s="215"/>
      <c r="D375" s="215"/>
      <c r="E375" s="215"/>
      <c r="F375" s="215"/>
      <c r="G375" s="215"/>
      <c r="H375" s="215"/>
      <c r="I375" s="215"/>
      <c r="J375" s="215"/>
      <c r="K375" s="215"/>
      <c r="L375" s="215"/>
      <c r="M375" s="215"/>
      <c r="N375" s="215"/>
      <c r="O375" s="215"/>
      <c r="P375" s="215"/>
      <c r="Q375" s="215"/>
      <c r="R375" s="215"/>
      <c r="S375" s="215"/>
      <c r="T375" s="215"/>
      <c r="U375" s="215"/>
      <c r="V375" s="215"/>
      <c r="W375" s="215"/>
      <c r="X375" s="215"/>
    </row>
    <row r="376" spans="1:24" ht="14.25" customHeight="1" x14ac:dyDescent="0.2">
      <c r="A376" s="215"/>
      <c r="B376" s="215"/>
      <c r="C376" s="215"/>
      <c r="D376" s="215"/>
      <c r="E376" s="215"/>
      <c r="F376" s="215"/>
      <c r="G376" s="215"/>
      <c r="H376" s="215"/>
      <c r="I376" s="215"/>
      <c r="J376" s="215"/>
      <c r="K376" s="215"/>
      <c r="L376" s="215"/>
      <c r="M376" s="215"/>
      <c r="N376" s="215"/>
      <c r="O376" s="215"/>
      <c r="P376" s="215"/>
      <c r="Q376" s="215"/>
      <c r="R376" s="215"/>
      <c r="S376" s="215"/>
      <c r="T376" s="215"/>
      <c r="U376" s="215"/>
      <c r="V376" s="215"/>
      <c r="W376" s="215"/>
      <c r="X376" s="215"/>
    </row>
    <row r="377" spans="1:24" ht="14.25" customHeight="1" x14ac:dyDescent="0.2">
      <c r="A377" s="215"/>
      <c r="B377" s="215"/>
      <c r="C377" s="215"/>
      <c r="D377" s="215"/>
      <c r="E377" s="215"/>
      <c r="F377" s="215"/>
      <c r="G377" s="215"/>
      <c r="H377" s="215"/>
      <c r="I377" s="215"/>
      <c r="J377" s="215"/>
      <c r="K377" s="215"/>
      <c r="L377" s="215"/>
      <c r="M377" s="215"/>
      <c r="N377" s="215"/>
      <c r="O377" s="215"/>
      <c r="P377" s="215"/>
      <c r="Q377" s="215"/>
      <c r="R377" s="215"/>
      <c r="S377" s="215"/>
      <c r="T377" s="215"/>
      <c r="U377" s="215"/>
      <c r="V377" s="215"/>
      <c r="W377" s="215"/>
      <c r="X377" s="215"/>
    </row>
    <row r="378" spans="1:24" ht="14.25" customHeight="1" x14ac:dyDescent="0.2">
      <c r="A378" s="215"/>
      <c r="B378" s="215"/>
      <c r="C378" s="215"/>
      <c r="D378" s="215"/>
      <c r="E378" s="215"/>
      <c r="F378" s="215"/>
      <c r="G378" s="215"/>
      <c r="H378" s="215"/>
      <c r="I378" s="215"/>
      <c r="J378" s="215"/>
      <c r="K378" s="215"/>
      <c r="L378" s="215"/>
      <c r="M378" s="215"/>
      <c r="N378" s="215"/>
      <c r="O378" s="215"/>
      <c r="P378" s="215"/>
      <c r="Q378" s="215"/>
      <c r="R378" s="215"/>
      <c r="S378" s="215"/>
      <c r="T378" s="215"/>
      <c r="U378" s="215"/>
      <c r="V378" s="215"/>
      <c r="W378" s="215"/>
      <c r="X378" s="215"/>
    </row>
    <row r="379" spans="1:24" ht="14.25" customHeight="1" x14ac:dyDescent="0.2">
      <c r="A379" s="215"/>
      <c r="B379" s="215"/>
      <c r="C379" s="215"/>
      <c r="D379" s="215"/>
      <c r="E379" s="215"/>
      <c r="F379" s="215"/>
      <c r="G379" s="215"/>
      <c r="H379" s="215"/>
      <c r="I379" s="215"/>
      <c r="J379" s="215"/>
      <c r="K379" s="215"/>
      <c r="L379" s="215"/>
      <c r="M379" s="215"/>
      <c r="N379" s="215"/>
      <c r="O379" s="215"/>
      <c r="P379" s="215"/>
      <c r="Q379" s="215"/>
      <c r="R379" s="215"/>
      <c r="S379" s="215"/>
      <c r="T379" s="215"/>
      <c r="U379" s="215"/>
      <c r="V379" s="215"/>
      <c r="W379" s="215"/>
      <c r="X379" s="215"/>
    </row>
    <row r="380" spans="1:24" ht="14.25" customHeight="1" x14ac:dyDescent="0.2">
      <c r="A380" s="215"/>
      <c r="B380" s="215"/>
      <c r="C380" s="215"/>
      <c r="D380" s="215"/>
      <c r="E380" s="215"/>
      <c r="F380" s="215"/>
      <c r="G380" s="215"/>
      <c r="H380" s="215"/>
      <c r="I380" s="215"/>
      <c r="J380" s="215"/>
      <c r="K380" s="215"/>
      <c r="L380" s="215"/>
      <c r="M380" s="215"/>
      <c r="N380" s="215"/>
      <c r="O380" s="215"/>
      <c r="P380" s="215"/>
      <c r="Q380" s="215"/>
      <c r="R380" s="215"/>
      <c r="S380" s="215"/>
      <c r="T380" s="215"/>
      <c r="U380" s="215"/>
      <c r="V380" s="215"/>
      <c r="W380" s="215"/>
      <c r="X380" s="215"/>
    </row>
    <row r="381" spans="1:24" ht="14.25" customHeight="1" x14ac:dyDescent="0.2">
      <c r="A381" s="215"/>
      <c r="B381" s="215"/>
      <c r="C381" s="215"/>
      <c r="D381" s="215"/>
      <c r="E381" s="215"/>
      <c r="F381" s="215"/>
      <c r="G381" s="215"/>
      <c r="H381" s="215"/>
      <c r="I381" s="215"/>
      <c r="J381" s="215"/>
      <c r="K381" s="215"/>
      <c r="L381" s="215"/>
      <c r="M381" s="215"/>
      <c r="N381" s="215"/>
      <c r="O381" s="215"/>
      <c r="P381" s="215"/>
      <c r="Q381" s="215"/>
      <c r="R381" s="215"/>
      <c r="S381" s="215"/>
      <c r="T381" s="215"/>
      <c r="U381" s="215"/>
      <c r="V381" s="215"/>
      <c r="W381" s="215"/>
      <c r="X381" s="215"/>
    </row>
    <row r="382" spans="1:24" ht="14.25" customHeight="1" x14ac:dyDescent="0.2">
      <c r="A382" s="215"/>
      <c r="B382" s="215"/>
      <c r="C382" s="215"/>
      <c r="D382" s="215"/>
      <c r="E382" s="215"/>
      <c r="F382" s="215"/>
      <c r="G382" s="215"/>
      <c r="H382" s="215"/>
      <c r="I382" s="215"/>
      <c r="J382" s="215"/>
      <c r="K382" s="215"/>
      <c r="L382" s="215"/>
      <c r="M382" s="215"/>
      <c r="N382" s="215"/>
      <c r="O382" s="215"/>
      <c r="P382" s="215"/>
      <c r="Q382" s="215"/>
      <c r="R382" s="215"/>
      <c r="S382" s="215"/>
      <c r="T382" s="215"/>
      <c r="U382" s="215"/>
      <c r="V382" s="215"/>
      <c r="W382" s="215"/>
      <c r="X382" s="215"/>
    </row>
    <row r="383" spans="1:24" ht="14.25" customHeight="1" x14ac:dyDescent="0.2">
      <c r="A383" s="215"/>
      <c r="B383" s="215"/>
      <c r="C383" s="215"/>
      <c r="D383" s="215"/>
      <c r="E383" s="215"/>
      <c r="F383" s="215"/>
      <c r="G383" s="215"/>
      <c r="H383" s="215"/>
      <c r="I383" s="215"/>
      <c r="J383" s="215"/>
      <c r="K383" s="215"/>
      <c r="L383" s="215"/>
      <c r="M383" s="215"/>
      <c r="N383" s="215"/>
      <c r="O383" s="215"/>
      <c r="P383" s="215"/>
      <c r="Q383" s="215"/>
      <c r="R383" s="215"/>
      <c r="S383" s="215"/>
      <c r="T383" s="215"/>
      <c r="U383" s="215"/>
      <c r="V383" s="215"/>
      <c r="W383" s="215"/>
      <c r="X383" s="215"/>
    </row>
    <row r="384" spans="1:24" ht="14.25" customHeight="1" x14ac:dyDescent="0.2">
      <c r="A384" s="215"/>
      <c r="B384" s="215"/>
      <c r="C384" s="215"/>
      <c r="D384" s="215"/>
      <c r="E384" s="215"/>
      <c r="F384" s="215"/>
      <c r="G384" s="215"/>
      <c r="H384" s="215"/>
      <c r="I384" s="215"/>
      <c r="J384" s="215"/>
      <c r="K384" s="215"/>
      <c r="L384" s="215"/>
      <c r="M384" s="215"/>
      <c r="N384" s="215"/>
      <c r="O384" s="215"/>
      <c r="P384" s="215"/>
      <c r="Q384" s="215"/>
      <c r="R384" s="215"/>
      <c r="S384" s="215"/>
      <c r="T384" s="215"/>
      <c r="U384" s="215"/>
      <c r="V384" s="215"/>
      <c r="W384" s="215"/>
      <c r="X384" s="215"/>
    </row>
    <row r="385" spans="1:24" ht="14.25" customHeight="1" x14ac:dyDescent="0.2">
      <c r="A385" s="215"/>
      <c r="B385" s="215"/>
      <c r="C385" s="215"/>
      <c r="D385" s="215"/>
      <c r="E385" s="215"/>
      <c r="F385" s="215"/>
      <c r="G385" s="215"/>
      <c r="H385" s="215"/>
      <c r="I385" s="215"/>
      <c r="J385" s="215"/>
      <c r="K385" s="215"/>
      <c r="L385" s="215"/>
      <c r="M385" s="215"/>
      <c r="N385" s="215"/>
      <c r="O385" s="215"/>
      <c r="P385" s="215"/>
      <c r="Q385" s="215"/>
      <c r="R385" s="215"/>
      <c r="S385" s="215"/>
      <c r="T385" s="215"/>
      <c r="U385" s="215"/>
      <c r="V385" s="215"/>
      <c r="W385" s="215"/>
      <c r="X385" s="215"/>
    </row>
    <row r="386" spans="1:24" ht="14.25" customHeight="1" x14ac:dyDescent="0.2">
      <c r="A386" s="215"/>
      <c r="B386" s="215"/>
      <c r="C386" s="215"/>
      <c r="D386" s="215"/>
      <c r="E386" s="215"/>
      <c r="F386" s="215"/>
      <c r="G386" s="215"/>
      <c r="H386" s="215"/>
      <c r="I386" s="215"/>
      <c r="J386" s="215"/>
      <c r="K386" s="215"/>
      <c r="L386" s="215"/>
      <c r="M386" s="215"/>
      <c r="N386" s="215"/>
      <c r="O386" s="215"/>
      <c r="P386" s="215"/>
      <c r="Q386" s="215"/>
      <c r="R386" s="215"/>
      <c r="S386" s="215"/>
      <c r="T386" s="215"/>
      <c r="U386" s="215"/>
      <c r="V386" s="215"/>
      <c r="W386" s="215"/>
      <c r="X386" s="215"/>
    </row>
    <row r="387" spans="1:24" ht="14.25" customHeight="1" x14ac:dyDescent="0.2">
      <c r="A387" s="215"/>
      <c r="B387" s="215"/>
      <c r="C387" s="215"/>
      <c r="D387" s="215"/>
      <c r="E387" s="215"/>
      <c r="F387" s="215"/>
      <c r="G387" s="215"/>
      <c r="H387" s="215"/>
      <c r="I387" s="215"/>
      <c r="J387" s="215"/>
      <c r="K387" s="215"/>
      <c r="L387" s="215"/>
      <c r="M387" s="215"/>
      <c r="N387" s="215"/>
      <c r="O387" s="215"/>
      <c r="P387" s="215"/>
      <c r="Q387" s="215"/>
      <c r="R387" s="215"/>
      <c r="S387" s="215"/>
      <c r="T387" s="215"/>
      <c r="U387" s="215"/>
      <c r="V387" s="215"/>
      <c r="W387" s="215"/>
      <c r="X387" s="215"/>
    </row>
    <row r="388" spans="1:24" ht="14.25" customHeight="1" x14ac:dyDescent="0.2">
      <c r="A388" s="215"/>
      <c r="B388" s="215"/>
      <c r="C388" s="215"/>
      <c r="D388" s="215"/>
      <c r="E388" s="215"/>
      <c r="F388" s="215"/>
      <c r="G388" s="215"/>
      <c r="H388" s="215"/>
      <c r="I388" s="215"/>
      <c r="J388" s="215"/>
      <c r="K388" s="215"/>
      <c r="L388" s="215"/>
      <c r="M388" s="215"/>
      <c r="N388" s="215"/>
      <c r="O388" s="215"/>
      <c r="P388" s="215"/>
      <c r="Q388" s="215"/>
      <c r="R388" s="215"/>
      <c r="S388" s="215"/>
      <c r="T388" s="215"/>
      <c r="U388" s="215"/>
      <c r="V388" s="215"/>
      <c r="W388" s="215"/>
      <c r="X388" s="215"/>
    </row>
    <row r="389" spans="1:24" ht="14.25" customHeight="1" x14ac:dyDescent="0.2">
      <c r="A389" s="215"/>
      <c r="B389" s="215"/>
      <c r="C389" s="215"/>
      <c r="D389" s="215"/>
      <c r="E389" s="215"/>
      <c r="F389" s="215"/>
      <c r="G389" s="215"/>
      <c r="H389" s="215"/>
      <c r="I389" s="215"/>
      <c r="J389" s="215"/>
      <c r="K389" s="215"/>
      <c r="L389" s="215"/>
      <c r="M389" s="215"/>
      <c r="N389" s="215"/>
      <c r="O389" s="215"/>
      <c r="P389" s="215"/>
      <c r="Q389" s="215"/>
      <c r="R389" s="215"/>
      <c r="S389" s="215"/>
      <c r="T389" s="215"/>
      <c r="U389" s="215"/>
      <c r="V389" s="215"/>
      <c r="W389" s="215"/>
      <c r="X389" s="215"/>
    </row>
    <row r="390" spans="1:24" ht="14.25" customHeight="1" x14ac:dyDescent="0.2">
      <c r="A390" s="215"/>
      <c r="B390" s="215"/>
      <c r="C390" s="215"/>
      <c r="D390" s="215"/>
      <c r="E390" s="215"/>
      <c r="F390" s="215"/>
      <c r="G390" s="215"/>
      <c r="H390" s="215"/>
      <c r="I390" s="215"/>
      <c r="J390" s="215"/>
      <c r="K390" s="215"/>
      <c r="L390" s="215"/>
      <c r="M390" s="215"/>
      <c r="N390" s="215"/>
      <c r="O390" s="215"/>
      <c r="P390" s="215"/>
      <c r="Q390" s="215"/>
      <c r="R390" s="215"/>
      <c r="S390" s="215"/>
      <c r="T390" s="215"/>
      <c r="U390" s="215"/>
      <c r="V390" s="215"/>
      <c r="W390" s="215"/>
      <c r="X390" s="215"/>
    </row>
    <row r="391" spans="1:24" ht="14.25" customHeight="1" x14ac:dyDescent="0.2">
      <c r="A391" s="215"/>
      <c r="B391" s="215"/>
      <c r="C391" s="215"/>
      <c r="D391" s="215"/>
      <c r="E391" s="215"/>
      <c r="F391" s="215"/>
      <c r="G391" s="215"/>
      <c r="H391" s="215"/>
      <c r="I391" s="215"/>
      <c r="J391" s="215"/>
      <c r="K391" s="215"/>
      <c r="L391" s="215"/>
      <c r="M391" s="215"/>
      <c r="N391" s="215"/>
      <c r="O391" s="215"/>
      <c r="P391" s="215"/>
      <c r="Q391" s="215"/>
      <c r="R391" s="215"/>
      <c r="S391" s="215"/>
      <c r="T391" s="215"/>
      <c r="U391" s="215"/>
      <c r="V391" s="215"/>
      <c r="W391" s="215"/>
      <c r="X391" s="215"/>
    </row>
    <row r="392" spans="1:24" ht="14.25" customHeight="1" x14ac:dyDescent="0.2">
      <c r="A392" s="215"/>
      <c r="B392" s="215"/>
      <c r="C392" s="215"/>
      <c r="D392" s="215"/>
      <c r="E392" s="215"/>
      <c r="F392" s="215"/>
      <c r="G392" s="215"/>
      <c r="H392" s="215"/>
      <c r="I392" s="215"/>
      <c r="J392" s="215"/>
      <c r="K392" s="215"/>
      <c r="L392" s="215"/>
      <c r="M392" s="215"/>
      <c r="N392" s="215"/>
      <c r="O392" s="215"/>
      <c r="P392" s="215"/>
      <c r="Q392" s="215"/>
      <c r="R392" s="215"/>
      <c r="S392" s="215"/>
      <c r="T392" s="215"/>
      <c r="U392" s="215"/>
      <c r="V392" s="215"/>
      <c r="W392" s="215"/>
      <c r="X392" s="215"/>
    </row>
    <row r="393" spans="1:24" ht="14.25" customHeight="1" x14ac:dyDescent="0.2">
      <c r="A393" s="215"/>
      <c r="B393" s="215"/>
      <c r="C393" s="215"/>
      <c r="D393" s="215"/>
      <c r="E393" s="215"/>
      <c r="F393" s="215"/>
      <c r="G393" s="215"/>
      <c r="H393" s="215"/>
      <c r="I393" s="215"/>
      <c r="J393" s="215"/>
      <c r="K393" s="215"/>
      <c r="L393" s="215"/>
      <c r="M393" s="215"/>
      <c r="N393" s="215"/>
      <c r="O393" s="215"/>
      <c r="P393" s="215"/>
      <c r="Q393" s="215"/>
      <c r="R393" s="215"/>
      <c r="S393" s="215"/>
      <c r="T393" s="215"/>
      <c r="U393" s="215"/>
      <c r="V393" s="215"/>
      <c r="W393" s="215"/>
      <c r="X393" s="215"/>
    </row>
    <row r="394" spans="1:24" ht="14.25" customHeight="1" x14ac:dyDescent="0.2">
      <c r="A394" s="215"/>
      <c r="B394" s="215"/>
      <c r="C394" s="215"/>
      <c r="D394" s="215"/>
      <c r="E394" s="215"/>
      <c r="F394" s="215"/>
      <c r="G394" s="215"/>
      <c r="H394" s="215"/>
      <c r="I394" s="215"/>
      <c r="J394" s="215"/>
      <c r="K394" s="215"/>
      <c r="L394" s="215"/>
      <c r="M394" s="215"/>
      <c r="N394" s="215"/>
      <c r="O394" s="215"/>
      <c r="P394" s="215"/>
      <c r="Q394" s="215"/>
      <c r="R394" s="215"/>
      <c r="S394" s="215"/>
      <c r="T394" s="215"/>
      <c r="U394" s="215"/>
      <c r="V394" s="215"/>
      <c r="W394" s="215"/>
      <c r="X394" s="215"/>
    </row>
    <row r="395" spans="1:24" ht="14.25" customHeight="1" x14ac:dyDescent="0.2">
      <c r="A395" s="215"/>
      <c r="B395" s="215"/>
      <c r="C395" s="215"/>
      <c r="D395" s="215"/>
      <c r="E395" s="215"/>
      <c r="F395" s="215"/>
      <c r="G395" s="215"/>
      <c r="H395" s="215"/>
      <c r="I395" s="215"/>
      <c r="J395" s="215"/>
      <c r="K395" s="215"/>
      <c r="L395" s="215"/>
      <c r="M395" s="215"/>
      <c r="N395" s="215"/>
      <c r="O395" s="215"/>
      <c r="P395" s="215"/>
      <c r="Q395" s="215"/>
      <c r="R395" s="215"/>
      <c r="S395" s="215"/>
      <c r="T395" s="215"/>
      <c r="U395" s="215"/>
      <c r="V395" s="215"/>
      <c r="W395" s="215"/>
      <c r="X395" s="215"/>
    </row>
    <row r="396" spans="1:24" ht="14.25" customHeight="1" x14ac:dyDescent="0.2">
      <c r="A396" s="215"/>
      <c r="B396" s="215"/>
      <c r="C396" s="215"/>
      <c r="D396" s="215"/>
      <c r="E396" s="215"/>
      <c r="F396" s="215"/>
      <c r="G396" s="215"/>
      <c r="H396" s="215"/>
      <c r="I396" s="215"/>
      <c r="J396" s="215"/>
      <c r="K396" s="215"/>
      <c r="L396" s="215"/>
      <c r="M396" s="215"/>
      <c r="N396" s="215"/>
      <c r="O396" s="215"/>
      <c r="P396" s="215"/>
      <c r="Q396" s="215"/>
      <c r="R396" s="215"/>
      <c r="S396" s="215"/>
      <c r="T396" s="215"/>
      <c r="U396" s="215"/>
      <c r="V396" s="215"/>
      <c r="W396" s="215"/>
      <c r="X396" s="215"/>
    </row>
    <row r="397" spans="1:24" ht="14.25" customHeight="1" x14ac:dyDescent="0.2">
      <c r="A397" s="215"/>
      <c r="B397" s="215"/>
      <c r="C397" s="215"/>
      <c r="D397" s="215"/>
      <c r="E397" s="215"/>
      <c r="F397" s="215"/>
      <c r="G397" s="215"/>
      <c r="H397" s="215"/>
      <c r="I397" s="215"/>
      <c r="J397" s="215"/>
      <c r="K397" s="215"/>
      <c r="L397" s="215"/>
      <c r="M397" s="215"/>
      <c r="N397" s="215"/>
      <c r="O397" s="215"/>
      <c r="P397" s="215"/>
      <c r="Q397" s="215"/>
      <c r="R397" s="215"/>
      <c r="S397" s="215"/>
      <c r="T397" s="215"/>
      <c r="U397" s="215"/>
      <c r="V397" s="215"/>
      <c r="W397" s="215"/>
      <c r="X397" s="215"/>
    </row>
    <row r="398" spans="1:24" ht="14.25" customHeight="1" x14ac:dyDescent="0.2">
      <c r="A398" s="215"/>
      <c r="B398" s="215"/>
      <c r="C398" s="215"/>
      <c r="D398" s="215"/>
      <c r="E398" s="215"/>
      <c r="F398" s="215"/>
      <c r="G398" s="215"/>
      <c r="H398" s="215"/>
      <c r="I398" s="215"/>
      <c r="J398" s="215"/>
      <c r="K398" s="215"/>
      <c r="L398" s="215"/>
      <c r="M398" s="215"/>
      <c r="N398" s="215"/>
      <c r="O398" s="215"/>
      <c r="P398" s="215"/>
      <c r="Q398" s="215"/>
      <c r="R398" s="215"/>
      <c r="S398" s="215"/>
      <c r="T398" s="215"/>
      <c r="U398" s="215"/>
      <c r="V398" s="215"/>
      <c r="W398" s="215"/>
      <c r="X398" s="215"/>
    </row>
    <row r="399" spans="1:24" ht="14.25" customHeight="1" x14ac:dyDescent="0.2">
      <c r="A399" s="215"/>
      <c r="B399" s="215"/>
      <c r="C399" s="215"/>
      <c r="D399" s="215"/>
      <c r="E399" s="215"/>
      <c r="F399" s="215"/>
      <c r="G399" s="215"/>
      <c r="H399" s="215"/>
      <c r="I399" s="215"/>
      <c r="J399" s="215"/>
      <c r="K399" s="215"/>
      <c r="L399" s="215"/>
      <c r="M399" s="215"/>
      <c r="N399" s="215"/>
      <c r="O399" s="215"/>
      <c r="P399" s="215"/>
      <c r="Q399" s="215"/>
      <c r="R399" s="215"/>
      <c r="S399" s="215"/>
      <c r="T399" s="215"/>
      <c r="U399" s="215"/>
      <c r="V399" s="215"/>
      <c r="W399" s="215"/>
      <c r="X399" s="215"/>
    </row>
    <row r="400" spans="1:24" ht="14.25" customHeight="1" x14ac:dyDescent="0.2">
      <c r="A400" s="215"/>
      <c r="B400" s="215"/>
      <c r="C400" s="215"/>
      <c r="D400" s="215"/>
      <c r="E400" s="215"/>
      <c r="F400" s="215"/>
      <c r="G400" s="215"/>
      <c r="H400" s="215"/>
      <c r="I400" s="215"/>
      <c r="J400" s="215"/>
      <c r="K400" s="215"/>
      <c r="L400" s="215"/>
      <c r="M400" s="215"/>
      <c r="N400" s="215"/>
      <c r="O400" s="215"/>
      <c r="P400" s="215"/>
      <c r="Q400" s="215"/>
      <c r="R400" s="215"/>
      <c r="S400" s="215"/>
      <c r="T400" s="215"/>
      <c r="U400" s="215"/>
      <c r="V400" s="215"/>
      <c r="W400" s="215"/>
      <c r="X400" s="215"/>
    </row>
    <row r="401" spans="1:24" ht="14.25" customHeight="1" x14ac:dyDescent="0.2">
      <c r="A401" s="215"/>
      <c r="B401" s="215"/>
      <c r="C401" s="215"/>
      <c r="D401" s="215"/>
      <c r="E401" s="215"/>
      <c r="F401" s="215"/>
      <c r="G401" s="215"/>
      <c r="H401" s="215"/>
      <c r="I401" s="215"/>
      <c r="J401" s="215"/>
      <c r="K401" s="215"/>
      <c r="L401" s="215"/>
      <c r="M401" s="215"/>
      <c r="N401" s="215"/>
      <c r="O401" s="215"/>
      <c r="P401" s="215"/>
      <c r="Q401" s="215"/>
      <c r="R401" s="215"/>
      <c r="S401" s="215"/>
      <c r="T401" s="215"/>
      <c r="U401" s="215"/>
      <c r="V401" s="215"/>
      <c r="W401" s="215"/>
      <c r="X401" s="215"/>
    </row>
    <row r="402" spans="1:24" ht="14.25" customHeight="1" x14ac:dyDescent="0.2">
      <c r="A402" s="215"/>
      <c r="B402" s="215"/>
      <c r="C402" s="215"/>
      <c r="D402" s="215"/>
      <c r="E402" s="215"/>
      <c r="F402" s="215"/>
      <c r="G402" s="215"/>
      <c r="H402" s="215"/>
      <c r="I402" s="215"/>
      <c r="J402" s="215"/>
      <c r="K402" s="215"/>
      <c r="L402" s="215"/>
      <c r="M402" s="215"/>
      <c r="N402" s="215"/>
      <c r="O402" s="215"/>
      <c r="P402" s="215"/>
      <c r="Q402" s="215"/>
      <c r="R402" s="215"/>
      <c r="S402" s="215"/>
      <c r="T402" s="215"/>
      <c r="U402" s="215"/>
      <c r="V402" s="215"/>
      <c r="W402" s="215"/>
      <c r="X402" s="215"/>
    </row>
    <row r="403" spans="1:24" ht="14.25" customHeight="1" x14ac:dyDescent="0.2">
      <c r="A403" s="215"/>
      <c r="B403" s="215"/>
      <c r="C403" s="215"/>
      <c r="D403" s="215"/>
      <c r="E403" s="215"/>
      <c r="F403" s="215"/>
      <c r="G403" s="215"/>
      <c r="H403" s="215"/>
      <c r="I403" s="215"/>
      <c r="J403" s="215"/>
      <c r="K403" s="215"/>
      <c r="L403" s="215"/>
      <c r="M403" s="215"/>
      <c r="N403" s="215"/>
      <c r="O403" s="215"/>
      <c r="P403" s="215"/>
      <c r="Q403" s="215"/>
      <c r="R403" s="215"/>
      <c r="S403" s="215"/>
      <c r="T403" s="215"/>
      <c r="U403" s="215"/>
      <c r="V403" s="215"/>
      <c r="W403" s="215"/>
      <c r="X403" s="215"/>
    </row>
    <row r="404" spans="1:24" ht="14.25" customHeight="1" x14ac:dyDescent="0.2">
      <c r="A404" s="215"/>
      <c r="B404" s="215"/>
      <c r="C404" s="215"/>
      <c r="D404" s="215"/>
      <c r="E404" s="215"/>
      <c r="F404" s="215"/>
      <c r="G404" s="215"/>
      <c r="H404" s="215"/>
      <c r="I404" s="215"/>
      <c r="J404" s="215"/>
      <c r="K404" s="215"/>
      <c r="L404" s="215"/>
      <c r="M404" s="215"/>
      <c r="N404" s="215"/>
      <c r="O404" s="215"/>
      <c r="P404" s="215"/>
      <c r="Q404" s="215"/>
      <c r="R404" s="215"/>
      <c r="S404" s="215"/>
      <c r="T404" s="215"/>
      <c r="U404" s="215"/>
      <c r="V404" s="215"/>
      <c r="W404" s="215"/>
      <c r="X404" s="215"/>
    </row>
    <row r="405" spans="1:24" ht="14.25" customHeight="1" x14ac:dyDescent="0.2">
      <c r="A405" s="215"/>
      <c r="B405" s="215"/>
      <c r="C405" s="215"/>
      <c r="D405" s="215"/>
      <c r="E405" s="215"/>
      <c r="F405" s="215"/>
      <c r="G405" s="215"/>
      <c r="H405" s="215"/>
      <c r="I405" s="215"/>
      <c r="J405" s="215"/>
      <c r="K405" s="215"/>
      <c r="L405" s="215"/>
      <c r="M405" s="215"/>
      <c r="N405" s="215"/>
      <c r="O405" s="215"/>
      <c r="P405" s="215"/>
      <c r="Q405" s="215"/>
      <c r="R405" s="215"/>
      <c r="S405" s="215"/>
      <c r="T405" s="215"/>
      <c r="U405" s="215"/>
      <c r="V405" s="215"/>
      <c r="W405" s="215"/>
      <c r="X405" s="215"/>
    </row>
    <row r="406" spans="1:24" ht="14.25" customHeight="1" x14ac:dyDescent="0.2">
      <c r="A406" s="215"/>
      <c r="B406" s="215"/>
      <c r="C406" s="215"/>
      <c r="D406" s="215"/>
      <c r="E406" s="215"/>
      <c r="F406" s="215"/>
      <c r="G406" s="215"/>
      <c r="H406" s="215"/>
      <c r="I406" s="215"/>
      <c r="J406" s="215"/>
      <c r="K406" s="215"/>
      <c r="L406" s="215"/>
      <c r="M406" s="215"/>
      <c r="N406" s="215"/>
      <c r="O406" s="215"/>
      <c r="P406" s="215"/>
      <c r="Q406" s="215"/>
      <c r="R406" s="215"/>
      <c r="S406" s="215"/>
      <c r="T406" s="215"/>
      <c r="U406" s="215"/>
      <c r="V406" s="215"/>
      <c r="W406" s="215"/>
      <c r="X406" s="215"/>
    </row>
    <row r="407" spans="1:24" ht="14.25" customHeight="1" x14ac:dyDescent="0.2">
      <c r="A407" s="215"/>
      <c r="B407" s="215"/>
      <c r="C407" s="215"/>
      <c r="D407" s="215"/>
      <c r="E407" s="215"/>
      <c r="F407" s="215"/>
      <c r="G407" s="215"/>
      <c r="H407" s="215"/>
      <c r="I407" s="215"/>
      <c r="J407" s="215"/>
      <c r="K407" s="215"/>
      <c r="L407" s="215"/>
      <c r="M407" s="215"/>
      <c r="N407" s="215"/>
      <c r="O407" s="215"/>
      <c r="P407" s="215"/>
      <c r="Q407" s="215"/>
      <c r="R407" s="215"/>
      <c r="S407" s="215"/>
      <c r="T407" s="215"/>
      <c r="U407" s="215"/>
      <c r="V407" s="215"/>
      <c r="W407" s="215"/>
      <c r="X407" s="215"/>
    </row>
    <row r="408" spans="1:24" ht="14.25" customHeight="1" x14ac:dyDescent="0.2">
      <c r="A408" s="215"/>
      <c r="B408" s="215"/>
      <c r="C408" s="215"/>
      <c r="D408" s="215"/>
      <c r="E408" s="215"/>
      <c r="F408" s="215"/>
      <c r="G408" s="215"/>
      <c r="H408" s="215"/>
      <c r="I408" s="215"/>
      <c r="J408" s="215"/>
      <c r="K408" s="215"/>
      <c r="L408" s="215"/>
      <c r="M408" s="215"/>
      <c r="N408" s="215"/>
      <c r="O408" s="215"/>
      <c r="P408" s="215"/>
      <c r="Q408" s="215"/>
      <c r="R408" s="215"/>
      <c r="S408" s="215"/>
      <c r="T408" s="215"/>
      <c r="U408" s="215"/>
      <c r="V408" s="215"/>
      <c r="W408" s="215"/>
      <c r="X408" s="215"/>
    </row>
    <row r="409" spans="1:24" ht="14.25" customHeight="1" x14ac:dyDescent="0.2">
      <c r="A409" s="215"/>
      <c r="B409" s="215"/>
      <c r="C409" s="215"/>
      <c r="D409" s="215"/>
      <c r="E409" s="215"/>
      <c r="F409" s="215"/>
      <c r="G409" s="215"/>
      <c r="H409" s="215"/>
      <c r="I409" s="215"/>
      <c r="J409" s="215"/>
      <c r="K409" s="215"/>
      <c r="L409" s="215"/>
      <c r="M409" s="215"/>
      <c r="N409" s="215"/>
      <c r="O409" s="215"/>
      <c r="P409" s="215"/>
      <c r="Q409" s="215"/>
      <c r="R409" s="215"/>
      <c r="S409" s="215"/>
      <c r="T409" s="215"/>
      <c r="U409" s="215"/>
      <c r="V409" s="215"/>
      <c r="W409" s="215"/>
      <c r="X409" s="215"/>
    </row>
    <row r="410" spans="1:24" ht="14.25" customHeight="1" x14ac:dyDescent="0.2">
      <c r="A410" s="215"/>
      <c r="B410" s="215"/>
      <c r="C410" s="215"/>
      <c r="D410" s="215"/>
      <c r="E410" s="215"/>
      <c r="F410" s="215"/>
      <c r="G410" s="215"/>
      <c r="H410" s="215"/>
      <c r="I410" s="215"/>
      <c r="J410" s="215"/>
      <c r="K410" s="215"/>
      <c r="L410" s="215"/>
      <c r="M410" s="215"/>
      <c r="N410" s="215"/>
      <c r="O410" s="215"/>
      <c r="P410" s="215"/>
      <c r="Q410" s="215"/>
      <c r="R410" s="215"/>
      <c r="S410" s="215"/>
      <c r="T410" s="215"/>
      <c r="U410" s="215"/>
      <c r="V410" s="215"/>
      <c r="W410" s="215"/>
      <c r="X410" s="215"/>
    </row>
    <row r="411" spans="1:24" ht="14.25" customHeight="1" x14ac:dyDescent="0.2">
      <c r="A411" s="215"/>
      <c r="B411" s="215"/>
      <c r="C411" s="215"/>
      <c r="D411" s="215"/>
      <c r="E411" s="215"/>
      <c r="F411" s="215"/>
      <c r="G411" s="215"/>
      <c r="H411" s="215"/>
      <c r="I411" s="215"/>
      <c r="J411" s="215"/>
      <c r="K411" s="215"/>
      <c r="L411" s="215"/>
      <c r="M411" s="215"/>
      <c r="N411" s="215"/>
      <c r="O411" s="215"/>
      <c r="P411" s="215"/>
      <c r="Q411" s="215"/>
      <c r="R411" s="215"/>
      <c r="S411" s="215"/>
      <c r="T411" s="215"/>
      <c r="U411" s="215"/>
      <c r="V411" s="215"/>
      <c r="W411" s="215"/>
      <c r="X411" s="215"/>
    </row>
    <row r="412" spans="1:24" ht="14.25" customHeight="1" x14ac:dyDescent="0.2">
      <c r="A412" s="215"/>
      <c r="B412" s="215"/>
      <c r="C412" s="215"/>
      <c r="D412" s="215"/>
      <c r="E412" s="215"/>
      <c r="F412" s="215"/>
      <c r="G412" s="215"/>
      <c r="H412" s="215"/>
      <c r="I412" s="215"/>
      <c r="J412" s="215"/>
      <c r="K412" s="215"/>
      <c r="L412" s="215"/>
      <c r="M412" s="215"/>
      <c r="N412" s="215"/>
      <c r="O412" s="215"/>
      <c r="P412" s="215"/>
      <c r="Q412" s="215"/>
      <c r="R412" s="215"/>
      <c r="S412" s="215"/>
      <c r="T412" s="215"/>
      <c r="U412" s="215"/>
      <c r="V412" s="215"/>
      <c r="W412" s="215"/>
      <c r="X412" s="215"/>
    </row>
    <row r="413" spans="1:24" ht="14.25" customHeight="1" x14ac:dyDescent="0.2">
      <c r="A413" s="215"/>
      <c r="B413" s="215"/>
      <c r="C413" s="215"/>
      <c r="D413" s="215"/>
      <c r="E413" s="215"/>
      <c r="F413" s="215"/>
      <c r="G413" s="215"/>
      <c r="H413" s="215"/>
      <c r="I413" s="215"/>
      <c r="J413" s="215"/>
      <c r="K413" s="215"/>
      <c r="L413" s="215"/>
      <c r="M413" s="215"/>
      <c r="N413" s="215"/>
      <c r="O413" s="215"/>
      <c r="P413" s="215"/>
      <c r="Q413" s="215"/>
      <c r="R413" s="215"/>
      <c r="S413" s="215"/>
      <c r="T413" s="215"/>
      <c r="U413" s="215"/>
      <c r="V413" s="215"/>
      <c r="W413" s="215"/>
      <c r="X413" s="215"/>
    </row>
    <row r="414" spans="1:24" ht="14.25" customHeight="1" x14ac:dyDescent="0.2">
      <c r="A414" s="215"/>
      <c r="B414" s="215"/>
      <c r="C414" s="215"/>
      <c r="D414" s="215"/>
      <c r="E414" s="215"/>
      <c r="F414" s="215"/>
      <c r="G414" s="215"/>
      <c r="H414" s="215"/>
      <c r="I414" s="215"/>
      <c r="J414" s="215"/>
      <c r="K414" s="215"/>
      <c r="L414" s="215"/>
      <c r="M414" s="215"/>
      <c r="N414" s="215"/>
      <c r="O414" s="215"/>
      <c r="P414" s="215"/>
      <c r="Q414" s="215"/>
      <c r="R414" s="215"/>
      <c r="S414" s="215"/>
      <c r="T414" s="215"/>
      <c r="U414" s="215"/>
      <c r="V414" s="215"/>
      <c r="W414" s="215"/>
      <c r="X414" s="215"/>
    </row>
    <row r="415" spans="1:24" ht="14.25" customHeight="1" x14ac:dyDescent="0.2">
      <c r="A415" s="215"/>
      <c r="B415" s="215"/>
      <c r="C415" s="215"/>
      <c r="D415" s="215"/>
      <c r="E415" s="215"/>
      <c r="F415" s="215"/>
      <c r="G415" s="215"/>
      <c r="H415" s="215"/>
      <c r="I415" s="215"/>
      <c r="J415" s="215"/>
      <c r="K415" s="215"/>
      <c r="L415" s="215"/>
      <c r="M415" s="215"/>
      <c r="N415" s="215"/>
      <c r="O415" s="215"/>
      <c r="P415" s="215"/>
      <c r="Q415" s="215"/>
      <c r="R415" s="215"/>
      <c r="S415" s="215"/>
      <c r="T415" s="215"/>
      <c r="U415" s="215"/>
      <c r="V415" s="215"/>
      <c r="W415" s="215"/>
      <c r="X415" s="215"/>
    </row>
    <row r="416" spans="1:24" ht="14.25" customHeight="1" x14ac:dyDescent="0.2">
      <c r="A416" s="215"/>
      <c r="B416" s="215"/>
      <c r="C416" s="215"/>
      <c r="D416" s="215"/>
      <c r="E416" s="215"/>
      <c r="F416" s="215"/>
      <c r="G416" s="215"/>
      <c r="H416" s="215"/>
      <c r="I416" s="215"/>
      <c r="J416" s="215"/>
      <c r="K416" s="215"/>
      <c r="L416" s="215"/>
      <c r="M416" s="215"/>
      <c r="N416" s="215"/>
      <c r="O416" s="215"/>
      <c r="P416" s="215"/>
      <c r="Q416" s="215"/>
      <c r="R416" s="215"/>
      <c r="S416" s="215"/>
      <c r="T416" s="215"/>
      <c r="U416" s="215"/>
      <c r="V416" s="215"/>
      <c r="W416" s="215"/>
      <c r="X416" s="215"/>
    </row>
    <row r="417" spans="1:24" ht="14.25" customHeight="1" x14ac:dyDescent="0.2">
      <c r="A417" s="215"/>
      <c r="B417" s="215"/>
      <c r="C417" s="215"/>
      <c r="D417" s="215"/>
      <c r="E417" s="215"/>
      <c r="F417" s="215"/>
      <c r="G417" s="215"/>
      <c r="H417" s="215"/>
      <c r="I417" s="215"/>
      <c r="J417" s="215"/>
      <c r="K417" s="215"/>
      <c r="L417" s="215"/>
      <c r="M417" s="215"/>
      <c r="N417" s="215"/>
      <c r="O417" s="215"/>
      <c r="P417" s="215"/>
      <c r="Q417" s="215"/>
      <c r="R417" s="215"/>
      <c r="S417" s="215"/>
      <c r="T417" s="215"/>
      <c r="U417" s="215"/>
      <c r="V417" s="215"/>
      <c r="W417" s="215"/>
      <c r="X417" s="215"/>
    </row>
    <row r="418" spans="1:24" ht="14.25" customHeight="1" x14ac:dyDescent="0.2">
      <c r="A418" s="215"/>
      <c r="B418" s="215"/>
      <c r="C418" s="215"/>
      <c r="D418" s="215"/>
      <c r="E418" s="215"/>
      <c r="F418" s="215"/>
      <c r="G418" s="215"/>
      <c r="H418" s="215"/>
      <c r="I418" s="215"/>
      <c r="J418" s="215"/>
      <c r="K418" s="215"/>
      <c r="L418" s="215"/>
      <c r="M418" s="215"/>
      <c r="N418" s="215"/>
      <c r="O418" s="215"/>
      <c r="P418" s="215"/>
      <c r="Q418" s="215"/>
      <c r="R418" s="215"/>
      <c r="S418" s="215"/>
      <c r="T418" s="215"/>
      <c r="U418" s="215"/>
      <c r="V418" s="215"/>
      <c r="W418" s="215"/>
      <c r="X418" s="215"/>
    </row>
    <row r="419" spans="1:24" ht="14.25" customHeight="1" x14ac:dyDescent="0.2">
      <c r="A419" s="215"/>
      <c r="B419" s="215"/>
      <c r="C419" s="215"/>
      <c r="D419" s="215"/>
      <c r="E419" s="215"/>
      <c r="F419" s="215"/>
      <c r="G419" s="215"/>
      <c r="H419" s="215"/>
      <c r="I419" s="215"/>
      <c r="J419" s="215"/>
      <c r="K419" s="215"/>
      <c r="L419" s="215"/>
      <c r="M419" s="215"/>
      <c r="N419" s="215"/>
      <c r="O419" s="215"/>
      <c r="P419" s="215"/>
      <c r="Q419" s="215"/>
      <c r="R419" s="215"/>
      <c r="S419" s="215"/>
      <c r="T419" s="215"/>
      <c r="U419" s="215"/>
      <c r="V419" s="215"/>
      <c r="W419" s="215"/>
      <c r="X419" s="215"/>
    </row>
    <row r="420" spans="1:24" ht="14.25" customHeight="1" x14ac:dyDescent="0.2">
      <c r="A420" s="215"/>
      <c r="B420" s="215"/>
      <c r="C420" s="215"/>
      <c r="D420" s="215"/>
      <c r="E420" s="215"/>
      <c r="F420" s="215"/>
      <c r="G420" s="215"/>
      <c r="H420" s="215"/>
      <c r="I420" s="215"/>
      <c r="J420" s="215"/>
      <c r="K420" s="215"/>
      <c r="L420" s="215"/>
      <c r="M420" s="215"/>
      <c r="N420" s="215"/>
      <c r="O420" s="215"/>
      <c r="P420" s="215"/>
      <c r="Q420" s="215"/>
      <c r="R420" s="215"/>
      <c r="S420" s="215"/>
      <c r="T420" s="215"/>
      <c r="U420" s="215"/>
      <c r="V420" s="215"/>
      <c r="W420" s="215"/>
      <c r="X420" s="215"/>
    </row>
    <row r="421" spans="1:24" ht="14.25" customHeight="1" x14ac:dyDescent="0.2">
      <c r="A421" s="215"/>
      <c r="B421" s="215"/>
      <c r="C421" s="215"/>
      <c r="D421" s="215"/>
      <c r="E421" s="215"/>
      <c r="F421" s="215"/>
      <c r="G421" s="215"/>
      <c r="H421" s="215"/>
      <c r="I421" s="215"/>
      <c r="J421" s="215"/>
      <c r="K421" s="215"/>
      <c r="L421" s="215"/>
      <c r="M421" s="215"/>
      <c r="N421" s="215"/>
      <c r="O421" s="215"/>
      <c r="P421" s="215"/>
      <c r="Q421" s="215"/>
      <c r="R421" s="215"/>
      <c r="S421" s="215"/>
      <c r="T421" s="215"/>
      <c r="U421" s="215"/>
      <c r="V421" s="215"/>
      <c r="W421" s="215"/>
      <c r="X421" s="215"/>
    </row>
    <row r="422" spans="1:24" ht="14.25" customHeight="1" x14ac:dyDescent="0.2">
      <c r="A422" s="215"/>
      <c r="B422" s="215"/>
      <c r="C422" s="215"/>
      <c r="D422" s="215"/>
      <c r="E422" s="215"/>
      <c r="F422" s="215"/>
      <c r="G422" s="215"/>
      <c r="H422" s="215"/>
      <c r="I422" s="215"/>
      <c r="J422" s="215"/>
      <c r="K422" s="215"/>
      <c r="L422" s="215"/>
      <c r="M422" s="215"/>
      <c r="N422" s="215"/>
      <c r="O422" s="215"/>
      <c r="P422" s="215"/>
      <c r="Q422" s="215"/>
      <c r="R422" s="215"/>
      <c r="S422" s="215"/>
      <c r="T422" s="215"/>
      <c r="U422" s="215"/>
      <c r="V422" s="215"/>
      <c r="W422" s="215"/>
      <c r="X422" s="215"/>
    </row>
    <row r="423" spans="1:24" ht="14.25" customHeight="1" x14ac:dyDescent="0.2">
      <c r="A423" s="215"/>
      <c r="B423" s="215"/>
      <c r="C423" s="215"/>
      <c r="D423" s="215"/>
      <c r="E423" s="215"/>
      <c r="F423" s="215"/>
      <c r="G423" s="215"/>
      <c r="H423" s="215"/>
      <c r="I423" s="215"/>
      <c r="J423" s="215"/>
      <c r="K423" s="215"/>
      <c r="L423" s="215"/>
      <c r="M423" s="215"/>
      <c r="N423" s="215"/>
      <c r="O423" s="215"/>
      <c r="P423" s="215"/>
      <c r="Q423" s="215"/>
      <c r="R423" s="215"/>
      <c r="S423" s="215"/>
      <c r="T423" s="215"/>
      <c r="U423" s="215"/>
      <c r="V423" s="215"/>
      <c r="W423" s="215"/>
      <c r="X423" s="215"/>
    </row>
    <row r="424" spans="1:24" ht="14.25" customHeight="1" x14ac:dyDescent="0.2">
      <c r="A424" s="215"/>
      <c r="B424" s="215"/>
      <c r="C424" s="215"/>
      <c r="D424" s="215"/>
      <c r="E424" s="215"/>
      <c r="F424" s="215"/>
      <c r="G424" s="215"/>
      <c r="H424" s="215"/>
      <c r="I424" s="215"/>
      <c r="J424" s="215"/>
      <c r="K424" s="215"/>
      <c r="L424" s="215"/>
      <c r="M424" s="215"/>
      <c r="N424" s="215"/>
      <c r="O424" s="215"/>
      <c r="P424" s="215"/>
      <c r="Q424" s="215"/>
      <c r="R424" s="215"/>
      <c r="S424" s="215"/>
      <c r="T424" s="215"/>
      <c r="U424" s="215"/>
      <c r="V424" s="215"/>
      <c r="W424" s="215"/>
      <c r="X424" s="215"/>
    </row>
    <row r="425" spans="1:24" ht="14.25" customHeight="1" x14ac:dyDescent="0.2">
      <c r="A425" s="215"/>
      <c r="B425" s="215"/>
      <c r="C425" s="215"/>
      <c r="D425" s="215"/>
      <c r="E425" s="215"/>
      <c r="F425" s="215"/>
      <c r="G425" s="215"/>
      <c r="H425" s="215"/>
      <c r="I425" s="215"/>
      <c r="J425" s="215"/>
      <c r="K425" s="215"/>
      <c r="L425" s="215"/>
      <c r="M425" s="215"/>
      <c r="N425" s="215"/>
      <c r="O425" s="215"/>
      <c r="P425" s="215"/>
      <c r="Q425" s="215"/>
      <c r="R425" s="215"/>
      <c r="S425" s="215"/>
      <c r="T425" s="215"/>
      <c r="U425" s="215"/>
      <c r="V425" s="215"/>
      <c r="W425" s="215"/>
      <c r="X425" s="215"/>
    </row>
    <row r="426" spans="1:24" ht="14.25" customHeight="1" x14ac:dyDescent="0.2">
      <c r="A426" s="215"/>
      <c r="B426" s="215"/>
      <c r="C426" s="215"/>
      <c r="D426" s="215"/>
      <c r="E426" s="215"/>
      <c r="F426" s="215"/>
      <c r="G426" s="215"/>
      <c r="H426" s="215"/>
      <c r="I426" s="215"/>
      <c r="J426" s="215"/>
      <c r="K426" s="215"/>
      <c r="L426" s="215"/>
      <c r="M426" s="215"/>
      <c r="N426" s="215"/>
      <c r="O426" s="215"/>
      <c r="P426" s="215"/>
      <c r="Q426" s="215"/>
      <c r="R426" s="215"/>
      <c r="S426" s="215"/>
      <c r="T426" s="215"/>
      <c r="U426" s="215"/>
      <c r="V426" s="215"/>
      <c r="W426" s="215"/>
      <c r="X426" s="215"/>
    </row>
    <row r="427" spans="1:24" ht="14.25" customHeight="1" x14ac:dyDescent="0.2">
      <c r="A427" s="215"/>
      <c r="B427" s="215"/>
      <c r="C427" s="215"/>
      <c r="D427" s="215"/>
      <c r="E427" s="215"/>
      <c r="F427" s="215"/>
      <c r="G427" s="215"/>
      <c r="H427" s="215"/>
      <c r="I427" s="215"/>
      <c r="J427" s="215"/>
      <c r="K427" s="215"/>
      <c r="L427" s="215"/>
      <c r="M427" s="215"/>
      <c r="N427" s="215"/>
      <c r="O427" s="215"/>
      <c r="P427" s="215"/>
      <c r="Q427" s="215"/>
      <c r="R427" s="215"/>
      <c r="S427" s="215"/>
      <c r="T427" s="215"/>
      <c r="U427" s="215"/>
      <c r="V427" s="215"/>
      <c r="W427" s="215"/>
      <c r="X427" s="215"/>
    </row>
    <row r="428" spans="1:24" ht="14.25" customHeight="1" x14ac:dyDescent="0.2">
      <c r="A428" s="215"/>
      <c r="B428" s="215"/>
      <c r="C428" s="215"/>
      <c r="D428" s="215"/>
      <c r="E428" s="215"/>
      <c r="F428" s="215"/>
      <c r="G428" s="215"/>
      <c r="H428" s="215"/>
      <c r="I428" s="215"/>
      <c r="J428" s="215"/>
      <c r="K428" s="215"/>
      <c r="L428" s="215"/>
      <c r="M428" s="215"/>
      <c r="N428" s="215"/>
      <c r="O428" s="215"/>
      <c r="P428" s="215"/>
      <c r="Q428" s="215"/>
      <c r="R428" s="215"/>
      <c r="S428" s="215"/>
      <c r="T428" s="215"/>
      <c r="U428" s="215"/>
      <c r="V428" s="215"/>
      <c r="W428" s="215"/>
      <c r="X428" s="215"/>
    </row>
    <row r="429" spans="1:24" ht="14.25" customHeight="1" x14ac:dyDescent="0.2">
      <c r="A429" s="215"/>
      <c r="B429" s="215"/>
      <c r="C429" s="215"/>
      <c r="D429" s="215"/>
      <c r="E429" s="215"/>
      <c r="F429" s="215"/>
      <c r="G429" s="215"/>
      <c r="H429" s="215"/>
      <c r="I429" s="215"/>
      <c r="J429" s="215"/>
      <c r="K429" s="215"/>
      <c r="L429" s="215"/>
      <c r="M429" s="215"/>
      <c r="N429" s="215"/>
      <c r="O429" s="215"/>
      <c r="P429" s="215"/>
      <c r="Q429" s="215"/>
      <c r="R429" s="215"/>
      <c r="S429" s="215"/>
      <c r="T429" s="215"/>
      <c r="U429" s="215"/>
      <c r="V429" s="215"/>
      <c r="W429" s="215"/>
      <c r="X429" s="215"/>
    </row>
    <row r="430" spans="1:24" ht="14.25" customHeight="1" x14ac:dyDescent="0.2">
      <c r="A430" s="215"/>
      <c r="B430" s="215"/>
      <c r="C430" s="215"/>
      <c r="D430" s="215"/>
      <c r="E430" s="215"/>
      <c r="F430" s="215"/>
      <c r="G430" s="215"/>
      <c r="H430" s="215"/>
      <c r="I430" s="215"/>
      <c r="J430" s="215"/>
      <c r="K430" s="215"/>
      <c r="L430" s="215"/>
      <c r="M430" s="215"/>
      <c r="N430" s="215"/>
      <c r="O430" s="215"/>
      <c r="P430" s="215"/>
      <c r="Q430" s="215"/>
      <c r="R430" s="215"/>
      <c r="S430" s="215"/>
      <c r="T430" s="215"/>
      <c r="U430" s="215"/>
      <c r="V430" s="215"/>
      <c r="W430" s="215"/>
      <c r="X430" s="215"/>
    </row>
    <row r="431" spans="1:24" ht="14.25" customHeight="1" x14ac:dyDescent="0.2">
      <c r="A431" s="215"/>
      <c r="B431" s="215"/>
      <c r="C431" s="215"/>
      <c r="D431" s="215"/>
      <c r="E431" s="215"/>
      <c r="F431" s="215"/>
      <c r="G431" s="215"/>
      <c r="H431" s="215"/>
      <c r="I431" s="215"/>
      <c r="J431" s="215"/>
      <c r="K431" s="215"/>
      <c r="L431" s="215"/>
      <c r="M431" s="215"/>
      <c r="N431" s="215"/>
      <c r="O431" s="215"/>
      <c r="P431" s="215"/>
      <c r="Q431" s="215"/>
      <c r="R431" s="215"/>
      <c r="S431" s="215"/>
      <c r="T431" s="215"/>
      <c r="U431" s="215"/>
      <c r="V431" s="215"/>
      <c r="W431" s="215"/>
      <c r="X431" s="215"/>
    </row>
    <row r="432" spans="1:24" ht="14.25" customHeight="1" x14ac:dyDescent="0.2">
      <c r="A432" s="215"/>
      <c r="B432" s="215"/>
      <c r="C432" s="215"/>
      <c r="D432" s="215"/>
      <c r="E432" s="215"/>
      <c r="F432" s="215"/>
      <c r="G432" s="215"/>
      <c r="H432" s="215"/>
      <c r="I432" s="215"/>
      <c r="J432" s="215"/>
      <c r="K432" s="215"/>
      <c r="L432" s="215"/>
      <c r="M432" s="215"/>
      <c r="N432" s="215"/>
      <c r="O432" s="215"/>
      <c r="P432" s="215"/>
      <c r="Q432" s="215"/>
      <c r="R432" s="215"/>
      <c r="S432" s="215"/>
      <c r="T432" s="215"/>
      <c r="U432" s="215"/>
      <c r="V432" s="215"/>
      <c r="W432" s="215"/>
      <c r="X432" s="215"/>
    </row>
    <row r="433" spans="1:24" ht="14.25" customHeight="1" x14ac:dyDescent="0.2">
      <c r="A433" s="215"/>
      <c r="B433" s="215"/>
      <c r="C433" s="215"/>
      <c r="D433" s="215"/>
      <c r="E433" s="215"/>
      <c r="F433" s="215"/>
      <c r="G433" s="215"/>
      <c r="H433" s="215"/>
      <c r="I433" s="215"/>
      <c r="J433" s="215"/>
      <c r="K433" s="215"/>
      <c r="L433" s="215"/>
      <c r="M433" s="215"/>
      <c r="N433" s="215"/>
      <c r="O433" s="215"/>
      <c r="P433" s="215"/>
      <c r="Q433" s="215"/>
      <c r="R433" s="215"/>
      <c r="S433" s="215"/>
      <c r="T433" s="215"/>
      <c r="U433" s="215"/>
      <c r="V433" s="215"/>
      <c r="W433" s="215"/>
      <c r="X433" s="215"/>
    </row>
    <row r="434" spans="1:24" ht="14.25" customHeight="1" x14ac:dyDescent="0.2">
      <c r="A434" s="215"/>
      <c r="B434" s="215"/>
      <c r="C434" s="215"/>
      <c r="D434" s="215"/>
      <c r="E434" s="215"/>
      <c r="F434" s="215"/>
      <c r="G434" s="215"/>
      <c r="H434" s="215"/>
      <c r="I434" s="215"/>
      <c r="J434" s="215"/>
      <c r="K434" s="215"/>
      <c r="L434" s="215"/>
      <c r="M434" s="215"/>
      <c r="N434" s="215"/>
      <c r="O434" s="215"/>
      <c r="P434" s="215"/>
      <c r="Q434" s="215"/>
      <c r="R434" s="215"/>
      <c r="S434" s="215"/>
      <c r="T434" s="215"/>
      <c r="U434" s="215"/>
      <c r="V434" s="215"/>
      <c r="W434" s="215"/>
      <c r="X434" s="215"/>
    </row>
    <row r="435" spans="1:24" ht="14.25" customHeight="1" x14ac:dyDescent="0.2">
      <c r="A435" s="215"/>
      <c r="B435" s="215"/>
      <c r="C435" s="215"/>
      <c r="D435" s="215"/>
      <c r="E435" s="215"/>
      <c r="F435" s="215"/>
      <c r="G435" s="215"/>
      <c r="H435" s="215"/>
      <c r="I435" s="215"/>
      <c r="J435" s="215"/>
      <c r="K435" s="215"/>
      <c r="L435" s="215"/>
      <c r="M435" s="215"/>
      <c r="N435" s="215"/>
      <c r="O435" s="215"/>
      <c r="P435" s="215"/>
      <c r="Q435" s="215"/>
      <c r="R435" s="215"/>
      <c r="S435" s="215"/>
      <c r="T435" s="215"/>
      <c r="U435" s="215"/>
      <c r="V435" s="215"/>
      <c r="W435" s="215"/>
      <c r="X435" s="215"/>
    </row>
    <row r="436" spans="1:24" ht="14.25" customHeight="1" x14ac:dyDescent="0.2">
      <c r="A436" s="215"/>
      <c r="B436" s="215"/>
      <c r="C436" s="215"/>
      <c r="D436" s="215"/>
      <c r="E436" s="215"/>
      <c r="F436" s="215"/>
      <c r="G436" s="215"/>
      <c r="H436" s="215"/>
      <c r="I436" s="215"/>
      <c r="J436" s="215"/>
      <c r="K436" s="215"/>
      <c r="L436" s="215"/>
      <c r="M436" s="215"/>
      <c r="N436" s="215"/>
      <c r="O436" s="215"/>
      <c r="P436" s="215"/>
      <c r="Q436" s="215"/>
      <c r="R436" s="215"/>
      <c r="S436" s="215"/>
      <c r="T436" s="215"/>
      <c r="U436" s="215"/>
      <c r="V436" s="215"/>
      <c r="W436" s="215"/>
      <c r="X436" s="215"/>
    </row>
    <row r="437" spans="1:24" ht="14.25" customHeight="1" x14ac:dyDescent="0.2">
      <c r="A437" s="215"/>
      <c r="B437" s="215"/>
      <c r="C437" s="215"/>
      <c r="D437" s="215"/>
      <c r="E437" s="215"/>
      <c r="F437" s="215"/>
      <c r="G437" s="215"/>
      <c r="H437" s="215"/>
      <c r="I437" s="215"/>
      <c r="J437" s="215"/>
      <c r="K437" s="215"/>
      <c r="L437" s="215"/>
      <c r="M437" s="215"/>
      <c r="N437" s="215"/>
      <c r="O437" s="215"/>
      <c r="P437" s="215"/>
      <c r="Q437" s="215"/>
      <c r="R437" s="215"/>
      <c r="S437" s="215"/>
      <c r="T437" s="215"/>
      <c r="U437" s="215"/>
      <c r="V437" s="215"/>
      <c r="W437" s="215"/>
      <c r="X437" s="215"/>
    </row>
    <row r="438" spans="1:24" ht="14.25" customHeight="1" x14ac:dyDescent="0.2">
      <c r="A438" s="215"/>
      <c r="B438" s="215"/>
      <c r="C438" s="215"/>
      <c r="D438" s="215"/>
      <c r="E438" s="215"/>
      <c r="F438" s="215"/>
      <c r="G438" s="215"/>
      <c r="H438" s="215"/>
      <c r="I438" s="215"/>
      <c r="J438" s="215"/>
      <c r="K438" s="215"/>
      <c r="L438" s="215"/>
      <c r="M438" s="215"/>
      <c r="N438" s="215"/>
      <c r="O438" s="215"/>
      <c r="P438" s="215"/>
      <c r="Q438" s="215"/>
      <c r="R438" s="215"/>
      <c r="S438" s="215"/>
      <c r="T438" s="215"/>
      <c r="U438" s="215"/>
      <c r="V438" s="215"/>
      <c r="W438" s="215"/>
      <c r="X438" s="215"/>
    </row>
    <row r="439" spans="1:24" ht="14.25" customHeight="1" x14ac:dyDescent="0.2">
      <c r="A439" s="215"/>
      <c r="B439" s="215"/>
      <c r="C439" s="215"/>
      <c r="D439" s="215"/>
      <c r="E439" s="215"/>
      <c r="F439" s="215"/>
      <c r="G439" s="215"/>
      <c r="H439" s="215"/>
      <c r="I439" s="215"/>
      <c r="J439" s="215"/>
      <c r="K439" s="215"/>
      <c r="L439" s="215"/>
      <c r="M439" s="215"/>
      <c r="N439" s="215"/>
      <c r="O439" s="215"/>
      <c r="P439" s="215"/>
      <c r="Q439" s="215"/>
      <c r="R439" s="215"/>
      <c r="S439" s="215"/>
      <c r="T439" s="215"/>
      <c r="U439" s="215"/>
      <c r="V439" s="215"/>
      <c r="W439" s="215"/>
      <c r="X439" s="215"/>
    </row>
    <row r="440" spans="1:24" ht="14.25" customHeight="1" x14ac:dyDescent="0.2">
      <c r="A440" s="215"/>
      <c r="B440" s="215"/>
      <c r="C440" s="215"/>
      <c r="D440" s="215"/>
      <c r="E440" s="215"/>
      <c r="F440" s="215"/>
      <c r="G440" s="215"/>
      <c r="H440" s="215"/>
      <c r="I440" s="215"/>
      <c r="J440" s="215"/>
      <c r="K440" s="215"/>
      <c r="L440" s="215"/>
      <c r="M440" s="215"/>
      <c r="N440" s="215"/>
      <c r="O440" s="215"/>
      <c r="P440" s="215"/>
      <c r="Q440" s="215"/>
      <c r="R440" s="215"/>
      <c r="S440" s="215"/>
      <c r="T440" s="215"/>
      <c r="U440" s="215"/>
      <c r="V440" s="215"/>
      <c r="W440" s="215"/>
      <c r="X440" s="215"/>
    </row>
    <row r="441" spans="1:24" ht="14.25" customHeight="1" x14ac:dyDescent="0.2">
      <c r="A441" s="215"/>
      <c r="B441" s="215"/>
      <c r="C441" s="215"/>
      <c r="D441" s="215"/>
      <c r="E441" s="215"/>
      <c r="F441" s="215"/>
      <c r="G441" s="215"/>
      <c r="H441" s="215"/>
      <c r="I441" s="215"/>
      <c r="J441" s="215"/>
      <c r="K441" s="215"/>
      <c r="L441" s="215"/>
      <c r="M441" s="215"/>
      <c r="N441" s="215"/>
      <c r="O441" s="215"/>
      <c r="P441" s="215"/>
      <c r="Q441" s="215"/>
      <c r="R441" s="215"/>
      <c r="S441" s="215"/>
      <c r="T441" s="215"/>
      <c r="U441" s="215"/>
      <c r="V441" s="215"/>
      <c r="W441" s="215"/>
      <c r="X441" s="215"/>
    </row>
    <row r="442" spans="1:24" ht="14.25" customHeight="1" x14ac:dyDescent="0.2">
      <c r="A442" s="215"/>
      <c r="B442" s="215"/>
      <c r="C442" s="215"/>
      <c r="D442" s="215"/>
      <c r="E442" s="215"/>
      <c r="F442" s="215"/>
      <c r="G442" s="215"/>
      <c r="H442" s="215"/>
      <c r="I442" s="215"/>
      <c r="J442" s="215"/>
      <c r="K442" s="215"/>
      <c r="L442" s="215"/>
      <c r="M442" s="215"/>
      <c r="N442" s="215"/>
      <c r="O442" s="215"/>
      <c r="P442" s="215"/>
      <c r="Q442" s="215"/>
      <c r="R442" s="215"/>
      <c r="S442" s="215"/>
      <c r="T442" s="215"/>
      <c r="U442" s="215"/>
      <c r="V442" s="215"/>
      <c r="W442" s="215"/>
      <c r="X442" s="215"/>
    </row>
    <row r="443" spans="1:24" ht="14.25" customHeight="1" x14ac:dyDescent="0.2">
      <c r="A443" s="215"/>
      <c r="B443" s="215"/>
      <c r="C443" s="215"/>
      <c r="D443" s="215"/>
      <c r="E443" s="215"/>
      <c r="F443" s="215"/>
      <c r="G443" s="215"/>
      <c r="H443" s="215"/>
      <c r="I443" s="215"/>
      <c r="J443" s="215"/>
      <c r="K443" s="215"/>
      <c r="L443" s="215"/>
      <c r="M443" s="215"/>
      <c r="N443" s="215"/>
      <c r="O443" s="215"/>
      <c r="P443" s="215"/>
      <c r="Q443" s="215"/>
      <c r="R443" s="215"/>
      <c r="S443" s="215"/>
      <c r="T443" s="215"/>
      <c r="U443" s="215"/>
      <c r="V443" s="215"/>
      <c r="W443" s="215"/>
      <c r="X443" s="215"/>
    </row>
    <row r="444" spans="1:24" ht="14.25" customHeight="1" x14ac:dyDescent="0.2">
      <c r="A444" s="215"/>
      <c r="B444" s="215"/>
      <c r="C444" s="215"/>
      <c r="D444" s="215"/>
      <c r="E444" s="215"/>
      <c r="F444" s="215"/>
      <c r="G444" s="215"/>
      <c r="H444" s="215"/>
      <c r="I444" s="215"/>
      <c r="J444" s="215"/>
      <c r="K444" s="215"/>
      <c r="L444" s="215"/>
      <c r="M444" s="215"/>
      <c r="N444" s="215"/>
      <c r="O444" s="215"/>
      <c r="P444" s="215"/>
      <c r="Q444" s="215"/>
      <c r="R444" s="215"/>
      <c r="S444" s="215"/>
      <c r="T444" s="215"/>
      <c r="U444" s="215"/>
      <c r="V444" s="215"/>
      <c r="W444" s="215"/>
      <c r="X444" s="215"/>
    </row>
    <row r="445" spans="1:24" ht="14.25" customHeight="1" x14ac:dyDescent="0.2">
      <c r="A445" s="215"/>
      <c r="B445" s="215"/>
      <c r="C445" s="215"/>
      <c r="D445" s="215"/>
      <c r="E445" s="215"/>
      <c r="F445" s="215"/>
      <c r="G445" s="215"/>
      <c r="H445" s="215"/>
      <c r="I445" s="215"/>
      <c r="J445" s="215"/>
      <c r="K445" s="215"/>
      <c r="L445" s="215"/>
      <c r="M445" s="215"/>
      <c r="N445" s="215"/>
      <c r="O445" s="215"/>
      <c r="P445" s="215"/>
      <c r="Q445" s="215"/>
      <c r="R445" s="215"/>
      <c r="S445" s="215"/>
      <c r="T445" s="215"/>
      <c r="U445" s="215"/>
      <c r="V445" s="215"/>
      <c r="W445" s="215"/>
      <c r="X445" s="215"/>
    </row>
    <row r="446" spans="1:24" ht="14.25" customHeight="1" x14ac:dyDescent="0.2">
      <c r="A446" s="215"/>
      <c r="B446" s="215"/>
      <c r="C446" s="215"/>
      <c r="D446" s="215"/>
      <c r="E446" s="215"/>
      <c r="F446" s="215"/>
      <c r="G446" s="215"/>
      <c r="H446" s="215"/>
      <c r="I446" s="215"/>
      <c r="J446" s="215"/>
      <c r="K446" s="215"/>
      <c r="L446" s="215"/>
      <c r="M446" s="215"/>
      <c r="N446" s="215"/>
      <c r="O446" s="215"/>
      <c r="P446" s="215"/>
      <c r="Q446" s="215"/>
      <c r="R446" s="215"/>
      <c r="S446" s="215"/>
      <c r="T446" s="215"/>
      <c r="U446" s="215"/>
      <c r="V446" s="215"/>
      <c r="W446" s="215"/>
      <c r="X446" s="215"/>
    </row>
    <row r="447" spans="1:24" ht="14.25" customHeight="1" x14ac:dyDescent="0.2">
      <c r="A447" s="215"/>
      <c r="B447" s="215"/>
      <c r="C447" s="215"/>
      <c r="D447" s="215"/>
      <c r="E447" s="215"/>
      <c r="F447" s="215"/>
      <c r="G447" s="215"/>
      <c r="H447" s="215"/>
      <c r="I447" s="215"/>
      <c r="J447" s="215"/>
      <c r="K447" s="215"/>
      <c r="L447" s="215"/>
      <c r="M447" s="215"/>
      <c r="N447" s="215"/>
      <c r="O447" s="215"/>
      <c r="P447" s="215"/>
      <c r="Q447" s="215"/>
      <c r="R447" s="215"/>
      <c r="S447" s="215"/>
      <c r="T447" s="215"/>
      <c r="U447" s="215"/>
      <c r="V447" s="215"/>
      <c r="W447" s="215"/>
      <c r="X447" s="215"/>
    </row>
    <row r="448" spans="1:24" ht="14.25" customHeight="1" x14ac:dyDescent="0.2">
      <c r="A448" s="215"/>
      <c r="B448" s="215"/>
      <c r="C448" s="215"/>
      <c r="D448" s="215"/>
      <c r="E448" s="215"/>
      <c r="F448" s="215"/>
      <c r="G448" s="215"/>
      <c r="H448" s="215"/>
      <c r="I448" s="215"/>
      <c r="J448" s="215"/>
      <c r="K448" s="215"/>
      <c r="L448" s="215"/>
      <c r="M448" s="215"/>
      <c r="N448" s="215"/>
      <c r="O448" s="215"/>
      <c r="P448" s="215"/>
      <c r="Q448" s="215"/>
      <c r="R448" s="215"/>
      <c r="S448" s="215"/>
      <c r="T448" s="215"/>
      <c r="U448" s="215"/>
      <c r="V448" s="215"/>
      <c r="W448" s="215"/>
      <c r="X448" s="215"/>
    </row>
    <row r="449" spans="1:24" ht="14.25" customHeight="1" x14ac:dyDescent="0.2">
      <c r="A449" s="215"/>
      <c r="B449" s="215"/>
      <c r="C449" s="215"/>
      <c r="D449" s="215"/>
      <c r="E449" s="215"/>
      <c r="F449" s="215"/>
      <c r="G449" s="215"/>
      <c r="H449" s="215"/>
      <c r="I449" s="215"/>
      <c r="J449" s="215"/>
      <c r="K449" s="215"/>
      <c r="L449" s="215"/>
      <c r="M449" s="215"/>
      <c r="N449" s="215"/>
      <c r="O449" s="215"/>
      <c r="P449" s="215"/>
      <c r="Q449" s="215"/>
      <c r="R449" s="215"/>
      <c r="S449" s="215"/>
      <c r="T449" s="215"/>
      <c r="U449" s="215"/>
      <c r="V449" s="215"/>
      <c r="W449" s="215"/>
      <c r="X449" s="215"/>
    </row>
    <row r="450" spans="1:24" ht="14.25" customHeight="1" x14ac:dyDescent="0.2">
      <c r="A450" s="215"/>
      <c r="B450" s="215"/>
      <c r="C450" s="215"/>
      <c r="D450" s="215"/>
      <c r="E450" s="215"/>
      <c r="F450" s="215"/>
      <c r="G450" s="215"/>
      <c r="H450" s="215"/>
      <c r="I450" s="215"/>
      <c r="J450" s="215"/>
      <c r="K450" s="215"/>
      <c r="L450" s="215"/>
      <c r="M450" s="215"/>
      <c r="N450" s="215"/>
      <c r="O450" s="215"/>
      <c r="P450" s="215"/>
      <c r="Q450" s="215"/>
      <c r="R450" s="215"/>
      <c r="S450" s="215"/>
      <c r="T450" s="215"/>
      <c r="U450" s="215"/>
      <c r="V450" s="215"/>
      <c r="W450" s="215"/>
      <c r="X450" s="215"/>
    </row>
    <row r="451" spans="1:24" ht="14.25" customHeight="1" x14ac:dyDescent="0.2">
      <c r="A451" s="215"/>
      <c r="B451" s="215"/>
      <c r="C451" s="215"/>
      <c r="D451" s="215"/>
      <c r="E451" s="215"/>
      <c r="F451" s="215"/>
      <c r="G451" s="215"/>
      <c r="H451" s="215"/>
      <c r="I451" s="215"/>
      <c r="J451" s="215"/>
      <c r="K451" s="215"/>
      <c r="L451" s="215"/>
      <c r="M451" s="215"/>
      <c r="N451" s="215"/>
      <c r="O451" s="215"/>
      <c r="P451" s="215"/>
      <c r="Q451" s="215"/>
      <c r="R451" s="215"/>
      <c r="S451" s="215"/>
      <c r="T451" s="215"/>
      <c r="U451" s="215"/>
      <c r="V451" s="215"/>
      <c r="W451" s="215"/>
      <c r="X451" s="215"/>
    </row>
    <row r="452" spans="1:24" ht="14.25" customHeight="1" x14ac:dyDescent="0.2">
      <c r="A452" s="215"/>
      <c r="B452" s="215"/>
      <c r="C452" s="215"/>
      <c r="D452" s="215"/>
      <c r="E452" s="215"/>
      <c r="F452" s="215"/>
      <c r="G452" s="215"/>
      <c r="H452" s="215"/>
      <c r="I452" s="215"/>
      <c r="J452" s="215"/>
      <c r="K452" s="215"/>
      <c r="L452" s="215"/>
      <c r="M452" s="215"/>
      <c r="N452" s="215"/>
      <c r="O452" s="215"/>
      <c r="P452" s="215"/>
      <c r="Q452" s="215"/>
      <c r="R452" s="215"/>
      <c r="S452" s="215"/>
      <c r="T452" s="215"/>
      <c r="U452" s="215"/>
      <c r="V452" s="215"/>
      <c r="W452" s="215"/>
      <c r="X452" s="215"/>
    </row>
    <row r="453" spans="1:24" ht="14.25" customHeight="1" x14ac:dyDescent="0.2">
      <c r="A453" s="215"/>
      <c r="B453" s="215"/>
      <c r="C453" s="215"/>
      <c r="D453" s="215"/>
      <c r="E453" s="215"/>
      <c r="F453" s="215"/>
      <c r="G453" s="215"/>
      <c r="H453" s="215"/>
      <c r="I453" s="215"/>
      <c r="J453" s="215"/>
      <c r="K453" s="215"/>
      <c r="L453" s="215"/>
      <c r="M453" s="215"/>
      <c r="N453" s="215"/>
      <c r="O453" s="215"/>
      <c r="P453" s="215"/>
      <c r="Q453" s="215"/>
      <c r="R453" s="215"/>
      <c r="S453" s="215"/>
      <c r="T453" s="215"/>
      <c r="U453" s="215"/>
      <c r="V453" s="215"/>
      <c r="W453" s="215"/>
      <c r="X453" s="215"/>
    </row>
    <row r="454" spans="1:24" ht="14.25" customHeight="1" x14ac:dyDescent="0.2">
      <c r="A454" s="215"/>
      <c r="B454" s="215"/>
      <c r="C454" s="215"/>
      <c r="D454" s="215"/>
      <c r="E454" s="215"/>
      <c r="F454" s="215"/>
      <c r="G454" s="215"/>
      <c r="H454" s="215"/>
      <c r="I454" s="215"/>
      <c r="J454" s="215"/>
      <c r="K454" s="215"/>
      <c r="L454" s="215"/>
      <c r="M454" s="215"/>
      <c r="N454" s="215"/>
      <c r="O454" s="215"/>
      <c r="P454" s="215"/>
      <c r="Q454" s="215"/>
      <c r="R454" s="215"/>
      <c r="S454" s="215"/>
      <c r="T454" s="215"/>
      <c r="U454" s="215"/>
      <c r="V454" s="215"/>
      <c r="W454" s="215"/>
      <c r="X454" s="215"/>
    </row>
    <row r="455" spans="1:24" ht="14.25" customHeight="1" x14ac:dyDescent="0.2">
      <c r="A455" s="215"/>
      <c r="B455" s="215"/>
      <c r="C455" s="215"/>
      <c r="D455" s="215"/>
      <c r="E455" s="215"/>
      <c r="F455" s="215"/>
      <c r="G455" s="215"/>
      <c r="H455" s="215"/>
      <c r="I455" s="215"/>
      <c r="J455" s="215"/>
      <c r="K455" s="215"/>
      <c r="L455" s="215"/>
      <c r="M455" s="215"/>
      <c r="N455" s="215"/>
      <c r="O455" s="215"/>
      <c r="P455" s="215"/>
      <c r="Q455" s="215"/>
      <c r="R455" s="215"/>
      <c r="S455" s="215"/>
      <c r="T455" s="215"/>
      <c r="U455" s="215"/>
      <c r="V455" s="215"/>
      <c r="W455" s="215"/>
      <c r="X455" s="215"/>
    </row>
    <row r="456" spans="1:24" ht="14.25" customHeight="1" x14ac:dyDescent="0.2">
      <c r="A456" s="215"/>
      <c r="B456" s="215"/>
      <c r="C456" s="215"/>
      <c r="D456" s="215"/>
      <c r="E456" s="215"/>
      <c r="F456" s="215"/>
      <c r="G456" s="215"/>
      <c r="H456" s="215"/>
      <c r="I456" s="215"/>
      <c r="J456" s="215"/>
      <c r="K456" s="215"/>
      <c r="L456" s="215"/>
      <c r="M456" s="215"/>
      <c r="N456" s="215"/>
      <c r="O456" s="215"/>
      <c r="P456" s="215"/>
      <c r="Q456" s="215"/>
      <c r="R456" s="215"/>
      <c r="S456" s="215"/>
      <c r="T456" s="215"/>
      <c r="U456" s="215"/>
      <c r="V456" s="215"/>
      <c r="W456" s="215"/>
      <c r="X456" s="215"/>
    </row>
    <row r="457" spans="1:24" ht="14.25" customHeight="1" x14ac:dyDescent="0.2">
      <c r="A457" s="215"/>
      <c r="B457" s="215"/>
      <c r="C457" s="215"/>
      <c r="D457" s="215"/>
      <c r="E457" s="215"/>
      <c r="F457" s="215"/>
      <c r="G457" s="215"/>
      <c r="H457" s="215"/>
      <c r="I457" s="215"/>
      <c r="J457" s="215"/>
      <c r="K457" s="215"/>
      <c r="L457" s="215"/>
      <c r="M457" s="215"/>
      <c r="N457" s="215"/>
      <c r="O457" s="215"/>
      <c r="P457" s="215"/>
      <c r="Q457" s="215"/>
      <c r="R457" s="215"/>
      <c r="S457" s="215"/>
      <c r="T457" s="215"/>
      <c r="U457" s="215"/>
      <c r="V457" s="215"/>
      <c r="W457" s="215"/>
      <c r="X457" s="215"/>
    </row>
    <row r="458" spans="1:24" ht="14.25" customHeight="1" x14ac:dyDescent="0.2">
      <c r="A458" s="215"/>
      <c r="B458" s="215"/>
      <c r="C458" s="215"/>
      <c r="D458" s="215"/>
      <c r="E458" s="215"/>
      <c r="F458" s="215"/>
      <c r="G458" s="215"/>
      <c r="H458" s="215"/>
      <c r="I458" s="215"/>
      <c r="J458" s="215"/>
      <c r="K458" s="215"/>
      <c r="L458" s="215"/>
      <c r="M458" s="215"/>
      <c r="N458" s="215"/>
      <c r="O458" s="215"/>
      <c r="P458" s="215"/>
      <c r="Q458" s="215"/>
      <c r="R458" s="215"/>
      <c r="S458" s="215"/>
      <c r="T458" s="215"/>
      <c r="U458" s="215"/>
      <c r="V458" s="215"/>
      <c r="W458" s="215"/>
      <c r="X458" s="215"/>
    </row>
    <row r="459" spans="1:24" ht="14.25" customHeight="1" x14ac:dyDescent="0.2">
      <c r="A459" s="215"/>
      <c r="B459" s="215"/>
      <c r="C459" s="215"/>
      <c r="D459" s="215"/>
      <c r="E459" s="215"/>
      <c r="F459" s="215"/>
      <c r="G459" s="215"/>
      <c r="H459" s="215"/>
      <c r="I459" s="215"/>
      <c r="J459" s="215"/>
      <c r="K459" s="215"/>
      <c r="L459" s="215"/>
      <c r="M459" s="215"/>
      <c r="N459" s="215"/>
      <c r="O459" s="215"/>
      <c r="P459" s="215"/>
      <c r="Q459" s="215"/>
      <c r="R459" s="215"/>
      <c r="S459" s="215"/>
      <c r="T459" s="215"/>
      <c r="U459" s="215"/>
      <c r="V459" s="215"/>
      <c r="W459" s="215"/>
      <c r="X459" s="215"/>
    </row>
    <row r="460" spans="1:24" ht="14.25" customHeight="1" x14ac:dyDescent="0.2">
      <c r="A460" s="215"/>
      <c r="B460" s="215"/>
      <c r="C460" s="215"/>
      <c r="D460" s="215"/>
      <c r="E460" s="215"/>
      <c r="F460" s="215"/>
      <c r="G460" s="215"/>
      <c r="H460" s="215"/>
      <c r="I460" s="215"/>
      <c r="J460" s="215"/>
      <c r="K460" s="215"/>
      <c r="L460" s="215"/>
      <c r="M460" s="215"/>
      <c r="N460" s="215"/>
      <c r="O460" s="215"/>
      <c r="P460" s="215"/>
      <c r="Q460" s="215"/>
      <c r="R460" s="215"/>
      <c r="S460" s="215"/>
      <c r="T460" s="215"/>
      <c r="U460" s="215"/>
      <c r="V460" s="215"/>
      <c r="W460" s="215"/>
      <c r="X460" s="215"/>
    </row>
    <row r="461" spans="1:24" ht="14.25" customHeight="1" x14ac:dyDescent="0.2">
      <c r="A461" s="215"/>
      <c r="B461" s="215"/>
      <c r="C461" s="215"/>
      <c r="D461" s="215"/>
      <c r="E461" s="215"/>
      <c r="F461" s="215"/>
      <c r="G461" s="215"/>
      <c r="H461" s="215"/>
      <c r="I461" s="215"/>
      <c r="J461" s="215"/>
      <c r="K461" s="215"/>
      <c r="L461" s="215"/>
      <c r="M461" s="215"/>
      <c r="N461" s="215"/>
      <c r="O461" s="215"/>
      <c r="P461" s="215"/>
      <c r="Q461" s="215"/>
      <c r="R461" s="215"/>
      <c r="S461" s="215"/>
      <c r="T461" s="215"/>
      <c r="U461" s="215"/>
      <c r="V461" s="215"/>
      <c r="W461" s="215"/>
      <c r="X461" s="215"/>
    </row>
    <row r="462" spans="1:24" ht="14.25" customHeight="1" x14ac:dyDescent="0.2">
      <c r="A462" s="215"/>
      <c r="B462" s="215"/>
      <c r="C462" s="215"/>
      <c r="D462" s="215"/>
      <c r="E462" s="215"/>
      <c r="F462" s="215"/>
      <c r="G462" s="215"/>
      <c r="H462" s="215"/>
      <c r="I462" s="215"/>
      <c r="J462" s="215"/>
      <c r="K462" s="215"/>
      <c r="L462" s="215"/>
      <c r="M462" s="215"/>
      <c r="N462" s="215"/>
      <c r="O462" s="215"/>
      <c r="P462" s="215"/>
      <c r="Q462" s="215"/>
      <c r="R462" s="215"/>
      <c r="S462" s="215"/>
      <c r="T462" s="215"/>
      <c r="U462" s="215"/>
      <c r="V462" s="215"/>
      <c r="W462" s="215"/>
      <c r="X462" s="215"/>
    </row>
    <row r="463" spans="1:24" ht="14.25" customHeight="1" x14ac:dyDescent="0.2">
      <c r="A463" s="215"/>
      <c r="B463" s="215"/>
      <c r="C463" s="215"/>
      <c r="D463" s="215"/>
      <c r="E463" s="215"/>
      <c r="F463" s="215"/>
      <c r="G463" s="215"/>
      <c r="H463" s="215"/>
      <c r="I463" s="215"/>
      <c r="J463" s="215"/>
      <c r="K463" s="215"/>
      <c r="L463" s="215"/>
      <c r="M463" s="215"/>
      <c r="N463" s="215"/>
      <c r="O463" s="215"/>
      <c r="P463" s="215"/>
      <c r="Q463" s="215"/>
      <c r="R463" s="215"/>
      <c r="S463" s="215"/>
      <c r="T463" s="215"/>
      <c r="U463" s="215"/>
      <c r="V463" s="215"/>
      <c r="W463" s="215"/>
      <c r="X463" s="215"/>
    </row>
    <row r="464" spans="1:24" ht="14.25" customHeight="1" x14ac:dyDescent="0.2">
      <c r="A464" s="215"/>
      <c r="B464" s="215"/>
      <c r="C464" s="215"/>
      <c r="D464" s="215"/>
      <c r="E464" s="215"/>
      <c r="F464" s="215"/>
      <c r="G464" s="215"/>
      <c r="H464" s="215"/>
      <c r="I464" s="215"/>
      <c r="J464" s="215"/>
      <c r="K464" s="215"/>
      <c r="L464" s="215"/>
      <c r="M464" s="215"/>
      <c r="N464" s="215"/>
      <c r="O464" s="215"/>
      <c r="P464" s="215"/>
      <c r="Q464" s="215"/>
      <c r="R464" s="215"/>
      <c r="S464" s="215"/>
      <c r="T464" s="215"/>
      <c r="U464" s="215"/>
      <c r="V464" s="215"/>
      <c r="W464" s="215"/>
      <c r="X464" s="215"/>
    </row>
    <row r="465" spans="1:24" ht="14.25" customHeight="1" x14ac:dyDescent="0.2">
      <c r="A465" s="215"/>
      <c r="B465" s="215"/>
      <c r="C465" s="215"/>
      <c r="D465" s="215"/>
      <c r="E465" s="215"/>
      <c r="F465" s="215"/>
      <c r="G465" s="215"/>
      <c r="H465" s="215"/>
      <c r="I465" s="215"/>
      <c r="J465" s="215"/>
      <c r="K465" s="215"/>
      <c r="L465" s="215"/>
      <c r="M465" s="215"/>
      <c r="N465" s="215"/>
      <c r="O465" s="215"/>
      <c r="P465" s="215"/>
      <c r="Q465" s="215"/>
      <c r="R465" s="215"/>
      <c r="S465" s="215"/>
      <c r="T465" s="215"/>
      <c r="U465" s="215"/>
      <c r="V465" s="215"/>
      <c r="W465" s="215"/>
      <c r="X465" s="215"/>
    </row>
    <row r="466" spans="1:24" ht="14.25" customHeight="1" x14ac:dyDescent="0.2">
      <c r="A466" s="215"/>
      <c r="B466" s="215"/>
      <c r="C466" s="215"/>
      <c r="D466" s="215"/>
      <c r="E466" s="215"/>
      <c r="F466" s="215"/>
      <c r="G466" s="215"/>
      <c r="H466" s="215"/>
      <c r="I466" s="215"/>
      <c r="J466" s="215"/>
      <c r="K466" s="215"/>
      <c r="L466" s="215"/>
      <c r="M466" s="215"/>
      <c r="N466" s="215"/>
      <c r="O466" s="215"/>
      <c r="P466" s="215"/>
      <c r="Q466" s="215"/>
      <c r="R466" s="215"/>
      <c r="S466" s="215"/>
      <c r="T466" s="215"/>
      <c r="U466" s="215"/>
      <c r="V466" s="215"/>
      <c r="W466" s="215"/>
      <c r="X466" s="215"/>
    </row>
    <row r="467" spans="1:24" ht="14.25" customHeight="1" x14ac:dyDescent="0.2">
      <c r="A467" s="215"/>
      <c r="B467" s="215"/>
      <c r="C467" s="215"/>
      <c r="D467" s="215"/>
      <c r="E467" s="215"/>
      <c r="F467" s="215"/>
      <c r="G467" s="215"/>
      <c r="H467" s="215"/>
      <c r="I467" s="215"/>
      <c r="J467" s="215"/>
      <c r="K467" s="215"/>
      <c r="L467" s="215"/>
      <c r="M467" s="215"/>
      <c r="N467" s="215"/>
      <c r="O467" s="215"/>
      <c r="P467" s="215"/>
      <c r="Q467" s="215"/>
      <c r="R467" s="215"/>
      <c r="S467" s="215"/>
      <c r="T467" s="215"/>
      <c r="U467" s="215"/>
      <c r="V467" s="215"/>
      <c r="W467" s="215"/>
      <c r="X467" s="215"/>
    </row>
    <row r="468" spans="1:24" ht="14.25" customHeight="1" x14ac:dyDescent="0.2">
      <c r="A468" s="215"/>
      <c r="B468" s="215"/>
      <c r="C468" s="215"/>
      <c r="D468" s="215"/>
      <c r="E468" s="215"/>
      <c r="F468" s="215"/>
      <c r="G468" s="215"/>
      <c r="H468" s="215"/>
      <c r="I468" s="215"/>
      <c r="J468" s="215"/>
      <c r="K468" s="215"/>
      <c r="L468" s="215"/>
      <c r="M468" s="215"/>
      <c r="N468" s="215"/>
      <c r="O468" s="215"/>
      <c r="P468" s="215"/>
      <c r="Q468" s="215"/>
      <c r="R468" s="215"/>
      <c r="S468" s="215"/>
      <c r="T468" s="215"/>
      <c r="U468" s="215"/>
      <c r="V468" s="215"/>
      <c r="W468" s="215"/>
      <c r="X468" s="215"/>
    </row>
    <row r="469" spans="1:24" ht="14.25" customHeight="1" x14ac:dyDescent="0.2">
      <c r="A469" s="215"/>
      <c r="B469" s="215"/>
      <c r="C469" s="215"/>
      <c r="D469" s="215"/>
      <c r="E469" s="215"/>
      <c r="F469" s="215"/>
      <c r="G469" s="215"/>
      <c r="H469" s="215"/>
      <c r="I469" s="215"/>
      <c r="J469" s="215"/>
      <c r="K469" s="215"/>
      <c r="L469" s="215"/>
      <c r="M469" s="215"/>
      <c r="N469" s="215"/>
      <c r="O469" s="215"/>
      <c r="P469" s="215"/>
      <c r="Q469" s="215"/>
      <c r="R469" s="215"/>
      <c r="S469" s="215"/>
      <c r="T469" s="215"/>
      <c r="U469" s="215"/>
      <c r="V469" s="215"/>
      <c r="W469" s="215"/>
      <c r="X469" s="215"/>
    </row>
    <row r="470" spans="1:24" ht="14.25" customHeight="1" x14ac:dyDescent="0.2">
      <c r="A470" s="215"/>
      <c r="B470" s="215"/>
      <c r="C470" s="215"/>
      <c r="D470" s="215"/>
      <c r="E470" s="215"/>
      <c r="F470" s="215"/>
      <c r="G470" s="215"/>
      <c r="H470" s="215"/>
      <c r="I470" s="215"/>
      <c r="J470" s="215"/>
      <c r="K470" s="215"/>
      <c r="L470" s="215"/>
      <c r="M470" s="215"/>
      <c r="N470" s="215"/>
      <c r="O470" s="215"/>
      <c r="P470" s="215"/>
      <c r="Q470" s="215"/>
      <c r="R470" s="215"/>
      <c r="S470" s="215"/>
      <c r="T470" s="215"/>
      <c r="U470" s="215"/>
      <c r="V470" s="215"/>
      <c r="W470" s="215"/>
      <c r="X470" s="215"/>
    </row>
    <row r="471" spans="1:24" ht="14.25" customHeight="1" x14ac:dyDescent="0.2">
      <c r="A471" s="215"/>
      <c r="B471" s="215"/>
      <c r="C471" s="215"/>
      <c r="D471" s="215"/>
      <c r="E471" s="215"/>
      <c r="F471" s="215"/>
      <c r="G471" s="215"/>
      <c r="H471" s="215"/>
      <c r="I471" s="215"/>
      <c r="J471" s="215"/>
      <c r="K471" s="215"/>
      <c r="L471" s="215"/>
      <c r="M471" s="215"/>
      <c r="N471" s="215"/>
      <c r="O471" s="215"/>
      <c r="P471" s="215"/>
      <c r="Q471" s="215"/>
      <c r="R471" s="215"/>
      <c r="S471" s="215"/>
      <c r="T471" s="215"/>
      <c r="U471" s="215"/>
      <c r="V471" s="215"/>
      <c r="W471" s="215"/>
      <c r="X471" s="215"/>
    </row>
    <row r="472" spans="1:24" ht="14.25" customHeight="1" x14ac:dyDescent="0.2">
      <c r="A472" s="215"/>
      <c r="B472" s="215"/>
      <c r="C472" s="215"/>
      <c r="D472" s="215"/>
      <c r="E472" s="215"/>
      <c r="F472" s="215"/>
      <c r="G472" s="215"/>
      <c r="H472" s="215"/>
      <c r="I472" s="215"/>
      <c r="J472" s="215"/>
      <c r="K472" s="215"/>
      <c r="L472" s="215"/>
      <c r="M472" s="215"/>
      <c r="N472" s="215"/>
      <c r="O472" s="215"/>
      <c r="P472" s="215"/>
      <c r="Q472" s="215"/>
      <c r="R472" s="215"/>
      <c r="S472" s="215"/>
      <c r="T472" s="215"/>
      <c r="U472" s="215"/>
      <c r="V472" s="215"/>
      <c r="W472" s="215"/>
      <c r="X472" s="215"/>
    </row>
    <row r="473" spans="1:24" ht="14.25" customHeight="1" x14ac:dyDescent="0.2">
      <c r="A473" s="215"/>
      <c r="B473" s="215"/>
      <c r="C473" s="215"/>
      <c r="D473" s="215"/>
      <c r="E473" s="215"/>
      <c r="F473" s="215"/>
      <c r="G473" s="215"/>
      <c r="H473" s="215"/>
      <c r="I473" s="215"/>
      <c r="J473" s="215"/>
      <c r="K473" s="215"/>
      <c r="L473" s="215"/>
      <c r="M473" s="215"/>
      <c r="N473" s="215"/>
      <c r="O473" s="215"/>
      <c r="P473" s="215"/>
      <c r="Q473" s="215"/>
      <c r="R473" s="215"/>
      <c r="S473" s="215"/>
      <c r="T473" s="215"/>
      <c r="U473" s="215"/>
      <c r="V473" s="215"/>
      <c r="W473" s="215"/>
      <c r="X473" s="215"/>
    </row>
    <row r="474" spans="1:24" ht="14.25" customHeight="1" x14ac:dyDescent="0.2">
      <c r="A474" s="215"/>
      <c r="B474" s="215"/>
      <c r="C474" s="215"/>
      <c r="D474" s="215"/>
      <c r="E474" s="215"/>
      <c r="F474" s="215"/>
      <c r="G474" s="215"/>
      <c r="H474" s="215"/>
      <c r="I474" s="215"/>
      <c r="J474" s="215"/>
      <c r="K474" s="215"/>
      <c r="L474" s="215"/>
      <c r="M474" s="215"/>
      <c r="N474" s="215"/>
      <c r="O474" s="215"/>
      <c r="P474" s="215"/>
      <c r="Q474" s="215"/>
      <c r="R474" s="215"/>
      <c r="S474" s="215"/>
      <c r="T474" s="215"/>
      <c r="U474" s="215"/>
      <c r="V474" s="215"/>
      <c r="W474" s="215"/>
      <c r="X474" s="215"/>
    </row>
    <row r="475" spans="1:24" ht="14.25" customHeight="1" x14ac:dyDescent="0.2">
      <c r="A475" s="215"/>
      <c r="B475" s="215"/>
      <c r="C475" s="215"/>
      <c r="D475" s="215"/>
      <c r="E475" s="215"/>
      <c r="F475" s="215"/>
      <c r="G475" s="215"/>
      <c r="H475" s="215"/>
      <c r="I475" s="215"/>
      <c r="J475" s="215"/>
      <c r="K475" s="215"/>
      <c r="L475" s="215"/>
      <c r="M475" s="215"/>
      <c r="N475" s="215"/>
      <c r="O475" s="215"/>
      <c r="P475" s="215"/>
      <c r="Q475" s="215"/>
      <c r="R475" s="215"/>
      <c r="S475" s="215"/>
      <c r="T475" s="215"/>
      <c r="U475" s="215"/>
      <c r="V475" s="215"/>
      <c r="W475" s="215"/>
      <c r="X475" s="215"/>
    </row>
    <row r="476" spans="1:24" ht="14.25" customHeight="1" x14ac:dyDescent="0.2">
      <c r="A476" s="215"/>
      <c r="B476" s="215"/>
      <c r="C476" s="215"/>
      <c r="D476" s="215"/>
      <c r="E476" s="215"/>
      <c r="F476" s="215"/>
      <c r="G476" s="215"/>
      <c r="H476" s="215"/>
      <c r="I476" s="215"/>
      <c r="J476" s="215"/>
      <c r="K476" s="215"/>
      <c r="L476" s="215"/>
      <c r="M476" s="215"/>
      <c r="N476" s="215"/>
      <c r="O476" s="215"/>
      <c r="P476" s="215"/>
      <c r="Q476" s="215"/>
      <c r="R476" s="215"/>
      <c r="S476" s="215"/>
      <c r="T476" s="215"/>
      <c r="U476" s="215"/>
      <c r="V476" s="215"/>
      <c r="W476" s="215"/>
      <c r="X476" s="215"/>
    </row>
    <row r="477" spans="1:24" ht="14.25" customHeight="1" x14ac:dyDescent="0.2">
      <c r="A477" s="215"/>
      <c r="B477" s="215"/>
      <c r="C477" s="215"/>
      <c r="D477" s="215"/>
      <c r="E477" s="215"/>
      <c r="F477" s="215"/>
      <c r="G477" s="215"/>
      <c r="H477" s="215"/>
      <c r="I477" s="215"/>
      <c r="J477" s="215"/>
      <c r="K477" s="215"/>
      <c r="L477" s="215"/>
      <c r="M477" s="215"/>
      <c r="N477" s="215"/>
      <c r="O477" s="215"/>
      <c r="P477" s="215"/>
      <c r="Q477" s="215"/>
      <c r="R477" s="215"/>
      <c r="S477" s="215"/>
      <c r="T477" s="215"/>
      <c r="U477" s="215"/>
      <c r="V477" s="215"/>
      <c r="W477" s="215"/>
      <c r="X477" s="215"/>
    </row>
    <row r="478" spans="1:24" ht="14.25" customHeight="1" x14ac:dyDescent="0.2">
      <c r="A478" s="215"/>
      <c r="B478" s="215"/>
      <c r="C478" s="215"/>
      <c r="D478" s="215"/>
      <c r="E478" s="215"/>
      <c r="F478" s="215"/>
      <c r="G478" s="215"/>
      <c r="H478" s="215"/>
      <c r="I478" s="215"/>
      <c r="J478" s="215"/>
      <c r="K478" s="215"/>
      <c r="L478" s="215"/>
      <c r="M478" s="215"/>
      <c r="N478" s="215"/>
      <c r="O478" s="215"/>
      <c r="P478" s="215"/>
      <c r="Q478" s="215"/>
      <c r="R478" s="215"/>
      <c r="S478" s="215"/>
      <c r="T478" s="215"/>
      <c r="U478" s="215"/>
      <c r="V478" s="215"/>
      <c r="W478" s="215"/>
      <c r="X478" s="215"/>
    </row>
    <row r="479" spans="1:24" ht="14.25" customHeight="1" x14ac:dyDescent="0.2">
      <c r="A479" s="215"/>
      <c r="B479" s="215"/>
      <c r="C479" s="215"/>
      <c r="D479" s="215"/>
      <c r="E479" s="215"/>
      <c r="F479" s="215"/>
      <c r="G479" s="215"/>
      <c r="H479" s="215"/>
      <c r="I479" s="215"/>
      <c r="J479" s="215"/>
      <c r="K479" s="215"/>
      <c r="L479" s="215"/>
      <c r="M479" s="215"/>
      <c r="N479" s="215"/>
      <c r="O479" s="215"/>
      <c r="P479" s="215"/>
      <c r="Q479" s="215"/>
      <c r="R479" s="215"/>
      <c r="S479" s="215"/>
      <c r="T479" s="215"/>
      <c r="U479" s="215"/>
      <c r="V479" s="215"/>
      <c r="W479" s="215"/>
      <c r="X479" s="215"/>
    </row>
    <row r="480" spans="1:24" ht="14.25" customHeight="1" x14ac:dyDescent="0.2">
      <c r="A480" s="215"/>
      <c r="B480" s="215"/>
      <c r="C480" s="215"/>
      <c r="D480" s="215"/>
      <c r="E480" s="215"/>
      <c r="F480" s="215"/>
      <c r="G480" s="215"/>
      <c r="H480" s="215"/>
      <c r="I480" s="215"/>
      <c r="J480" s="215"/>
      <c r="K480" s="215"/>
      <c r="L480" s="215"/>
      <c r="M480" s="215"/>
      <c r="N480" s="215"/>
      <c r="O480" s="215"/>
      <c r="P480" s="215"/>
      <c r="Q480" s="215"/>
      <c r="R480" s="215"/>
      <c r="S480" s="215"/>
      <c r="T480" s="215"/>
      <c r="U480" s="215"/>
      <c r="V480" s="215"/>
      <c r="W480" s="215"/>
      <c r="X480" s="215"/>
    </row>
    <row r="481" spans="1:24" ht="14.25" customHeight="1" x14ac:dyDescent="0.2">
      <c r="A481" s="215"/>
      <c r="B481" s="215"/>
      <c r="C481" s="215"/>
      <c r="D481" s="215"/>
      <c r="E481" s="215"/>
      <c r="F481" s="215"/>
      <c r="G481" s="215"/>
      <c r="H481" s="215"/>
      <c r="I481" s="215"/>
      <c r="J481" s="215"/>
      <c r="K481" s="215"/>
      <c r="L481" s="215"/>
      <c r="M481" s="215"/>
      <c r="N481" s="215"/>
      <c r="O481" s="215"/>
      <c r="P481" s="215"/>
      <c r="Q481" s="215"/>
      <c r="R481" s="215"/>
      <c r="S481" s="215"/>
      <c r="T481" s="215"/>
      <c r="U481" s="215"/>
      <c r="V481" s="215"/>
      <c r="W481" s="215"/>
      <c r="X481" s="215"/>
    </row>
    <row r="482" spans="1:24" ht="14.25" customHeight="1" x14ac:dyDescent="0.2">
      <c r="A482" s="215"/>
      <c r="B482" s="215"/>
      <c r="C482" s="215"/>
      <c r="D482" s="215"/>
      <c r="E482" s="215"/>
      <c r="F482" s="215"/>
      <c r="G482" s="215"/>
      <c r="H482" s="215"/>
      <c r="I482" s="215"/>
      <c r="J482" s="215"/>
      <c r="K482" s="215"/>
      <c r="L482" s="215"/>
      <c r="M482" s="215"/>
      <c r="N482" s="215"/>
      <c r="O482" s="215"/>
      <c r="P482" s="215"/>
      <c r="Q482" s="215"/>
      <c r="R482" s="215"/>
      <c r="S482" s="215"/>
      <c r="T482" s="215"/>
      <c r="U482" s="215"/>
      <c r="V482" s="215"/>
      <c r="W482" s="215"/>
      <c r="X482" s="215"/>
    </row>
    <row r="483" spans="1:24" ht="14.25" customHeight="1" x14ac:dyDescent="0.2">
      <c r="A483" s="215"/>
      <c r="B483" s="215"/>
      <c r="C483" s="215"/>
      <c r="D483" s="215"/>
      <c r="E483" s="215"/>
      <c r="F483" s="215"/>
      <c r="G483" s="215"/>
      <c r="H483" s="215"/>
      <c r="I483" s="215"/>
      <c r="J483" s="215"/>
      <c r="K483" s="215"/>
      <c r="L483" s="215"/>
      <c r="M483" s="215"/>
      <c r="N483" s="215"/>
      <c r="O483" s="215"/>
      <c r="P483" s="215"/>
      <c r="Q483" s="215"/>
      <c r="R483" s="215"/>
      <c r="S483" s="215"/>
      <c r="T483" s="215"/>
      <c r="U483" s="215"/>
      <c r="V483" s="215"/>
      <c r="W483" s="215"/>
      <c r="X483" s="215"/>
    </row>
    <row r="484" spans="1:24" ht="14.25" customHeight="1" x14ac:dyDescent="0.2">
      <c r="A484" s="215"/>
      <c r="B484" s="215"/>
      <c r="C484" s="215"/>
      <c r="D484" s="215"/>
      <c r="E484" s="215"/>
      <c r="F484" s="215"/>
      <c r="G484" s="215"/>
      <c r="H484" s="215"/>
      <c r="I484" s="215"/>
      <c r="J484" s="215"/>
      <c r="K484" s="215"/>
      <c r="L484" s="215"/>
      <c r="M484" s="215"/>
      <c r="N484" s="215"/>
      <c r="O484" s="215"/>
      <c r="P484" s="215"/>
      <c r="Q484" s="215"/>
      <c r="R484" s="215"/>
      <c r="S484" s="215"/>
      <c r="T484" s="215"/>
      <c r="U484" s="215"/>
      <c r="V484" s="215"/>
      <c r="W484" s="215"/>
      <c r="X484" s="215"/>
    </row>
    <row r="485" spans="1:24" ht="14.25" customHeight="1" x14ac:dyDescent="0.2">
      <c r="A485" s="215"/>
      <c r="B485" s="215"/>
      <c r="C485" s="215"/>
      <c r="D485" s="215"/>
      <c r="E485" s="215"/>
      <c r="F485" s="215"/>
      <c r="G485" s="215"/>
      <c r="H485" s="215"/>
      <c r="I485" s="215"/>
      <c r="J485" s="215"/>
      <c r="K485" s="215"/>
      <c r="L485" s="215"/>
      <c r="M485" s="215"/>
      <c r="N485" s="215"/>
      <c r="O485" s="215"/>
      <c r="P485" s="215"/>
      <c r="Q485" s="215"/>
      <c r="R485" s="215"/>
      <c r="S485" s="215"/>
      <c r="T485" s="215"/>
      <c r="U485" s="215"/>
      <c r="V485" s="215"/>
      <c r="W485" s="215"/>
      <c r="X485" s="215"/>
    </row>
    <row r="486" spans="1:24" ht="14.25" customHeight="1" x14ac:dyDescent="0.2">
      <c r="A486" s="215"/>
      <c r="B486" s="215"/>
      <c r="C486" s="215"/>
      <c r="D486" s="215"/>
      <c r="E486" s="215"/>
      <c r="F486" s="215"/>
      <c r="G486" s="215"/>
      <c r="H486" s="215"/>
      <c r="I486" s="215"/>
      <c r="J486" s="215"/>
      <c r="K486" s="215"/>
      <c r="L486" s="215"/>
      <c r="M486" s="215"/>
      <c r="N486" s="215"/>
      <c r="O486" s="215"/>
      <c r="P486" s="215"/>
      <c r="Q486" s="215"/>
      <c r="R486" s="215"/>
      <c r="S486" s="215"/>
      <c r="T486" s="215"/>
      <c r="U486" s="215"/>
      <c r="V486" s="215"/>
      <c r="W486" s="215"/>
      <c r="X486" s="215"/>
    </row>
    <row r="487" spans="1:24" ht="14.25" customHeight="1" x14ac:dyDescent="0.2">
      <c r="A487" s="215"/>
      <c r="B487" s="215"/>
      <c r="C487" s="215"/>
      <c r="D487" s="215"/>
      <c r="E487" s="215"/>
      <c r="F487" s="215"/>
      <c r="G487" s="215"/>
      <c r="H487" s="215"/>
      <c r="I487" s="215"/>
      <c r="J487" s="215"/>
      <c r="K487" s="215"/>
      <c r="L487" s="215"/>
      <c r="M487" s="215"/>
      <c r="N487" s="215"/>
      <c r="O487" s="215"/>
      <c r="P487" s="215"/>
      <c r="Q487" s="215"/>
      <c r="R487" s="215"/>
      <c r="S487" s="215"/>
      <c r="T487" s="215"/>
      <c r="U487" s="215"/>
      <c r="V487" s="215"/>
      <c r="W487" s="215"/>
      <c r="X487" s="215"/>
    </row>
    <row r="488" spans="1:24" ht="14.25" customHeight="1" x14ac:dyDescent="0.2">
      <c r="A488" s="215"/>
      <c r="B488" s="215"/>
      <c r="C488" s="215"/>
      <c r="D488" s="215"/>
      <c r="E488" s="215"/>
      <c r="F488" s="215"/>
      <c r="G488" s="215"/>
      <c r="H488" s="215"/>
      <c r="I488" s="215"/>
      <c r="J488" s="215"/>
      <c r="K488" s="215"/>
      <c r="L488" s="215"/>
      <c r="M488" s="215"/>
      <c r="N488" s="215"/>
      <c r="O488" s="215"/>
      <c r="P488" s="215"/>
      <c r="Q488" s="215"/>
      <c r="R488" s="215"/>
      <c r="S488" s="215"/>
      <c r="T488" s="215"/>
      <c r="U488" s="215"/>
      <c r="V488" s="215"/>
      <c r="W488" s="215"/>
      <c r="X488" s="215"/>
    </row>
    <row r="489" spans="1:24" ht="14.25" customHeight="1" x14ac:dyDescent="0.2">
      <c r="A489" s="215"/>
      <c r="B489" s="215"/>
      <c r="C489" s="215"/>
      <c r="D489" s="215"/>
      <c r="E489" s="215"/>
      <c r="F489" s="215"/>
      <c r="G489" s="215"/>
      <c r="H489" s="215"/>
      <c r="I489" s="215"/>
      <c r="J489" s="215"/>
      <c r="K489" s="215"/>
      <c r="L489" s="215"/>
      <c r="M489" s="215"/>
      <c r="N489" s="215"/>
      <c r="O489" s="215"/>
      <c r="P489" s="215"/>
      <c r="Q489" s="215"/>
      <c r="R489" s="215"/>
      <c r="S489" s="215"/>
      <c r="T489" s="215"/>
      <c r="U489" s="215"/>
      <c r="V489" s="215"/>
      <c r="W489" s="215"/>
      <c r="X489" s="215"/>
    </row>
    <row r="490" spans="1:24" ht="14.25" customHeight="1" x14ac:dyDescent="0.2">
      <c r="A490" s="215"/>
      <c r="B490" s="215"/>
      <c r="C490" s="215"/>
      <c r="D490" s="215"/>
      <c r="E490" s="215"/>
      <c r="F490" s="215"/>
      <c r="G490" s="215"/>
      <c r="H490" s="215"/>
      <c r="I490" s="215"/>
      <c r="J490" s="215"/>
      <c r="K490" s="215"/>
      <c r="L490" s="215"/>
      <c r="M490" s="215"/>
      <c r="N490" s="215"/>
      <c r="O490" s="215"/>
      <c r="P490" s="215"/>
      <c r="Q490" s="215"/>
      <c r="R490" s="215"/>
      <c r="S490" s="215"/>
      <c r="T490" s="215"/>
      <c r="U490" s="215"/>
      <c r="V490" s="215"/>
      <c r="W490" s="215"/>
      <c r="X490" s="215"/>
    </row>
    <row r="491" spans="1:24" ht="14.25" customHeight="1" x14ac:dyDescent="0.2">
      <c r="A491" s="215"/>
      <c r="B491" s="215"/>
      <c r="C491" s="215"/>
      <c r="D491" s="215"/>
      <c r="E491" s="215"/>
      <c r="F491" s="215"/>
      <c r="G491" s="215"/>
      <c r="H491" s="215"/>
      <c r="I491" s="215"/>
      <c r="J491" s="215"/>
      <c r="K491" s="215"/>
      <c r="L491" s="215"/>
      <c r="M491" s="215"/>
      <c r="N491" s="215"/>
      <c r="O491" s="215"/>
      <c r="P491" s="215"/>
      <c r="Q491" s="215"/>
      <c r="R491" s="215"/>
      <c r="S491" s="215"/>
      <c r="T491" s="215"/>
      <c r="U491" s="215"/>
      <c r="V491" s="215"/>
      <c r="W491" s="215"/>
      <c r="X491" s="215"/>
    </row>
    <row r="492" spans="1:24" ht="14.25" customHeight="1" x14ac:dyDescent="0.2">
      <c r="A492" s="215"/>
      <c r="B492" s="215"/>
      <c r="C492" s="215"/>
      <c r="D492" s="215"/>
      <c r="E492" s="215"/>
      <c r="F492" s="215"/>
      <c r="G492" s="215"/>
      <c r="H492" s="215"/>
      <c r="I492" s="215"/>
      <c r="J492" s="215"/>
      <c r="K492" s="215"/>
      <c r="L492" s="215"/>
      <c r="M492" s="215"/>
      <c r="N492" s="215"/>
      <c r="O492" s="215"/>
      <c r="P492" s="215"/>
      <c r="Q492" s="215"/>
      <c r="R492" s="215"/>
      <c r="S492" s="215"/>
      <c r="T492" s="215"/>
      <c r="U492" s="215"/>
      <c r="V492" s="215"/>
      <c r="W492" s="215"/>
      <c r="X492" s="215"/>
    </row>
    <row r="493" spans="1:24" ht="14.25" customHeight="1" x14ac:dyDescent="0.2">
      <c r="A493" s="215"/>
      <c r="B493" s="215"/>
      <c r="C493" s="215"/>
      <c r="D493" s="215"/>
      <c r="E493" s="215"/>
      <c r="F493" s="215"/>
      <c r="G493" s="215"/>
      <c r="H493" s="215"/>
      <c r="I493" s="215"/>
      <c r="J493" s="215"/>
      <c r="K493" s="215"/>
      <c r="L493" s="215"/>
      <c r="M493" s="215"/>
      <c r="N493" s="215"/>
      <c r="O493" s="215"/>
      <c r="P493" s="215"/>
      <c r="Q493" s="215"/>
      <c r="R493" s="215"/>
      <c r="S493" s="215"/>
      <c r="T493" s="215"/>
      <c r="U493" s="215"/>
      <c r="V493" s="215"/>
      <c r="W493" s="215"/>
      <c r="X493" s="215"/>
    </row>
    <row r="494" spans="1:24" ht="14.25" customHeight="1" x14ac:dyDescent="0.2">
      <c r="A494" s="215"/>
      <c r="B494" s="215"/>
      <c r="C494" s="215"/>
      <c r="D494" s="215"/>
      <c r="E494" s="215"/>
      <c r="F494" s="215"/>
      <c r="G494" s="215"/>
      <c r="H494" s="215"/>
      <c r="I494" s="215"/>
      <c r="J494" s="215"/>
      <c r="K494" s="215"/>
      <c r="L494" s="215"/>
      <c r="M494" s="215"/>
      <c r="N494" s="215"/>
      <c r="O494" s="215"/>
      <c r="P494" s="215"/>
      <c r="Q494" s="215"/>
      <c r="R494" s="215"/>
      <c r="S494" s="215"/>
      <c r="T494" s="215"/>
      <c r="U494" s="215"/>
      <c r="V494" s="215"/>
      <c r="W494" s="215"/>
      <c r="X494" s="215"/>
    </row>
    <row r="495" spans="1:24" ht="14.25" customHeight="1" x14ac:dyDescent="0.2">
      <c r="A495" s="215"/>
      <c r="B495" s="215"/>
      <c r="C495" s="215"/>
      <c r="D495" s="215"/>
      <c r="E495" s="215"/>
      <c r="F495" s="215"/>
      <c r="G495" s="215"/>
      <c r="H495" s="215"/>
      <c r="I495" s="215"/>
      <c r="J495" s="215"/>
      <c r="K495" s="215"/>
      <c r="L495" s="215"/>
      <c r="M495" s="215"/>
      <c r="N495" s="215"/>
      <c r="O495" s="215"/>
      <c r="P495" s="215"/>
      <c r="Q495" s="215"/>
      <c r="R495" s="215"/>
      <c r="S495" s="215"/>
      <c r="T495" s="215"/>
      <c r="U495" s="215"/>
      <c r="V495" s="215"/>
      <c r="W495" s="215"/>
      <c r="X495" s="215"/>
    </row>
    <row r="496" spans="1:24" ht="14.25" customHeight="1" x14ac:dyDescent="0.2">
      <c r="A496" s="215"/>
      <c r="B496" s="215"/>
      <c r="C496" s="215"/>
      <c r="D496" s="215"/>
      <c r="E496" s="215"/>
      <c r="F496" s="215"/>
      <c r="G496" s="215"/>
      <c r="H496" s="215"/>
      <c r="I496" s="215"/>
      <c r="J496" s="215"/>
      <c r="K496" s="215"/>
      <c r="L496" s="215"/>
      <c r="M496" s="215"/>
      <c r="N496" s="215"/>
      <c r="O496" s="215"/>
      <c r="P496" s="215"/>
      <c r="Q496" s="215"/>
      <c r="R496" s="215"/>
      <c r="S496" s="215"/>
      <c r="T496" s="215"/>
      <c r="U496" s="215"/>
      <c r="V496" s="215"/>
      <c r="W496" s="215"/>
      <c r="X496" s="215"/>
    </row>
    <row r="497" spans="1:24" ht="14.25" customHeight="1" x14ac:dyDescent="0.2">
      <c r="A497" s="215"/>
      <c r="B497" s="215"/>
      <c r="C497" s="215"/>
      <c r="D497" s="215"/>
      <c r="E497" s="215"/>
      <c r="F497" s="215"/>
      <c r="G497" s="215"/>
      <c r="H497" s="215"/>
      <c r="I497" s="215"/>
      <c r="J497" s="215"/>
      <c r="K497" s="215"/>
      <c r="L497" s="215"/>
      <c r="M497" s="215"/>
      <c r="N497" s="215"/>
      <c r="O497" s="215"/>
      <c r="P497" s="215"/>
      <c r="Q497" s="215"/>
      <c r="R497" s="215"/>
      <c r="S497" s="215"/>
      <c r="T497" s="215"/>
      <c r="U497" s="215"/>
      <c r="V497" s="215"/>
      <c r="W497" s="215"/>
      <c r="X497" s="215"/>
    </row>
    <row r="498" spans="1:24" ht="14.25" customHeight="1" x14ac:dyDescent="0.2">
      <c r="A498" s="215"/>
      <c r="B498" s="215"/>
      <c r="C498" s="215"/>
      <c r="D498" s="215"/>
      <c r="E498" s="215"/>
      <c r="F498" s="215"/>
      <c r="G498" s="215"/>
      <c r="H498" s="215"/>
      <c r="I498" s="215"/>
      <c r="J498" s="215"/>
      <c r="K498" s="215"/>
      <c r="L498" s="215"/>
      <c r="M498" s="215"/>
      <c r="N498" s="215"/>
      <c r="O498" s="215"/>
      <c r="P498" s="215"/>
      <c r="Q498" s="215"/>
      <c r="R498" s="215"/>
      <c r="S498" s="215"/>
      <c r="T498" s="215"/>
      <c r="U498" s="215"/>
      <c r="V498" s="215"/>
      <c r="W498" s="215"/>
      <c r="X498" s="215"/>
    </row>
    <row r="499" spans="1:24" ht="14.25" customHeight="1" x14ac:dyDescent="0.2">
      <c r="A499" s="215"/>
      <c r="B499" s="215"/>
      <c r="C499" s="215"/>
      <c r="D499" s="215"/>
      <c r="E499" s="215"/>
      <c r="F499" s="215"/>
      <c r="G499" s="215"/>
      <c r="H499" s="215"/>
      <c r="I499" s="215"/>
      <c r="J499" s="215"/>
      <c r="K499" s="215"/>
      <c r="L499" s="215"/>
      <c r="M499" s="215"/>
      <c r="N499" s="215"/>
      <c r="O499" s="215"/>
      <c r="P499" s="215"/>
      <c r="Q499" s="215"/>
      <c r="R499" s="215"/>
      <c r="S499" s="215"/>
      <c r="T499" s="215"/>
      <c r="U499" s="215"/>
      <c r="V499" s="215"/>
      <c r="W499" s="215"/>
      <c r="X499" s="215"/>
    </row>
    <row r="500" spans="1:24" ht="14.25" customHeight="1" x14ac:dyDescent="0.2">
      <c r="A500" s="215"/>
      <c r="B500" s="215"/>
      <c r="C500" s="215"/>
      <c r="D500" s="215"/>
      <c r="E500" s="215"/>
      <c r="F500" s="215"/>
      <c r="G500" s="215"/>
      <c r="H500" s="215"/>
      <c r="I500" s="215"/>
      <c r="J500" s="215"/>
      <c r="K500" s="215"/>
      <c r="L500" s="215"/>
      <c r="M500" s="215"/>
      <c r="N500" s="215"/>
      <c r="O500" s="215"/>
      <c r="P500" s="215"/>
      <c r="Q500" s="215"/>
      <c r="R500" s="215"/>
      <c r="S500" s="215"/>
      <c r="T500" s="215"/>
      <c r="U500" s="215"/>
      <c r="V500" s="215"/>
      <c r="W500" s="215"/>
      <c r="X500" s="215"/>
    </row>
    <row r="501" spans="1:24" ht="14.25" customHeight="1" x14ac:dyDescent="0.2">
      <c r="A501" s="215"/>
      <c r="B501" s="215"/>
      <c r="C501" s="215"/>
      <c r="D501" s="215"/>
      <c r="E501" s="215"/>
      <c r="F501" s="215"/>
      <c r="G501" s="215"/>
      <c r="H501" s="215"/>
      <c r="I501" s="215"/>
      <c r="J501" s="215"/>
      <c r="K501" s="215"/>
      <c r="L501" s="215"/>
      <c r="M501" s="215"/>
      <c r="N501" s="215"/>
      <c r="O501" s="215"/>
      <c r="P501" s="215"/>
      <c r="Q501" s="215"/>
      <c r="R501" s="215"/>
      <c r="S501" s="215"/>
      <c r="T501" s="215"/>
      <c r="U501" s="215"/>
      <c r="V501" s="215"/>
      <c r="W501" s="215"/>
      <c r="X501" s="215"/>
    </row>
    <row r="502" spans="1:24" ht="14.25" customHeight="1" x14ac:dyDescent="0.2">
      <c r="A502" s="215"/>
      <c r="B502" s="215"/>
      <c r="C502" s="215"/>
      <c r="D502" s="215"/>
      <c r="E502" s="215"/>
      <c r="F502" s="215"/>
      <c r="G502" s="215"/>
      <c r="H502" s="215"/>
      <c r="I502" s="215"/>
      <c r="J502" s="215"/>
      <c r="K502" s="215"/>
      <c r="L502" s="215"/>
      <c r="M502" s="215"/>
      <c r="N502" s="215"/>
      <c r="O502" s="215"/>
      <c r="P502" s="215"/>
      <c r="Q502" s="215"/>
      <c r="R502" s="215"/>
      <c r="S502" s="215"/>
      <c r="T502" s="215"/>
      <c r="U502" s="215"/>
      <c r="V502" s="215"/>
      <c r="W502" s="215"/>
      <c r="X502" s="215"/>
    </row>
    <row r="503" spans="1:24" ht="14.25" customHeight="1" x14ac:dyDescent="0.2">
      <c r="A503" s="215"/>
      <c r="B503" s="215"/>
      <c r="C503" s="215"/>
      <c r="D503" s="215"/>
      <c r="E503" s="215"/>
      <c r="F503" s="215"/>
      <c r="G503" s="215"/>
      <c r="H503" s="215"/>
      <c r="I503" s="215"/>
      <c r="J503" s="215"/>
      <c r="K503" s="215"/>
      <c r="L503" s="215"/>
      <c r="M503" s="215"/>
      <c r="N503" s="215"/>
      <c r="O503" s="215"/>
      <c r="P503" s="215"/>
      <c r="Q503" s="215"/>
      <c r="R503" s="215"/>
      <c r="S503" s="215"/>
      <c r="T503" s="215"/>
      <c r="U503" s="215"/>
      <c r="V503" s="215"/>
      <c r="W503" s="215"/>
      <c r="X503" s="215"/>
    </row>
    <row r="504" spans="1:24" ht="14.25" customHeight="1" x14ac:dyDescent="0.2">
      <c r="A504" s="215"/>
      <c r="B504" s="215"/>
      <c r="C504" s="215"/>
      <c r="D504" s="215"/>
      <c r="E504" s="215"/>
      <c r="F504" s="215"/>
      <c r="G504" s="215"/>
      <c r="H504" s="215"/>
      <c r="I504" s="215"/>
      <c r="J504" s="215"/>
      <c r="K504" s="215"/>
      <c r="L504" s="215"/>
      <c r="M504" s="215"/>
      <c r="N504" s="215"/>
      <c r="O504" s="215"/>
      <c r="P504" s="215"/>
      <c r="Q504" s="215"/>
      <c r="R504" s="215"/>
      <c r="S504" s="215"/>
      <c r="T504" s="215"/>
      <c r="U504" s="215"/>
      <c r="V504" s="215"/>
      <c r="W504" s="215"/>
      <c r="X504" s="215"/>
    </row>
    <row r="505" spans="1:24" ht="14.25" customHeight="1" x14ac:dyDescent="0.2">
      <c r="A505" s="215"/>
      <c r="B505" s="215"/>
      <c r="C505" s="215"/>
      <c r="D505" s="215"/>
      <c r="E505" s="215"/>
      <c r="F505" s="215"/>
      <c r="G505" s="215"/>
      <c r="H505" s="215"/>
      <c r="I505" s="215"/>
      <c r="J505" s="215"/>
      <c r="K505" s="215"/>
      <c r="L505" s="215"/>
      <c r="M505" s="215"/>
      <c r="N505" s="215"/>
      <c r="O505" s="215"/>
      <c r="P505" s="215"/>
      <c r="Q505" s="215"/>
      <c r="R505" s="215"/>
      <c r="S505" s="215"/>
      <c r="T505" s="215"/>
      <c r="U505" s="215"/>
      <c r="V505" s="215"/>
      <c r="W505" s="215"/>
      <c r="X505" s="215"/>
    </row>
    <row r="506" spans="1:24" ht="14.25" customHeight="1" x14ac:dyDescent="0.2">
      <c r="A506" s="215"/>
      <c r="B506" s="215"/>
      <c r="C506" s="215"/>
      <c r="D506" s="215"/>
      <c r="E506" s="215"/>
      <c r="F506" s="215"/>
      <c r="G506" s="215"/>
      <c r="H506" s="215"/>
      <c r="I506" s="215"/>
      <c r="J506" s="215"/>
      <c r="K506" s="215"/>
      <c r="L506" s="215"/>
      <c r="M506" s="215"/>
      <c r="N506" s="215"/>
      <c r="O506" s="215"/>
      <c r="P506" s="215"/>
      <c r="Q506" s="215"/>
      <c r="R506" s="215"/>
      <c r="S506" s="215"/>
      <c r="T506" s="215"/>
      <c r="U506" s="215"/>
      <c r="V506" s="215"/>
      <c r="W506" s="215"/>
      <c r="X506" s="215"/>
    </row>
    <row r="507" spans="1:24" ht="14.25" customHeight="1" x14ac:dyDescent="0.2">
      <c r="A507" s="215"/>
      <c r="B507" s="215"/>
      <c r="C507" s="215"/>
      <c r="D507" s="215"/>
      <c r="E507" s="215"/>
      <c r="F507" s="215"/>
      <c r="G507" s="215"/>
      <c r="H507" s="215"/>
      <c r="I507" s="215"/>
      <c r="J507" s="215"/>
      <c r="K507" s="215"/>
      <c r="L507" s="215"/>
      <c r="M507" s="215"/>
      <c r="N507" s="215"/>
      <c r="O507" s="215"/>
      <c r="P507" s="215"/>
      <c r="Q507" s="215"/>
      <c r="R507" s="215"/>
      <c r="S507" s="215"/>
      <c r="T507" s="215"/>
      <c r="U507" s="215"/>
      <c r="V507" s="215"/>
      <c r="W507" s="215"/>
      <c r="X507" s="215"/>
    </row>
    <row r="508" spans="1:24" ht="14.25" customHeight="1" x14ac:dyDescent="0.2">
      <c r="A508" s="215"/>
      <c r="B508" s="215"/>
      <c r="C508" s="215"/>
      <c r="D508" s="215"/>
      <c r="E508" s="215"/>
      <c r="F508" s="215"/>
      <c r="G508" s="215"/>
      <c r="H508" s="215"/>
      <c r="I508" s="215"/>
      <c r="J508" s="215"/>
      <c r="K508" s="215"/>
      <c r="L508" s="215"/>
      <c r="M508" s="215"/>
      <c r="N508" s="215"/>
      <c r="O508" s="215"/>
      <c r="P508" s="215"/>
      <c r="Q508" s="215"/>
      <c r="R508" s="215"/>
      <c r="S508" s="215"/>
      <c r="T508" s="215"/>
      <c r="U508" s="215"/>
      <c r="V508" s="215"/>
      <c r="W508" s="215"/>
      <c r="X508" s="215"/>
    </row>
    <row r="509" spans="1:24" ht="14.25" customHeight="1" x14ac:dyDescent="0.2">
      <c r="A509" s="215"/>
      <c r="B509" s="215"/>
      <c r="C509" s="215"/>
      <c r="D509" s="215"/>
      <c r="E509" s="215"/>
      <c r="F509" s="215"/>
      <c r="G509" s="215"/>
      <c r="H509" s="215"/>
      <c r="I509" s="215"/>
      <c r="J509" s="215"/>
      <c r="K509" s="215"/>
      <c r="L509" s="215"/>
      <c r="M509" s="215"/>
      <c r="N509" s="215"/>
      <c r="O509" s="215"/>
      <c r="P509" s="215"/>
      <c r="Q509" s="215"/>
      <c r="R509" s="215"/>
      <c r="S509" s="215"/>
      <c r="T509" s="215"/>
      <c r="U509" s="215"/>
      <c r="V509" s="215"/>
      <c r="W509" s="215"/>
      <c r="X509" s="215"/>
    </row>
    <row r="510" spans="1:24" ht="14.25" customHeight="1" x14ac:dyDescent="0.2">
      <c r="A510" s="215"/>
      <c r="B510" s="215"/>
      <c r="C510" s="215"/>
      <c r="D510" s="215"/>
      <c r="E510" s="215"/>
      <c r="F510" s="215"/>
      <c r="G510" s="215"/>
      <c r="H510" s="215"/>
      <c r="I510" s="215"/>
      <c r="J510" s="215"/>
      <c r="K510" s="215"/>
      <c r="L510" s="215"/>
      <c r="M510" s="215"/>
      <c r="N510" s="215"/>
      <c r="O510" s="215"/>
      <c r="P510" s="215"/>
      <c r="Q510" s="215"/>
      <c r="R510" s="215"/>
      <c r="S510" s="215"/>
      <c r="T510" s="215"/>
      <c r="U510" s="215"/>
      <c r="V510" s="215"/>
      <c r="W510" s="215"/>
      <c r="X510" s="215"/>
    </row>
    <row r="511" spans="1:24" ht="14.25" customHeight="1" x14ac:dyDescent="0.2">
      <c r="A511" s="215"/>
      <c r="B511" s="215"/>
      <c r="C511" s="215"/>
      <c r="D511" s="215"/>
      <c r="E511" s="215"/>
      <c r="F511" s="215"/>
      <c r="G511" s="215"/>
      <c r="H511" s="215"/>
      <c r="I511" s="215"/>
      <c r="J511" s="215"/>
      <c r="K511" s="215"/>
      <c r="L511" s="215"/>
      <c r="M511" s="215"/>
      <c r="N511" s="215"/>
      <c r="O511" s="215"/>
      <c r="P511" s="215"/>
      <c r="Q511" s="215"/>
      <c r="R511" s="215"/>
      <c r="S511" s="215"/>
      <c r="T511" s="215"/>
      <c r="U511" s="215"/>
      <c r="V511" s="215"/>
      <c r="W511" s="215"/>
      <c r="X511" s="215"/>
    </row>
    <row r="512" spans="1:24" ht="14.25" customHeight="1" x14ac:dyDescent="0.2">
      <c r="A512" s="215"/>
      <c r="B512" s="215"/>
      <c r="C512" s="215"/>
      <c r="D512" s="215"/>
      <c r="E512" s="215"/>
      <c r="F512" s="215"/>
      <c r="G512" s="215"/>
      <c r="H512" s="215"/>
      <c r="I512" s="215"/>
      <c r="J512" s="215"/>
      <c r="K512" s="215"/>
      <c r="L512" s="215"/>
      <c r="M512" s="215"/>
      <c r="N512" s="215"/>
      <c r="O512" s="215"/>
      <c r="P512" s="215"/>
      <c r="Q512" s="215"/>
      <c r="R512" s="215"/>
      <c r="S512" s="215"/>
      <c r="T512" s="215"/>
      <c r="U512" s="215"/>
      <c r="V512" s="215"/>
      <c r="W512" s="215"/>
      <c r="X512" s="215"/>
    </row>
    <row r="513" spans="1:24" ht="14.25" customHeight="1" x14ac:dyDescent="0.2">
      <c r="A513" s="215"/>
      <c r="B513" s="215"/>
      <c r="C513" s="215"/>
      <c r="D513" s="215"/>
      <c r="E513" s="215"/>
      <c r="F513" s="215"/>
      <c r="G513" s="215"/>
      <c r="H513" s="215"/>
      <c r="I513" s="215"/>
      <c r="J513" s="215"/>
      <c r="K513" s="215"/>
      <c r="L513" s="215"/>
      <c r="M513" s="215"/>
      <c r="N513" s="215"/>
      <c r="O513" s="215"/>
      <c r="P513" s="215"/>
      <c r="Q513" s="215"/>
      <c r="R513" s="215"/>
      <c r="S513" s="215"/>
      <c r="T513" s="215"/>
      <c r="U513" s="215"/>
      <c r="V513" s="215"/>
      <c r="W513" s="215"/>
      <c r="X513" s="215"/>
    </row>
    <row r="514" spans="1:24" ht="14.25" customHeight="1" x14ac:dyDescent="0.2">
      <c r="A514" s="215"/>
      <c r="B514" s="215"/>
      <c r="C514" s="215"/>
      <c r="D514" s="215"/>
      <c r="E514" s="215"/>
      <c r="F514" s="215"/>
      <c r="G514" s="215"/>
      <c r="H514" s="215"/>
      <c r="I514" s="215"/>
      <c r="J514" s="215"/>
      <c r="K514" s="215"/>
      <c r="L514" s="215"/>
      <c r="M514" s="215"/>
      <c r="N514" s="215"/>
      <c r="O514" s="215"/>
      <c r="P514" s="215"/>
      <c r="Q514" s="215"/>
      <c r="R514" s="215"/>
      <c r="S514" s="215"/>
      <c r="T514" s="215"/>
      <c r="U514" s="215"/>
      <c r="V514" s="215"/>
      <c r="W514" s="215"/>
      <c r="X514" s="215"/>
    </row>
    <row r="515" spans="1:24" ht="14.25" customHeight="1" x14ac:dyDescent="0.2">
      <c r="A515" s="215"/>
      <c r="B515" s="215"/>
      <c r="C515" s="215"/>
      <c r="D515" s="215"/>
      <c r="E515" s="215"/>
      <c r="F515" s="215"/>
      <c r="G515" s="215"/>
      <c r="H515" s="215"/>
      <c r="I515" s="215"/>
      <c r="J515" s="215"/>
      <c r="K515" s="215"/>
      <c r="L515" s="215"/>
      <c r="M515" s="215"/>
      <c r="N515" s="215"/>
      <c r="O515" s="215"/>
      <c r="P515" s="215"/>
      <c r="Q515" s="215"/>
      <c r="R515" s="215"/>
      <c r="S515" s="215"/>
      <c r="T515" s="215"/>
      <c r="U515" s="215"/>
      <c r="V515" s="215"/>
      <c r="W515" s="215"/>
      <c r="X515" s="215"/>
    </row>
    <row r="516" spans="1:24" ht="14.25" customHeight="1" x14ac:dyDescent="0.2">
      <c r="A516" s="215"/>
      <c r="B516" s="215"/>
      <c r="C516" s="215"/>
      <c r="D516" s="215"/>
      <c r="E516" s="215"/>
      <c r="F516" s="215"/>
      <c r="G516" s="215"/>
      <c r="H516" s="215"/>
      <c r="I516" s="215"/>
      <c r="J516" s="215"/>
      <c r="K516" s="215"/>
      <c r="L516" s="215"/>
      <c r="M516" s="215"/>
      <c r="N516" s="215"/>
      <c r="O516" s="215"/>
      <c r="P516" s="215"/>
      <c r="Q516" s="215"/>
      <c r="R516" s="215"/>
      <c r="S516" s="215"/>
      <c r="T516" s="215"/>
      <c r="U516" s="215"/>
      <c r="V516" s="215"/>
      <c r="W516" s="215"/>
      <c r="X516" s="215"/>
    </row>
    <row r="517" spans="1:24" ht="14.25" customHeight="1" x14ac:dyDescent="0.2">
      <c r="A517" s="215"/>
      <c r="B517" s="215"/>
      <c r="C517" s="215"/>
      <c r="D517" s="215"/>
      <c r="E517" s="215"/>
      <c r="F517" s="215"/>
      <c r="G517" s="215"/>
      <c r="H517" s="215"/>
      <c r="I517" s="215"/>
      <c r="J517" s="215"/>
      <c r="K517" s="215"/>
      <c r="L517" s="215"/>
      <c r="M517" s="215"/>
      <c r="N517" s="215"/>
      <c r="O517" s="215"/>
      <c r="P517" s="215"/>
      <c r="Q517" s="215"/>
      <c r="R517" s="215"/>
      <c r="S517" s="215"/>
      <c r="T517" s="215"/>
      <c r="U517" s="215"/>
      <c r="V517" s="215"/>
      <c r="W517" s="215"/>
      <c r="X517" s="215"/>
    </row>
    <row r="518" spans="1:24" ht="14.25" customHeight="1" x14ac:dyDescent="0.2">
      <c r="A518" s="215"/>
      <c r="B518" s="215"/>
      <c r="C518" s="215"/>
      <c r="D518" s="215"/>
      <c r="E518" s="215"/>
      <c r="F518" s="215"/>
      <c r="G518" s="215"/>
      <c r="H518" s="215"/>
      <c r="I518" s="215"/>
      <c r="J518" s="215"/>
      <c r="K518" s="215"/>
      <c r="L518" s="215"/>
      <c r="M518" s="215"/>
      <c r="N518" s="215"/>
      <c r="O518" s="215"/>
      <c r="P518" s="215"/>
      <c r="Q518" s="215"/>
      <c r="R518" s="215"/>
      <c r="S518" s="215"/>
      <c r="T518" s="215"/>
      <c r="U518" s="215"/>
      <c r="V518" s="215"/>
      <c r="W518" s="215"/>
      <c r="X518" s="215"/>
    </row>
    <row r="519" spans="1:24" ht="14.25" customHeight="1" x14ac:dyDescent="0.2">
      <c r="A519" s="215"/>
      <c r="B519" s="215"/>
      <c r="C519" s="215"/>
      <c r="D519" s="215"/>
      <c r="E519" s="215"/>
      <c r="F519" s="215"/>
      <c r="G519" s="215"/>
      <c r="H519" s="215"/>
      <c r="I519" s="215"/>
      <c r="J519" s="215"/>
      <c r="K519" s="215"/>
      <c r="L519" s="215"/>
      <c r="M519" s="215"/>
      <c r="N519" s="215"/>
      <c r="O519" s="215"/>
      <c r="P519" s="215"/>
      <c r="Q519" s="215"/>
      <c r="R519" s="215"/>
      <c r="S519" s="215"/>
      <c r="T519" s="215"/>
      <c r="U519" s="215"/>
      <c r="V519" s="215"/>
      <c r="W519" s="215"/>
      <c r="X519" s="215"/>
    </row>
    <row r="520" spans="1:24" ht="14.25" customHeight="1" x14ac:dyDescent="0.2">
      <c r="A520" s="215"/>
      <c r="B520" s="215"/>
      <c r="C520" s="215"/>
      <c r="D520" s="215"/>
      <c r="E520" s="215"/>
      <c r="F520" s="215"/>
      <c r="G520" s="215"/>
      <c r="H520" s="215"/>
      <c r="I520" s="215"/>
      <c r="J520" s="215"/>
      <c r="K520" s="215"/>
      <c r="L520" s="215"/>
      <c r="M520" s="215"/>
      <c r="N520" s="215"/>
      <c r="O520" s="215"/>
      <c r="P520" s="215"/>
      <c r="Q520" s="215"/>
      <c r="R520" s="215"/>
      <c r="S520" s="215"/>
      <c r="T520" s="215"/>
      <c r="U520" s="215"/>
      <c r="V520" s="215"/>
      <c r="W520" s="215"/>
      <c r="X520" s="215"/>
    </row>
    <row r="521" spans="1:24" ht="14.25" customHeight="1" x14ac:dyDescent="0.2">
      <c r="A521" s="215"/>
      <c r="B521" s="215"/>
      <c r="C521" s="215"/>
      <c r="D521" s="215"/>
      <c r="E521" s="215"/>
      <c r="F521" s="215"/>
      <c r="G521" s="215"/>
      <c r="H521" s="215"/>
      <c r="I521" s="215"/>
      <c r="J521" s="215"/>
      <c r="K521" s="215"/>
      <c r="L521" s="215"/>
      <c r="M521" s="215"/>
      <c r="N521" s="215"/>
      <c r="O521" s="215"/>
      <c r="P521" s="215"/>
      <c r="Q521" s="215"/>
      <c r="R521" s="215"/>
      <c r="S521" s="215"/>
      <c r="T521" s="215"/>
      <c r="U521" s="215"/>
      <c r="V521" s="215"/>
      <c r="W521" s="215"/>
      <c r="X521" s="215"/>
    </row>
    <row r="522" spans="1:24" ht="14.25" customHeight="1" x14ac:dyDescent="0.2">
      <c r="A522" s="215"/>
      <c r="B522" s="215"/>
      <c r="C522" s="215"/>
      <c r="D522" s="215"/>
      <c r="E522" s="215"/>
      <c r="F522" s="215"/>
      <c r="G522" s="215"/>
      <c r="H522" s="215"/>
      <c r="I522" s="215"/>
      <c r="J522" s="215"/>
      <c r="K522" s="215"/>
      <c r="L522" s="215"/>
      <c r="M522" s="215"/>
      <c r="N522" s="215"/>
      <c r="O522" s="215"/>
      <c r="P522" s="215"/>
      <c r="Q522" s="215"/>
      <c r="R522" s="215"/>
      <c r="S522" s="215"/>
      <c r="T522" s="215"/>
      <c r="U522" s="215"/>
      <c r="V522" s="215"/>
      <c r="W522" s="215"/>
      <c r="X522" s="215"/>
    </row>
    <row r="523" spans="1:24" ht="14.25" customHeight="1" x14ac:dyDescent="0.2">
      <c r="A523" s="215"/>
      <c r="B523" s="215"/>
      <c r="C523" s="215"/>
      <c r="D523" s="215"/>
      <c r="E523" s="215"/>
      <c r="F523" s="215"/>
      <c r="G523" s="215"/>
      <c r="H523" s="215"/>
      <c r="I523" s="215"/>
      <c r="J523" s="215"/>
      <c r="K523" s="215"/>
      <c r="L523" s="215"/>
      <c r="M523" s="215"/>
      <c r="N523" s="215"/>
      <c r="O523" s="215"/>
      <c r="P523" s="215"/>
      <c r="Q523" s="215"/>
      <c r="R523" s="215"/>
      <c r="S523" s="215"/>
      <c r="T523" s="215"/>
      <c r="U523" s="215"/>
      <c r="V523" s="215"/>
      <c r="W523" s="215"/>
      <c r="X523" s="215"/>
    </row>
    <row r="524" spans="1:24" ht="14.25" customHeight="1" x14ac:dyDescent="0.2">
      <c r="A524" s="215"/>
      <c r="B524" s="215"/>
      <c r="C524" s="215"/>
      <c r="D524" s="215"/>
      <c r="E524" s="215"/>
      <c r="F524" s="215"/>
      <c r="G524" s="215"/>
      <c r="H524" s="215"/>
      <c r="I524" s="215"/>
      <c r="J524" s="215"/>
      <c r="K524" s="215"/>
      <c r="L524" s="215"/>
      <c r="M524" s="215"/>
      <c r="N524" s="215"/>
      <c r="O524" s="215"/>
      <c r="P524" s="215"/>
      <c r="Q524" s="215"/>
      <c r="R524" s="215"/>
      <c r="S524" s="215"/>
      <c r="T524" s="215"/>
      <c r="U524" s="215"/>
      <c r="V524" s="215"/>
      <c r="W524" s="215"/>
      <c r="X524" s="215"/>
    </row>
    <row r="525" spans="1:24" ht="14.25" customHeight="1" x14ac:dyDescent="0.2">
      <c r="A525" s="215"/>
      <c r="B525" s="215"/>
      <c r="C525" s="215"/>
      <c r="D525" s="215"/>
      <c r="E525" s="215"/>
      <c r="F525" s="215"/>
      <c r="G525" s="215"/>
      <c r="H525" s="215"/>
      <c r="I525" s="215"/>
      <c r="J525" s="215"/>
      <c r="K525" s="215"/>
      <c r="L525" s="215"/>
      <c r="M525" s="215"/>
      <c r="N525" s="215"/>
      <c r="O525" s="215"/>
      <c r="P525" s="215"/>
      <c r="Q525" s="215"/>
      <c r="R525" s="215"/>
      <c r="S525" s="215"/>
      <c r="T525" s="215"/>
      <c r="U525" s="215"/>
      <c r="V525" s="215"/>
      <c r="W525" s="215"/>
      <c r="X525" s="215"/>
    </row>
    <row r="526" spans="1:24" ht="14.25" customHeight="1" x14ac:dyDescent="0.2">
      <c r="A526" s="215"/>
      <c r="B526" s="215"/>
      <c r="C526" s="215"/>
      <c r="D526" s="215"/>
      <c r="E526" s="215"/>
      <c r="F526" s="215"/>
      <c r="G526" s="215"/>
      <c r="H526" s="215"/>
      <c r="I526" s="215"/>
      <c r="J526" s="215"/>
      <c r="K526" s="215"/>
      <c r="L526" s="215"/>
      <c r="M526" s="215"/>
      <c r="N526" s="215"/>
      <c r="O526" s="215"/>
      <c r="P526" s="215"/>
      <c r="Q526" s="215"/>
      <c r="R526" s="215"/>
      <c r="S526" s="215"/>
      <c r="T526" s="215"/>
      <c r="U526" s="215"/>
      <c r="V526" s="215"/>
      <c r="W526" s="215"/>
      <c r="X526" s="215"/>
    </row>
    <row r="527" spans="1:24" ht="14.25" customHeight="1" x14ac:dyDescent="0.2">
      <c r="A527" s="215"/>
      <c r="B527" s="215"/>
      <c r="C527" s="215"/>
      <c r="D527" s="215"/>
      <c r="E527" s="215"/>
      <c r="F527" s="215"/>
      <c r="G527" s="215"/>
      <c r="H527" s="215"/>
      <c r="I527" s="215"/>
      <c r="J527" s="215"/>
      <c r="K527" s="215"/>
      <c r="L527" s="215"/>
      <c r="M527" s="215"/>
      <c r="N527" s="215"/>
      <c r="O527" s="215"/>
      <c r="P527" s="215"/>
      <c r="Q527" s="215"/>
      <c r="R527" s="215"/>
      <c r="S527" s="215"/>
      <c r="T527" s="215"/>
      <c r="U527" s="215"/>
      <c r="V527" s="215"/>
      <c r="W527" s="215"/>
      <c r="X527" s="215"/>
    </row>
    <row r="528" spans="1:24" ht="14.25" customHeight="1" x14ac:dyDescent="0.2">
      <c r="A528" s="215"/>
      <c r="B528" s="215"/>
      <c r="C528" s="215"/>
      <c r="D528" s="215"/>
      <c r="E528" s="215"/>
      <c r="F528" s="215"/>
      <c r="G528" s="215"/>
      <c r="H528" s="215"/>
      <c r="I528" s="215"/>
      <c r="J528" s="215"/>
      <c r="K528" s="215"/>
      <c r="L528" s="215"/>
      <c r="M528" s="215"/>
      <c r="N528" s="215"/>
      <c r="O528" s="215"/>
      <c r="P528" s="215"/>
      <c r="Q528" s="215"/>
      <c r="R528" s="215"/>
      <c r="S528" s="215"/>
      <c r="T528" s="215"/>
      <c r="U528" s="215"/>
      <c r="V528" s="215"/>
      <c r="W528" s="215"/>
      <c r="X528" s="215"/>
    </row>
    <row r="529" spans="1:24" ht="14.25" customHeight="1" x14ac:dyDescent="0.2">
      <c r="A529" s="215"/>
      <c r="B529" s="215"/>
      <c r="C529" s="215"/>
      <c r="D529" s="215"/>
      <c r="E529" s="215"/>
      <c r="F529" s="215"/>
      <c r="G529" s="215"/>
      <c r="H529" s="215"/>
      <c r="I529" s="215"/>
      <c r="J529" s="215"/>
      <c r="K529" s="215"/>
      <c r="L529" s="215"/>
      <c r="M529" s="215"/>
      <c r="N529" s="215"/>
      <c r="O529" s="215"/>
      <c r="P529" s="215"/>
      <c r="Q529" s="215"/>
      <c r="R529" s="215"/>
      <c r="S529" s="215"/>
      <c r="T529" s="215"/>
      <c r="U529" s="215"/>
      <c r="V529" s="215"/>
      <c r="W529" s="215"/>
      <c r="X529" s="215"/>
    </row>
    <row r="530" spans="1:24" ht="14.25" customHeight="1" x14ac:dyDescent="0.2">
      <c r="A530" s="215"/>
      <c r="B530" s="215"/>
      <c r="C530" s="215"/>
      <c r="D530" s="215"/>
      <c r="E530" s="215"/>
      <c r="F530" s="215"/>
      <c r="G530" s="215"/>
      <c r="H530" s="215"/>
      <c r="I530" s="215"/>
      <c r="J530" s="215"/>
      <c r="K530" s="215"/>
      <c r="L530" s="215"/>
      <c r="M530" s="215"/>
      <c r="N530" s="215"/>
      <c r="O530" s="215"/>
      <c r="P530" s="215"/>
      <c r="Q530" s="215"/>
      <c r="R530" s="215"/>
      <c r="S530" s="215"/>
      <c r="T530" s="215"/>
      <c r="U530" s="215"/>
      <c r="V530" s="215"/>
      <c r="W530" s="215"/>
      <c r="X530" s="215"/>
    </row>
    <row r="531" spans="1:24" ht="14.25" customHeight="1" x14ac:dyDescent="0.2">
      <c r="A531" s="215"/>
      <c r="B531" s="215"/>
      <c r="C531" s="215"/>
      <c r="D531" s="215"/>
      <c r="E531" s="215"/>
      <c r="F531" s="215"/>
      <c r="G531" s="215"/>
      <c r="H531" s="215"/>
      <c r="I531" s="215"/>
      <c r="J531" s="215"/>
      <c r="K531" s="215"/>
      <c r="L531" s="215"/>
      <c r="M531" s="215"/>
      <c r="N531" s="215"/>
      <c r="O531" s="215"/>
      <c r="P531" s="215"/>
      <c r="Q531" s="215"/>
      <c r="R531" s="215"/>
      <c r="S531" s="215"/>
      <c r="T531" s="215"/>
      <c r="U531" s="215"/>
      <c r="V531" s="215"/>
      <c r="W531" s="215"/>
      <c r="X531" s="215"/>
    </row>
    <row r="532" spans="1:24" ht="14.25" customHeight="1" x14ac:dyDescent="0.2">
      <c r="A532" s="215"/>
      <c r="B532" s="215"/>
      <c r="C532" s="215"/>
      <c r="D532" s="215"/>
      <c r="E532" s="215"/>
      <c r="F532" s="215"/>
      <c r="G532" s="215"/>
      <c r="H532" s="215"/>
      <c r="I532" s="215"/>
      <c r="J532" s="215"/>
      <c r="K532" s="215"/>
      <c r="L532" s="215"/>
      <c r="M532" s="215"/>
      <c r="N532" s="215"/>
      <c r="O532" s="215"/>
      <c r="P532" s="215"/>
      <c r="Q532" s="215"/>
      <c r="R532" s="215"/>
      <c r="S532" s="215"/>
      <c r="T532" s="215"/>
      <c r="U532" s="215"/>
      <c r="V532" s="215"/>
      <c r="W532" s="215"/>
      <c r="X532" s="215"/>
    </row>
    <row r="533" spans="1:24" ht="14.25" customHeight="1" x14ac:dyDescent="0.2">
      <c r="A533" s="215"/>
      <c r="B533" s="215"/>
      <c r="C533" s="215"/>
      <c r="D533" s="215"/>
      <c r="E533" s="215"/>
      <c r="F533" s="215"/>
      <c r="G533" s="215"/>
      <c r="H533" s="215"/>
      <c r="I533" s="215"/>
      <c r="J533" s="215"/>
      <c r="K533" s="215"/>
      <c r="L533" s="215"/>
      <c r="M533" s="215"/>
      <c r="N533" s="215"/>
      <c r="O533" s="215"/>
      <c r="P533" s="215"/>
      <c r="Q533" s="215"/>
      <c r="R533" s="215"/>
      <c r="S533" s="215"/>
      <c r="T533" s="215"/>
      <c r="U533" s="215"/>
      <c r="V533" s="215"/>
      <c r="W533" s="215"/>
      <c r="X533" s="215"/>
    </row>
    <row r="534" spans="1:24" ht="14.25" customHeight="1" x14ac:dyDescent="0.2">
      <c r="A534" s="215"/>
      <c r="B534" s="215"/>
      <c r="C534" s="215"/>
      <c r="D534" s="215"/>
      <c r="E534" s="215"/>
      <c r="F534" s="215"/>
      <c r="G534" s="215"/>
      <c r="H534" s="215"/>
      <c r="I534" s="215"/>
      <c r="J534" s="215"/>
      <c r="K534" s="215"/>
      <c r="L534" s="215"/>
      <c r="M534" s="215"/>
      <c r="N534" s="215"/>
      <c r="O534" s="215"/>
      <c r="P534" s="215"/>
      <c r="Q534" s="215"/>
      <c r="R534" s="215"/>
      <c r="S534" s="215"/>
      <c r="T534" s="215"/>
      <c r="U534" s="215"/>
      <c r="V534" s="215"/>
      <c r="W534" s="215"/>
      <c r="X534" s="215"/>
    </row>
    <row r="535" spans="1:24" ht="14.25" customHeight="1" x14ac:dyDescent="0.2">
      <c r="A535" s="215"/>
      <c r="B535" s="215"/>
      <c r="C535" s="215"/>
      <c r="D535" s="215"/>
      <c r="E535" s="215"/>
      <c r="F535" s="215"/>
      <c r="G535" s="215"/>
      <c r="H535" s="215"/>
      <c r="I535" s="215"/>
      <c r="J535" s="215"/>
      <c r="K535" s="215"/>
      <c r="L535" s="215"/>
      <c r="M535" s="215"/>
      <c r="N535" s="215"/>
      <c r="O535" s="215"/>
      <c r="P535" s="215"/>
      <c r="Q535" s="215"/>
      <c r="R535" s="215"/>
      <c r="S535" s="215"/>
      <c r="T535" s="215"/>
      <c r="U535" s="215"/>
      <c r="V535" s="215"/>
      <c r="W535" s="215"/>
      <c r="X535" s="215"/>
    </row>
    <row r="536" spans="1:24" ht="14.25" customHeight="1" x14ac:dyDescent="0.2">
      <c r="A536" s="215"/>
      <c r="B536" s="215"/>
      <c r="C536" s="215"/>
      <c r="D536" s="215"/>
      <c r="E536" s="215"/>
      <c r="F536" s="215"/>
      <c r="G536" s="215"/>
      <c r="H536" s="215"/>
      <c r="I536" s="215"/>
      <c r="J536" s="215"/>
      <c r="K536" s="215"/>
      <c r="L536" s="215"/>
      <c r="M536" s="215"/>
      <c r="N536" s="215"/>
      <c r="O536" s="215"/>
      <c r="P536" s="215"/>
      <c r="Q536" s="215"/>
      <c r="R536" s="215"/>
      <c r="S536" s="215"/>
      <c r="T536" s="215"/>
      <c r="U536" s="215"/>
      <c r="V536" s="215"/>
      <c r="W536" s="215"/>
      <c r="X536" s="215"/>
    </row>
    <row r="537" spans="1:24" ht="14.25" customHeight="1" x14ac:dyDescent="0.2">
      <c r="A537" s="215"/>
      <c r="B537" s="215"/>
      <c r="C537" s="215"/>
      <c r="D537" s="215"/>
      <c r="E537" s="215"/>
      <c r="F537" s="215"/>
      <c r="G537" s="215"/>
      <c r="H537" s="215"/>
      <c r="I537" s="215"/>
      <c r="J537" s="215"/>
      <c r="K537" s="215"/>
      <c r="L537" s="215"/>
      <c r="M537" s="215"/>
      <c r="N537" s="215"/>
      <c r="O537" s="215"/>
      <c r="P537" s="215"/>
      <c r="Q537" s="215"/>
      <c r="R537" s="215"/>
      <c r="S537" s="215"/>
      <c r="T537" s="215"/>
      <c r="U537" s="215"/>
      <c r="V537" s="215"/>
      <c r="W537" s="215"/>
      <c r="X537" s="215"/>
    </row>
    <row r="538" spans="1:24" ht="14.25" customHeight="1" x14ac:dyDescent="0.2">
      <c r="A538" s="215"/>
      <c r="B538" s="215"/>
      <c r="C538" s="215"/>
      <c r="D538" s="215"/>
      <c r="E538" s="215"/>
      <c r="F538" s="215"/>
      <c r="G538" s="215"/>
      <c r="H538" s="215"/>
      <c r="I538" s="215"/>
      <c r="J538" s="215"/>
      <c r="K538" s="215"/>
      <c r="L538" s="215"/>
      <c r="M538" s="215"/>
      <c r="N538" s="215"/>
      <c r="O538" s="215"/>
      <c r="P538" s="215"/>
      <c r="Q538" s="215"/>
      <c r="R538" s="215"/>
      <c r="S538" s="215"/>
      <c r="T538" s="215"/>
      <c r="U538" s="215"/>
      <c r="V538" s="215"/>
      <c r="W538" s="215"/>
      <c r="X538" s="215"/>
    </row>
    <row r="539" spans="1:24" ht="14.25" customHeight="1" x14ac:dyDescent="0.2">
      <c r="A539" s="215"/>
      <c r="B539" s="215"/>
      <c r="C539" s="215"/>
      <c r="D539" s="215"/>
      <c r="E539" s="215"/>
      <c r="F539" s="215"/>
      <c r="G539" s="215"/>
      <c r="H539" s="215"/>
      <c r="I539" s="215"/>
      <c r="J539" s="215"/>
      <c r="K539" s="215"/>
      <c r="L539" s="215"/>
      <c r="M539" s="215"/>
      <c r="N539" s="215"/>
      <c r="O539" s="215"/>
      <c r="P539" s="215"/>
      <c r="Q539" s="215"/>
      <c r="R539" s="215"/>
      <c r="S539" s="215"/>
      <c r="T539" s="215"/>
      <c r="U539" s="215"/>
      <c r="V539" s="215"/>
      <c r="W539" s="215"/>
      <c r="X539" s="215"/>
    </row>
    <row r="540" spans="1:24" ht="14.25" customHeight="1" x14ac:dyDescent="0.2">
      <c r="A540" s="215"/>
      <c r="B540" s="215"/>
      <c r="C540" s="215"/>
      <c r="D540" s="215"/>
      <c r="E540" s="215"/>
      <c r="F540" s="215"/>
      <c r="G540" s="215"/>
      <c r="H540" s="215"/>
      <c r="I540" s="215"/>
      <c r="J540" s="215"/>
      <c r="K540" s="215"/>
      <c r="L540" s="215"/>
      <c r="M540" s="215"/>
      <c r="N540" s="215"/>
      <c r="O540" s="215"/>
      <c r="P540" s="215"/>
      <c r="Q540" s="215"/>
      <c r="R540" s="215"/>
      <c r="S540" s="215"/>
      <c r="T540" s="215"/>
      <c r="U540" s="215"/>
      <c r="V540" s="215"/>
      <c r="W540" s="215"/>
      <c r="X540" s="215"/>
    </row>
    <row r="541" spans="1:24" ht="14.25" customHeight="1" x14ac:dyDescent="0.2">
      <c r="A541" s="215"/>
      <c r="B541" s="215"/>
      <c r="C541" s="215"/>
      <c r="D541" s="215"/>
      <c r="E541" s="215"/>
      <c r="F541" s="215"/>
      <c r="G541" s="215"/>
      <c r="H541" s="215"/>
      <c r="I541" s="215"/>
      <c r="J541" s="215"/>
      <c r="K541" s="215"/>
      <c r="L541" s="215"/>
      <c r="M541" s="215"/>
      <c r="N541" s="215"/>
      <c r="O541" s="215"/>
      <c r="P541" s="215"/>
      <c r="Q541" s="215"/>
      <c r="R541" s="215"/>
      <c r="S541" s="215"/>
      <c r="T541" s="215"/>
      <c r="U541" s="215"/>
      <c r="V541" s="215"/>
      <c r="W541" s="215"/>
      <c r="X541" s="215"/>
    </row>
    <row r="542" spans="1:24" ht="14.25" customHeight="1" x14ac:dyDescent="0.2">
      <c r="A542" s="215"/>
      <c r="B542" s="215"/>
      <c r="C542" s="215"/>
      <c r="D542" s="215"/>
      <c r="E542" s="215"/>
      <c r="F542" s="215"/>
      <c r="G542" s="215"/>
      <c r="H542" s="215"/>
      <c r="I542" s="215"/>
      <c r="J542" s="215"/>
      <c r="K542" s="215"/>
      <c r="L542" s="215"/>
      <c r="M542" s="215"/>
      <c r="N542" s="215"/>
      <c r="O542" s="215"/>
      <c r="P542" s="215"/>
      <c r="Q542" s="215"/>
      <c r="R542" s="215"/>
      <c r="S542" s="215"/>
      <c r="T542" s="215"/>
      <c r="U542" s="215"/>
      <c r="V542" s="215"/>
      <c r="W542" s="215"/>
      <c r="X542" s="215"/>
    </row>
    <row r="543" spans="1:24" ht="14.25" customHeight="1" x14ac:dyDescent="0.2">
      <c r="A543" s="215"/>
      <c r="B543" s="215"/>
      <c r="C543" s="215"/>
      <c r="D543" s="215"/>
      <c r="E543" s="215"/>
      <c r="F543" s="215"/>
      <c r="G543" s="215"/>
      <c r="H543" s="215"/>
      <c r="I543" s="215"/>
      <c r="J543" s="215"/>
      <c r="K543" s="215"/>
      <c r="L543" s="215"/>
      <c r="M543" s="215"/>
      <c r="N543" s="215"/>
      <c r="O543" s="215"/>
      <c r="P543" s="215"/>
      <c r="Q543" s="215"/>
      <c r="R543" s="215"/>
      <c r="S543" s="215"/>
      <c r="T543" s="215"/>
      <c r="U543" s="215"/>
      <c r="V543" s="215"/>
      <c r="W543" s="215"/>
      <c r="X543" s="215"/>
    </row>
    <row r="544" spans="1:24" ht="14.25" customHeight="1" x14ac:dyDescent="0.2">
      <c r="A544" s="215"/>
      <c r="B544" s="215"/>
      <c r="C544" s="215"/>
      <c r="D544" s="215"/>
      <c r="E544" s="215"/>
      <c r="F544" s="215"/>
      <c r="G544" s="215"/>
      <c r="H544" s="215"/>
      <c r="I544" s="215"/>
      <c r="J544" s="215"/>
      <c r="K544" s="215"/>
      <c r="L544" s="215"/>
      <c r="M544" s="215"/>
      <c r="N544" s="215"/>
      <c r="O544" s="215"/>
      <c r="P544" s="215"/>
      <c r="Q544" s="215"/>
      <c r="R544" s="215"/>
      <c r="S544" s="215"/>
      <c r="T544" s="215"/>
      <c r="U544" s="215"/>
      <c r="V544" s="215"/>
      <c r="W544" s="215"/>
      <c r="X544" s="215"/>
    </row>
    <row r="545" spans="1:24" ht="14.25" customHeight="1" x14ac:dyDescent="0.2">
      <c r="A545" s="215"/>
      <c r="B545" s="215"/>
      <c r="C545" s="215"/>
      <c r="D545" s="215"/>
      <c r="E545" s="215"/>
      <c r="F545" s="215"/>
      <c r="G545" s="215"/>
      <c r="H545" s="215"/>
      <c r="I545" s="215"/>
      <c r="J545" s="215"/>
      <c r="K545" s="215"/>
      <c r="L545" s="215"/>
      <c r="M545" s="215"/>
      <c r="N545" s="215"/>
      <c r="O545" s="215"/>
      <c r="P545" s="215"/>
      <c r="Q545" s="215"/>
      <c r="R545" s="215"/>
      <c r="S545" s="215"/>
      <c r="T545" s="215"/>
      <c r="U545" s="215"/>
      <c r="V545" s="215"/>
      <c r="W545" s="215"/>
      <c r="X545" s="215"/>
    </row>
    <row r="546" spans="1:24" ht="14.25" customHeight="1" x14ac:dyDescent="0.2">
      <c r="A546" s="215"/>
      <c r="B546" s="215"/>
      <c r="C546" s="215"/>
      <c r="D546" s="215"/>
      <c r="E546" s="215"/>
      <c r="F546" s="215"/>
      <c r="G546" s="215"/>
      <c r="H546" s="215"/>
      <c r="I546" s="215"/>
      <c r="J546" s="215"/>
      <c r="K546" s="215"/>
      <c r="L546" s="215"/>
      <c r="M546" s="215"/>
      <c r="N546" s="215"/>
      <c r="O546" s="215"/>
      <c r="P546" s="215"/>
      <c r="Q546" s="215"/>
      <c r="R546" s="215"/>
      <c r="S546" s="215"/>
      <c r="T546" s="215"/>
      <c r="U546" s="215"/>
      <c r="V546" s="215"/>
      <c r="W546" s="215"/>
      <c r="X546" s="215"/>
    </row>
    <row r="547" spans="1:24" ht="14.25" customHeight="1" x14ac:dyDescent="0.2">
      <c r="A547" s="215"/>
      <c r="B547" s="215"/>
      <c r="C547" s="215"/>
      <c r="D547" s="215"/>
      <c r="E547" s="215"/>
      <c r="F547" s="215"/>
      <c r="G547" s="215"/>
      <c r="H547" s="215"/>
      <c r="I547" s="215"/>
      <c r="J547" s="215"/>
      <c r="K547" s="215"/>
      <c r="L547" s="215"/>
      <c r="M547" s="215"/>
      <c r="N547" s="215"/>
      <c r="O547" s="215"/>
      <c r="P547" s="215"/>
      <c r="Q547" s="215"/>
      <c r="R547" s="215"/>
      <c r="S547" s="215"/>
      <c r="T547" s="215"/>
      <c r="U547" s="215"/>
      <c r="V547" s="215"/>
      <c r="W547" s="215"/>
      <c r="X547" s="215"/>
    </row>
    <row r="548" spans="1:24" ht="14.25" customHeight="1" x14ac:dyDescent="0.2">
      <c r="A548" s="215"/>
      <c r="B548" s="215"/>
      <c r="C548" s="215"/>
      <c r="D548" s="215"/>
      <c r="E548" s="215"/>
      <c r="F548" s="215"/>
      <c r="G548" s="215"/>
      <c r="H548" s="215"/>
      <c r="I548" s="215"/>
      <c r="J548" s="215"/>
      <c r="K548" s="215"/>
      <c r="L548" s="215"/>
      <c r="M548" s="215"/>
      <c r="N548" s="215"/>
      <c r="O548" s="215"/>
      <c r="P548" s="215"/>
      <c r="Q548" s="215"/>
      <c r="R548" s="215"/>
      <c r="S548" s="215"/>
      <c r="T548" s="215"/>
      <c r="U548" s="215"/>
      <c r="V548" s="215"/>
      <c r="W548" s="215"/>
      <c r="X548" s="215"/>
    </row>
    <row r="549" spans="1:24" ht="14.25" customHeight="1" x14ac:dyDescent="0.2">
      <c r="A549" s="215"/>
      <c r="B549" s="215"/>
      <c r="C549" s="215"/>
      <c r="D549" s="215"/>
      <c r="E549" s="215"/>
      <c r="F549" s="215"/>
      <c r="G549" s="215"/>
      <c r="H549" s="215"/>
      <c r="I549" s="215"/>
      <c r="J549" s="215"/>
      <c r="K549" s="215"/>
      <c r="L549" s="215"/>
      <c r="M549" s="215"/>
      <c r="N549" s="215"/>
      <c r="O549" s="215"/>
      <c r="P549" s="215"/>
      <c r="Q549" s="215"/>
      <c r="R549" s="215"/>
      <c r="S549" s="215"/>
      <c r="T549" s="215"/>
      <c r="U549" s="215"/>
      <c r="V549" s="215"/>
      <c r="W549" s="215"/>
      <c r="X549" s="215"/>
    </row>
    <row r="550" spans="1:24" ht="14.25" customHeight="1" x14ac:dyDescent="0.2">
      <c r="A550" s="215"/>
      <c r="B550" s="215"/>
      <c r="C550" s="215"/>
      <c r="D550" s="215"/>
      <c r="E550" s="215"/>
      <c r="F550" s="215"/>
      <c r="G550" s="215"/>
      <c r="H550" s="215"/>
      <c r="I550" s="215"/>
      <c r="J550" s="215"/>
      <c r="K550" s="215"/>
      <c r="L550" s="215"/>
      <c r="M550" s="215"/>
      <c r="N550" s="215"/>
      <c r="O550" s="215"/>
      <c r="P550" s="215"/>
      <c r="Q550" s="215"/>
      <c r="R550" s="215"/>
      <c r="S550" s="215"/>
      <c r="T550" s="215"/>
      <c r="U550" s="215"/>
      <c r="V550" s="215"/>
      <c r="W550" s="215"/>
      <c r="X550" s="215"/>
    </row>
    <row r="551" spans="1:24" ht="14.25" customHeight="1" x14ac:dyDescent="0.2">
      <c r="A551" s="215"/>
      <c r="B551" s="215"/>
      <c r="C551" s="215"/>
      <c r="D551" s="215"/>
      <c r="E551" s="215"/>
      <c r="F551" s="215"/>
      <c r="G551" s="215"/>
      <c r="H551" s="215"/>
      <c r="I551" s="215"/>
      <c r="J551" s="215"/>
      <c r="K551" s="215"/>
      <c r="L551" s="215"/>
      <c r="M551" s="215"/>
      <c r="N551" s="215"/>
      <c r="O551" s="215"/>
      <c r="P551" s="215"/>
      <c r="Q551" s="215"/>
      <c r="R551" s="215"/>
      <c r="S551" s="215"/>
      <c r="T551" s="215"/>
      <c r="U551" s="215"/>
      <c r="V551" s="215"/>
      <c r="W551" s="215"/>
      <c r="X551" s="215"/>
    </row>
    <row r="552" spans="1:24" ht="14.25" customHeight="1" x14ac:dyDescent="0.2">
      <c r="A552" s="215"/>
      <c r="B552" s="215"/>
      <c r="C552" s="215"/>
      <c r="D552" s="215"/>
      <c r="E552" s="215"/>
      <c r="F552" s="215"/>
      <c r="G552" s="215"/>
      <c r="H552" s="215"/>
      <c r="I552" s="215"/>
      <c r="J552" s="215"/>
      <c r="K552" s="215"/>
      <c r="L552" s="215"/>
      <c r="M552" s="215"/>
      <c r="N552" s="215"/>
      <c r="O552" s="215"/>
      <c r="P552" s="215"/>
      <c r="Q552" s="215"/>
      <c r="R552" s="215"/>
      <c r="S552" s="215"/>
      <c r="T552" s="215"/>
      <c r="U552" s="215"/>
      <c r="V552" s="215"/>
      <c r="W552" s="215"/>
      <c r="X552" s="215"/>
    </row>
    <row r="553" spans="1:24" ht="14.25" customHeight="1" x14ac:dyDescent="0.2">
      <c r="A553" s="215"/>
      <c r="B553" s="215"/>
      <c r="C553" s="215"/>
      <c r="D553" s="215"/>
      <c r="E553" s="215"/>
      <c r="F553" s="215"/>
      <c r="G553" s="215"/>
      <c r="H553" s="215"/>
      <c r="I553" s="215"/>
      <c r="J553" s="215"/>
      <c r="K553" s="215"/>
      <c r="L553" s="215"/>
      <c r="M553" s="215"/>
      <c r="N553" s="215"/>
      <c r="O553" s="215"/>
      <c r="P553" s="215"/>
      <c r="Q553" s="215"/>
      <c r="R553" s="215"/>
      <c r="S553" s="215"/>
      <c r="T553" s="215"/>
      <c r="U553" s="215"/>
      <c r="V553" s="215"/>
      <c r="W553" s="215"/>
      <c r="X553" s="215"/>
    </row>
    <row r="554" spans="1:24" ht="14.25" customHeight="1" x14ac:dyDescent="0.2">
      <c r="A554" s="215"/>
      <c r="B554" s="215"/>
      <c r="C554" s="215"/>
      <c r="D554" s="215"/>
      <c r="E554" s="215"/>
      <c r="F554" s="215"/>
      <c r="G554" s="215"/>
      <c r="H554" s="215"/>
      <c r="I554" s="215"/>
      <c r="J554" s="215"/>
      <c r="K554" s="215"/>
      <c r="L554" s="215"/>
      <c r="M554" s="215"/>
      <c r="N554" s="215"/>
      <c r="O554" s="215"/>
      <c r="P554" s="215"/>
      <c r="Q554" s="215"/>
      <c r="R554" s="215"/>
      <c r="S554" s="215"/>
      <c r="T554" s="215"/>
      <c r="U554" s="215"/>
      <c r="V554" s="215"/>
      <c r="W554" s="215"/>
      <c r="X554" s="215"/>
    </row>
    <row r="555" spans="1:24" ht="14.25" customHeight="1" x14ac:dyDescent="0.2">
      <c r="A555" s="215"/>
      <c r="B555" s="215"/>
      <c r="C555" s="215"/>
      <c r="D555" s="215"/>
      <c r="E555" s="215"/>
      <c r="F555" s="215"/>
      <c r="G555" s="215"/>
      <c r="H555" s="215"/>
      <c r="I555" s="215"/>
      <c r="J555" s="215"/>
      <c r="K555" s="215"/>
      <c r="L555" s="215"/>
      <c r="M555" s="215"/>
      <c r="N555" s="215"/>
      <c r="O555" s="215"/>
      <c r="P555" s="215"/>
      <c r="Q555" s="215"/>
      <c r="R555" s="215"/>
      <c r="S555" s="215"/>
      <c r="T555" s="215"/>
      <c r="U555" s="215"/>
      <c r="V555" s="215"/>
      <c r="W555" s="215"/>
      <c r="X555" s="215"/>
    </row>
    <row r="556" spans="1:24" ht="14.25" customHeight="1" x14ac:dyDescent="0.2">
      <c r="A556" s="215"/>
      <c r="B556" s="215"/>
      <c r="C556" s="215"/>
      <c r="D556" s="215"/>
      <c r="E556" s="215"/>
      <c r="F556" s="215"/>
      <c r="G556" s="215"/>
      <c r="H556" s="215"/>
      <c r="I556" s="215"/>
      <c r="J556" s="215"/>
      <c r="K556" s="215"/>
      <c r="L556" s="215"/>
      <c r="M556" s="215"/>
      <c r="N556" s="215"/>
      <c r="O556" s="215"/>
      <c r="P556" s="215"/>
      <c r="Q556" s="215"/>
      <c r="R556" s="215"/>
      <c r="S556" s="215"/>
      <c r="T556" s="215"/>
      <c r="U556" s="215"/>
      <c r="V556" s="215"/>
      <c r="W556" s="215"/>
      <c r="X556" s="215"/>
    </row>
    <row r="557" spans="1:24" ht="14.25" customHeight="1" x14ac:dyDescent="0.2">
      <c r="A557" s="215"/>
      <c r="B557" s="215"/>
      <c r="C557" s="215"/>
      <c r="D557" s="215"/>
      <c r="E557" s="215"/>
      <c r="F557" s="215"/>
      <c r="G557" s="215"/>
      <c r="H557" s="215"/>
      <c r="I557" s="215"/>
      <c r="J557" s="215"/>
      <c r="K557" s="215"/>
      <c r="L557" s="215"/>
      <c r="M557" s="215"/>
      <c r="N557" s="215"/>
      <c r="O557" s="215"/>
      <c r="P557" s="215"/>
      <c r="Q557" s="215"/>
      <c r="R557" s="215"/>
      <c r="S557" s="215"/>
      <c r="T557" s="215"/>
      <c r="U557" s="215"/>
      <c r="V557" s="215"/>
      <c r="W557" s="215"/>
      <c r="X557" s="215"/>
    </row>
    <row r="558" spans="1:24" ht="14.25" customHeight="1" x14ac:dyDescent="0.2">
      <c r="A558" s="215"/>
      <c r="B558" s="215"/>
      <c r="C558" s="215"/>
      <c r="D558" s="215"/>
      <c r="E558" s="215"/>
      <c r="F558" s="215"/>
      <c r="G558" s="215"/>
      <c r="H558" s="215"/>
      <c r="I558" s="215"/>
      <c r="J558" s="215"/>
      <c r="K558" s="215"/>
      <c r="L558" s="215"/>
      <c r="M558" s="215"/>
      <c r="N558" s="215"/>
      <c r="O558" s="215"/>
      <c r="P558" s="215"/>
      <c r="Q558" s="215"/>
      <c r="R558" s="215"/>
      <c r="S558" s="215"/>
      <c r="T558" s="215"/>
      <c r="U558" s="215"/>
      <c r="V558" s="215"/>
      <c r="W558" s="215"/>
      <c r="X558" s="215"/>
    </row>
    <row r="559" spans="1:24" ht="14.25" customHeight="1" x14ac:dyDescent="0.2">
      <c r="A559" s="215"/>
      <c r="B559" s="215"/>
      <c r="C559" s="215"/>
      <c r="D559" s="215"/>
      <c r="E559" s="215"/>
      <c r="F559" s="215"/>
      <c r="G559" s="215"/>
      <c r="H559" s="215"/>
      <c r="I559" s="215"/>
      <c r="J559" s="215"/>
      <c r="K559" s="215"/>
      <c r="L559" s="215"/>
      <c r="M559" s="215"/>
      <c r="N559" s="215"/>
      <c r="O559" s="215"/>
      <c r="P559" s="215"/>
      <c r="Q559" s="215"/>
      <c r="R559" s="215"/>
      <c r="S559" s="215"/>
      <c r="T559" s="215"/>
      <c r="U559" s="215"/>
      <c r="V559" s="215"/>
      <c r="W559" s="215"/>
      <c r="X559" s="215"/>
    </row>
    <row r="560" spans="1:24" ht="14.25" customHeight="1" x14ac:dyDescent="0.2">
      <c r="A560" s="215"/>
      <c r="B560" s="215"/>
      <c r="C560" s="215"/>
      <c r="D560" s="215"/>
      <c r="E560" s="215"/>
      <c r="F560" s="215"/>
      <c r="G560" s="215"/>
      <c r="H560" s="215"/>
      <c r="I560" s="215"/>
      <c r="J560" s="215"/>
      <c r="K560" s="215"/>
      <c r="L560" s="215"/>
      <c r="M560" s="215"/>
      <c r="N560" s="215"/>
      <c r="O560" s="215"/>
      <c r="P560" s="215"/>
      <c r="Q560" s="215"/>
      <c r="R560" s="215"/>
      <c r="S560" s="215"/>
      <c r="T560" s="215"/>
      <c r="U560" s="215"/>
      <c r="V560" s="215"/>
      <c r="W560" s="215"/>
      <c r="X560" s="215"/>
    </row>
    <row r="561" spans="1:24" ht="14.25" customHeight="1" x14ac:dyDescent="0.2">
      <c r="A561" s="215"/>
      <c r="B561" s="215"/>
      <c r="C561" s="215"/>
      <c r="D561" s="215"/>
      <c r="E561" s="215"/>
      <c r="F561" s="215"/>
      <c r="G561" s="215"/>
      <c r="H561" s="215"/>
      <c r="I561" s="215"/>
      <c r="J561" s="215"/>
      <c r="K561" s="215"/>
      <c r="L561" s="215"/>
      <c r="M561" s="215"/>
      <c r="N561" s="215"/>
      <c r="O561" s="215"/>
      <c r="P561" s="215"/>
      <c r="Q561" s="215"/>
      <c r="R561" s="215"/>
      <c r="S561" s="215"/>
      <c r="T561" s="215"/>
      <c r="U561" s="215"/>
      <c r="V561" s="215"/>
      <c r="W561" s="215"/>
      <c r="X561" s="215"/>
    </row>
    <row r="562" spans="1:24" ht="14.25" customHeight="1" x14ac:dyDescent="0.2">
      <c r="A562" s="215"/>
      <c r="B562" s="215"/>
      <c r="C562" s="215"/>
      <c r="D562" s="215"/>
      <c r="E562" s="215"/>
      <c r="F562" s="215"/>
      <c r="G562" s="215"/>
      <c r="H562" s="215"/>
      <c r="I562" s="215"/>
      <c r="J562" s="215"/>
      <c r="K562" s="215"/>
      <c r="L562" s="215"/>
      <c r="M562" s="215"/>
      <c r="N562" s="215"/>
      <c r="O562" s="215"/>
      <c r="P562" s="215"/>
      <c r="Q562" s="215"/>
      <c r="R562" s="215"/>
      <c r="S562" s="215"/>
      <c r="T562" s="215"/>
      <c r="U562" s="215"/>
      <c r="V562" s="215"/>
      <c r="W562" s="215"/>
      <c r="X562" s="215"/>
    </row>
    <row r="563" spans="1:24" ht="14.25" customHeight="1" x14ac:dyDescent="0.2">
      <c r="A563" s="215"/>
      <c r="B563" s="215"/>
      <c r="C563" s="215"/>
      <c r="D563" s="215"/>
      <c r="E563" s="215"/>
      <c r="F563" s="215"/>
      <c r="G563" s="215"/>
      <c r="H563" s="215"/>
      <c r="I563" s="215"/>
      <c r="J563" s="215"/>
      <c r="K563" s="215"/>
      <c r="L563" s="215"/>
      <c r="M563" s="215"/>
      <c r="N563" s="215"/>
      <c r="O563" s="215"/>
      <c r="P563" s="215"/>
      <c r="Q563" s="215"/>
      <c r="R563" s="215"/>
      <c r="S563" s="215"/>
      <c r="T563" s="215"/>
      <c r="U563" s="215"/>
      <c r="V563" s="215"/>
      <c r="W563" s="215"/>
      <c r="X563" s="215"/>
    </row>
    <row r="564" spans="1:24" ht="14.25" customHeight="1" x14ac:dyDescent="0.2">
      <c r="A564" s="215"/>
      <c r="B564" s="215"/>
      <c r="C564" s="215"/>
      <c r="D564" s="215"/>
      <c r="E564" s="215"/>
      <c r="F564" s="215"/>
      <c r="G564" s="215"/>
      <c r="H564" s="215"/>
      <c r="I564" s="215"/>
      <c r="J564" s="215"/>
      <c r="K564" s="215"/>
      <c r="L564" s="215"/>
      <c r="M564" s="215"/>
      <c r="N564" s="215"/>
      <c r="O564" s="215"/>
      <c r="P564" s="215"/>
      <c r="Q564" s="215"/>
      <c r="R564" s="215"/>
      <c r="S564" s="215"/>
      <c r="T564" s="215"/>
      <c r="U564" s="215"/>
      <c r="V564" s="215"/>
      <c r="W564" s="215"/>
      <c r="X564" s="215"/>
    </row>
    <row r="565" spans="1:24" ht="14.25" customHeight="1" x14ac:dyDescent="0.2">
      <c r="A565" s="215"/>
      <c r="B565" s="215"/>
      <c r="C565" s="215"/>
      <c r="D565" s="215"/>
      <c r="E565" s="215"/>
      <c r="F565" s="215"/>
      <c r="G565" s="215"/>
      <c r="H565" s="215"/>
      <c r="I565" s="215"/>
      <c r="J565" s="215"/>
      <c r="K565" s="215"/>
      <c r="L565" s="215"/>
      <c r="M565" s="215"/>
      <c r="N565" s="215"/>
      <c r="O565" s="215"/>
      <c r="P565" s="215"/>
      <c r="Q565" s="215"/>
      <c r="R565" s="215"/>
      <c r="S565" s="215"/>
      <c r="T565" s="215"/>
      <c r="U565" s="215"/>
      <c r="V565" s="215"/>
      <c r="W565" s="215"/>
      <c r="X565" s="215"/>
    </row>
    <row r="566" spans="1:24" ht="14.25" customHeight="1" x14ac:dyDescent="0.2">
      <c r="A566" s="215"/>
      <c r="B566" s="215"/>
      <c r="C566" s="215"/>
      <c r="D566" s="215"/>
      <c r="E566" s="215"/>
      <c r="F566" s="215"/>
      <c r="G566" s="215"/>
      <c r="H566" s="215"/>
      <c r="I566" s="215"/>
      <c r="J566" s="215"/>
      <c r="K566" s="215"/>
      <c r="L566" s="215"/>
      <c r="M566" s="215"/>
      <c r="N566" s="215"/>
      <c r="O566" s="215"/>
      <c r="P566" s="215"/>
      <c r="Q566" s="215"/>
      <c r="R566" s="215"/>
      <c r="S566" s="215"/>
      <c r="T566" s="215"/>
      <c r="U566" s="215"/>
      <c r="V566" s="215"/>
      <c r="W566" s="215"/>
      <c r="X566" s="215"/>
    </row>
    <row r="567" spans="1:24" ht="14.25" customHeight="1" x14ac:dyDescent="0.2">
      <c r="A567" s="215"/>
      <c r="B567" s="215"/>
      <c r="C567" s="215"/>
      <c r="D567" s="215"/>
      <c r="E567" s="215"/>
      <c r="F567" s="215"/>
      <c r="G567" s="215"/>
      <c r="H567" s="215"/>
      <c r="I567" s="215"/>
      <c r="J567" s="215"/>
      <c r="K567" s="215"/>
      <c r="L567" s="215"/>
      <c r="M567" s="215"/>
      <c r="N567" s="215"/>
      <c r="O567" s="215"/>
      <c r="P567" s="215"/>
      <c r="Q567" s="215"/>
      <c r="R567" s="215"/>
      <c r="S567" s="215"/>
      <c r="T567" s="215"/>
      <c r="U567" s="215"/>
      <c r="V567" s="215"/>
      <c r="W567" s="215"/>
      <c r="X567" s="215"/>
    </row>
    <row r="568" spans="1:24" ht="14.25" customHeight="1" x14ac:dyDescent="0.2">
      <c r="A568" s="215"/>
      <c r="B568" s="215"/>
      <c r="C568" s="215"/>
      <c r="D568" s="215"/>
      <c r="E568" s="215"/>
      <c r="F568" s="215"/>
      <c r="G568" s="215"/>
      <c r="H568" s="215"/>
      <c r="I568" s="215"/>
      <c r="J568" s="215"/>
      <c r="K568" s="215"/>
      <c r="L568" s="215"/>
      <c r="M568" s="215"/>
      <c r="N568" s="215"/>
      <c r="O568" s="215"/>
      <c r="P568" s="215"/>
      <c r="Q568" s="215"/>
      <c r="R568" s="215"/>
      <c r="S568" s="215"/>
      <c r="T568" s="215"/>
      <c r="U568" s="215"/>
      <c r="V568" s="215"/>
      <c r="W568" s="215"/>
      <c r="X568" s="215"/>
    </row>
    <row r="569" spans="1:24" ht="14.25" customHeight="1" x14ac:dyDescent="0.2">
      <c r="A569" s="215"/>
      <c r="B569" s="215"/>
      <c r="C569" s="215"/>
      <c r="D569" s="215"/>
      <c r="E569" s="215"/>
      <c r="F569" s="215"/>
      <c r="G569" s="215"/>
      <c r="H569" s="215"/>
      <c r="I569" s="215"/>
      <c r="J569" s="215"/>
      <c r="K569" s="215"/>
      <c r="L569" s="215"/>
      <c r="M569" s="215"/>
      <c r="N569" s="215"/>
      <c r="O569" s="215"/>
      <c r="P569" s="215"/>
      <c r="Q569" s="215"/>
      <c r="R569" s="215"/>
      <c r="S569" s="215"/>
      <c r="T569" s="215"/>
      <c r="U569" s="215"/>
      <c r="V569" s="215"/>
      <c r="W569" s="215"/>
      <c r="X569" s="215"/>
    </row>
    <row r="570" spans="1:24" ht="14.25" customHeight="1" x14ac:dyDescent="0.2">
      <c r="A570" s="215"/>
      <c r="B570" s="215"/>
      <c r="C570" s="215"/>
      <c r="D570" s="215"/>
      <c r="E570" s="215"/>
      <c r="F570" s="215"/>
      <c r="G570" s="215"/>
      <c r="H570" s="215"/>
      <c r="I570" s="215"/>
      <c r="J570" s="215"/>
      <c r="K570" s="215"/>
      <c r="L570" s="215"/>
      <c r="M570" s="215"/>
      <c r="N570" s="215"/>
      <c r="O570" s="215"/>
      <c r="P570" s="215"/>
      <c r="Q570" s="215"/>
      <c r="R570" s="215"/>
      <c r="S570" s="215"/>
      <c r="T570" s="215"/>
      <c r="U570" s="215"/>
      <c r="V570" s="215"/>
      <c r="W570" s="215"/>
      <c r="X570" s="215"/>
    </row>
    <row r="571" spans="1:24" ht="14.25" customHeight="1" x14ac:dyDescent="0.2">
      <c r="A571" s="215"/>
      <c r="B571" s="215"/>
      <c r="C571" s="215"/>
      <c r="D571" s="215"/>
      <c r="E571" s="215"/>
      <c r="F571" s="215"/>
      <c r="G571" s="215"/>
      <c r="H571" s="215"/>
      <c r="I571" s="215"/>
      <c r="J571" s="215"/>
      <c r="K571" s="215"/>
      <c r="L571" s="215"/>
      <c r="M571" s="215"/>
      <c r="N571" s="215"/>
      <c r="O571" s="215"/>
      <c r="P571" s="215"/>
      <c r="Q571" s="215"/>
      <c r="R571" s="215"/>
      <c r="S571" s="215"/>
      <c r="T571" s="215"/>
      <c r="U571" s="215"/>
      <c r="V571" s="215"/>
      <c r="W571" s="215"/>
      <c r="X571" s="215"/>
    </row>
    <row r="572" spans="1:24" ht="14.25" customHeight="1" x14ac:dyDescent="0.2">
      <c r="A572" s="215"/>
      <c r="B572" s="215"/>
      <c r="C572" s="215"/>
      <c r="D572" s="215"/>
      <c r="E572" s="215"/>
      <c r="F572" s="215"/>
      <c r="G572" s="215"/>
      <c r="H572" s="215"/>
      <c r="I572" s="215"/>
      <c r="J572" s="215"/>
      <c r="K572" s="215"/>
      <c r="L572" s="215"/>
      <c r="M572" s="215"/>
      <c r="N572" s="215"/>
      <c r="O572" s="215"/>
      <c r="P572" s="215"/>
      <c r="Q572" s="215"/>
      <c r="R572" s="215"/>
      <c r="S572" s="215"/>
      <c r="T572" s="215"/>
      <c r="U572" s="215"/>
      <c r="V572" s="215"/>
      <c r="W572" s="215"/>
      <c r="X572" s="215"/>
    </row>
    <row r="573" spans="1:24" ht="14.25" customHeight="1" x14ac:dyDescent="0.2">
      <c r="A573" s="215"/>
      <c r="B573" s="215"/>
      <c r="C573" s="215"/>
      <c r="D573" s="215"/>
      <c r="E573" s="215"/>
      <c r="F573" s="215"/>
      <c r="G573" s="215"/>
      <c r="H573" s="215"/>
      <c r="I573" s="215"/>
      <c r="J573" s="215"/>
      <c r="K573" s="215"/>
      <c r="L573" s="215"/>
      <c r="M573" s="215"/>
      <c r="N573" s="215"/>
      <c r="O573" s="215"/>
      <c r="P573" s="215"/>
      <c r="Q573" s="215"/>
      <c r="R573" s="215"/>
      <c r="S573" s="215"/>
      <c r="T573" s="215"/>
      <c r="U573" s="215"/>
      <c r="V573" s="215"/>
      <c r="W573" s="215"/>
      <c r="X573" s="215"/>
    </row>
    <row r="574" spans="1:24" ht="14.25" customHeight="1" x14ac:dyDescent="0.2">
      <c r="A574" s="215"/>
      <c r="B574" s="215"/>
      <c r="C574" s="215"/>
      <c r="D574" s="215"/>
      <c r="E574" s="215"/>
      <c r="F574" s="215"/>
      <c r="G574" s="215"/>
      <c r="H574" s="215"/>
      <c r="I574" s="215"/>
      <c r="J574" s="215"/>
      <c r="K574" s="215"/>
      <c r="L574" s="215"/>
      <c r="M574" s="215"/>
      <c r="N574" s="215"/>
      <c r="O574" s="215"/>
      <c r="P574" s="215"/>
      <c r="Q574" s="215"/>
      <c r="R574" s="215"/>
      <c r="S574" s="215"/>
      <c r="T574" s="215"/>
      <c r="U574" s="215"/>
      <c r="V574" s="215"/>
      <c r="W574" s="215"/>
      <c r="X574" s="215"/>
    </row>
    <row r="575" spans="1:24" ht="14.25" customHeight="1" x14ac:dyDescent="0.2">
      <c r="A575" s="215"/>
      <c r="B575" s="215"/>
      <c r="C575" s="215"/>
      <c r="D575" s="215"/>
      <c r="E575" s="215"/>
      <c r="F575" s="215"/>
      <c r="G575" s="215"/>
      <c r="H575" s="215"/>
      <c r="I575" s="215"/>
      <c r="J575" s="215"/>
      <c r="K575" s="215"/>
      <c r="L575" s="215"/>
      <c r="M575" s="215"/>
      <c r="N575" s="215"/>
      <c r="O575" s="215"/>
      <c r="P575" s="215"/>
      <c r="Q575" s="215"/>
      <c r="R575" s="215"/>
      <c r="S575" s="215"/>
      <c r="T575" s="215"/>
      <c r="U575" s="215"/>
      <c r="V575" s="215"/>
      <c r="W575" s="215"/>
      <c r="X575" s="215"/>
    </row>
    <row r="576" spans="1:24" ht="14.25" customHeight="1" x14ac:dyDescent="0.2">
      <c r="A576" s="215"/>
      <c r="B576" s="215"/>
      <c r="C576" s="215"/>
      <c r="D576" s="215"/>
      <c r="E576" s="215"/>
      <c r="F576" s="215"/>
      <c r="G576" s="215"/>
      <c r="H576" s="215"/>
      <c r="I576" s="215"/>
      <c r="J576" s="215"/>
      <c r="K576" s="215"/>
      <c r="L576" s="215"/>
      <c r="M576" s="215"/>
      <c r="N576" s="215"/>
      <c r="O576" s="215"/>
      <c r="P576" s="215"/>
      <c r="Q576" s="215"/>
      <c r="R576" s="215"/>
      <c r="S576" s="215"/>
      <c r="T576" s="215"/>
      <c r="U576" s="215"/>
      <c r="V576" s="215"/>
      <c r="W576" s="215"/>
      <c r="X576" s="215"/>
    </row>
    <row r="577" spans="1:24" ht="14.25" customHeight="1" x14ac:dyDescent="0.2">
      <c r="A577" s="215"/>
      <c r="B577" s="215"/>
      <c r="C577" s="215"/>
      <c r="D577" s="215"/>
      <c r="E577" s="215"/>
      <c r="F577" s="215"/>
      <c r="G577" s="215"/>
      <c r="H577" s="215"/>
      <c r="I577" s="215"/>
      <c r="J577" s="215"/>
      <c r="K577" s="215"/>
      <c r="L577" s="215"/>
      <c r="M577" s="215"/>
      <c r="N577" s="215"/>
      <c r="O577" s="215"/>
      <c r="P577" s="215"/>
      <c r="Q577" s="215"/>
      <c r="R577" s="215"/>
      <c r="S577" s="215"/>
      <c r="T577" s="215"/>
      <c r="U577" s="215"/>
      <c r="V577" s="215"/>
      <c r="W577" s="215"/>
      <c r="X577" s="215"/>
    </row>
    <row r="578" spans="1:24" ht="14.25" customHeight="1" x14ac:dyDescent="0.2">
      <c r="A578" s="215"/>
      <c r="B578" s="215"/>
      <c r="C578" s="215"/>
      <c r="D578" s="215"/>
      <c r="E578" s="215"/>
      <c r="F578" s="215"/>
      <c r="G578" s="215"/>
      <c r="H578" s="215"/>
      <c r="I578" s="215"/>
      <c r="J578" s="215"/>
      <c r="K578" s="215"/>
      <c r="L578" s="215"/>
      <c r="M578" s="215"/>
      <c r="N578" s="215"/>
      <c r="O578" s="215"/>
      <c r="P578" s="215"/>
      <c r="Q578" s="215"/>
      <c r="R578" s="215"/>
      <c r="S578" s="215"/>
      <c r="T578" s="215"/>
      <c r="U578" s="215"/>
      <c r="V578" s="215"/>
      <c r="W578" s="215"/>
      <c r="X578" s="215"/>
    </row>
    <row r="579" spans="1:24" ht="14.25" customHeight="1" x14ac:dyDescent="0.2">
      <c r="A579" s="215"/>
      <c r="B579" s="215"/>
      <c r="C579" s="215"/>
      <c r="D579" s="215"/>
      <c r="E579" s="215"/>
      <c r="F579" s="215"/>
      <c r="G579" s="215"/>
      <c r="H579" s="215"/>
      <c r="I579" s="215"/>
      <c r="J579" s="215"/>
      <c r="K579" s="215"/>
      <c r="L579" s="215"/>
      <c r="M579" s="215"/>
      <c r="N579" s="215"/>
      <c r="O579" s="215"/>
      <c r="P579" s="215"/>
      <c r="Q579" s="215"/>
      <c r="R579" s="215"/>
      <c r="S579" s="215"/>
      <c r="T579" s="215"/>
      <c r="U579" s="215"/>
      <c r="V579" s="215"/>
      <c r="W579" s="215"/>
      <c r="X579" s="215"/>
    </row>
    <row r="580" spans="1:24" ht="14.25" customHeight="1" x14ac:dyDescent="0.2">
      <c r="A580" s="215"/>
      <c r="B580" s="215"/>
      <c r="C580" s="215"/>
      <c r="D580" s="215"/>
      <c r="E580" s="215"/>
      <c r="F580" s="215"/>
      <c r="G580" s="215"/>
      <c r="H580" s="215"/>
      <c r="I580" s="215"/>
      <c r="J580" s="215"/>
      <c r="K580" s="215"/>
      <c r="L580" s="215"/>
      <c r="M580" s="215"/>
      <c r="N580" s="215"/>
      <c r="O580" s="215"/>
      <c r="P580" s="215"/>
      <c r="Q580" s="215"/>
      <c r="R580" s="215"/>
      <c r="S580" s="215"/>
      <c r="T580" s="215"/>
      <c r="U580" s="215"/>
      <c r="V580" s="215"/>
      <c r="W580" s="215"/>
      <c r="X580" s="215"/>
    </row>
    <row r="581" spans="1:24" ht="14.25" customHeight="1" x14ac:dyDescent="0.2">
      <c r="A581" s="215"/>
      <c r="B581" s="215"/>
      <c r="C581" s="215"/>
      <c r="D581" s="215"/>
      <c r="E581" s="215"/>
      <c r="F581" s="215"/>
      <c r="G581" s="215"/>
      <c r="H581" s="215"/>
      <c r="I581" s="215"/>
      <c r="J581" s="215"/>
      <c r="K581" s="215"/>
      <c r="L581" s="215"/>
      <c r="M581" s="215"/>
      <c r="N581" s="215"/>
      <c r="O581" s="215"/>
      <c r="P581" s="215"/>
      <c r="Q581" s="215"/>
      <c r="R581" s="215"/>
      <c r="S581" s="215"/>
      <c r="T581" s="215"/>
      <c r="U581" s="215"/>
      <c r="V581" s="215"/>
      <c r="W581" s="215"/>
      <c r="X581" s="215"/>
    </row>
    <row r="582" spans="1:24" ht="14.25" customHeight="1" x14ac:dyDescent="0.2">
      <c r="A582" s="215"/>
      <c r="B582" s="215"/>
      <c r="C582" s="215"/>
      <c r="D582" s="215"/>
      <c r="E582" s="215"/>
      <c r="F582" s="215"/>
      <c r="G582" s="215"/>
      <c r="H582" s="215"/>
      <c r="I582" s="215"/>
      <c r="J582" s="215"/>
      <c r="K582" s="215"/>
      <c r="L582" s="215"/>
      <c r="M582" s="215"/>
      <c r="N582" s="215"/>
      <c r="O582" s="215"/>
      <c r="P582" s="215"/>
      <c r="Q582" s="215"/>
      <c r="R582" s="215"/>
      <c r="S582" s="215"/>
      <c r="T582" s="215"/>
      <c r="U582" s="215"/>
      <c r="V582" s="215"/>
      <c r="W582" s="215"/>
      <c r="X582" s="215"/>
    </row>
    <row r="583" spans="1:24" ht="14.25" customHeight="1" x14ac:dyDescent="0.2">
      <c r="A583" s="215"/>
      <c r="B583" s="215"/>
      <c r="C583" s="215"/>
      <c r="D583" s="215"/>
      <c r="E583" s="215"/>
      <c r="F583" s="215"/>
      <c r="G583" s="215"/>
      <c r="H583" s="215"/>
      <c r="I583" s="215"/>
      <c r="J583" s="215"/>
      <c r="K583" s="215"/>
      <c r="L583" s="215"/>
      <c r="M583" s="215"/>
      <c r="N583" s="215"/>
      <c r="O583" s="215"/>
      <c r="P583" s="215"/>
      <c r="Q583" s="215"/>
      <c r="R583" s="215"/>
      <c r="S583" s="215"/>
      <c r="T583" s="215"/>
      <c r="U583" s="215"/>
      <c r="V583" s="215"/>
      <c r="W583" s="215"/>
      <c r="X583" s="215"/>
    </row>
    <row r="584" spans="1:24" ht="14.25" customHeight="1" x14ac:dyDescent="0.2">
      <c r="A584" s="215"/>
      <c r="B584" s="215"/>
      <c r="C584" s="215"/>
      <c r="D584" s="215"/>
      <c r="E584" s="215"/>
      <c r="F584" s="215"/>
      <c r="G584" s="215"/>
      <c r="H584" s="215"/>
      <c r="I584" s="215"/>
      <c r="J584" s="215"/>
      <c r="K584" s="215"/>
      <c r="L584" s="215"/>
      <c r="M584" s="215"/>
      <c r="N584" s="215"/>
      <c r="O584" s="215"/>
      <c r="P584" s="215"/>
      <c r="Q584" s="215"/>
      <c r="R584" s="215"/>
      <c r="S584" s="215"/>
      <c r="T584" s="215"/>
      <c r="U584" s="215"/>
      <c r="V584" s="215"/>
      <c r="W584" s="215"/>
      <c r="X584" s="215"/>
    </row>
    <row r="585" spans="1:24" ht="14.25" customHeight="1" x14ac:dyDescent="0.2">
      <c r="A585" s="215"/>
      <c r="B585" s="215"/>
      <c r="C585" s="215"/>
      <c r="D585" s="215"/>
      <c r="E585" s="215"/>
      <c r="F585" s="215"/>
      <c r="G585" s="215"/>
      <c r="H585" s="215"/>
      <c r="I585" s="215"/>
      <c r="J585" s="215"/>
      <c r="K585" s="215"/>
      <c r="L585" s="215"/>
      <c r="M585" s="215"/>
      <c r="N585" s="215"/>
      <c r="O585" s="215"/>
      <c r="P585" s="215"/>
      <c r="Q585" s="215"/>
      <c r="R585" s="215"/>
      <c r="S585" s="215"/>
      <c r="T585" s="215"/>
      <c r="U585" s="215"/>
      <c r="V585" s="215"/>
      <c r="W585" s="215"/>
      <c r="X585" s="215"/>
    </row>
    <row r="586" spans="1:24" ht="14.25" customHeight="1" x14ac:dyDescent="0.2">
      <c r="A586" s="215"/>
      <c r="B586" s="215"/>
      <c r="C586" s="215"/>
      <c r="D586" s="215"/>
      <c r="E586" s="215"/>
      <c r="F586" s="215"/>
      <c r="G586" s="215"/>
      <c r="H586" s="215"/>
      <c r="I586" s="215"/>
      <c r="J586" s="215"/>
      <c r="K586" s="215"/>
      <c r="L586" s="215"/>
      <c r="M586" s="215"/>
      <c r="N586" s="215"/>
      <c r="O586" s="215"/>
      <c r="P586" s="215"/>
      <c r="Q586" s="215"/>
      <c r="R586" s="215"/>
      <c r="S586" s="215"/>
      <c r="T586" s="215"/>
      <c r="U586" s="215"/>
      <c r="V586" s="215"/>
      <c r="W586" s="215"/>
      <c r="X586" s="215"/>
    </row>
    <row r="587" spans="1:24" ht="14.25" customHeight="1" x14ac:dyDescent="0.2">
      <c r="A587" s="215"/>
      <c r="B587" s="215"/>
      <c r="C587" s="215"/>
      <c r="D587" s="215"/>
      <c r="E587" s="215"/>
      <c r="F587" s="215"/>
      <c r="G587" s="215"/>
      <c r="H587" s="215"/>
      <c r="I587" s="215"/>
      <c r="J587" s="215"/>
      <c r="K587" s="215"/>
      <c r="L587" s="215"/>
      <c r="M587" s="215"/>
      <c r="N587" s="215"/>
      <c r="O587" s="215"/>
      <c r="P587" s="215"/>
      <c r="Q587" s="215"/>
      <c r="R587" s="215"/>
      <c r="S587" s="215"/>
      <c r="T587" s="215"/>
      <c r="U587" s="215"/>
      <c r="V587" s="215"/>
      <c r="W587" s="215"/>
      <c r="X587" s="215"/>
    </row>
    <row r="588" spans="1:24" ht="14.25" customHeight="1" x14ac:dyDescent="0.2">
      <c r="A588" s="215"/>
      <c r="B588" s="215"/>
      <c r="C588" s="215"/>
      <c r="D588" s="215"/>
      <c r="E588" s="215"/>
      <c r="F588" s="215"/>
      <c r="G588" s="215"/>
      <c r="H588" s="215"/>
      <c r="I588" s="215"/>
      <c r="J588" s="215"/>
      <c r="K588" s="215"/>
      <c r="L588" s="215"/>
      <c r="M588" s="215"/>
      <c r="N588" s="215"/>
      <c r="O588" s="215"/>
      <c r="P588" s="215"/>
      <c r="Q588" s="215"/>
      <c r="R588" s="215"/>
      <c r="S588" s="215"/>
      <c r="T588" s="215"/>
      <c r="U588" s="215"/>
      <c r="V588" s="215"/>
      <c r="W588" s="215"/>
      <c r="X588" s="215"/>
    </row>
    <row r="589" spans="1:24" ht="14.25" customHeight="1" x14ac:dyDescent="0.2">
      <c r="A589" s="215"/>
      <c r="B589" s="215"/>
      <c r="C589" s="215"/>
      <c r="D589" s="215"/>
      <c r="E589" s="215"/>
      <c r="F589" s="215"/>
      <c r="G589" s="215"/>
      <c r="H589" s="215"/>
      <c r="I589" s="215"/>
      <c r="J589" s="215"/>
      <c r="K589" s="215"/>
      <c r="L589" s="215"/>
      <c r="M589" s="215"/>
      <c r="N589" s="215"/>
      <c r="O589" s="215"/>
      <c r="P589" s="215"/>
      <c r="Q589" s="215"/>
      <c r="R589" s="215"/>
      <c r="S589" s="215"/>
      <c r="T589" s="215"/>
      <c r="U589" s="215"/>
      <c r="V589" s="215"/>
      <c r="W589" s="215"/>
      <c r="X589" s="215"/>
    </row>
    <row r="590" spans="1:24" ht="14.25" customHeight="1" x14ac:dyDescent="0.2">
      <c r="A590" s="215"/>
      <c r="B590" s="215"/>
      <c r="C590" s="215"/>
      <c r="D590" s="215"/>
      <c r="E590" s="215"/>
      <c r="F590" s="215"/>
      <c r="G590" s="215"/>
      <c r="H590" s="215"/>
      <c r="I590" s="215"/>
      <c r="J590" s="215"/>
      <c r="K590" s="215"/>
      <c r="L590" s="215"/>
      <c r="M590" s="215"/>
      <c r="N590" s="215"/>
      <c r="O590" s="215"/>
      <c r="P590" s="215"/>
      <c r="Q590" s="215"/>
      <c r="R590" s="215"/>
      <c r="S590" s="215"/>
      <c r="T590" s="215"/>
      <c r="U590" s="215"/>
      <c r="V590" s="215"/>
      <c r="W590" s="215"/>
      <c r="X590" s="215"/>
    </row>
    <row r="591" spans="1:24" ht="14.25" customHeight="1" x14ac:dyDescent="0.2">
      <c r="A591" s="215"/>
      <c r="B591" s="215"/>
      <c r="C591" s="215"/>
      <c r="D591" s="215"/>
      <c r="E591" s="215"/>
      <c r="F591" s="215"/>
      <c r="G591" s="215"/>
      <c r="H591" s="215"/>
      <c r="I591" s="215"/>
      <c r="J591" s="215"/>
      <c r="K591" s="215"/>
      <c r="L591" s="215"/>
      <c r="M591" s="215"/>
      <c r="N591" s="215"/>
      <c r="O591" s="215"/>
      <c r="P591" s="215"/>
      <c r="Q591" s="215"/>
      <c r="R591" s="215"/>
      <c r="S591" s="215"/>
      <c r="T591" s="215"/>
      <c r="U591" s="215"/>
      <c r="V591" s="215"/>
      <c r="W591" s="215"/>
      <c r="X591" s="215"/>
    </row>
    <row r="592" spans="1:24" ht="14.25" customHeight="1" x14ac:dyDescent="0.2">
      <c r="A592" s="215"/>
      <c r="B592" s="215"/>
      <c r="C592" s="215"/>
      <c r="D592" s="215"/>
      <c r="E592" s="215"/>
      <c r="F592" s="215"/>
      <c r="G592" s="215"/>
      <c r="H592" s="215"/>
      <c r="I592" s="215"/>
      <c r="J592" s="215"/>
      <c r="K592" s="215"/>
      <c r="L592" s="215"/>
      <c r="M592" s="215"/>
      <c r="N592" s="215"/>
      <c r="O592" s="215"/>
      <c r="P592" s="215"/>
      <c r="Q592" s="215"/>
      <c r="R592" s="215"/>
      <c r="S592" s="215"/>
      <c r="T592" s="215"/>
      <c r="U592" s="215"/>
      <c r="V592" s="215"/>
      <c r="W592" s="215"/>
      <c r="X592" s="215"/>
    </row>
    <row r="593" spans="1:24" ht="14.25" customHeight="1" x14ac:dyDescent="0.2">
      <c r="A593" s="215"/>
      <c r="B593" s="215"/>
      <c r="C593" s="215"/>
      <c r="D593" s="215"/>
      <c r="E593" s="215"/>
      <c r="F593" s="215"/>
      <c r="G593" s="215"/>
      <c r="H593" s="215"/>
      <c r="I593" s="215"/>
      <c r="J593" s="215"/>
      <c r="K593" s="215"/>
      <c r="L593" s="215"/>
      <c r="M593" s="215"/>
      <c r="N593" s="215"/>
      <c r="O593" s="215"/>
      <c r="P593" s="215"/>
      <c r="Q593" s="215"/>
      <c r="R593" s="215"/>
      <c r="S593" s="215"/>
      <c r="T593" s="215"/>
      <c r="U593" s="215"/>
      <c r="V593" s="215"/>
      <c r="W593" s="215"/>
      <c r="X593" s="215"/>
    </row>
    <row r="594" spans="1:24" ht="14.25" customHeight="1" x14ac:dyDescent="0.2">
      <c r="A594" s="215"/>
      <c r="B594" s="215"/>
      <c r="C594" s="215"/>
      <c r="D594" s="215"/>
      <c r="E594" s="215"/>
      <c r="F594" s="215"/>
      <c r="G594" s="215"/>
      <c r="H594" s="215"/>
      <c r="I594" s="215"/>
      <c r="J594" s="215"/>
      <c r="K594" s="215"/>
      <c r="L594" s="215"/>
      <c r="M594" s="215"/>
      <c r="N594" s="215"/>
      <c r="O594" s="215"/>
      <c r="P594" s="215"/>
      <c r="Q594" s="215"/>
      <c r="R594" s="215"/>
      <c r="S594" s="215"/>
      <c r="T594" s="215"/>
      <c r="U594" s="215"/>
      <c r="V594" s="215"/>
      <c r="W594" s="215"/>
      <c r="X594" s="215"/>
    </row>
    <row r="595" spans="1:24" ht="14.25" customHeight="1" x14ac:dyDescent="0.2">
      <c r="A595" s="215"/>
      <c r="B595" s="215"/>
      <c r="C595" s="215"/>
      <c r="D595" s="215"/>
      <c r="E595" s="215"/>
      <c r="F595" s="215"/>
      <c r="G595" s="215"/>
      <c r="H595" s="215"/>
      <c r="I595" s="215"/>
      <c r="J595" s="215"/>
      <c r="K595" s="215"/>
      <c r="L595" s="215"/>
      <c r="M595" s="215"/>
      <c r="N595" s="215"/>
      <c r="O595" s="215"/>
      <c r="P595" s="215"/>
      <c r="Q595" s="215"/>
      <c r="R595" s="215"/>
      <c r="S595" s="215"/>
      <c r="T595" s="215"/>
      <c r="U595" s="215"/>
      <c r="V595" s="215"/>
      <c r="W595" s="215"/>
      <c r="X595" s="215"/>
    </row>
    <row r="596" spans="1:24" ht="14.25" customHeight="1" x14ac:dyDescent="0.2">
      <c r="A596" s="215"/>
      <c r="B596" s="215"/>
      <c r="C596" s="215"/>
      <c r="D596" s="215"/>
      <c r="E596" s="215"/>
      <c r="F596" s="215"/>
      <c r="G596" s="215"/>
      <c r="H596" s="215"/>
      <c r="I596" s="215"/>
      <c r="J596" s="215"/>
      <c r="K596" s="215"/>
      <c r="L596" s="215"/>
      <c r="M596" s="215"/>
      <c r="N596" s="215"/>
      <c r="O596" s="215"/>
      <c r="P596" s="215"/>
      <c r="Q596" s="215"/>
      <c r="R596" s="215"/>
      <c r="S596" s="215"/>
      <c r="T596" s="215"/>
      <c r="U596" s="215"/>
      <c r="V596" s="215"/>
      <c r="W596" s="215"/>
      <c r="X596" s="215"/>
    </row>
    <row r="597" spans="1:24" ht="14.25" customHeight="1" x14ac:dyDescent="0.2">
      <c r="A597" s="215"/>
      <c r="B597" s="215"/>
      <c r="C597" s="215"/>
      <c r="D597" s="215"/>
      <c r="E597" s="215"/>
      <c r="F597" s="215"/>
      <c r="G597" s="215"/>
      <c r="H597" s="215"/>
      <c r="I597" s="215"/>
      <c r="J597" s="215"/>
      <c r="K597" s="215"/>
      <c r="L597" s="215"/>
      <c r="M597" s="215"/>
      <c r="N597" s="215"/>
      <c r="O597" s="215"/>
      <c r="P597" s="215"/>
      <c r="Q597" s="215"/>
      <c r="R597" s="215"/>
      <c r="S597" s="215"/>
      <c r="T597" s="215"/>
      <c r="U597" s="215"/>
      <c r="V597" s="215"/>
      <c r="W597" s="215"/>
      <c r="X597" s="215"/>
    </row>
    <row r="598" spans="1:24" ht="14.25" customHeight="1" x14ac:dyDescent="0.2">
      <c r="A598" s="215"/>
      <c r="B598" s="215"/>
      <c r="C598" s="215"/>
      <c r="D598" s="215"/>
      <c r="E598" s="215"/>
      <c r="F598" s="215"/>
      <c r="G598" s="215"/>
      <c r="H598" s="215"/>
      <c r="I598" s="215"/>
      <c r="J598" s="215"/>
      <c r="K598" s="215"/>
      <c r="L598" s="215"/>
      <c r="M598" s="215"/>
      <c r="N598" s="215"/>
      <c r="O598" s="215"/>
      <c r="P598" s="215"/>
      <c r="Q598" s="215"/>
      <c r="R598" s="215"/>
      <c r="S598" s="215"/>
      <c r="T598" s="215"/>
      <c r="U598" s="215"/>
      <c r="V598" s="215"/>
      <c r="W598" s="215"/>
      <c r="X598" s="215"/>
    </row>
    <row r="599" spans="1:24" ht="14.25" customHeight="1" x14ac:dyDescent="0.2">
      <c r="A599" s="215"/>
      <c r="B599" s="215"/>
      <c r="C599" s="215"/>
      <c r="D599" s="215"/>
      <c r="E599" s="215"/>
      <c r="F599" s="215"/>
      <c r="G599" s="215"/>
      <c r="H599" s="215"/>
      <c r="I599" s="215"/>
      <c r="J599" s="215"/>
      <c r="K599" s="215"/>
      <c r="L599" s="215"/>
      <c r="M599" s="215"/>
      <c r="N599" s="215"/>
      <c r="O599" s="215"/>
      <c r="P599" s="215"/>
      <c r="Q599" s="215"/>
      <c r="R599" s="215"/>
      <c r="S599" s="215"/>
      <c r="T599" s="215"/>
      <c r="U599" s="215"/>
      <c r="V599" s="215"/>
      <c r="W599" s="215"/>
      <c r="X599" s="215"/>
    </row>
    <row r="600" spans="1:24" ht="14.25" customHeight="1" x14ac:dyDescent="0.2">
      <c r="A600" s="215"/>
      <c r="B600" s="215"/>
      <c r="C600" s="215"/>
      <c r="D600" s="215"/>
      <c r="E600" s="215"/>
      <c r="F600" s="215"/>
      <c r="G600" s="215"/>
      <c r="H600" s="215"/>
      <c r="I600" s="215"/>
      <c r="J600" s="215"/>
      <c r="K600" s="215"/>
      <c r="L600" s="215"/>
      <c r="M600" s="215"/>
      <c r="N600" s="215"/>
      <c r="O600" s="215"/>
      <c r="P600" s="215"/>
      <c r="Q600" s="215"/>
      <c r="R600" s="215"/>
      <c r="S600" s="215"/>
      <c r="T600" s="215"/>
      <c r="U600" s="215"/>
      <c r="V600" s="215"/>
      <c r="W600" s="215"/>
      <c r="X600" s="215"/>
    </row>
    <row r="601" spans="1:24" ht="14.25" customHeight="1" x14ac:dyDescent="0.2">
      <c r="A601" s="215"/>
      <c r="B601" s="215"/>
      <c r="C601" s="215"/>
      <c r="D601" s="215"/>
      <c r="E601" s="215"/>
      <c r="F601" s="215"/>
      <c r="G601" s="215"/>
      <c r="H601" s="215"/>
      <c r="I601" s="215"/>
      <c r="J601" s="215"/>
      <c r="K601" s="215"/>
      <c r="L601" s="215"/>
      <c r="M601" s="215"/>
      <c r="N601" s="215"/>
      <c r="O601" s="215"/>
      <c r="P601" s="215"/>
      <c r="Q601" s="215"/>
      <c r="R601" s="215"/>
      <c r="S601" s="215"/>
      <c r="T601" s="215"/>
      <c r="U601" s="215"/>
      <c r="V601" s="215"/>
      <c r="W601" s="215"/>
      <c r="X601" s="215"/>
    </row>
    <row r="602" spans="1:24" ht="14.25" customHeight="1" x14ac:dyDescent="0.2">
      <c r="A602" s="215"/>
      <c r="B602" s="215"/>
      <c r="C602" s="215"/>
      <c r="D602" s="215"/>
      <c r="E602" s="215"/>
      <c r="F602" s="215"/>
      <c r="G602" s="215"/>
      <c r="H602" s="215"/>
      <c r="I602" s="215"/>
      <c r="J602" s="215"/>
      <c r="K602" s="215"/>
      <c r="L602" s="215"/>
      <c r="M602" s="215"/>
      <c r="N602" s="215"/>
      <c r="O602" s="215"/>
      <c r="P602" s="215"/>
      <c r="Q602" s="215"/>
      <c r="R602" s="215"/>
      <c r="S602" s="215"/>
      <c r="T602" s="215"/>
      <c r="U602" s="215"/>
      <c r="V602" s="215"/>
      <c r="W602" s="215"/>
      <c r="X602" s="215"/>
    </row>
    <row r="603" spans="1:24" ht="14.25" customHeight="1" x14ac:dyDescent="0.2">
      <c r="A603" s="215"/>
      <c r="B603" s="215"/>
      <c r="C603" s="215"/>
      <c r="D603" s="215"/>
      <c r="E603" s="215"/>
      <c r="F603" s="215"/>
      <c r="G603" s="215"/>
      <c r="H603" s="215"/>
      <c r="I603" s="215"/>
      <c r="J603" s="215"/>
      <c r="K603" s="215"/>
      <c r="L603" s="215"/>
      <c r="M603" s="215"/>
      <c r="N603" s="215"/>
      <c r="O603" s="215"/>
      <c r="P603" s="215"/>
      <c r="Q603" s="215"/>
      <c r="R603" s="215"/>
      <c r="S603" s="215"/>
      <c r="T603" s="215"/>
      <c r="U603" s="215"/>
      <c r="V603" s="215"/>
      <c r="W603" s="215"/>
      <c r="X603" s="215"/>
    </row>
    <row r="604" spans="1:24" ht="14.25" customHeight="1" x14ac:dyDescent="0.2">
      <c r="A604" s="215"/>
      <c r="B604" s="215"/>
      <c r="C604" s="215"/>
      <c r="D604" s="215"/>
      <c r="E604" s="215"/>
      <c r="F604" s="215"/>
      <c r="G604" s="215"/>
      <c r="H604" s="215"/>
      <c r="I604" s="215"/>
      <c r="J604" s="215"/>
      <c r="K604" s="215"/>
      <c r="L604" s="215"/>
      <c r="M604" s="215"/>
      <c r="N604" s="215"/>
      <c r="O604" s="215"/>
      <c r="P604" s="215"/>
      <c r="Q604" s="215"/>
      <c r="R604" s="215"/>
      <c r="S604" s="215"/>
      <c r="T604" s="215"/>
      <c r="U604" s="215"/>
      <c r="V604" s="215"/>
      <c r="W604" s="215"/>
      <c r="X604" s="215"/>
    </row>
    <row r="605" spans="1:24" ht="14.25" customHeight="1" x14ac:dyDescent="0.2">
      <c r="A605" s="215"/>
      <c r="B605" s="215"/>
      <c r="C605" s="215"/>
      <c r="D605" s="215"/>
      <c r="E605" s="215"/>
      <c r="F605" s="215"/>
      <c r="G605" s="215"/>
      <c r="H605" s="215"/>
      <c r="I605" s="215"/>
      <c r="J605" s="215"/>
      <c r="K605" s="215"/>
      <c r="L605" s="215"/>
      <c r="M605" s="215"/>
      <c r="N605" s="215"/>
      <c r="O605" s="215"/>
      <c r="P605" s="215"/>
      <c r="Q605" s="215"/>
      <c r="R605" s="215"/>
      <c r="S605" s="215"/>
      <c r="T605" s="215"/>
      <c r="U605" s="215"/>
      <c r="V605" s="215"/>
      <c r="W605" s="215"/>
      <c r="X605" s="215"/>
    </row>
    <row r="606" spans="1:24" ht="14.25" customHeight="1" x14ac:dyDescent="0.2">
      <c r="A606" s="215"/>
      <c r="B606" s="215"/>
      <c r="C606" s="215"/>
      <c r="D606" s="215"/>
      <c r="E606" s="215"/>
      <c r="F606" s="215"/>
      <c r="G606" s="215"/>
      <c r="H606" s="215"/>
      <c r="I606" s="215"/>
      <c r="J606" s="215"/>
      <c r="K606" s="215"/>
      <c r="L606" s="215"/>
      <c r="M606" s="215"/>
      <c r="N606" s="215"/>
      <c r="O606" s="215"/>
      <c r="P606" s="215"/>
      <c r="Q606" s="215"/>
      <c r="R606" s="215"/>
      <c r="S606" s="215"/>
      <c r="T606" s="215"/>
      <c r="U606" s="215"/>
      <c r="V606" s="215"/>
      <c r="W606" s="215"/>
      <c r="X606" s="215"/>
    </row>
    <row r="607" spans="1:24" ht="14.25" customHeight="1" x14ac:dyDescent="0.2">
      <c r="A607" s="215"/>
      <c r="B607" s="215"/>
      <c r="C607" s="215"/>
      <c r="D607" s="215"/>
      <c r="E607" s="215"/>
      <c r="F607" s="215"/>
      <c r="G607" s="215"/>
      <c r="H607" s="215"/>
      <c r="I607" s="215"/>
      <c r="J607" s="215"/>
      <c r="K607" s="215"/>
      <c r="L607" s="215"/>
      <c r="M607" s="215"/>
      <c r="N607" s="215"/>
      <c r="O607" s="215"/>
      <c r="P607" s="215"/>
      <c r="Q607" s="215"/>
      <c r="R607" s="215"/>
      <c r="S607" s="215"/>
      <c r="T607" s="215"/>
      <c r="U607" s="215"/>
      <c r="V607" s="215"/>
      <c r="W607" s="215"/>
      <c r="X607" s="215"/>
    </row>
    <row r="608" spans="1:24" ht="14.25" customHeight="1" x14ac:dyDescent="0.2">
      <c r="A608" s="215"/>
      <c r="B608" s="215"/>
      <c r="C608" s="215"/>
      <c r="D608" s="215"/>
      <c r="E608" s="215"/>
      <c r="F608" s="215"/>
      <c r="G608" s="215"/>
      <c r="H608" s="215"/>
      <c r="I608" s="215"/>
      <c r="J608" s="215"/>
      <c r="K608" s="215"/>
      <c r="L608" s="215"/>
      <c r="M608" s="215"/>
      <c r="N608" s="215"/>
      <c r="O608" s="215"/>
      <c r="P608" s="215"/>
      <c r="Q608" s="215"/>
      <c r="R608" s="215"/>
      <c r="S608" s="215"/>
      <c r="T608" s="215"/>
      <c r="U608" s="215"/>
      <c r="V608" s="215"/>
      <c r="W608" s="215"/>
      <c r="X608" s="215"/>
    </row>
    <row r="609" spans="1:24" ht="14.25" customHeight="1" x14ac:dyDescent="0.2">
      <c r="A609" s="215"/>
      <c r="B609" s="215"/>
      <c r="C609" s="215"/>
      <c r="D609" s="215"/>
      <c r="E609" s="215"/>
      <c r="F609" s="215"/>
      <c r="G609" s="215"/>
      <c r="H609" s="215"/>
      <c r="I609" s="215"/>
      <c r="J609" s="215"/>
      <c r="K609" s="215"/>
      <c r="L609" s="215"/>
      <c r="M609" s="215"/>
      <c r="N609" s="215"/>
      <c r="O609" s="215"/>
      <c r="P609" s="215"/>
      <c r="Q609" s="215"/>
      <c r="R609" s="215"/>
      <c r="S609" s="215"/>
      <c r="T609" s="215"/>
      <c r="U609" s="215"/>
      <c r="V609" s="215"/>
      <c r="W609" s="215"/>
      <c r="X609" s="215"/>
    </row>
    <row r="610" spans="1:24" ht="14.25" customHeight="1" x14ac:dyDescent="0.2">
      <c r="A610" s="215"/>
      <c r="B610" s="215"/>
      <c r="C610" s="215"/>
      <c r="D610" s="215"/>
      <c r="E610" s="215"/>
      <c r="F610" s="215"/>
      <c r="G610" s="215"/>
      <c r="H610" s="215"/>
      <c r="I610" s="215"/>
      <c r="J610" s="215"/>
      <c r="K610" s="215"/>
      <c r="L610" s="215"/>
      <c r="M610" s="215"/>
      <c r="N610" s="215"/>
      <c r="O610" s="215"/>
      <c r="P610" s="215"/>
      <c r="Q610" s="215"/>
      <c r="R610" s="215"/>
      <c r="S610" s="215"/>
      <c r="T610" s="215"/>
      <c r="U610" s="215"/>
      <c r="V610" s="215"/>
      <c r="W610" s="215"/>
      <c r="X610" s="215"/>
    </row>
    <row r="611" spans="1:24" ht="14.25" customHeight="1" x14ac:dyDescent="0.2">
      <c r="A611" s="215"/>
      <c r="B611" s="215"/>
      <c r="C611" s="215"/>
      <c r="D611" s="215"/>
      <c r="E611" s="215"/>
      <c r="F611" s="215"/>
      <c r="G611" s="215"/>
      <c r="H611" s="215"/>
      <c r="I611" s="215"/>
      <c r="J611" s="215"/>
      <c r="K611" s="215"/>
      <c r="L611" s="215"/>
      <c r="M611" s="215"/>
      <c r="N611" s="215"/>
      <c r="O611" s="215"/>
      <c r="P611" s="215"/>
      <c r="Q611" s="215"/>
      <c r="R611" s="215"/>
      <c r="S611" s="215"/>
      <c r="T611" s="215"/>
      <c r="U611" s="215"/>
      <c r="V611" s="215"/>
      <c r="W611" s="215"/>
      <c r="X611" s="215"/>
    </row>
    <row r="612" spans="1:24" ht="14.25" customHeight="1" x14ac:dyDescent="0.2">
      <c r="A612" s="215"/>
      <c r="B612" s="215"/>
      <c r="C612" s="215"/>
      <c r="D612" s="215"/>
      <c r="E612" s="215"/>
      <c r="F612" s="215"/>
      <c r="G612" s="215"/>
      <c r="H612" s="215"/>
      <c r="I612" s="215"/>
      <c r="J612" s="215"/>
      <c r="K612" s="215"/>
      <c r="L612" s="215"/>
      <c r="M612" s="215"/>
      <c r="N612" s="215"/>
      <c r="O612" s="215"/>
      <c r="P612" s="215"/>
      <c r="Q612" s="215"/>
      <c r="R612" s="215"/>
      <c r="S612" s="215"/>
      <c r="T612" s="215"/>
      <c r="U612" s="215"/>
      <c r="V612" s="215"/>
      <c r="W612" s="215"/>
      <c r="X612" s="215"/>
    </row>
    <row r="613" spans="1:24" ht="14.25" customHeight="1" x14ac:dyDescent="0.2">
      <c r="A613" s="215"/>
      <c r="B613" s="215"/>
      <c r="C613" s="215"/>
      <c r="D613" s="215"/>
      <c r="E613" s="215"/>
      <c r="F613" s="215"/>
      <c r="G613" s="215"/>
      <c r="H613" s="215"/>
      <c r="I613" s="215"/>
      <c r="J613" s="215"/>
      <c r="K613" s="215"/>
      <c r="L613" s="215"/>
      <c r="M613" s="215"/>
      <c r="N613" s="215"/>
      <c r="O613" s="215"/>
      <c r="P613" s="215"/>
      <c r="Q613" s="215"/>
      <c r="R613" s="215"/>
      <c r="S613" s="215"/>
      <c r="T613" s="215"/>
      <c r="U613" s="215"/>
      <c r="V613" s="215"/>
      <c r="W613" s="215"/>
      <c r="X613" s="215"/>
    </row>
    <row r="614" spans="1:24" ht="14.25" customHeight="1" x14ac:dyDescent="0.2">
      <c r="A614" s="215"/>
      <c r="B614" s="215"/>
      <c r="C614" s="215"/>
      <c r="D614" s="215"/>
      <c r="E614" s="215"/>
      <c r="F614" s="215"/>
      <c r="G614" s="215"/>
      <c r="H614" s="215"/>
      <c r="I614" s="215"/>
      <c r="J614" s="215"/>
      <c r="K614" s="215"/>
      <c r="L614" s="215"/>
      <c r="M614" s="215"/>
      <c r="N614" s="215"/>
      <c r="O614" s="215"/>
      <c r="P614" s="215"/>
      <c r="Q614" s="215"/>
      <c r="R614" s="215"/>
      <c r="S614" s="215"/>
      <c r="T614" s="215"/>
      <c r="U614" s="215"/>
      <c r="V614" s="215"/>
      <c r="W614" s="215"/>
      <c r="X614" s="215"/>
    </row>
    <row r="615" spans="1:24" ht="14.25" customHeight="1" x14ac:dyDescent="0.2">
      <c r="A615" s="215"/>
      <c r="B615" s="215"/>
      <c r="C615" s="215"/>
      <c r="D615" s="215"/>
      <c r="E615" s="215"/>
      <c r="F615" s="215"/>
      <c r="G615" s="215"/>
      <c r="H615" s="215"/>
      <c r="I615" s="215"/>
      <c r="J615" s="215"/>
      <c r="K615" s="215"/>
      <c r="L615" s="215"/>
      <c r="M615" s="215"/>
      <c r="N615" s="215"/>
      <c r="O615" s="215"/>
      <c r="P615" s="215"/>
      <c r="Q615" s="215"/>
      <c r="R615" s="215"/>
      <c r="S615" s="215"/>
      <c r="T615" s="215"/>
      <c r="U615" s="215"/>
      <c r="V615" s="215"/>
      <c r="W615" s="215"/>
      <c r="X615" s="215"/>
    </row>
    <row r="616" spans="1:24" ht="14.25" customHeight="1" x14ac:dyDescent="0.2">
      <c r="A616" s="215"/>
      <c r="B616" s="215"/>
      <c r="C616" s="215"/>
      <c r="D616" s="215"/>
      <c r="E616" s="215"/>
      <c r="F616" s="215"/>
      <c r="G616" s="215"/>
      <c r="H616" s="215"/>
      <c r="I616" s="215"/>
      <c r="J616" s="215"/>
      <c r="K616" s="215"/>
      <c r="L616" s="215"/>
      <c r="M616" s="215"/>
      <c r="N616" s="215"/>
      <c r="O616" s="215"/>
      <c r="P616" s="215"/>
      <c r="Q616" s="215"/>
      <c r="R616" s="215"/>
      <c r="S616" s="215"/>
      <c r="T616" s="215"/>
      <c r="U616" s="215"/>
      <c r="V616" s="215"/>
      <c r="W616" s="215"/>
      <c r="X616" s="215"/>
    </row>
    <row r="617" spans="1:24" ht="14.25" customHeight="1" x14ac:dyDescent="0.2">
      <c r="A617" s="215"/>
      <c r="B617" s="215"/>
      <c r="C617" s="215"/>
      <c r="D617" s="215"/>
      <c r="E617" s="215"/>
      <c r="F617" s="215"/>
      <c r="G617" s="215"/>
      <c r="H617" s="215"/>
      <c r="I617" s="215"/>
      <c r="J617" s="215"/>
      <c r="K617" s="215"/>
      <c r="L617" s="215"/>
      <c r="M617" s="215"/>
      <c r="N617" s="215"/>
      <c r="O617" s="215"/>
      <c r="P617" s="215"/>
      <c r="Q617" s="215"/>
      <c r="R617" s="215"/>
      <c r="S617" s="215"/>
      <c r="T617" s="215"/>
      <c r="U617" s="215"/>
      <c r="V617" s="215"/>
      <c r="W617" s="215"/>
      <c r="X617" s="215"/>
    </row>
    <row r="618" spans="1:24" ht="14.25" customHeight="1" x14ac:dyDescent="0.2">
      <c r="A618" s="215"/>
      <c r="B618" s="215"/>
      <c r="C618" s="215"/>
      <c r="D618" s="215"/>
      <c r="E618" s="215"/>
      <c r="F618" s="215"/>
      <c r="G618" s="215"/>
      <c r="H618" s="215"/>
      <c r="I618" s="215"/>
      <c r="J618" s="215"/>
      <c r="K618" s="215"/>
      <c r="L618" s="215"/>
      <c r="M618" s="215"/>
      <c r="N618" s="215"/>
      <c r="O618" s="215"/>
      <c r="P618" s="215"/>
      <c r="Q618" s="215"/>
      <c r="R618" s="215"/>
      <c r="S618" s="215"/>
      <c r="T618" s="215"/>
      <c r="U618" s="215"/>
      <c r="V618" s="215"/>
      <c r="W618" s="215"/>
      <c r="X618" s="215"/>
    </row>
    <row r="619" spans="1:24" ht="14.25" customHeight="1" x14ac:dyDescent="0.2">
      <c r="A619" s="215"/>
      <c r="B619" s="215"/>
      <c r="C619" s="215"/>
      <c r="D619" s="215"/>
      <c r="E619" s="215"/>
      <c r="F619" s="215"/>
      <c r="G619" s="215"/>
      <c r="H619" s="215"/>
      <c r="I619" s="215"/>
      <c r="J619" s="215"/>
      <c r="K619" s="215"/>
      <c r="L619" s="215"/>
      <c r="M619" s="215"/>
      <c r="N619" s="215"/>
      <c r="O619" s="215"/>
      <c r="P619" s="215"/>
      <c r="Q619" s="215"/>
      <c r="R619" s="215"/>
      <c r="S619" s="215"/>
      <c r="T619" s="215"/>
      <c r="U619" s="215"/>
      <c r="V619" s="215"/>
      <c r="W619" s="215"/>
      <c r="X619" s="215"/>
    </row>
    <row r="620" spans="1:24" ht="14.25" customHeight="1" x14ac:dyDescent="0.2">
      <c r="A620" s="215"/>
      <c r="B620" s="215"/>
      <c r="C620" s="215"/>
      <c r="D620" s="215"/>
      <c r="E620" s="215"/>
      <c r="F620" s="215"/>
      <c r="G620" s="215"/>
      <c r="H620" s="215"/>
      <c r="I620" s="215"/>
      <c r="J620" s="215"/>
      <c r="K620" s="215"/>
      <c r="L620" s="215"/>
      <c r="M620" s="215"/>
      <c r="N620" s="215"/>
      <c r="O620" s="215"/>
      <c r="P620" s="215"/>
      <c r="Q620" s="215"/>
      <c r="R620" s="215"/>
      <c r="S620" s="215"/>
      <c r="T620" s="215"/>
      <c r="U620" s="215"/>
      <c r="V620" s="215"/>
      <c r="W620" s="215"/>
      <c r="X620" s="215"/>
    </row>
    <row r="621" spans="1:24" ht="14.25" customHeight="1" x14ac:dyDescent="0.2">
      <c r="A621" s="215"/>
      <c r="B621" s="215"/>
      <c r="C621" s="215"/>
      <c r="D621" s="215"/>
      <c r="E621" s="215"/>
      <c r="F621" s="215"/>
      <c r="G621" s="215"/>
      <c r="H621" s="215"/>
      <c r="I621" s="215"/>
      <c r="J621" s="215"/>
      <c r="K621" s="215"/>
      <c r="L621" s="215"/>
      <c r="M621" s="215"/>
      <c r="N621" s="215"/>
      <c r="O621" s="215"/>
      <c r="P621" s="215"/>
      <c r="Q621" s="215"/>
      <c r="R621" s="215"/>
      <c r="S621" s="215"/>
      <c r="T621" s="215"/>
      <c r="U621" s="215"/>
      <c r="V621" s="215"/>
      <c r="W621" s="215"/>
      <c r="X621" s="215"/>
    </row>
    <row r="622" spans="1:24" ht="14.25" customHeight="1" x14ac:dyDescent="0.2">
      <c r="A622" s="215"/>
      <c r="B622" s="215"/>
      <c r="C622" s="215"/>
      <c r="D622" s="215"/>
      <c r="E622" s="215"/>
      <c r="F622" s="215"/>
      <c r="G622" s="215"/>
      <c r="H622" s="215"/>
      <c r="I622" s="215"/>
      <c r="J622" s="215"/>
      <c r="K622" s="215"/>
      <c r="L622" s="215"/>
      <c r="M622" s="215"/>
      <c r="N622" s="215"/>
      <c r="O622" s="215"/>
      <c r="P622" s="215"/>
      <c r="Q622" s="215"/>
      <c r="R622" s="215"/>
      <c r="S622" s="215"/>
      <c r="T622" s="215"/>
      <c r="U622" s="215"/>
      <c r="V622" s="215"/>
      <c r="W622" s="215"/>
      <c r="X622" s="215"/>
    </row>
    <row r="623" spans="1:24" ht="14.25" customHeight="1" x14ac:dyDescent="0.2">
      <c r="A623" s="215"/>
      <c r="B623" s="215"/>
      <c r="C623" s="215"/>
      <c r="D623" s="215"/>
      <c r="E623" s="215"/>
      <c r="F623" s="215"/>
      <c r="G623" s="215"/>
      <c r="H623" s="215"/>
      <c r="I623" s="215"/>
      <c r="J623" s="215"/>
      <c r="K623" s="215"/>
      <c r="L623" s="215"/>
      <c r="M623" s="215"/>
      <c r="N623" s="215"/>
      <c r="O623" s="215"/>
      <c r="P623" s="215"/>
      <c r="Q623" s="215"/>
      <c r="R623" s="215"/>
      <c r="S623" s="215"/>
      <c r="T623" s="215"/>
      <c r="U623" s="215"/>
      <c r="V623" s="215"/>
      <c r="W623" s="215"/>
      <c r="X623" s="215"/>
    </row>
    <row r="624" spans="1:24" ht="14.25" customHeight="1" x14ac:dyDescent="0.2">
      <c r="A624" s="215"/>
      <c r="B624" s="215"/>
      <c r="C624" s="215"/>
      <c r="D624" s="215"/>
      <c r="E624" s="215"/>
      <c r="F624" s="215"/>
      <c r="G624" s="215"/>
      <c r="H624" s="215"/>
      <c r="I624" s="215"/>
      <c r="J624" s="215"/>
      <c r="K624" s="215"/>
      <c r="L624" s="215"/>
      <c r="M624" s="215"/>
      <c r="N624" s="215"/>
      <c r="O624" s="215"/>
      <c r="P624" s="215"/>
      <c r="Q624" s="215"/>
      <c r="R624" s="215"/>
      <c r="S624" s="215"/>
      <c r="T624" s="215"/>
      <c r="U624" s="215"/>
      <c r="V624" s="215"/>
      <c r="W624" s="215"/>
      <c r="X624" s="215"/>
    </row>
    <row r="625" spans="1:24" ht="14.25" customHeight="1" x14ac:dyDescent="0.2">
      <c r="A625" s="215"/>
      <c r="B625" s="215"/>
      <c r="C625" s="215"/>
      <c r="D625" s="215"/>
      <c r="E625" s="215"/>
      <c r="F625" s="215"/>
      <c r="G625" s="215"/>
      <c r="H625" s="215"/>
      <c r="I625" s="215"/>
      <c r="J625" s="215"/>
      <c r="K625" s="215"/>
      <c r="L625" s="215"/>
      <c r="M625" s="215"/>
      <c r="N625" s="215"/>
      <c r="O625" s="215"/>
      <c r="P625" s="215"/>
      <c r="Q625" s="215"/>
      <c r="R625" s="215"/>
      <c r="S625" s="215"/>
      <c r="T625" s="215"/>
      <c r="U625" s="215"/>
      <c r="V625" s="215"/>
      <c r="W625" s="215"/>
      <c r="X625" s="215"/>
    </row>
    <row r="626" spans="1:24" ht="14.25" customHeight="1" x14ac:dyDescent="0.2">
      <c r="A626" s="215"/>
      <c r="B626" s="215"/>
      <c r="C626" s="215"/>
      <c r="D626" s="215"/>
      <c r="E626" s="215"/>
      <c r="F626" s="215"/>
      <c r="G626" s="215"/>
      <c r="H626" s="215"/>
      <c r="I626" s="215"/>
      <c r="J626" s="215"/>
      <c r="K626" s="215"/>
      <c r="L626" s="215"/>
      <c r="M626" s="215"/>
      <c r="N626" s="215"/>
      <c r="O626" s="215"/>
      <c r="P626" s="215"/>
      <c r="Q626" s="215"/>
      <c r="R626" s="215"/>
      <c r="S626" s="215"/>
      <c r="T626" s="215"/>
      <c r="U626" s="215"/>
      <c r="V626" s="215"/>
      <c r="W626" s="215"/>
      <c r="X626" s="215"/>
    </row>
    <row r="627" spans="1:24" ht="14.25" customHeight="1" x14ac:dyDescent="0.2">
      <c r="A627" s="215"/>
      <c r="B627" s="215"/>
      <c r="C627" s="215"/>
      <c r="D627" s="215"/>
      <c r="E627" s="215"/>
      <c r="F627" s="215"/>
      <c r="G627" s="215"/>
      <c r="H627" s="215"/>
      <c r="I627" s="215"/>
      <c r="J627" s="215"/>
      <c r="K627" s="215"/>
      <c r="L627" s="215"/>
      <c r="M627" s="215"/>
      <c r="N627" s="215"/>
      <c r="O627" s="215"/>
      <c r="P627" s="215"/>
      <c r="Q627" s="215"/>
      <c r="R627" s="215"/>
      <c r="S627" s="215"/>
      <c r="T627" s="215"/>
      <c r="U627" s="215"/>
      <c r="V627" s="215"/>
      <c r="W627" s="215"/>
      <c r="X627" s="215"/>
    </row>
    <row r="628" spans="1:24" ht="14.25" customHeight="1" x14ac:dyDescent="0.2">
      <c r="A628" s="215"/>
      <c r="B628" s="215"/>
      <c r="C628" s="215"/>
      <c r="D628" s="215"/>
      <c r="E628" s="215"/>
      <c r="F628" s="215"/>
      <c r="G628" s="215"/>
      <c r="H628" s="215"/>
      <c r="I628" s="215"/>
      <c r="J628" s="215"/>
      <c r="K628" s="215"/>
      <c r="L628" s="215"/>
      <c r="M628" s="215"/>
      <c r="N628" s="215"/>
      <c r="O628" s="215"/>
      <c r="P628" s="215"/>
      <c r="Q628" s="215"/>
      <c r="R628" s="215"/>
      <c r="S628" s="215"/>
      <c r="T628" s="215"/>
      <c r="U628" s="215"/>
      <c r="V628" s="215"/>
      <c r="W628" s="215"/>
      <c r="X628" s="215"/>
    </row>
    <row r="629" spans="1:24" ht="14.25" customHeight="1" x14ac:dyDescent="0.2">
      <c r="A629" s="215"/>
      <c r="B629" s="215"/>
      <c r="C629" s="215"/>
      <c r="D629" s="215"/>
      <c r="E629" s="215"/>
      <c r="F629" s="215"/>
      <c r="G629" s="215"/>
      <c r="H629" s="215"/>
      <c r="I629" s="215"/>
      <c r="J629" s="215"/>
      <c r="K629" s="215"/>
      <c r="L629" s="215"/>
      <c r="M629" s="215"/>
      <c r="N629" s="215"/>
      <c r="O629" s="215"/>
      <c r="P629" s="215"/>
      <c r="Q629" s="215"/>
      <c r="R629" s="215"/>
      <c r="S629" s="215"/>
      <c r="T629" s="215"/>
      <c r="U629" s="215"/>
      <c r="V629" s="215"/>
      <c r="W629" s="215"/>
      <c r="X629" s="215"/>
    </row>
    <row r="630" spans="1:24" ht="14.25" customHeight="1" x14ac:dyDescent="0.2">
      <c r="A630" s="215"/>
      <c r="B630" s="215"/>
      <c r="C630" s="215"/>
      <c r="D630" s="215"/>
      <c r="E630" s="215"/>
      <c r="F630" s="215"/>
      <c r="G630" s="215"/>
      <c r="H630" s="215"/>
      <c r="I630" s="215"/>
      <c r="J630" s="215"/>
      <c r="K630" s="215"/>
      <c r="L630" s="215"/>
      <c r="M630" s="215"/>
      <c r="N630" s="215"/>
      <c r="O630" s="215"/>
      <c r="P630" s="215"/>
      <c r="Q630" s="215"/>
      <c r="R630" s="215"/>
      <c r="S630" s="215"/>
      <c r="T630" s="215"/>
      <c r="U630" s="215"/>
      <c r="V630" s="215"/>
      <c r="W630" s="215"/>
      <c r="X630" s="215"/>
    </row>
    <row r="631" spans="1:24" ht="14.25" customHeight="1" x14ac:dyDescent="0.2">
      <c r="A631" s="215"/>
      <c r="B631" s="215"/>
      <c r="C631" s="215"/>
      <c r="D631" s="215"/>
      <c r="E631" s="215"/>
      <c r="F631" s="215"/>
      <c r="G631" s="215"/>
      <c r="H631" s="215"/>
      <c r="I631" s="215"/>
      <c r="J631" s="215"/>
      <c r="K631" s="215"/>
      <c r="L631" s="215"/>
      <c r="M631" s="215"/>
      <c r="N631" s="215"/>
      <c r="O631" s="215"/>
      <c r="P631" s="215"/>
      <c r="Q631" s="215"/>
      <c r="R631" s="215"/>
      <c r="S631" s="215"/>
      <c r="T631" s="215"/>
      <c r="U631" s="215"/>
      <c r="V631" s="215"/>
      <c r="W631" s="215"/>
      <c r="X631" s="215"/>
    </row>
    <row r="632" spans="1:24" ht="14.25" customHeight="1" x14ac:dyDescent="0.2">
      <c r="A632" s="215"/>
      <c r="B632" s="215"/>
      <c r="C632" s="215"/>
      <c r="D632" s="215"/>
      <c r="E632" s="215"/>
      <c r="F632" s="215"/>
      <c r="G632" s="215"/>
      <c r="H632" s="215"/>
      <c r="I632" s="215"/>
      <c r="J632" s="215"/>
      <c r="K632" s="215"/>
      <c r="L632" s="215"/>
      <c r="M632" s="215"/>
      <c r="N632" s="215"/>
      <c r="O632" s="215"/>
      <c r="P632" s="215"/>
      <c r="Q632" s="215"/>
      <c r="R632" s="215"/>
      <c r="S632" s="215"/>
      <c r="T632" s="215"/>
      <c r="U632" s="215"/>
      <c r="V632" s="215"/>
      <c r="W632" s="215"/>
      <c r="X632" s="215"/>
    </row>
    <row r="633" spans="1:24" ht="14.25" customHeight="1" x14ac:dyDescent="0.2">
      <c r="A633" s="215"/>
      <c r="B633" s="215"/>
      <c r="C633" s="215"/>
      <c r="D633" s="215"/>
      <c r="E633" s="215"/>
      <c r="F633" s="215"/>
      <c r="G633" s="215"/>
      <c r="H633" s="215"/>
      <c r="I633" s="215"/>
      <c r="J633" s="215"/>
      <c r="K633" s="215"/>
      <c r="L633" s="215"/>
      <c r="M633" s="215"/>
      <c r="N633" s="215"/>
      <c r="O633" s="215"/>
      <c r="P633" s="215"/>
      <c r="Q633" s="215"/>
      <c r="R633" s="215"/>
      <c r="S633" s="215"/>
      <c r="T633" s="215"/>
      <c r="U633" s="215"/>
      <c r="V633" s="215"/>
      <c r="W633" s="215"/>
      <c r="X633" s="215"/>
    </row>
    <row r="634" spans="1:24" ht="14.25" customHeight="1" x14ac:dyDescent="0.2">
      <c r="A634" s="215"/>
      <c r="B634" s="215"/>
      <c r="C634" s="215"/>
      <c r="D634" s="215"/>
      <c r="E634" s="215"/>
      <c r="F634" s="215"/>
      <c r="G634" s="215"/>
      <c r="H634" s="215"/>
      <c r="I634" s="215"/>
      <c r="J634" s="215"/>
      <c r="K634" s="215"/>
      <c r="L634" s="215"/>
      <c r="M634" s="215"/>
      <c r="N634" s="215"/>
      <c r="O634" s="215"/>
      <c r="P634" s="215"/>
      <c r="Q634" s="215"/>
      <c r="R634" s="215"/>
      <c r="S634" s="215"/>
      <c r="T634" s="215"/>
      <c r="U634" s="215"/>
      <c r="V634" s="215"/>
      <c r="W634" s="215"/>
      <c r="X634" s="215"/>
    </row>
    <row r="635" spans="1:24" ht="14.25" customHeight="1" x14ac:dyDescent="0.2">
      <c r="A635" s="215"/>
      <c r="B635" s="215"/>
      <c r="C635" s="215"/>
      <c r="D635" s="215"/>
      <c r="E635" s="215"/>
      <c r="F635" s="215"/>
      <c r="G635" s="215"/>
      <c r="H635" s="215"/>
      <c r="I635" s="215"/>
      <c r="J635" s="215"/>
      <c r="K635" s="215"/>
      <c r="L635" s="215"/>
      <c r="M635" s="215"/>
      <c r="N635" s="215"/>
      <c r="O635" s="215"/>
      <c r="P635" s="215"/>
      <c r="Q635" s="215"/>
      <c r="R635" s="215"/>
      <c r="S635" s="215"/>
      <c r="T635" s="215"/>
      <c r="U635" s="215"/>
      <c r="V635" s="215"/>
      <c r="W635" s="215"/>
      <c r="X635" s="215"/>
    </row>
    <row r="636" spans="1:24" ht="14.25" customHeight="1" x14ac:dyDescent="0.2">
      <c r="A636" s="215"/>
      <c r="B636" s="215"/>
      <c r="C636" s="215"/>
      <c r="D636" s="215"/>
      <c r="E636" s="215"/>
      <c r="F636" s="215"/>
      <c r="G636" s="215"/>
      <c r="H636" s="215"/>
      <c r="I636" s="215"/>
      <c r="J636" s="215"/>
      <c r="K636" s="215"/>
      <c r="L636" s="215"/>
      <c r="M636" s="215"/>
      <c r="N636" s="215"/>
      <c r="O636" s="215"/>
      <c r="P636" s="215"/>
      <c r="Q636" s="215"/>
      <c r="R636" s="215"/>
      <c r="S636" s="215"/>
      <c r="T636" s="215"/>
      <c r="U636" s="215"/>
      <c r="V636" s="215"/>
      <c r="W636" s="215"/>
      <c r="X636" s="215"/>
    </row>
    <row r="637" spans="1:24" ht="14.25" customHeight="1" x14ac:dyDescent="0.2">
      <c r="A637" s="215"/>
      <c r="B637" s="215"/>
      <c r="C637" s="215"/>
      <c r="D637" s="215"/>
      <c r="E637" s="215"/>
      <c r="F637" s="215"/>
      <c r="G637" s="215"/>
      <c r="H637" s="215"/>
      <c r="I637" s="215"/>
      <c r="J637" s="215"/>
      <c r="K637" s="215"/>
      <c r="L637" s="215"/>
      <c r="M637" s="215"/>
      <c r="N637" s="215"/>
      <c r="O637" s="215"/>
      <c r="P637" s="215"/>
      <c r="Q637" s="215"/>
      <c r="R637" s="215"/>
      <c r="S637" s="215"/>
      <c r="T637" s="215"/>
      <c r="U637" s="215"/>
      <c r="V637" s="215"/>
      <c r="W637" s="215"/>
      <c r="X637" s="215"/>
    </row>
    <row r="638" spans="1:24" ht="14.25" customHeight="1" x14ac:dyDescent="0.2">
      <c r="A638" s="215"/>
      <c r="B638" s="215"/>
      <c r="C638" s="215"/>
      <c r="D638" s="215"/>
      <c r="E638" s="215"/>
      <c r="F638" s="215"/>
      <c r="G638" s="215"/>
      <c r="H638" s="215"/>
      <c r="I638" s="215"/>
      <c r="J638" s="215"/>
      <c r="K638" s="215"/>
      <c r="L638" s="215"/>
      <c r="M638" s="215"/>
      <c r="N638" s="215"/>
      <c r="O638" s="215"/>
      <c r="P638" s="215"/>
      <c r="Q638" s="215"/>
      <c r="R638" s="215"/>
      <c r="S638" s="215"/>
      <c r="T638" s="215"/>
      <c r="U638" s="215"/>
      <c r="V638" s="215"/>
      <c r="W638" s="215"/>
      <c r="X638" s="215"/>
    </row>
    <row r="639" spans="1:24" ht="14.25" customHeight="1" x14ac:dyDescent="0.2">
      <c r="A639" s="215"/>
      <c r="B639" s="215"/>
      <c r="C639" s="215"/>
      <c r="D639" s="215"/>
      <c r="E639" s="215"/>
      <c r="F639" s="215"/>
      <c r="G639" s="215"/>
      <c r="H639" s="215"/>
      <c r="I639" s="215"/>
      <c r="J639" s="215"/>
      <c r="K639" s="215"/>
      <c r="L639" s="215"/>
      <c r="M639" s="215"/>
      <c r="N639" s="215"/>
      <c r="O639" s="215"/>
      <c r="P639" s="215"/>
      <c r="Q639" s="215"/>
      <c r="R639" s="215"/>
      <c r="S639" s="215"/>
      <c r="T639" s="215"/>
      <c r="U639" s="215"/>
      <c r="V639" s="215"/>
      <c r="W639" s="215"/>
      <c r="X639" s="215"/>
    </row>
    <row r="640" spans="1:24" ht="14.25" customHeight="1" x14ac:dyDescent="0.2">
      <c r="A640" s="215"/>
      <c r="B640" s="215"/>
      <c r="C640" s="215"/>
      <c r="D640" s="215"/>
      <c r="E640" s="215"/>
      <c r="F640" s="215"/>
      <c r="G640" s="215"/>
      <c r="H640" s="215"/>
      <c r="I640" s="215"/>
      <c r="J640" s="215"/>
      <c r="K640" s="215"/>
      <c r="L640" s="215"/>
      <c r="M640" s="215"/>
      <c r="N640" s="215"/>
      <c r="O640" s="215"/>
      <c r="P640" s="215"/>
      <c r="Q640" s="215"/>
      <c r="R640" s="215"/>
      <c r="S640" s="215"/>
      <c r="T640" s="215"/>
      <c r="U640" s="215"/>
      <c r="V640" s="215"/>
      <c r="W640" s="215"/>
      <c r="X640" s="215"/>
    </row>
    <row r="641" spans="1:24" ht="14.25" customHeight="1" x14ac:dyDescent="0.2">
      <c r="A641" s="215"/>
      <c r="B641" s="215"/>
      <c r="C641" s="215"/>
      <c r="D641" s="215"/>
      <c r="E641" s="215"/>
      <c r="F641" s="215"/>
      <c r="G641" s="215"/>
      <c r="H641" s="215"/>
      <c r="I641" s="215"/>
      <c r="J641" s="215"/>
      <c r="K641" s="215"/>
      <c r="L641" s="215"/>
      <c r="M641" s="215"/>
      <c r="N641" s="215"/>
      <c r="O641" s="215"/>
      <c r="P641" s="215"/>
      <c r="Q641" s="215"/>
      <c r="R641" s="215"/>
      <c r="S641" s="215"/>
      <c r="T641" s="215"/>
      <c r="U641" s="215"/>
      <c r="V641" s="215"/>
      <c r="W641" s="215"/>
      <c r="X641" s="215"/>
    </row>
    <row r="642" spans="1:24" ht="14.25" customHeight="1" x14ac:dyDescent="0.2">
      <c r="A642" s="215"/>
      <c r="B642" s="215"/>
      <c r="C642" s="215"/>
      <c r="D642" s="215"/>
      <c r="E642" s="215"/>
      <c r="F642" s="215"/>
      <c r="G642" s="215"/>
      <c r="H642" s="215"/>
      <c r="I642" s="215"/>
      <c r="J642" s="215"/>
      <c r="K642" s="215"/>
      <c r="L642" s="215"/>
      <c r="M642" s="215"/>
      <c r="N642" s="215"/>
      <c r="O642" s="215"/>
      <c r="P642" s="215"/>
      <c r="Q642" s="215"/>
      <c r="R642" s="215"/>
      <c r="S642" s="215"/>
      <c r="T642" s="215"/>
      <c r="U642" s="215"/>
      <c r="V642" s="215"/>
      <c r="W642" s="215"/>
      <c r="X642" s="215"/>
    </row>
    <row r="643" spans="1:24" ht="14.25" customHeight="1" x14ac:dyDescent="0.2">
      <c r="A643" s="215"/>
      <c r="B643" s="215"/>
      <c r="C643" s="215"/>
      <c r="D643" s="215"/>
      <c r="E643" s="215"/>
      <c r="F643" s="215"/>
      <c r="G643" s="215"/>
      <c r="H643" s="215"/>
      <c r="I643" s="215"/>
      <c r="J643" s="215"/>
      <c r="K643" s="215"/>
      <c r="L643" s="215"/>
      <c r="M643" s="215"/>
      <c r="N643" s="215"/>
      <c r="O643" s="215"/>
      <c r="P643" s="215"/>
      <c r="Q643" s="215"/>
      <c r="R643" s="215"/>
      <c r="S643" s="215"/>
      <c r="T643" s="215"/>
      <c r="U643" s="215"/>
      <c r="V643" s="215"/>
      <c r="W643" s="215"/>
      <c r="X643" s="215"/>
    </row>
    <row r="644" spans="1:24" ht="14.25" customHeight="1" x14ac:dyDescent="0.2">
      <c r="A644" s="215"/>
      <c r="B644" s="215"/>
      <c r="C644" s="215"/>
      <c r="D644" s="215"/>
      <c r="E644" s="215"/>
      <c r="F644" s="215"/>
      <c r="G644" s="215"/>
      <c r="H644" s="215"/>
      <c r="I644" s="215"/>
      <c r="J644" s="215"/>
      <c r="K644" s="215"/>
      <c r="L644" s="215"/>
      <c r="M644" s="215"/>
      <c r="N644" s="215"/>
      <c r="O644" s="215"/>
      <c r="P644" s="215"/>
      <c r="Q644" s="215"/>
      <c r="R644" s="215"/>
      <c r="S644" s="215"/>
      <c r="T644" s="215"/>
      <c r="U644" s="215"/>
      <c r="V644" s="215"/>
      <c r="W644" s="215"/>
      <c r="X644" s="215"/>
    </row>
    <row r="645" spans="1:24" ht="14.25" customHeight="1" x14ac:dyDescent="0.2">
      <c r="A645" s="215"/>
      <c r="B645" s="215"/>
      <c r="C645" s="215"/>
      <c r="D645" s="215"/>
      <c r="E645" s="215"/>
      <c r="F645" s="215"/>
      <c r="G645" s="215"/>
      <c r="H645" s="215"/>
      <c r="I645" s="215"/>
      <c r="J645" s="215"/>
      <c r="K645" s="215"/>
      <c r="L645" s="215"/>
      <c r="M645" s="215"/>
      <c r="N645" s="215"/>
      <c r="O645" s="215"/>
      <c r="P645" s="215"/>
      <c r="Q645" s="215"/>
      <c r="R645" s="215"/>
      <c r="S645" s="215"/>
      <c r="T645" s="215"/>
      <c r="U645" s="215"/>
      <c r="V645" s="215"/>
      <c r="W645" s="215"/>
      <c r="X645" s="215"/>
    </row>
    <row r="646" spans="1:24" ht="14.25" customHeight="1" x14ac:dyDescent="0.2">
      <c r="A646" s="215"/>
      <c r="B646" s="215"/>
      <c r="C646" s="215"/>
      <c r="D646" s="215"/>
      <c r="E646" s="215"/>
      <c r="F646" s="215"/>
      <c r="G646" s="215"/>
      <c r="H646" s="215"/>
      <c r="I646" s="215"/>
      <c r="J646" s="215"/>
      <c r="K646" s="215"/>
      <c r="L646" s="215"/>
      <c r="M646" s="215"/>
      <c r="N646" s="215"/>
      <c r="O646" s="215"/>
      <c r="P646" s="215"/>
      <c r="Q646" s="215"/>
      <c r="R646" s="215"/>
      <c r="S646" s="215"/>
      <c r="T646" s="215"/>
      <c r="U646" s="215"/>
      <c r="V646" s="215"/>
      <c r="W646" s="215"/>
      <c r="X646" s="215"/>
    </row>
    <row r="647" spans="1:24" ht="14.25" customHeight="1" x14ac:dyDescent="0.2">
      <c r="A647" s="215"/>
      <c r="B647" s="215"/>
      <c r="C647" s="215"/>
      <c r="D647" s="215"/>
      <c r="E647" s="215"/>
      <c r="F647" s="215"/>
      <c r="G647" s="215"/>
      <c r="H647" s="215"/>
      <c r="I647" s="215"/>
      <c r="J647" s="215"/>
      <c r="K647" s="215"/>
      <c r="L647" s="215"/>
      <c r="M647" s="215"/>
      <c r="N647" s="215"/>
      <c r="O647" s="215"/>
      <c r="P647" s="215"/>
      <c r="Q647" s="215"/>
      <c r="R647" s="215"/>
      <c r="S647" s="215"/>
      <c r="T647" s="215"/>
      <c r="U647" s="215"/>
      <c r="V647" s="215"/>
      <c r="W647" s="215"/>
      <c r="X647" s="215"/>
    </row>
    <row r="648" spans="1:24" ht="14.25" customHeight="1" x14ac:dyDescent="0.2">
      <c r="A648" s="215"/>
      <c r="B648" s="215"/>
      <c r="C648" s="215"/>
      <c r="D648" s="215"/>
      <c r="E648" s="215"/>
      <c r="F648" s="215"/>
      <c r="G648" s="215"/>
      <c r="H648" s="215"/>
      <c r="I648" s="215"/>
      <c r="J648" s="215"/>
      <c r="K648" s="215"/>
      <c r="L648" s="215"/>
      <c r="M648" s="215"/>
      <c r="N648" s="215"/>
      <c r="O648" s="215"/>
      <c r="P648" s="215"/>
      <c r="Q648" s="215"/>
      <c r="R648" s="215"/>
      <c r="S648" s="215"/>
      <c r="T648" s="215"/>
      <c r="U648" s="215"/>
      <c r="V648" s="215"/>
      <c r="W648" s="215"/>
      <c r="X648" s="215"/>
    </row>
    <row r="649" spans="1:24" ht="14.25" customHeight="1" x14ac:dyDescent="0.2">
      <c r="A649" s="215"/>
      <c r="B649" s="215"/>
      <c r="C649" s="215"/>
      <c r="D649" s="215"/>
      <c r="E649" s="215"/>
      <c r="F649" s="215"/>
      <c r="G649" s="215"/>
      <c r="H649" s="215"/>
      <c r="I649" s="215"/>
      <c r="J649" s="215"/>
      <c r="K649" s="215"/>
      <c r="L649" s="215"/>
      <c r="M649" s="215"/>
      <c r="N649" s="215"/>
      <c r="O649" s="215"/>
      <c r="P649" s="215"/>
      <c r="Q649" s="215"/>
      <c r="R649" s="215"/>
      <c r="S649" s="215"/>
      <c r="T649" s="215"/>
      <c r="U649" s="215"/>
      <c r="V649" s="215"/>
      <c r="W649" s="215"/>
      <c r="X649" s="215"/>
    </row>
    <row r="650" spans="1:24" ht="14.25" customHeight="1" x14ac:dyDescent="0.2">
      <c r="A650" s="215"/>
      <c r="B650" s="215"/>
      <c r="C650" s="215"/>
      <c r="D650" s="215"/>
      <c r="E650" s="215"/>
      <c r="F650" s="215"/>
      <c r="G650" s="215"/>
      <c r="H650" s="215"/>
      <c r="I650" s="215"/>
      <c r="J650" s="215"/>
      <c r="K650" s="215"/>
      <c r="L650" s="215"/>
      <c r="M650" s="215"/>
      <c r="N650" s="215"/>
      <c r="O650" s="215"/>
      <c r="P650" s="215"/>
      <c r="Q650" s="215"/>
      <c r="R650" s="215"/>
      <c r="S650" s="215"/>
      <c r="T650" s="215"/>
      <c r="U650" s="215"/>
      <c r="V650" s="215"/>
      <c r="W650" s="215"/>
      <c r="X650" s="215"/>
    </row>
    <row r="651" spans="1:24" ht="14.25" customHeight="1" x14ac:dyDescent="0.2">
      <c r="A651" s="215"/>
      <c r="B651" s="215"/>
      <c r="C651" s="215"/>
      <c r="D651" s="215"/>
      <c r="E651" s="215"/>
      <c r="F651" s="215"/>
      <c r="G651" s="215"/>
      <c r="H651" s="215"/>
      <c r="I651" s="215"/>
      <c r="J651" s="215"/>
      <c r="K651" s="215"/>
      <c r="L651" s="215"/>
      <c r="M651" s="215"/>
      <c r="N651" s="215"/>
      <c r="O651" s="215"/>
      <c r="P651" s="215"/>
      <c r="Q651" s="215"/>
      <c r="R651" s="215"/>
      <c r="S651" s="215"/>
      <c r="T651" s="215"/>
      <c r="U651" s="215"/>
      <c r="V651" s="215"/>
      <c r="W651" s="215"/>
      <c r="X651" s="215"/>
    </row>
    <row r="652" spans="1:24" ht="14.25" customHeight="1" x14ac:dyDescent="0.2">
      <c r="A652" s="215"/>
      <c r="B652" s="215"/>
      <c r="C652" s="215"/>
      <c r="D652" s="215"/>
      <c r="E652" s="215"/>
      <c r="F652" s="215"/>
      <c r="G652" s="215"/>
      <c r="H652" s="215"/>
      <c r="I652" s="215"/>
      <c r="J652" s="215"/>
      <c r="K652" s="215"/>
      <c r="L652" s="215"/>
      <c r="M652" s="215"/>
      <c r="N652" s="215"/>
      <c r="O652" s="215"/>
      <c r="P652" s="215"/>
      <c r="Q652" s="215"/>
      <c r="R652" s="215"/>
      <c r="S652" s="215"/>
      <c r="T652" s="215"/>
      <c r="U652" s="215"/>
      <c r="V652" s="215"/>
      <c r="W652" s="215"/>
      <c r="X652" s="215"/>
    </row>
    <row r="653" spans="1:24" ht="14.25" customHeight="1" x14ac:dyDescent="0.2">
      <c r="A653" s="215"/>
      <c r="B653" s="215"/>
      <c r="C653" s="215"/>
      <c r="D653" s="215"/>
      <c r="E653" s="215"/>
      <c r="F653" s="215"/>
      <c r="G653" s="215"/>
      <c r="H653" s="215"/>
      <c r="I653" s="215"/>
      <c r="J653" s="215"/>
      <c r="K653" s="215"/>
      <c r="L653" s="215"/>
      <c r="M653" s="215"/>
      <c r="N653" s="215"/>
      <c r="O653" s="215"/>
      <c r="P653" s="215"/>
      <c r="Q653" s="215"/>
      <c r="R653" s="215"/>
      <c r="S653" s="215"/>
      <c r="T653" s="215"/>
      <c r="U653" s="215"/>
      <c r="V653" s="215"/>
      <c r="W653" s="215"/>
      <c r="X653" s="215"/>
    </row>
    <row r="654" spans="1:24" ht="14.25" customHeight="1" x14ac:dyDescent="0.2">
      <c r="A654" s="215"/>
      <c r="B654" s="215"/>
      <c r="C654" s="215"/>
      <c r="D654" s="215"/>
      <c r="E654" s="215"/>
      <c r="F654" s="215"/>
      <c r="G654" s="215"/>
      <c r="H654" s="215"/>
      <c r="I654" s="215"/>
      <c r="J654" s="215"/>
      <c r="K654" s="215"/>
      <c r="L654" s="215"/>
      <c r="M654" s="215"/>
      <c r="N654" s="215"/>
      <c r="O654" s="215"/>
      <c r="P654" s="215"/>
      <c r="Q654" s="215"/>
      <c r="R654" s="215"/>
      <c r="S654" s="215"/>
      <c r="T654" s="215"/>
      <c r="U654" s="215"/>
      <c r="V654" s="215"/>
      <c r="W654" s="215"/>
      <c r="X654" s="215"/>
    </row>
    <row r="655" spans="1:24" ht="14.25" customHeight="1" x14ac:dyDescent="0.2">
      <c r="A655" s="215"/>
      <c r="B655" s="215"/>
      <c r="C655" s="215"/>
      <c r="D655" s="215"/>
      <c r="E655" s="215"/>
      <c r="F655" s="215"/>
      <c r="G655" s="215"/>
      <c r="H655" s="215"/>
      <c r="I655" s="215"/>
      <c r="J655" s="215"/>
      <c r="K655" s="215"/>
      <c r="L655" s="215"/>
      <c r="M655" s="215"/>
      <c r="N655" s="215"/>
      <c r="O655" s="215"/>
      <c r="P655" s="215"/>
      <c r="Q655" s="215"/>
      <c r="R655" s="215"/>
      <c r="S655" s="215"/>
      <c r="T655" s="215"/>
      <c r="U655" s="215"/>
      <c r="V655" s="215"/>
      <c r="W655" s="215"/>
      <c r="X655" s="215"/>
    </row>
    <row r="656" spans="1:24" ht="14.25" customHeight="1" x14ac:dyDescent="0.2">
      <c r="A656" s="215"/>
      <c r="B656" s="215"/>
      <c r="C656" s="215"/>
      <c r="D656" s="215"/>
      <c r="E656" s="215"/>
      <c r="F656" s="215"/>
      <c r="G656" s="215"/>
      <c r="H656" s="215"/>
      <c r="I656" s="215"/>
      <c r="J656" s="215"/>
      <c r="K656" s="215"/>
      <c r="L656" s="215"/>
      <c r="M656" s="215"/>
      <c r="N656" s="215"/>
      <c r="O656" s="215"/>
      <c r="P656" s="215"/>
      <c r="Q656" s="215"/>
      <c r="R656" s="215"/>
      <c r="S656" s="215"/>
      <c r="T656" s="215"/>
      <c r="U656" s="215"/>
      <c r="V656" s="215"/>
      <c r="W656" s="215"/>
      <c r="X656" s="215"/>
    </row>
    <row r="657" spans="1:24" ht="14.25" customHeight="1" x14ac:dyDescent="0.2">
      <c r="A657" s="215"/>
      <c r="B657" s="215"/>
      <c r="C657" s="215"/>
      <c r="D657" s="215"/>
      <c r="E657" s="215"/>
      <c r="F657" s="215"/>
      <c r="G657" s="215"/>
      <c r="H657" s="215"/>
      <c r="I657" s="215"/>
      <c r="J657" s="215"/>
      <c r="K657" s="215"/>
      <c r="L657" s="215"/>
      <c r="M657" s="215"/>
      <c r="N657" s="215"/>
      <c r="O657" s="215"/>
      <c r="P657" s="215"/>
      <c r="Q657" s="215"/>
      <c r="R657" s="215"/>
      <c r="S657" s="215"/>
      <c r="T657" s="215"/>
      <c r="U657" s="215"/>
      <c r="V657" s="215"/>
      <c r="W657" s="215"/>
      <c r="X657" s="215"/>
    </row>
    <row r="658" spans="1:24" ht="14.25" customHeight="1" x14ac:dyDescent="0.2">
      <c r="A658" s="215"/>
      <c r="B658" s="215"/>
      <c r="C658" s="215"/>
      <c r="D658" s="215"/>
      <c r="E658" s="215"/>
      <c r="F658" s="215"/>
      <c r="G658" s="215"/>
      <c r="H658" s="215"/>
      <c r="I658" s="215"/>
      <c r="J658" s="215"/>
      <c r="K658" s="215"/>
      <c r="L658" s="215"/>
      <c r="M658" s="215"/>
      <c r="N658" s="215"/>
      <c r="O658" s="215"/>
      <c r="P658" s="215"/>
      <c r="Q658" s="215"/>
      <c r="R658" s="215"/>
      <c r="S658" s="215"/>
      <c r="T658" s="215"/>
      <c r="U658" s="215"/>
      <c r="V658" s="215"/>
      <c r="W658" s="215"/>
      <c r="X658" s="215"/>
    </row>
    <row r="659" spans="1:24" ht="14.25" customHeight="1" x14ac:dyDescent="0.2">
      <c r="A659" s="215"/>
      <c r="B659" s="215"/>
      <c r="C659" s="215"/>
      <c r="D659" s="215"/>
      <c r="E659" s="215"/>
      <c r="F659" s="215"/>
      <c r="G659" s="215"/>
      <c r="H659" s="215"/>
      <c r="I659" s="215"/>
      <c r="J659" s="215"/>
      <c r="K659" s="215"/>
      <c r="L659" s="215"/>
      <c r="M659" s="215"/>
      <c r="N659" s="215"/>
      <c r="O659" s="215"/>
      <c r="P659" s="215"/>
      <c r="Q659" s="215"/>
      <c r="R659" s="215"/>
      <c r="S659" s="215"/>
      <c r="T659" s="215"/>
      <c r="U659" s="215"/>
      <c r="V659" s="215"/>
      <c r="W659" s="215"/>
      <c r="X659" s="215"/>
    </row>
    <row r="660" spans="1:24" ht="14.25" customHeight="1" x14ac:dyDescent="0.2">
      <c r="A660" s="215"/>
      <c r="B660" s="215"/>
      <c r="C660" s="215"/>
      <c r="D660" s="215"/>
      <c r="E660" s="215"/>
      <c r="F660" s="215"/>
      <c r="G660" s="215"/>
      <c r="H660" s="215"/>
      <c r="I660" s="215"/>
      <c r="J660" s="215"/>
      <c r="K660" s="215"/>
      <c r="L660" s="215"/>
      <c r="M660" s="215"/>
      <c r="N660" s="215"/>
      <c r="O660" s="215"/>
      <c r="P660" s="215"/>
      <c r="Q660" s="215"/>
      <c r="R660" s="215"/>
      <c r="S660" s="215"/>
      <c r="T660" s="215"/>
      <c r="U660" s="215"/>
      <c r="V660" s="215"/>
      <c r="W660" s="215"/>
      <c r="X660" s="215"/>
    </row>
    <row r="661" spans="1:24" ht="14.25" customHeight="1" x14ac:dyDescent="0.2">
      <c r="A661" s="215"/>
      <c r="B661" s="215"/>
      <c r="C661" s="215"/>
      <c r="D661" s="215"/>
      <c r="E661" s="215"/>
      <c r="F661" s="215"/>
      <c r="G661" s="215"/>
      <c r="H661" s="215"/>
      <c r="I661" s="215"/>
      <c r="J661" s="215"/>
      <c r="K661" s="215"/>
      <c r="L661" s="215"/>
      <c r="M661" s="215"/>
      <c r="N661" s="215"/>
      <c r="O661" s="215"/>
      <c r="P661" s="215"/>
      <c r="Q661" s="215"/>
      <c r="R661" s="215"/>
      <c r="S661" s="215"/>
      <c r="T661" s="215"/>
      <c r="U661" s="215"/>
      <c r="V661" s="215"/>
      <c r="W661" s="215"/>
      <c r="X661" s="215"/>
    </row>
    <row r="662" spans="1:24" ht="14.25" customHeight="1" x14ac:dyDescent="0.2">
      <c r="A662" s="215"/>
      <c r="B662" s="215"/>
      <c r="C662" s="215"/>
      <c r="D662" s="215"/>
      <c r="E662" s="215"/>
      <c r="F662" s="215"/>
      <c r="G662" s="215"/>
      <c r="H662" s="215"/>
      <c r="I662" s="215"/>
      <c r="J662" s="215"/>
      <c r="K662" s="215"/>
      <c r="L662" s="215"/>
      <c r="M662" s="215"/>
      <c r="N662" s="215"/>
      <c r="O662" s="215"/>
      <c r="P662" s="215"/>
      <c r="Q662" s="215"/>
      <c r="R662" s="215"/>
      <c r="S662" s="215"/>
      <c r="T662" s="215"/>
      <c r="U662" s="215"/>
      <c r="V662" s="215"/>
      <c r="W662" s="215"/>
      <c r="X662" s="215"/>
    </row>
    <row r="663" spans="1:24" ht="14.25" customHeight="1" x14ac:dyDescent="0.2">
      <c r="A663" s="215"/>
      <c r="B663" s="215"/>
      <c r="C663" s="215"/>
      <c r="D663" s="215"/>
      <c r="E663" s="215"/>
      <c r="F663" s="215"/>
      <c r="G663" s="215"/>
      <c r="H663" s="215"/>
      <c r="I663" s="215"/>
      <c r="J663" s="215"/>
      <c r="K663" s="215"/>
      <c r="L663" s="215"/>
      <c r="M663" s="215"/>
      <c r="N663" s="215"/>
      <c r="O663" s="215"/>
      <c r="P663" s="215"/>
      <c r="Q663" s="215"/>
      <c r="R663" s="215"/>
      <c r="S663" s="215"/>
      <c r="T663" s="215"/>
      <c r="U663" s="215"/>
      <c r="V663" s="215"/>
      <c r="W663" s="215"/>
      <c r="X663" s="215"/>
    </row>
    <row r="664" spans="1:24" ht="14.25" customHeight="1" x14ac:dyDescent="0.2">
      <c r="A664" s="215"/>
      <c r="B664" s="215"/>
      <c r="C664" s="215"/>
      <c r="D664" s="215"/>
      <c r="E664" s="215"/>
      <c r="F664" s="215"/>
      <c r="G664" s="215"/>
      <c r="H664" s="215"/>
      <c r="I664" s="215"/>
      <c r="J664" s="215"/>
      <c r="K664" s="215"/>
      <c r="L664" s="215"/>
      <c r="M664" s="215"/>
      <c r="N664" s="215"/>
      <c r="O664" s="215"/>
      <c r="P664" s="215"/>
      <c r="Q664" s="215"/>
      <c r="R664" s="215"/>
      <c r="S664" s="215"/>
      <c r="T664" s="215"/>
      <c r="U664" s="215"/>
      <c r="V664" s="215"/>
      <c r="W664" s="215"/>
      <c r="X664" s="215"/>
    </row>
    <row r="665" spans="1:24" ht="14.25" customHeight="1" x14ac:dyDescent="0.2">
      <c r="A665" s="215"/>
      <c r="B665" s="215"/>
      <c r="C665" s="215"/>
      <c r="D665" s="215"/>
      <c r="E665" s="215"/>
      <c r="F665" s="215"/>
      <c r="G665" s="215"/>
      <c r="H665" s="215"/>
      <c r="I665" s="215"/>
      <c r="J665" s="215"/>
      <c r="K665" s="215"/>
      <c r="L665" s="215"/>
      <c r="M665" s="215"/>
      <c r="N665" s="215"/>
      <c r="O665" s="215"/>
      <c r="P665" s="215"/>
      <c r="Q665" s="215"/>
      <c r="R665" s="215"/>
      <c r="S665" s="215"/>
      <c r="T665" s="215"/>
      <c r="U665" s="215"/>
      <c r="V665" s="215"/>
      <c r="W665" s="215"/>
      <c r="X665" s="215"/>
    </row>
    <row r="666" spans="1:24" ht="14.25" customHeight="1" x14ac:dyDescent="0.2">
      <c r="A666" s="215"/>
      <c r="B666" s="215"/>
      <c r="C666" s="215"/>
      <c r="D666" s="215"/>
      <c r="E666" s="215"/>
      <c r="F666" s="215"/>
      <c r="G666" s="215"/>
      <c r="H666" s="215"/>
      <c r="I666" s="215"/>
      <c r="J666" s="215"/>
      <c r="K666" s="215"/>
      <c r="L666" s="215"/>
      <c r="M666" s="215"/>
      <c r="N666" s="215"/>
      <c r="O666" s="215"/>
      <c r="P666" s="215"/>
      <c r="Q666" s="215"/>
      <c r="R666" s="215"/>
      <c r="S666" s="215"/>
      <c r="T666" s="215"/>
      <c r="U666" s="215"/>
      <c r="V666" s="215"/>
      <c r="W666" s="215"/>
      <c r="X666" s="215"/>
    </row>
    <row r="667" spans="1:24" ht="14.25" customHeight="1" x14ac:dyDescent="0.2">
      <c r="A667" s="215"/>
      <c r="B667" s="215"/>
      <c r="C667" s="215"/>
      <c r="D667" s="215"/>
      <c r="E667" s="215"/>
      <c r="F667" s="215"/>
      <c r="G667" s="215"/>
      <c r="H667" s="215"/>
      <c r="I667" s="215"/>
      <c r="J667" s="215"/>
      <c r="K667" s="215"/>
      <c r="L667" s="215"/>
      <c r="M667" s="215"/>
      <c r="N667" s="215"/>
      <c r="O667" s="215"/>
      <c r="P667" s="215"/>
      <c r="Q667" s="215"/>
      <c r="R667" s="215"/>
      <c r="S667" s="215"/>
      <c r="T667" s="215"/>
      <c r="U667" s="215"/>
      <c r="V667" s="215"/>
      <c r="W667" s="215"/>
      <c r="X667" s="215"/>
    </row>
    <row r="668" spans="1:24" ht="14.25" customHeight="1" x14ac:dyDescent="0.2">
      <c r="A668" s="215"/>
      <c r="B668" s="215"/>
      <c r="C668" s="215"/>
      <c r="D668" s="215"/>
      <c r="E668" s="215"/>
      <c r="F668" s="215"/>
      <c r="G668" s="215"/>
      <c r="H668" s="215"/>
      <c r="I668" s="215"/>
      <c r="J668" s="215"/>
      <c r="K668" s="215"/>
      <c r="L668" s="215"/>
      <c r="M668" s="215"/>
      <c r="N668" s="215"/>
      <c r="O668" s="215"/>
      <c r="P668" s="215"/>
      <c r="Q668" s="215"/>
      <c r="R668" s="215"/>
      <c r="S668" s="215"/>
      <c r="T668" s="215"/>
      <c r="U668" s="215"/>
      <c r="V668" s="215"/>
      <c r="W668" s="215"/>
      <c r="X668" s="215"/>
    </row>
    <row r="669" spans="1:24" ht="14.25" customHeight="1" x14ac:dyDescent="0.2">
      <c r="A669" s="215"/>
      <c r="B669" s="215"/>
      <c r="C669" s="215"/>
      <c r="D669" s="215"/>
      <c r="E669" s="215"/>
      <c r="F669" s="215"/>
      <c r="G669" s="215"/>
      <c r="H669" s="215"/>
      <c r="I669" s="215"/>
      <c r="J669" s="215"/>
      <c r="K669" s="215"/>
      <c r="L669" s="215"/>
      <c r="M669" s="215"/>
      <c r="N669" s="215"/>
      <c r="O669" s="215"/>
      <c r="P669" s="215"/>
      <c r="Q669" s="215"/>
      <c r="R669" s="215"/>
      <c r="S669" s="215"/>
      <c r="T669" s="215"/>
      <c r="U669" s="215"/>
      <c r="V669" s="215"/>
      <c r="W669" s="215"/>
      <c r="X669" s="215"/>
    </row>
    <row r="670" spans="1:24" ht="14.25" customHeight="1" x14ac:dyDescent="0.2">
      <c r="A670" s="215"/>
      <c r="B670" s="215"/>
      <c r="C670" s="215"/>
      <c r="D670" s="215"/>
      <c r="E670" s="215"/>
      <c r="F670" s="215"/>
      <c r="G670" s="215"/>
      <c r="H670" s="215"/>
      <c r="I670" s="215"/>
      <c r="J670" s="215"/>
      <c r="K670" s="215"/>
      <c r="L670" s="215"/>
      <c r="M670" s="215"/>
      <c r="N670" s="215"/>
      <c r="O670" s="215"/>
      <c r="P670" s="215"/>
      <c r="Q670" s="215"/>
      <c r="R670" s="215"/>
      <c r="S670" s="215"/>
      <c r="T670" s="215"/>
      <c r="U670" s="215"/>
      <c r="V670" s="215"/>
      <c r="W670" s="215"/>
      <c r="X670" s="215"/>
    </row>
    <row r="671" spans="1:24" ht="14.25" customHeight="1" x14ac:dyDescent="0.2">
      <c r="A671" s="215"/>
      <c r="B671" s="215"/>
      <c r="C671" s="215"/>
      <c r="D671" s="215"/>
      <c r="E671" s="215"/>
      <c r="F671" s="215"/>
      <c r="G671" s="215"/>
      <c r="H671" s="215"/>
      <c r="I671" s="215"/>
      <c r="J671" s="215"/>
      <c r="K671" s="215"/>
      <c r="L671" s="215"/>
      <c r="M671" s="215"/>
      <c r="N671" s="215"/>
      <c r="O671" s="215"/>
      <c r="P671" s="215"/>
      <c r="Q671" s="215"/>
      <c r="R671" s="215"/>
      <c r="S671" s="215"/>
      <c r="T671" s="215"/>
      <c r="U671" s="215"/>
      <c r="V671" s="215"/>
      <c r="W671" s="215"/>
      <c r="X671" s="215"/>
    </row>
    <row r="672" spans="1:24" ht="14.25" customHeight="1" x14ac:dyDescent="0.2">
      <c r="A672" s="215"/>
      <c r="B672" s="215"/>
      <c r="C672" s="215"/>
      <c r="D672" s="215"/>
      <c r="E672" s="215"/>
      <c r="F672" s="215"/>
      <c r="G672" s="215"/>
      <c r="H672" s="215"/>
      <c r="I672" s="215"/>
      <c r="J672" s="215"/>
      <c r="K672" s="215"/>
      <c r="L672" s="215"/>
      <c r="M672" s="215"/>
      <c r="N672" s="215"/>
      <c r="O672" s="215"/>
      <c r="P672" s="215"/>
      <c r="Q672" s="215"/>
      <c r="R672" s="215"/>
      <c r="S672" s="215"/>
      <c r="T672" s="215"/>
      <c r="U672" s="215"/>
      <c r="V672" s="215"/>
      <c r="W672" s="215"/>
      <c r="X672" s="215"/>
    </row>
    <row r="673" spans="1:24" ht="14.25" customHeight="1" x14ac:dyDescent="0.2">
      <c r="A673" s="215"/>
      <c r="B673" s="215"/>
      <c r="C673" s="215"/>
      <c r="D673" s="215"/>
      <c r="E673" s="215"/>
      <c r="F673" s="215"/>
      <c r="G673" s="215"/>
      <c r="H673" s="215"/>
      <c r="I673" s="215"/>
      <c r="J673" s="215"/>
      <c r="K673" s="215"/>
      <c r="L673" s="215"/>
      <c r="M673" s="215"/>
      <c r="N673" s="215"/>
      <c r="O673" s="215"/>
      <c r="P673" s="215"/>
      <c r="Q673" s="215"/>
      <c r="R673" s="215"/>
      <c r="S673" s="215"/>
      <c r="T673" s="215"/>
      <c r="U673" s="215"/>
      <c r="V673" s="215"/>
      <c r="W673" s="215"/>
      <c r="X673" s="215"/>
    </row>
    <row r="674" spans="1:24" ht="14.25" customHeight="1" x14ac:dyDescent="0.2">
      <c r="A674" s="215"/>
      <c r="B674" s="215"/>
      <c r="C674" s="215"/>
      <c r="D674" s="215"/>
      <c r="E674" s="215"/>
      <c r="F674" s="215"/>
      <c r="G674" s="215"/>
      <c r="H674" s="215"/>
      <c r="I674" s="215"/>
      <c r="J674" s="215"/>
      <c r="K674" s="215"/>
      <c r="L674" s="215"/>
      <c r="M674" s="215"/>
      <c r="N674" s="215"/>
      <c r="O674" s="215"/>
      <c r="P674" s="215"/>
      <c r="Q674" s="215"/>
      <c r="R674" s="215"/>
      <c r="S674" s="215"/>
      <c r="T674" s="215"/>
      <c r="U674" s="215"/>
      <c r="V674" s="215"/>
      <c r="W674" s="215"/>
      <c r="X674" s="215"/>
    </row>
    <row r="675" spans="1:24" ht="14.25" customHeight="1" x14ac:dyDescent="0.2">
      <c r="A675" s="215"/>
      <c r="B675" s="215"/>
      <c r="C675" s="215"/>
      <c r="D675" s="215"/>
      <c r="E675" s="215"/>
      <c r="F675" s="215"/>
      <c r="G675" s="215"/>
      <c r="H675" s="215"/>
      <c r="I675" s="215"/>
      <c r="J675" s="215"/>
      <c r="K675" s="215"/>
      <c r="L675" s="215"/>
      <c r="M675" s="215"/>
      <c r="N675" s="215"/>
      <c r="O675" s="215"/>
      <c r="P675" s="215"/>
      <c r="Q675" s="215"/>
      <c r="R675" s="215"/>
      <c r="S675" s="215"/>
      <c r="T675" s="215"/>
      <c r="U675" s="215"/>
      <c r="V675" s="215"/>
      <c r="W675" s="215"/>
      <c r="X675" s="215"/>
    </row>
    <row r="676" spans="1:24" ht="14.25" customHeight="1" x14ac:dyDescent="0.2">
      <c r="A676" s="215"/>
      <c r="B676" s="215"/>
      <c r="C676" s="215"/>
      <c r="D676" s="215"/>
      <c r="E676" s="215"/>
      <c r="F676" s="215"/>
      <c r="G676" s="215"/>
      <c r="H676" s="215"/>
      <c r="I676" s="215"/>
      <c r="J676" s="215"/>
      <c r="K676" s="215"/>
      <c r="L676" s="215"/>
      <c r="M676" s="215"/>
      <c r="N676" s="215"/>
      <c r="O676" s="215"/>
      <c r="P676" s="215"/>
      <c r="Q676" s="215"/>
      <c r="R676" s="215"/>
      <c r="S676" s="215"/>
      <c r="T676" s="215"/>
      <c r="U676" s="215"/>
      <c r="V676" s="215"/>
      <c r="W676" s="215"/>
      <c r="X676" s="215"/>
    </row>
    <row r="677" spans="1:24" ht="14.25" customHeight="1" x14ac:dyDescent="0.2">
      <c r="A677" s="215"/>
      <c r="B677" s="215"/>
      <c r="C677" s="215"/>
      <c r="D677" s="215"/>
      <c r="E677" s="215"/>
      <c r="F677" s="215"/>
      <c r="G677" s="215"/>
      <c r="H677" s="215"/>
      <c r="I677" s="215"/>
      <c r="J677" s="215"/>
      <c r="K677" s="215"/>
      <c r="L677" s="215"/>
      <c r="M677" s="215"/>
      <c r="N677" s="215"/>
      <c r="O677" s="215"/>
      <c r="P677" s="215"/>
      <c r="Q677" s="215"/>
      <c r="R677" s="215"/>
      <c r="S677" s="215"/>
      <c r="T677" s="215"/>
      <c r="U677" s="215"/>
      <c r="V677" s="215"/>
      <c r="W677" s="215"/>
      <c r="X677" s="215"/>
    </row>
    <row r="678" spans="1:24" ht="14.25" customHeight="1" x14ac:dyDescent="0.2">
      <c r="A678" s="215"/>
      <c r="B678" s="215"/>
      <c r="C678" s="215"/>
      <c r="D678" s="215"/>
      <c r="E678" s="215"/>
      <c r="F678" s="215"/>
      <c r="G678" s="215"/>
      <c r="H678" s="215"/>
      <c r="I678" s="215"/>
      <c r="J678" s="215"/>
      <c r="K678" s="215"/>
      <c r="L678" s="215"/>
      <c r="M678" s="215"/>
      <c r="N678" s="215"/>
      <c r="O678" s="215"/>
      <c r="P678" s="215"/>
      <c r="Q678" s="215"/>
      <c r="R678" s="215"/>
      <c r="S678" s="215"/>
      <c r="T678" s="215"/>
      <c r="U678" s="215"/>
      <c r="V678" s="215"/>
      <c r="W678" s="215"/>
      <c r="X678" s="215"/>
    </row>
    <row r="679" spans="1:24" ht="14.25" customHeight="1" x14ac:dyDescent="0.2">
      <c r="A679" s="215"/>
      <c r="B679" s="215"/>
      <c r="C679" s="215"/>
      <c r="D679" s="215"/>
      <c r="E679" s="215"/>
      <c r="F679" s="215"/>
      <c r="G679" s="215"/>
      <c r="H679" s="215"/>
      <c r="I679" s="215"/>
      <c r="J679" s="215"/>
      <c r="K679" s="215"/>
      <c r="L679" s="215"/>
      <c r="M679" s="215"/>
      <c r="N679" s="215"/>
      <c r="O679" s="215"/>
      <c r="P679" s="215"/>
      <c r="Q679" s="215"/>
      <c r="R679" s="215"/>
      <c r="S679" s="215"/>
      <c r="T679" s="215"/>
      <c r="U679" s="215"/>
      <c r="V679" s="215"/>
      <c r="W679" s="215"/>
      <c r="X679" s="215"/>
    </row>
    <row r="680" spans="1:24" ht="14.25" customHeight="1" x14ac:dyDescent="0.2">
      <c r="A680" s="215"/>
      <c r="B680" s="215"/>
      <c r="C680" s="215"/>
      <c r="D680" s="215"/>
      <c r="E680" s="215"/>
      <c r="F680" s="215"/>
      <c r="G680" s="215"/>
      <c r="H680" s="215"/>
      <c r="I680" s="215"/>
      <c r="J680" s="215"/>
      <c r="K680" s="215"/>
      <c r="L680" s="215"/>
      <c r="M680" s="215"/>
      <c r="N680" s="215"/>
      <c r="O680" s="215"/>
      <c r="P680" s="215"/>
      <c r="Q680" s="215"/>
      <c r="R680" s="215"/>
      <c r="S680" s="215"/>
      <c r="T680" s="215"/>
      <c r="U680" s="215"/>
      <c r="V680" s="215"/>
      <c r="W680" s="215"/>
      <c r="X680" s="215"/>
    </row>
    <row r="681" spans="1:24" ht="14.25" customHeight="1" x14ac:dyDescent="0.2">
      <c r="A681" s="215"/>
      <c r="B681" s="215"/>
      <c r="C681" s="215"/>
      <c r="D681" s="215"/>
      <c r="E681" s="215"/>
      <c r="F681" s="215"/>
      <c r="G681" s="215"/>
      <c r="H681" s="215"/>
      <c r="I681" s="215"/>
      <c r="J681" s="215"/>
      <c r="K681" s="215"/>
      <c r="L681" s="215"/>
      <c r="M681" s="215"/>
      <c r="N681" s="215"/>
      <c r="O681" s="215"/>
      <c r="P681" s="215"/>
      <c r="Q681" s="215"/>
      <c r="R681" s="215"/>
      <c r="S681" s="215"/>
      <c r="T681" s="215"/>
      <c r="U681" s="215"/>
      <c r="V681" s="215"/>
      <c r="W681" s="215"/>
      <c r="X681" s="215"/>
    </row>
    <row r="682" spans="1:24" ht="14.25" customHeight="1" x14ac:dyDescent="0.2">
      <c r="A682" s="215"/>
      <c r="B682" s="215"/>
      <c r="C682" s="215"/>
      <c r="D682" s="215"/>
      <c r="E682" s="215"/>
      <c r="F682" s="215"/>
      <c r="G682" s="215"/>
      <c r="H682" s="215"/>
      <c r="I682" s="215"/>
      <c r="J682" s="215"/>
      <c r="K682" s="215"/>
      <c r="L682" s="215"/>
      <c r="M682" s="215"/>
      <c r="N682" s="215"/>
      <c r="O682" s="215"/>
      <c r="P682" s="215"/>
      <c r="Q682" s="215"/>
      <c r="R682" s="215"/>
      <c r="S682" s="215"/>
      <c r="T682" s="215"/>
      <c r="U682" s="215"/>
      <c r="V682" s="215"/>
      <c r="W682" s="215"/>
      <c r="X682" s="215"/>
    </row>
    <row r="683" spans="1:24" ht="14.25" customHeight="1" x14ac:dyDescent="0.2">
      <c r="A683" s="215"/>
      <c r="B683" s="215"/>
      <c r="C683" s="215"/>
      <c r="D683" s="215"/>
      <c r="E683" s="215"/>
      <c r="F683" s="215"/>
      <c r="G683" s="215"/>
      <c r="H683" s="215"/>
      <c r="I683" s="215"/>
      <c r="J683" s="215"/>
      <c r="K683" s="215"/>
      <c r="L683" s="215"/>
      <c r="M683" s="215"/>
      <c r="N683" s="215"/>
      <c r="O683" s="215"/>
      <c r="P683" s="215"/>
      <c r="Q683" s="215"/>
      <c r="R683" s="215"/>
      <c r="S683" s="215"/>
      <c r="T683" s="215"/>
      <c r="U683" s="215"/>
      <c r="V683" s="215"/>
      <c r="W683" s="215"/>
      <c r="X683" s="215"/>
    </row>
    <row r="684" spans="1:24" ht="14.25" customHeight="1" x14ac:dyDescent="0.2">
      <c r="A684" s="215"/>
      <c r="B684" s="215"/>
      <c r="C684" s="215"/>
      <c r="D684" s="215"/>
      <c r="E684" s="215"/>
      <c r="F684" s="215"/>
      <c r="G684" s="215"/>
      <c r="H684" s="215"/>
      <c r="I684" s="215"/>
      <c r="J684" s="215"/>
      <c r="K684" s="215"/>
      <c r="L684" s="215"/>
      <c r="M684" s="215"/>
      <c r="N684" s="215"/>
      <c r="O684" s="215"/>
      <c r="P684" s="215"/>
      <c r="Q684" s="215"/>
      <c r="R684" s="215"/>
      <c r="S684" s="215"/>
      <c r="T684" s="215"/>
      <c r="U684" s="215"/>
      <c r="V684" s="215"/>
      <c r="W684" s="215"/>
      <c r="X684" s="215"/>
    </row>
    <row r="685" spans="1:24" ht="14.25" customHeight="1" x14ac:dyDescent="0.2">
      <c r="A685" s="215"/>
      <c r="B685" s="215"/>
      <c r="C685" s="215"/>
      <c r="D685" s="215"/>
      <c r="E685" s="215"/>
      <c r="F685" s="215"/>
      <c r="G685" s="215"/>
      <c r="H685" s="215"/>
      <c r="I685" s="215"/>
      <c r="J685" s="215"/>
      <c r="K685" s="215"/>
      <c r="L685" s="215"/>
      <c r="M685" s="215"/>
      <c r="N685" s="215"/>
      <c r="O685" s="215"/>
      <c r="P685" s="215"/>
      <c r="Q685" s="215"/>
      <c r="R685" s="215"/>
      <c r="S685" s="215"/>
      <c r="T685" s="215"/>
      <c r="U685" s="215"/>
      <c r="V685" s="215"/>
      <c r="W685" s="215"/>
      <c r="X685" s="215"/>
    </row>
    <row r="686" spans="1:24" ht="14.25" customHeight="1" x14ac:dyDescent="0.2">
      <c r="A686" s="215"/>
      <c r="B686" s="215"/>
      <c r="C686" s="215"/>
      <c r="D686" s="215"/>
      <c r="E686" s="215"/>
      <c r="F686" s="215"/>
      <c r="G686" s="215"/>
      <c r="H686" s="215"/>
      <c r="I686" s="215"/>
      <c r="J686" s="215"/>
      <c r="K686" s="215"/>
      <c r="L686" s="215"/>
      <c r="M686" s="215"/>
      <c r="N686" s="215"/>
      <c r="O686" s="215"/>
      <c r="P686" s="215"/>
      <c r="Q686" s="215"/>
      <c r="R686" s="215"/>
      <c r="S686" s="215"/>
      <c r="T686" s="215"/>
      <c r="U686" s="215"/>
      <c r="V686" s="215"/>
      <c r="W686" s="215"/>
      <c r="X686" s="215"/>
    </row>
    <row r="687" spans="1:24" ht="14.25" customHeight="1" x14ac:dyDescent="0.2">
      <c r="A687" s="215"/>
      <c r="B687" s="215"/>
      <c r="C687" s="215"/>
      <c r="D687" s="215"/>
      <c r="E687" s="215"/>
      <c r="F687" s="215"/>
      <c r="G687" s="215"/>
      <c r="H687" s="215"/>
      <c r="I687" s="215"/>
      <c r="J687" s="215"/>
      <c r="K687" s="215"/>
      <c r="L687" s="215"/>
      <c r="M687" s="215"/>
      <c r="N687" s="215"/>
      <c r="O687" s="215"/>
      <c r="P687" s="215"/>
      <c r="Q687" s="215"/>
      <c r="R687" s="215"/>
      <c r="S687" s="215"/>
      <c r="T687" s="215"/>
      <c r="U687" s="215"/>
      <c r="V687" s="215"/>
      <c r="W687" s="215"/>
      <c r="X687" s="215"/>
    </row>
    <row r="688" spans="1:24" ht="14.25" customHeight="1" x14ac:dyDescent="0.2">
      <c r="A688" s="215"/>
      <c r="B688" s="215"/>
      <c r="C688" s="215"/>
      <c r="D688" s="215"/>
      <c r="E688" s="215"/>
      <c r="F688" s="215"/>
      <c r="G688" s="215"/>
      <c r="H688" s="215"/>
      <c r="I688" s="215"/>
      <c r="J688" s="215"/>
      <c r="K688" s="215"/>
      <c r="L688" s="215"/>
      <c r="M688" s="215"/>
      <c r="N688" s="215"/>
      <c r="O688" s="215"/>
      <c r="P688" s="215"/>
      <c r="Q688" s="215"/>
      <c r="R688" s="215"/>
      <c r="S688" s="215"/>
      <c r="T688" s="215"/>
      <c r="U688" s="215"/>
      <c r="V688" s="215"/>
      <c r="W688" s="215"/>
      <c r="X688" s="215"/>
    </row>
    <row r="689" spans="1:24" ht="14.25" customHeight="1" x14ac:dyDescent="0.2">
      <c r="A689" s="215"/>
      <c r="B689" s="215"/>
      <c r="C689" s="215"/>
      <c r="D689" s="215"/>
      <c r="E689" s="215"/>
      <c r="F689" s="215"/>
      <c r="G689" s="215"/>
      <c r="H689" s="215"/>
      <c r="I689" s="215"/>
      <c r="J689" s="215"/>
      <c r="K689" s="215"/>
      <c r="L689" s="215"/>
      <c r="M689" s="215"/>
      <c r="N689" s="215"/>
      <c r="O689" s="215"/>
      <c r="P689" s="215"/>
      <c r="Q689" s="215"/>
      <c r="R689" s="215"/>
      <c r="S689" s="215"/>
      <c r="T689" s="215"/>
      <c r="U689" s="215"/>
      <c r="V689" s="215"/>
      <c r="W689" s="215"/>
      <c r="X689" s="215"/>
    </row>
    <row r="690" spans="1:24" ht="14.25" customHeight="1" x14ac:dyDescent="0.2">
      <c r="A690" s="215"/>
      <c r="B690" s="215"/>
      <c r="C690" s="215"/>
      <c r="D690" s="215"/>
      <c r="E690" s="215"/>
      <c r="F690" s="215"/>
      <c r="G690" s="215"/>
      <c r="H690" s="215"/>
      <c r="I690" s="215"/>
      <c r="J690" s="215"/>
      <c r="K690" s="215"/>
      <c r="L690" s="215"/>
      <c r="M690" s="215"/>
      <c r="N690" s="215"/>
      <c r="O690" s="215"/>
      <c r="P690" s="215"/>
      <c r="Q690" s="215"/>
      <c r="R690" s="215"/>
      <c r="S690" s="215"/>
      <c r="T690" s="215"/>
      <c r="U690" s="215"/>
      <c r="V690" s="215"/>
      <c r="W690" s="215"/>
      <c r="X690" s="215"/>
    </row>
    <row r="691" spans="1:24" ht="14.25" customHeight="1" x14ac:dyDescent="0.2">
      <c r="A691" s="215"/>
      <c r="B691" s="215"/>
      <c r="C691" s="215"/>
      <c r="D691" s="215"/>
      <c r="E691" s="215"/>
      <c r="F691" s="215"/>
      <c r="G691" s="215"/>
      <c r="H691" s="215"/>
      <c r="I691" s="215"/>
      <c r="J691" s="215"/>
      <c r="K691" s="215"/>
      <c r="L691" s="215"/>
      <c r="M691" s="215"/>
      <c r="N691" s="215"/>
      <c r="O691" s="215"/>
      <c r="P691" s="215"/>
      <c r="Q691" s="215"/>
      <c r="R691" s="215"/>
      <c r="S691" s="215"/>
      <c r="T691" s="215"/>
      <c r="U691" s="215"/>
      <c r="V691" s="215"/>
      <c r="W691" s="215"/>
      <c r="X691" s="215"/>
    </row>
    <row r="692" spans="1:24" ht="14.25" customHeight="1" x14ac:dyDescent="0.2">
      <c r="A692" s="215"/>
      <c r="B692" s="215"/>
      <c r="C692" s="215"/>
      <c r="D692" s="215"/>
      <c r="E692" s="215"/>
      <c r="F692" s="215"/>
      <c r="G692" s="215"/>
      <c r="H692" s="215"/>
      <c r="I692" s="215"/>
      <c r="J692" s="215"/>
      <c r="K692" s="215"/>
      <c r="L692" s="215"/>
      <c r="M692" s="215"/>
      <c r="N692" s="215"/>
      <c r="O692" s="215"/>
      <c r="P692" s="215"/>
      <c r="Q692" s="215"/>
      <c r="R692" s="215"/>
      <c r="S692" s="215"/>
      <c r="T692" s="215"/>
      <c r="U692" s="215"/>
      <c r="V692" s="215"/>
      <c r="W692" s="215"/>
      <c r="X692" s="215"/>
    </row>
    <row r="693" spans="1:24" ht="14.25" customHeight="1" x14ac:dyDescent="0.2">
      <c r="A693" s="215"/>
      <c r="B693" s="215"/>
      <c r="C693" s="215"/>
      <c r="D693" s="215"/>
      <c r="E693" s="215"/>
      <c r="F693" s="215"/>
      <c r="G693" s="215"/>
      <c r="H693" s="215"/>
      <c r="I693" s="215"/>
      <c r="J693" s="215"/>
      <c r="K693" s="215"/>
      <c r="L693" s="215"/>
      <c r="M693" s="215"/>
      <c r="N693" s="215"/>
      <c r="O693" s="215"/>
      <c r="P693" s="215"/>
      <c r="Q693" s="215"/>
      <c r="R693" s="215"/>
      <c r="S693" s="215"/>
      <c r="T693" s="215"/>
      <c r="U693" s="215"/>
      <c r="V693" s="215"/>
      <c r="W693" s="215"/>
      <c r="X693" s="215"/>
    </row>
    <row r="694" spans="1:24" ht="14.25" customHeight="1" x14ac:dyDescent="0.2">
      <c r="A694" s="215"/>
      <c r="B694" s="215"/>
      <c r="C694" s="215"/>
      <c r="D694" s="215"/>
      <c r="E694" s="215"/>
      <c r="F694" s="215"/>
      <c r="G694" s="215"/>
      <c r="H694" s="215"/>
      <c r="I694" s="215"/>
      <c r="J694" s="215"/>
      <c r="K694" s="215"/>
      <c r="L694" s="215"/>
      <c r="M694" s="215"/>
      <c r="N694" s="215"/>
      <c r="O694" s="215"/>
      <c r="P694" s="215"/>
      <c r="Q694" s="215"/>
      <c r="R694" s="215"/>
      <c r="S694" s="215"/>
      <c r="T694" s="215"/>
      <c r="U694" s="215"/>
      <c r="V694" s="215"/>
      <c r="W694" s="215"/>
      <c r="X694" s="215"/>
    </row>
    <row r="695" spans="1:24" ht="14.25" customHeight="1" x14ac:dyDescent="0.2">
      <c r="A695" s="215"/>
      <c r="B695" s="215"/>
      <c r="C695" s="215"/>
      <c r="D695" s="215"/>
      <c r="E695" s="215"/>
      <c r="F695" s="215"/>
      <c r="G695" s="215"/>
      <c r="H695" s="215"/>
      <c r="I695" s="215"/>
      <c r="J695" s="215"/>
      <c r="K695" s="215"/>
      <c r="L695" s="215"/>
      <c r="M695" s="215"/>
      <c r="N695" s="215"/>
      <c r="O695" s="215"/>
      <c r="P695" s="215"/>
      <c r="Q695" s="215"/>
      <c r="R695" s="215"/>
      <c r="S695" s="215"/>
      <c r="T695" s="215"/>
      <c r="U695" s="215"/>
      <c r="V695" s="215"/>
      <c r="W695" s="215"/>
      <c r="X695" s="215"/>
    </row>
    <row r="696" spans="1:24" ht="14.25" customHeight="1" x14ac:dyDescent="0.2">
      <c r="A696" s="215"/>
      <c r="B696" s="215"/>
      <c r="C696" s="215"/>
      <c r="D696" s="215"/>
      <c r="E696" s="215"/>
      <c r="F696" s="215"/>
      <c r="G696" s="215"/>
      <c r="H696" s="215"/>
      <c r="I696" s="215"/>
      <c r="J696" s="215"/>
      <c r="K696" s="215"/>
      <c r="L696" s="215"/>
      <c r="M696" s="215"/>
      <c r="N696" s="215"/>
      <c r="O696" s="215"/>
      <c r="P696" s="215"/>
      <c r="Q696" s="215"/>
      <c r="R696" s="215"/>
      <c r="S696" s="215"/>
      <c r="T696" s="215"/>
      <c r="U696" s="215"/>
      <c r="V696" s="215"/>
      <c r="W696" s="215"/>
      <c r="X696" s="215"/>
    </row>
    <row r="697" spans="1:24" ht="14.25" customHeight="1" x14ac:dyDescent="0.2">
      <c r="A697" s="215"/>
      <c r="B697" s="215"/>
      <c r="C697" s="215"/>
      <c r="D697" s="215"/>
      <c r="E697" s="215"/>
      <c r="F697" s="215"/>
      <c r="G697" s="215"/>
      <c r="H697" s="215"/>
      <c r="I697" s="215"/>
      <c r="J697" s="215"/>
      <c r="K697" s="215"/>
      <c r="L697" s="215"/>
      <c r="M697" s="215"/>
      <c r="N697" s="215"/>
      <c r="O697" s="215"/>
      <c r="P697" s="215"/>
      <c r="Q697" s="215"/>
      <c r="R697" s="215"/>
      <c r="S697" s="215"/>
      <c r="T697" s="215"/>
      <c r="U697" s="215"/>
      <c r="V697" s="215"/>
      <c r="W697" s="215"/>
      <c r="X697" s="215"/>
    </row>
    <row r="698" spans="1:24" ht="14.25" customHeight="1" x14ac:dyDescent="0.2">
      <c r="A698" s="215"/>
      <c r="B698" s="215"/>
      <c r="C698" s="215"/>
      <c r="D698" s="215"/>
      <c r="E698" s="215"/>
      <c r="F698" s="215"/>
      <c r="G698" s="215"/>
      <c r="H698" s="215"/>
      <c r="I698" s="215"/>
      <c r="J698" s="215"/>
      <c r="K698" s="215"/>
      <c r="L698" s="215"/>
      <c r="M698" s="215"/>
      <c r="N698" s="215"/>
      <c r="O698" s="215"/>
      <c r="P698" s="215"/>
      <c r="Q698" s="215"/>
      <c r="R698" s="215"/>
      <c r="S698" s="215"/>
      <c r="T698" s="215"/>
      <c r="U698" s="215"/>
      <c r="V698" s="215"/>
      <c r="W698" s="215"/>
      <c r="X698" s="215"/>
    </row>
    <row r="699" spans="1:24" ht="14.25" customHeight="1" x14ac:dyDescent="0.2">
      <c r="A699" s="215"/>
      <c r="B699" s="215"/>
      <c r="C699" s="215"/>
      <c r="D699" s="215"/>
      <c r="E699" s="215"/>
      <c r="F699" s="215"/>
      <c r="G699" s="215"/>
      <c r="H699" s="215"/>
      <c r="I699" s="215"/>
      <c r="J699" s="215"/>
      <c r="K699" s="215"/>
      <c r="L699" s="215"/>
      <c r="M699" s="215"/>
      <c r="N699" s="215"/>
      <c r="O699" s="215"/>
      <c r="P699" s="215"/>
      <c r="Q699" s="215"/>
      <c r="R699" s="215"/>
      <c r="S699" s="215"/>
      <c r="T699" s="215"/>
      <c r="U699" s="215"/>
      <c r="V699" s="215"/>
      <c r="W699" s="215"/>
      <c r="X699" s="215"/>
    </row>
    <row r="700" spans="1:24" ht="14.25" customHeight="1" x14ac:dyDescent="0.2">
      <c r="A700" s="215"/>
      <c r="B700" s="215"/>
      <c r="C700" s="215"/>
      <c r="D700" s="215"/>
      <c r="E700" s="215"/>
      <c r="F700" s="215"/>
      <c r="G700" s="215"/>
      <c r="H700" s="215"/>
      <c r="I700" s="215"/>
      <c r="J700" s="215"/>
      <c r="K700" s="215"/>
      <c r="L700" s="215"/>
      <c r="M700" s="215"/>
      <c r="N700" s="215"/>
      <c r="O700" s="215"/>
      <c r="P700" s="215"/>
      <c r="Q700" s="215"/>
      <c r="R700" s="215"/>
      <c r="S700" s="215"/>
      <c r="T700" s="215"/>
      <c r="U700" s="215"/>
      <c r="V700" s="215"/>
      <c r="W700" s="215"/>
      <c r="X700" s="215"/>
    </row>
    <row r="701" spans="1:24" ht="14.25" customHeight="1" x14ac:dyDescent="0.2">
      <c r="A701" s="215"/>
      <c r="B701" s="215"/>
      <c r="C701" s="215"/>
      <c r="D701" s="215"/>
      <c r="E701" s="215"/>
      <c r="F701" s="215"/>
      <c r="G701" s="215"/>
      <c r="H701" s="215"/>
      <c r="I701" s="215"/>
      <c r="J701" s="215"/>
      <c r="K701" s="215"/>
      <c r="L701" s="215"/>
      <c r="M701" s="215"/>
      <c r="N701" s="215"/>
      <c r="O701" s="215"/>
      <c r="P701" s="215"/>
      <c r="Q701" s="215"/>
      <c r="R701" s="215"/>
      <c r="S701" s="215"/>
      <c r="T701" s="215"/>
      <c r="U701" s="215"/>
      <c r="V701" s="215"/>
      <c r="W701" s="215"/>
      <c r="X701" s="215"/>
    </row>
    <row r="702" spans="1:24" ht="14.25" customHeight="1" x14ac:dyDescent="0.2">
      <c r="A702" s="215"/>
      <c r="B702" s="215"/>
      <c r="C702" s="215"/>
      <c r="D702" s="215"/>
      <c r="E702" s="215"/>
      <c r="F702" s="215"/>
      <c r="G702" s="215"/>
      <c r="H702" s="215"/>
      <c r="I702" s="215"/>
      <c r="J702" s="215"/>
      <c r="K702" s="215"/>
      <c r="L702" s="215"/>
      <c r="M702" s="215"/>
      <c r="N702" s="215"/>
      <c r="O702" s="215"/>
      <c r="P702" s="215"/>
      <c r="Q702" s="215"/>
      <c r="R702" s="215"/>
      <c r="S702" s="215"/>
      <c r="T702" s="215"/>
      <c r="U702" s="215"/>
      <c r="V702" s="215"/>
      <c r="W702" s="215"/>
      <c r="X702" s="215"/>
    </row>
    <row r="703" spans="1:24" ht="14.25" customHeight="1" x14ac:dyDescent="0.2">
      <c r="A703" s="215"/>
      <c r="B703" s="215"/>
      <c r="C703" s="215"/>
      <c r="D703" s="215"/>
      <c r="E703" s="215"/>
      <c r="F703" s="215"/>
      <c r="G703" s="215"/>
      <c r="H703" s="215"/>
      <c r="I703" s="215"/>
      <c r="J703" s="215"/>
      <c r="K703" s="215"/>
      <c r="L703" s="215"/>
      <c r="M703" s="215"/>
      <c r="N703" s="215"/>
      <c r="O703" s="215"/>
      <c r="P703" s="215"/>
      <c r="Q703" s="215"/>
      <c r="R703" s="215"/>
      <c r="S703" s="215"/>
      <c r="T703" s="215"/>
      <c r="U703" s="215"/>
      <c r="V703" s="215"/>
      <c r="W703" s="215"/>
      <c r="X703" s="215"/>
    </row>
    <row r="704" spans="1:24" ht="14.25" customHeight="1" x14ac:dyDescent="0.2">
      <c r="A704" s="215"/>
      <c r="B704" s="215"/>
      <c r="C704" s="215"/>
      <c r="D704" s="215"/>
      <c r="E704" s="215"/>
      <c r="F704" s="215"/>
      <c r="G704" s="215"/>
      <c r="H704" s="215"/>
      <c r="I704" s="215"/>
      <c r="J704" s="215"/>
      <c r="K704" s="215"/>
      <c r="L704" s="215"/>
      <c r="M704" s="215"/>
      <c r="N704" s="215"/>
      <c r="O704" s="215"/>
      <c r="P704" s="215"/>
      <c r="Q704" s="215"/>
      <c r="R704" s="215"/>
      <c r="S704" s="215"/>
      <c r="T704" s="215"/>
      <c r="U704" s="215"/>
      <c r="V704" s="215"/>
      <c r="W704" s="215"/>
      <c r="X704" s="215"/>
    </row>
    <row r="705" spans="1:24" ht="14.25" customHeight="1" x14ac:dyDescent="0.2">
      <c r="A705" s="215"/>
      <c r="B705" s="215"/>
      <c r="C705" s="215"/>
      <c r="D705" s="215"/>
      <c r="E705" s="215"/>
      <c r="F705" s="215"/>
      <c r="G705" s="215"/>
      <c r="H705" s="215"/>
      <c r="I705" s="215"/>
      <c r="J705" s="215"/>
      <c r="K705" s="215"/>
      <c r="L705" s="215"/>
      <c r="M705" s="215"/>
      <c r="N705" s="215"/>
      <c r="O705" s="215"/>
      <c r="P705" s="215"/>
      <c r="Q705" s="215"/>
      <c r="R705" s="215"/>
      <c r="S705" s="215"/>
      <c r="T705" s="215"/>
      <c r="U705" s="215"/>
      <c r="V705" s="215"/>
      <c r="W705" s="215"/>
      <c r="X705" s="215"/>
    </row>
    <row r="706" spans="1:24" ht="14.25" customHeight="1" x14ac:dyDescent="0.2">
      <c r="A706" s="215"/>
      <c r="B706" s="215"/>
      <c r="C706" s="215"/>
      <c r="D706" s="215"/>
      <c r="E706" s="215"/>
      <c r="F706" s="215"/>
      <c r="G706" s="215"/>
      <c r="H706" s="215"/>
      <c r="I706" s="215"/>
      <c r="J706" s="215"/>
      <c r="K706" s="215"/>
      <c r="L706" s="215"/>
      <c r="M706" s="215"/>
      <c r="N706" s="215"/>
      <c r="O706" s="215"/>
      <c r="P706" s="215"/>
      <c r="Q706" s="215"/>
      <c r="R706" s="215"/>
      <c r="S706" s="215"/>
      <c r="T706" s="215"/>
      <c r="U706" s="215"/>
      <c r="V706" s="215"/>
      <c r="W706" s="215"/>
      <c r="X706" s="215"/>
    </row>
    <row r="707" spans="1:24" ht="14.25" customHeight="1" x14ac:dyDescent="0.2">
      <c r="A707" s="215"/>
      <c r="B707" s="215"/>
      <c r="C707" s="215"/>
      <c r="D707" s="215"/>
      <c r="E707" s="215"/>
      <c r="F707" s="215"/>
      <c r="G707" s="215"/>
      <c r="H707" s="215"/>
      <c r="I707" s="215"/>
      <c r="J707" s="215"/>
      <c r="K707" s="215"/>
      <c r="L707" s="215"/>
      <c r="M707" s="215"/>
      <c r="N707" s="215"/>
      <c r="O707" s="215"/>
      <c r="P707" s="215"/>
      <c r="Q707" s="215"/>
      <c r="R707" s="215"/>
      <c r="S707" s="215"/>
      <c r="T707" s="215"/>
      <c r="U707" s="215"/>
      <c r="V707" s="215"/>
      <c r="W707" s="215"/>
      <c r="X707" s="215"/>
    </row>
    <row r="708" spans="1:24" ht="14.25" customHeight="1" x14ac:dyDescent="0.2">
      <c r="A708" s="215"/>
      <c r="B708" s="215"/>
      <c r="C708" s="215"/>
      <c r="D708" s="215"/>
      <c r="E708" s="215"/>
      <c r="F708" s="215"/>
      <c r="G708" s="215"/>
      <c r="H708" s="215"/>
      <c r="I708" s="215"/>
      <c r="J708" s="215"/>
      <c r="K708" s="215"/>
      <c r="L708" s="215"/>
      <c r="M708" s="215"/>
      <c r="N708" s="215"/>
      <c r="O708" s="215"/>
      <c r="P708" s="215"/>
      <c r="Q708" s="215"/>
      <c r="R708" s="215"/>
      <c r="S708" s="215"/>
      <c r="T708" s="215"/>
      <c r="U708" s="215"/>
      <c r="V708" s="215"/>
      <c r="W708" s="215"/>
      <c r="X708" s="215"/>
    </row>
    <row r="709" spans="1:24" ht="14.25" customHeight="1" x14ac:dyDescent="0.2">
      <c r="A709" s="215"/>
      <c r="B709" s="215"/>
      <c r="C709" s="215"/>
      <c r="D709" s="215"/>
      <c r="E709" s="215"/>
      <c r="F709" s="215"/>
      <c r="G709" s="215"/>
      <c r="H709" s="215"/>
      <c r="I709" s="215"/>
      <c r="J709" s="215"/>
      <c r="K709" s="215"/>
      <c r="L709" s="215"/>
      <c r="M709" s="215"/>
      <c r="N709" s="215"/>
      <c r="O709" s="215"/>
      <c r="P709" s="215"/>
      <c r="Q709" s="215"/>
      <c r="R709" s="215"/>
      <c r="S709" s="215"/>
      <c r="T709" s="215"/>
      <c r="U709" s="215"/>
      <c r="V709" s="215"/>
      <c r="W709" s="215"/>
      <c r="X709" s="215"/>
    </row>
    <row r="710" spans="1:24" ht="14.25" customHeight="1" x14ac:dyDescent="0.2">
      <c r="A710" s="215"/>
      <c r="B710" s="215"/>
      <c r="C710" s="215"/>
      <c r="D710" s="215"/>
      <c r="E710" s="215"/>
      <c r="F710" s="215"/>
      <c r="G710" s="215"/>
      <c r="H710" s="215"/>
      <c r="I710" s="215"/>
      <c r="J710" s="215"/>
      <c r="K710" s="215"/>
      <c r="L710" s="215"/>
      <c r="M710" s="215"/>
      <c r="N710" s="215"/>
      <c r="O710" s="215"/>
      <c r="P710" s="215"/>
      <c r="Q710" s="215"/>
      <c r="R710" s="215"/>
      <c r="S710" s="215"/>
      <c r="T710" s="215"/>
      <c r="U710" s="215"/>
      <c r="V710" s="215"/>
      <c r="W710" s="215"/>
      <c r="X710" s="215"/>
    </row>
    <row r="711" spans="1:24" ht="14.25" customHeight="1" x14ac:dyDescent="0.2">
      <c r="A711" s="215"/>
      <c r="B711" s="215"/>
      <c r="C711" s="215"/>
      <c r="D711" s="215"/>
      <c r="E711" s="215"/>
      <c r="F711" s="215"/>
      <c r="G711" s="215"/>
      <c r="H711" s="215"/>
      <c r="I711" s="215"/>
      <c r="J711" s="215"/>
      <c r="K711" s="215"/>
      <c r="L711" s="215"/>
      <c r="M711" s="215"/>
      <c r="N711" s="215"/>
      <c r="O711" s="215"/>
      <c r="P711" s="215"/>
      <c r="Q711" s="215"/>
      <c r="R711" s="215"/>
      <c r="S711" s="215"/>
      <c r="T711" s="215"/>
      <c r="U711" s="215"/>
      <c r="V711" s="215"/>
      <c r="W711" s="215"/>
      <c r="X711" s="215"/>
    </row>
    <row r="712" spans="1:24" ht="14.25" customHeight="1" x14ac:dyDescent="0.2">
      <c r="A712" s="215"/>
      <c r="B712" s="215"/>
      <c r="C712" s="215"/>
      <c r="D712" s="215"/>
      <c r="E712" s="215"/>
      <c r="F712" s="215"/>
      <c r="G712" s="215"/>
      <c r="H712" s="215"/>
      <c r="I712" s="215"/>
      <c r="J712" s="215"/>
      <c r="K712" s="215"/>
      <c r="L712" s="215"/>
      <c r="M712" s="215"/>
      <c r="N712" s="215"/>
      <c r="O712" s="215"/>
      <c r="P712" s="215"/>
      <c r="Q712" s="215"/>
      <c r="R712" s="215"/>
      <c r="S712" s="215"/>
      <c r="T712" s="215"/>
      <c r="U712" s="215"/>
      <c r="V712" s="215"/>
      <c r="W712" s="215"/>
      <c r="X712" s="215"/>
    </row>
    <row r="713" spans="1:24" ht="14.25" customHeight="1" x14ac:dyDescent="0.2">
      <c r="A713" s="215"/>
      <c r="B713" s="215"/>
      <c r="C713" s="215"/>
      <c r="D713" s="215"/>
      <c r="E713" s="215"/>
      <c r="F713" s="215"/>
      <c r="G713" s="215"/>
      <c r="H713" s="215"/>
      <c r="I713" s="215"/>
      <c r="J713" s="215"/>
      <c r="K713" s="215"/>
      <c r="L713" s="215"/>
      <c r="M713" s="215"/>
      <c r="N713" s="215"/>
      <c r="O713" s="215"/>
      <c r="P713" s="215"/>
      <c r="Q713" s="215"/>
      <c r="R713" s="215"/>
      <c r="S713" s="215"/>
      <c r="T713" s="215"/>
      <c r="U713" s="215"/>
      <c r="V713" s="215"/>
      <c r="W713" s="215"/>
      <c r="X713" s="215"/>
    </row>
    <row r="714" spans="1:24" ht="14.25" customHeight="1" x14ac:dyDescent="0.2">
      <c r="A714" s="215"/>
      <c r="B714" s="215"/>
      <c r="C714" s="215"/>
      <c r="D714" s="215"/>
      <c r="E714" s="215"/>
      <c r="F714" s="215"/>
      <c r="G714" s="215"/>
      <c r="H714" s="215"/>
      <c r="I714" s="215"/>
      <c r="J714" s="215"/>
      <c r="K714" s="215"/>
      <c r="L714" s="215"/>
      <c r="M714" s="215"/>
      <c r="N714" s="215"/>
      <c r="O714" s="215"/>
      <c r="P714" s="215"/>
      <c r="Q714" s="215"/>
      <c r="R714" s="215"/>
      <c r="S714" s="215"/>
      <c r="T714" s="215"/>
      <c r="U714" s="215"/>
      <c r="V714" s="215"/>
      <c r="W714" s="215"/>
      <c r="X714" s="215"/>
    </row>
    <row r="715" spans="1:24" ht="14.25" customHeight="1" x14ac:dyDescent="0.2">
      <c r="A715" s="215"/>
      <c r="B715" s="215"/>
      <c r="C715" s="215"/>
      <c r="D715" s="215"/>
      <c r="E715" s="215"/>
      <c r="F715" s="215"/>
      <c r="G715" s="215"/>
      <c r="H715" s="215"/>
      <c r="I715" s="215"/>
      <c r="J715" s="215"/>
      <c r="K715" s="215"/>
      <c r="L715" s="215"/>
      <c r="M715" s="215"/>
      <c r="N715" s="215"/>
      <c r="O715" s="215"/>
      <c r="P715" s="215"/>
      <c r="Q715" s="215"/>
      <c r="R715" s="215"/>
      <c r="S715" s="215"/>
      <c r="T715" s="215"/>
      <c r="U715" s="215"/>
      <c r="V715" s="215"/>
      <c r="W715" s="215"/>
      <c r="X715" s="215"/>
    </row>
    <row r="716" spans="1:24" ht="14.25" customHeight="1" x14ac:dyDescent="0.2">
      <c r="A716" s="215"/>
      <c r="B716" s="215"/>
      <c r="C716" s="215"/>
      <c r="D716" s="215"/>
      <c r="E716" s="215"/>
      <c r="F716" s="215"/>
      <c r="G716" s="215"/>
      <c r="H716" s="215"/>
      <c r="I716" s="215"/>
      <c r="J716" s="215"/>
      <c r="K716" s="215"/>
      <c r="L716" s="215"/>
      <c r="M716" s="215"/>
      <c r="N716" s="215"/>
      <c r="O716" s="215"/>
      <c r="P716" s="215"/>
      <c r="Q716" s="215"/>
      <c r="R716" s="215"/>
      <c r="S716" s="215"/>
      <c r="T716" s="215"/>
      <c r="U716" s="215"/>
      <c r="V716" s="215"/>
      <c r="W716" s="215"/>
      <c r="X716" s="215"/>
    </row>
    <row r="717" spans="1:24" ht="14.25" customHeight="1" x14ac:dyDescent="0.2">
      <c r="A717" s="215"/>
      <c r="B717" s="215"/>
      <c r="C717" s="215"/>
      <c r="D717" s="215"/>
      <c r="E717" s="215"/>
      <c r="F717" s="215"/>
      <c r="G717" s="215"/>
      <c r="H717" s="215"/>
      <c r="I717" s="215"/>
      <c r="J717" s="215"/>
      <c r="K717" s="215"/>
      <c r="L717" s="215"/>
      <c r="M717" s="215"/>
      <c r="N717" s="215"/>
      <c r="O717" s="215"/>
      <c r="P717" s="215"/>
      <c r="Q717" s="215"/>
      <c r="R717" s="215"/>
      <c r="S717" s="215"/>
      <c r="T717" s="215"/>
      <c r="U717" s="215"/>
      <c r="V717" s="215"/>
      <c r="W717" s="215"/>
      <c r="X717" s="215"/>
    </row>
    <row r="718" spans="1:24" ht="14.25" customHeight="1" x14ac:dyDescent="0.2">
      <c r="A718" s="215"/>
      <c r="B718" s="215"/>
      <c r="C718" s="215"/>
      <c r="D718" s="215"/>
      <c r="E718" s="215"/>
      <c r="F718" s="215"/>
      <c r="G718" s="215"/>
      <c r="H718" s="215"/>
      <c r="I718" s="215"/>
      <c r="J718" s="215"/>
      <c r="K718" s="215"/>
      <c r="L718" s="215"/>
      <c r="M718" s="215"/>
      <c r="N718" s="215"/>
      <c r="O718" s="215"/>
      <c r="P718" s="215"/>
      <c r="Q718" s="215"/>
      <c r="R718" s="215"/>
      <c r="S718" s="215"/>
      <c r="T718" s="215"/>
      <c r="U718" s="215"/>
      <c r="V718" s="215"/>
      <c r="W718" s="215"/>
      <c r="X718" s="215"/>
    </row>
    <row r="719" spans="1:24" ht="14.25" customHeight="1" x14ac:dyDescent="0.2">
      <c r="A719" s="215"/>
      <c r="B719" s="215"/>
      <c r="C719" s="215"/>
      <c r="D719" s="215"/>
      <c r="E719" s="215"/>
      <c r="F719" s="215"/>
      <c r="G719" s="215"/>
      <c r="H719" s="215"/>
      <c r="I719" s="215"/>
      <c r="J719" s="215"/>
      <c r="K719" s="215"/>
      <c r="L719" s="215"/>
      <c r="M719" s="215"/>
      <c r="N719" s="215"/>
      <c r="O719" s="215"/>
      <c r="P719" s="215"/>
      <c r="Q719" s="215"/>
      <c r="R719" s="215"/>
      <c r="S719" s="215"/>
      <c r="T719" s="215"/>
      <c r="U719" s="215"/>
      <c r="V719" s="215"/>
      <c r="W719" s="215"/>
      <c r="X719" s="215"/>
    </row>
    <row r="720" spans="1:24" ht="14.25" customHeight="1" x14ac:dyDescent="0.2">
      <c r="A720" s="215"/>
      <c r="B720" s="215"/>
      <c r="C720" s="215"/>
      <c r="D720" s="215"/>
      <c r="E720" s="215"/>
      <c r="F720" s="215"/>
      <c r="G720" s="215"/>
      <c r="H720" s="215"/>
      <c r="I720" s="215"/>
      <c r="J720" s="215"/>
      <c r="K720" s="215"/>
      <c r="L720" s="215"/>
      <c r="M720" s="215"/>
      <c r="N720" s="215"/>
      <c r="O720" s="215"/>
      <c r="P720" s="215"/>
      <c r="Q720" s="215"/>
      <c r="R720" s="215"/>
      <c r="S720" s="215"/>
      <c r="T720" s="215"/>
      <c r="U720" s="215"/>
      <c r="V720" s="215"/>
      <c r="W720" s="215"/>
      <c r="X720" s="215"/>
    </row>
    <row r="721" spans="1:24" ht="14.25" customHeight="1" x14ac:dyDescent="0.2">
      <c r="A721" s="215"/>
      <c r="B721" s="215"/>
      <c r="C721" s="215"/>
      <c r="D721" s="215"/>
      <c r="E721" s="215"/>
      <c r="F721" s="215"/>
      <c r="G721" s="215"/>
      <c r="H721" s="215"/>
      <c r="I721" s="215"/>
      <c r="J721" s="215"/>
      <c r="K721" s="215"/>
      <c r="L721" s="215"/>
      <c r="M721" s="215"/>
      <c r="N721" s="215"/>
      <c r="O721" s="215"/>
      <c r="P721" s="215"/>
      <c r="Q721" s="215"/>
      <c r="R721" s="215"/>
      <c r="S721" s="215"/>
      <c r="T721" s="215"/>
      <c r="U721" s="215"/>
      <c r="V721" s="215"/>
      <c r="W721" s="215"/>
      <c r="X721" s="215"/>
    </row>
    <row r="722" spans="1:24" ht="14.25" customHeight="1" x14ac:dyDescent="0.2">
      <c r="A722" s="215"/>
      <c r="B722" s="215"/>
      <c r="C722" s="215"/>
      <c r="D722" s="215"/>
      <c r="E722" s="215"/>
      <c r="F722" s="215"/>
      <c r="G722" s="215"/>
      <c r="H722" s="215"/>
      <c r="I722" s="215"/>
      <c r="J722" s="215"/>
      <c r="K722" s="215"/>
      <c r="L722" s="215"/>
      <c r="M722" s="215"/>
      <c r="N722" s="215"/>
      <c r="O722" s="215"/>
      <c r="P722" s="215"/>
      <c r="Q722" s="215"/>
      <c r="R722" s="215"/>
      <c r="S722" s="215"/>
      <c r="T722" s="215"/>
      <c r="U722" s="215"/>
      <c r="V722" s="215"/>
      <c r="W722" s="215"/>
      <c r="X722" s="215"/>
    </row>
    <row r="723" spans="1:24" ht="14.25" customHeight="1" x14ac:dyDescent="0.2">
      <c r="A723" s="215"/>
      <c r="B723" s="215"/>
      <c r="C723" s="215"/>
      <c r="D723" s="215"/>
      <c r="E723" s="215"/>
      <c r="F723" s="215"/>
      <c r="G723" s="215"/>
      <c r="H723" s="215"/>
      <c r="I723" s="215"/>
      <c r="J723" s="215"/>
      <c r="K723" s="215"/>
      <c r="L723" s="215"/>
      <c r="M723" s="215"/>
      <c r="N723" s="215"/>
      <c r="O723" s="215"/>
      <c r="P723" s="215"/>
      <c r="Q723" s="215"/>
      <c r="R723" s="215"/>
      <c r="S723" s="215"/>
      <c r="T723" s="215"/>
      <c r="U723" s="215"/>
      <c r="V723" s="215"/>
      <c r="W723" s="215"/>
      <c r="X723" s="215"/>
    </row>
    <row r="724" spans="1:24" ht="14.25" customHeight="1" x14ac:dyDescent="0.2">
      <c r="A724" s="215"/>
      <c r="B724" s="215"/>
      <c r="C724" s="215"/>
      <c r="D724" s="215"/>
      <c r="E724" s="215"/>
      <c r="F724" s="215"/>
      <c r="G724" s="215"/>
      <c r="H724" s="215"/>
      <c r="I724" s="215"/>
      <c r="J724" s="215"/>
      <c r="K724" s="215"/>
      <c r="L724" s="215"/>
      <c r="M724" s="215"/>
      <c r="N724" s="215"/>
      <c r="O724" s="215"/>
      <c r="P724" s="215"/>
      <c r="Q724" s="215"/>
      <c r="R724" s="215"/>
      <c r="S724" s="215"/>
      <c r="T724" s="215"/>
      <c r="U724" s="215"/>
      <c r="V724" s="215"/>
      <c r="W724" s="215"/>
      <c r="X724" s="215"/>
    </row>
    <row r="725" spans="1:24" ht="14.25" customHeight="1" x14ac:dyDescent="0.2">
      <c r="A725" s="215"/>
      <c r="B725" s="215"/>
      <c r="C725" s="215"/>
      <c r="D725" s="215"/>
      <c r="E725" s="215"/>
      <c r="F725" s="215"/>
      <c r="G725" s="215"/>
      <c r="H725" s="215"/>
      <c r="I725" s="215"/>
      <c r="J725" s="215"/>
      <c r="K725" s="215"/>
      <c r="L725" s="215"/>
      <c r="M725" s="215"/>
      <c r="N725" s="215"/>
      <c r="O725" s="215"/>
      <c r="P725" s="215"/>
      <c r="Q725" s="215"/>
      <c r="R725" s="215"/>
      <c r="S725" s="215"/>
      <c r="T725" s="215"/>
      <c r="U725" s="215"/>
      <c r="V725" s="215"/>
      <c r="W725" s="215"/>
      <c r="X725" s="215"/>
    </row>
    <row r="726" spans="1:24" ht="14.25" customHeight="1" x14ac:dyDescent="0.2">
      <c r="A726" s="215"/>
      <c r="B726" s="215"/>
      <c r="C726" s="215"/>
      <c r="D726" s="215"/>
      <c r="E726" s="215"/>
      <c r="F726" s="215"/>
      <c r="G726" s="215"/>
      <c r="H726" s="215"/>
      <c r="I726" s="215"/>
      <c r="J726" s="215"/>
      <c r="K726" s="215"/>
      <c r="L726" s="215"/>
      <c r="M726" s="215"/>
      <c r="N726" s="215"/>
      <c r="O726" s="215"/>
      <c r="P726" s="215"/>
      <c r="Q726" s="215"/>
      <c r="R726" s="215"/>
      <c r="S726" s="215"/>
      <c r="T726" s="215"/>
      <c r="U726" s="215"/>
      <c r="V726" s="215"/>
      <c r="W726" s="215"/>
      <c r="X726" s="215"/>
    </row>
    <row r="727" spans="1:24" ht="14.25" customHeight="1" x14ac:dyDescent="0.2">
      <c r="A727" s="215"/>
      <c r="B727" s="215"/>
      <c r="C727" s="215"/>
      <c r="D727" s="215"/>
      <c r="E727" s="215"/>
      <c r="F727" s="215"/>
      <c r="G727" s="215"/>
      <c r="H727" s="215"/>
      <c r="I727" s="215"/>
      <c r="J727" s="215"/>
      <c r="K727" s="215"/>
      <c r="L727" s="215"/>
      <c r="M727" s="215"/>
      <c r="N727" s="215"/>
      <c r="O727" s="215"/>
      <c r="P727" s="215"/>
      <c r="Q727" s="215"/>
      <c r="R727" s="215"/>
      <c r="S727" s="215"/>
      <c r="T727" s="215"/>
      <c r="U727" s="215"/>
      <c r="V727" s="215"/>
      <c r="W727" s="215"/>
      <c r="X727" s="215"/>
    </row>
    <row r="728" spans="1:24" ht="14.25" customHeight="1" x14ac:dyDescent="0.2">
      <c r="A728" s="215"/>
      <c r="B728" s="215"/>
      <c r="C728" s="215"/>
      <c r="D728" s="215"/>
      <c r="E728" s="215"/>
      <c r="F728" s="215"/>
      <c r="G728" s="215"/>
      <c r="H728" s="215"/>
      <c r="I728" s="215"/>
      <c r="J728" s="215"/>
      <c r="K728" s="215"/>
      <c r="L728" s="215"/>
      <c r="M728" s="215"/>
      <c r="N728" s="215"/>
      <c r="O728" s="215"/>
      <c r="P728" s="215"/>
      <c r="Q728" s="215"/>
      <c r="R728" s="215"/>
      <c r="S728" s="215"/>
      <c r="T728" s="215"/>
      <c r="U728" s="215"/>
      <c r="V728" s="215"/>
      <c r="W728" s="215"/>
      <c r="X728" s="215"/>
    </row>
    <row r="729" spans="1:24" ht="14.25" customHeight="1" x14ac:dyDescent="0.2">
      <c r="A729" s="215"/>
      <c r="B729" s="215"/>
      <c r="C729" s="215"/>
      <c r="D729" s="215"/>
      <c r="E729" s="215"/>
      <c r="F729" s="215"/>
      <c r="G729" s="215"/>
      <c r="H729" s="215"/>
      <c r="I729" s="215"/>
      <c r="J729" s="215"/>
      <c r="K729" s="215"/>
      <c r="L729" s="215"/>
      <c r="M729" s="215"/>
      <c r="N729" s="215"/>
      <c r="O729" s="215"/>
      <c r="P729" s="215"/>
      <c r="Q729" s="215"/>
      <c r="R729" s="215"/>
      <c r="S729" s="215"/>
      <c r="T729" s="215"/>
      <c r="U729" s="215"/>
      <c r="V729" s="215"/>
      <c r="W729" s="215"/>
      <c r="X729" s="215"/>
    </row>
    <row r="730" spans="1:24" ht="14.25" customHeight="1" x14ac:dyDescent="0.2">
      <c r="A730" s="215"/>
      <c r="B730" s="215"/>
      <c r="C730" s="215"/>
      <c r="D730" s="215"/>
      <c r="E730" s="215"/>
      <c r="F730" s="215"/>
      <c r="G730" s="215"/>
      <c r="H730" s="215"/>
      <c r="I730" s="215"/>
      <c r="J730" s="215"/>
      <c r="K730" s="215"/>
      <c r="L730" s="215"/>
      <c r="M730" s="215"/>
      <c r="N730" s="215"/>
      <c r="O730" s="215"/>
      <c r="P730" s="215"/>
      <c r="Q730" s="215"/>
      <c r="R730" s="215"/>
      <c r="S730" s="215"/>
      <c r="T730" s="215"/>
      <c r="U730" s="215"/>
      <c r="V730" s="215"/>
      <c r="W730" s="215"/>
      <c r="X730" s="215"/>
    </row>
    <row r="731" spans="1:24" ht="14.25" customHeight="1" x14ac:dyDescent="0.2">
      <c r="A731" s="215"/>
      <c r="B731" s="215"/>
      <c r="C731" s="215"/>
      <c r="D731" s="215"/>
      <c r="E731" s="215"/>
      <c r="F731" s="215"/>
      <c r="G731" s="215"/>
      <c r="H731" s="215"/>
      <c r="I731" s="215"/>
      <c r="J731" s="215"/>
      <c r="K731" s="215"/>
      <c r="L731" s="215"/>
      <c r="M731" s="215"/>
      <c r="N731" s="215"/>
      <c r="O731" s="215"/>
      <c r="P731" s="215"/>
      <c r="Q731" s="215"/>
      <c r="R731" s="215"/>
      <c r="S731" s="215"/>
      <c r="T731" s="215"/>
      <c r="U731" s="215"/>
      <c r="V731" s="215"/>
      <c r="W731" s="215"/>
      <c r="X731" s="215"/>
    </row>
    <row r="732" spans="1:24" ht="14.25" customHeight="1" x14ac:dyDescent="0.2">
      <c r="A732" s="215"/>
      <c r="B732" s="215"/>
      <c r="C732" s="215"/>
      <c r="D732" s="215"/>
      <c r="E732" s="215"/>
      <c r="F732" s="215"/>
      <c r="G732" s="215"/>
      <c r="H732" s="215"/>
      <c r="I732" s="215"/>
      <c r="J732" s="215"/>
      <c r="K732" s="215"/>
      <c r="L732" s="215"/>
      <c r="M732" s="215"/>
      <c r="N732" s="215"/>
      <c r="O732" s="215"/>
      <c r="P732" s="215"/>
      <c r="Q732" s="215"/>
      <c r="R732" s="215"/>
      <c r="S732" s="215"/>
      <c r="T732" s="215"/>
      <c r="U732" s="215"/>
      <c r="V732" s="215"/>
      <c r="W732" s="215"/>
      <c r="X732" s="215"/>
    </row>
    <row r="733" spans="1:24" ht="14.25" customHeight="1" x14ac:dyDescent="0.2">
      <c r="A733" s="215"/>
      <c r="B733" s="215"/>
      <c r="C733" s="215"/>
      <c r="D733" s="215"/>
      <c r="E733" s="215"/>
      <c r="F733" s="215"/>
      <c r="G733" s="215"/>
      <c r="H733" s="215"/>
      <c r="I733" s="215"/>
      <c r="J733" s="215"/>
      <c r="K733" s="215"/>
      <c r="L733" s="215"/>
      <c r="M733" s="215"/>
      <c r="N733" s="215"/>
      <c r="O733" s="215"/>
      <c r="P733" s="215"/>
      <c r="Q733" s="215"/>
      <c r="R733" s="215"/>
      <c r="S733" s="215"/>
      <c r="T733" s="215"/>
      <c r="U733" s="215"/>
      <c r="V733" s="215"/>
      <c r="W733" s="215"/>
      <c r="X733" s="215"/>
    </row>
    <row r="734" spans="1:24" ht="14.25" customHeight="1" x14ac:dyDescent="0.2">
      <c r="A734" s="215"/>
      <c r="B734" s="215"/>
      <c r="C734" s="215"/>
      <c r="D734" s="215"/>
      <c r="E734" s="215"/>
      <c r="F734" s="215"/>
      <c r="G734" s="215"/>
      <c r="H734" s="215"/>
      <c r="I734" s="215"/>
      <c r="J734" s="215"/>
      <c r="K734" s="215"/>
      <c r="L734" s="215"/>
      <c r="M734" s="215"/>
      <c r="N734" s="215"/>
      <c r="O734" s="215"/>
      <c r="P734" s="215"/>
      <c r="Q734" s="215"/>
      <c r="R734" s="215"/>
      <c r="S734" s="215"/>
      <c r="T734" s="215"/>
      <c r="U734" s="215"/>
      <c r="V734" s="215"/>
      <c r="W734" s="215"/>
      <c r="X734" s="215"/>
    </row>
    <row r="735" spans="1:24" ht="14.25" customHeight="1" x14ac:dyDescent="0.2">
      <c r="A735" s="215"/>
      <c r="B735" s="215"/>
      <c r="C735" s="215"/>
      <c r="D735" s="215"/>
      <c r="E735" s="215"/>
      <c r="F735" s="215"/>
      <c r="G735" s="215"/>
      <c r="H735" s="215"/>
      <c r="I735" s="215"/>
      <c r="J735" s="215"/>
      <c r="K735" s="215"/>
      <c r="L735" s="215"/>
      <c r="M735" s="215"/>
      <c r="N735" s="215"/>
      <c r="O735" s="215"/>
      <c r="P735" s="215"/>
      <c r="Q735" s="215"/>
      <c r="R735" s="215"/>
      <c r="S735" s="215"/>
      <c r="T735" s="215"/>
      <c r="U735" s="215"/>
      <c r="V735" s="215"/>
      <c r="W735" s="215"/>
      <c r="X735" s="215"/>
    </row>
    <row r="736" spans="1:24" ht="14.25" customHeight="1" x14ac:dyDescent="0.2">
      <c r="A736" s="215"/>
      <c r="B736" s="215"/>
      <c r="C736" s="215"/>
      <c r="D736" s="215"/>
      <c r="E736" s="215"/>
      <c r="F736" s="215"/>
      <c r="G736" s="215"/>
      <c r="H736" s="215"/>
      <c r="I736" s="215"/>
      <c r="J736" s="215"/>
      <c r="K736" s="215"/>
      <c r="L736" s="215"/>
      <c r="M736" s="215"/>
      <c r="N736" s="215"/>
      <c r="O736" s="215"/>
      <c r="P736" s="215"/>
      <c r="Q736" s="215"/>
      <c r="R736" s="215"/>
      <c r="S736" s="215"/>
      <c r="T736" s="215"/>
      <c r="U736" s="215"/>
      <c r="V736" s="215"/>
      <c r="W736" s="215"/>
      <c r="X736" s="215"/>
    </row>
    <row r="737" spans="1:24" ht="14.25" customHeight="1" x14ac:dyDescent="0.2">
      <c r="A737" s="215"/>
      <c r="B737" s="215"/>
      <c r="C737" s="215"/>
      <c r="D737" s="215"/>
      <c r="E737" s="215"/>
      <c r="F737" s="215"/>
      <c r="G737" s="215"/>
      <c r="H737" s="215"/>
      <c r="I737" s="215"/>
      <c r="J737" s="215"/>
      <c r="K737" s="215"/>
      <c r="L737" s="215"/>
      <c r="M737" s="215"/>
      <c r="N737" s="215"/>
      <c r="O737" s="215"/>
      <c r="P737" s="215"/>
      <c r="Q737" s="215"/>
      <c r="R737" s="215"/>
      <c r="S737" s="215"/>
      <c r="T737" s="215"/>
      <c r="U737" s="215"/>
      <c r="V737" s="215"/>
      <c r="W737" s="215"/>
      <c r="X737" s="215"/>
    </row>
    <row r="738" spans="1:24" ht="14.25" customHeight="1" x14ac:dyDescent="0.2">
      <c r="A738" s="215"/>
      <c r="B738" s="215"/>
      <c r="C738" s="215"/>
      <c r="D738" s="215"/>
      <c r="E738" s="215"/>
      <c r="F738" s="215"/>
      <c r="G738" s="215"/>
      <c r="H738" s="215"/>
      <c r="I738" s="215"/>
      <c r="J738" s="215"/>
      <c r="K738" s="215"/>
      <c r="L738" s="215"/>
      <c r="M738" s="215"/>
      <c r="N738" s="215"/>
      <c r="O738" s="215"/>
      <c r="P738" s="215"/>
      <c r="Q738" s="215"/>
      <c r="R738" s="215"/>
      <c r="S738" s="215"/>
      <c r="T738" s="215"/>
      <c r="U738" s="215"/>
      <c r="V738" s="215"/>
      <c r="W738" s="215"/>
      <c r="X738" s="215"/>
    </row>
    <row r="739" spans="1:24" ht="14.25" customHeight="1" x14ac:dyDescent="0.2">
      <c r="A739" s="215"/>
      <c r="B739" s="215"/>
      <c r="C739" s="215"/>
      <c r="D739" s="215"/>
      <c r="E739" s="215"/>
      <c r="F739" s="215"/>
      <c r="G739" s="215"/>
      <c r="H739" s="215"/>
      <c r="I739" s="215"/>
      <c r="J739" s="215"/>
      <c r="K739" s="215"/>
      <c r="L739" s="215"/>
      <c r="M739" s="215"/>
      <c r="N739" s="215"/>
      <c r="O739" s="215"/>
      <c r="P739" s="215"/>
      <c r="Q739" s="215"/>
      <c r="R739" s="215"/>
      <c r="S739" s="215"/>
      <c r="T739" s="215"/>
      <c r="U739" s="215"/>
      <c r="V739" s="215"/>
      <c r="W739" s="215"/>
      <c r="X739" s="215"/>
    </row>
    <row r="740" spans="1:24" ht="14.25" customHeight="1" x14ac:dyDescent="0.2">
      <c r="A740" s="215"/>
      <c r="B740" s="215"/>
      <c r="C740" s="215"/>
      <c r="D740" s="215"/>
      <c r="E740" s="215"/>
      <c r="F740" s="215"/>
      <c r="G740" s="215"/>
      <c r="H740" s="215"/>
      <c r="I740" s="215"/>
      <c r="J740" s="215"/>
      <c r="K740" s="215"/>
      <c r="L740" s="215"/>
      <c r="M740" s="215"/>
      <c r="N740" s="215"/>
      <c r="O740" s="215"/>
      <c r="P740" s="215"/>
      <c r="Q740" s="215"/>
      <c r="R740" s="215"/>
      <c r="S740" s="215"/>
      <c r="T740" s="215"/>
      <c r="U740" s="215"/>
      <c r="V740" s="215"/>
      <c r="W740" s="215"/>
      <c r="X740" s="215"/>
    </row>
    <row r="741" spans="1:24" ht="14.25" customHeight="1" x14ac:dyDescent="0.2">
      <c r="A741" s="215"/>
      <c r="B741" s="215"/>
      <c r="C741" s="215"/>
      <c r="D741" s="215"/>
      <c r="E741" s="215"/>
      <c r="F741" s="215"/>
      <c r="G741" s="215"/>
      <c r="H741" s="215"/>
      <c r="I741" s="215"/>
      <c r="J741" s="215"/>
      <c r="K741" s="215"/>
      <c r="L741" s="215"/>
      <c r="M741" s="215"/>
      <c r="N741" s="215"/>
      <c r="O741" s="215"/>
      <c r="P741" s="215"/>
      <c r="Q741" s="215"/>
      <c r="R741" s="215"/>
      <c r="S741" s="215"/>
      <c r="T741" s="215"/>
      <c r="U741" s="215"/>
      <c r="V741" s="215"/>
      <c r="W741" s="215"/>
      <c r="X741" s="215"/>
    </row>
    <row r="742" spans="1:24" ht="14.25" customHeight="1" x14ac:dyDescent="0.2">
      <c r="A742" s="215"/>
      <c r="B742" s="215"/>
      <c r="C742" s="215"/>
      <c r="D742" s="215"/>
      <c r="E742" s="215"/>
      <c r="F742" s="215"/>
      <c r="G742" s="215"/>
      <c r="H742" s="215"/>
      <c r="I742" s="215"/>
      <c r="J742" s="215"/>
      <c r="K742" s="215"/>
      <c r="L742" s="215"/>
      <c r="M742" s="215"/>
      <c r="N742" s="215"/>
      <c r="O742" s="215"/>
      <c r="P742" s="215"/>
      <c r="Q742" s="215"/>
      <c r="R742" s="215"/>
      <c r="S742" s="215"/>
      <c r="T742" s="215"/>
      <c r="U742" s="215"/>
      <c r="V742" s="215"/>
      <c r="W742" s="215"/>
      <c r="X742" s="215"/>
    </row>
    <row r="743" spans="1:24" ht="14.25" customHeight="1" x14ac:dyDescent="0.2">
      <c r="A743" s="215"/>
      <c r="B743" s="215"/>
      <c r="C743" s="215"/>
      <c r="D743" s="215"/>
      <c r="E743" s="215"/>
      <c r="F743" s="215"/>
      <c r="G743" s="215"/>
      <c r="H743" s="215"/>
      <c r="I743" s="215"/>
      <c r="J743" s="215"/>
      <c r="K743" s="215"/>
      <c r="L743" s="215"/>
      <c r="M743" s="215"/>
      <c r="N743" s="215"/>
      <c r="O743" s="215"/>
      <c r="P743" s="215"/>
      <c r="Q743" s="215"/>
      <c r="R743" s="215"/>
      <c r="S743" s="215"/>
      <c r="T743" s="215"/>
      <c r="U743" s="215"/>
      <c r="V743" s="215"/>
      <c r="W743" s="215"/>
      <c r="X743" s="215"/>
    </row>
    <row r="744" spans="1:24" ht="14.25" customHeight="1" x14ac:dyDescent="0.2">
      <c r="A744" s="215"/>
      <c r="B744" s="215"/>
      <c r="C744" s="215"/>
      <c r="D744" s="215"/>
      <c r="E744" s="215"/>
      <c r="F744" s="215"/>
      <c r="G744" s="215"/>
      <c r="H744" s="215"/>
      <c r="I744" s="215"/>
      <c r="J744" s="215"/>
      <c r="K744" s="215"/>
      <c r="L744" s="215"/>
      <c r="M744" s="215"/>
      <c r="N744" s="215"/>
      <c r="O744" s="215"/>
      <c r="P744" s="215"/>
      <c r="Q744" s="215"/>
      <c r="R744" s="215"/>
      <c r="S744" s="215"/>
      <c r="T744" s="215"/>
      <c r="U744" s="215"/>
      <c r="V744" s="215"/>
      <c r="W744" s="215"/>
      <c r="X744" s="215"/>
    </row>
    <row r="745" spans="1:24" ht="14.25" customHeight="1" x14ac:dyDescent="0.2">
      <c r="A745" s="215"/>
      <c r="B745" s="215"/>
      <c r="C745" s="215"/>
      <c r="D745" s="215"/>
      <c r="E745" s="215"/>
      <c r="F745" s="215"/>
      <c r="G745" s="215"/>
      <c r="H745" s="215"/>
      <c r="I745" s="215"/>
      <c r="J745" s="215"/>
      <c r="K745" s="215"/>
      <c r="L745" s="215"/>
      <c r="M745" s="215"/>
      <c r="N745" s="215"/>
      <c r="O745" s="215"/>
      <c r="P745" s="215"/>
      <c r="Q745" s="215"/>
      <c r="R745" s="215"/>
      <c r="S745" s="215"/>
      <c r="T745" s="215"/>
      <c r="U745" s="215"/>
      <c r="V745" s="215"/>
      <c r="W745" s="215"/>
      <c r="X745" s="215"/>
    </row>
    <row r="746" spans="1:24" ht="14.25" customHeight="1" x14ac:dyDescent="0.2">
      <c r="A746" s="215"/>
      <c r="B746" s="215"/>
      <c r="C746" s="215"/>
      <c r="D746" s="215"/>
      <c r="E746" s="215"/>
      <c r="F746" s="215"/>
      <c r="G746" s="215"/>
      <c r="H746" s="215"/>
      <c r="I746" s="215"/>
      <c r="J746" s="215"/>
      <c r="K746" s="215"/>
      <c r="L746" s="215"/>
      <c r="M746" s="215"/>
      <c r="N746" s="215"/>
      <c r="O746" s="215"/>
      <c r="P746" s="215"/>
      <c r="Q746" s="215"/>
      <c r="R746" s="215"/>
      <c r="S746" s="215"/>
      <c r="T746" s="215"/>
      <c r="U746" s="215"/>
      <c r="V746" s="215"/>
      <c r="W746" s="215"/>
      <c r="X746" s="215"/>
    </row>
    <row r="747" spans="1:24" ht="14.25" customHeight="1" x14ac:dyDescent="0.2">
      <c r="A747" s="215"/>
      <c r="B747" s="215"/>
      <c r="C747" s="215"/>
      <c r="D747" s="215"/>
      <c r="E747" s="215"/>
      <c r="F747" s="215"/>
      <c r="G747" s="215"/>
      <c r="H747" s="215"/>
      <c r="I747" s="215"/>
      <c r="J747" s="215"/>
      <c r="K747" s="215"/>
      <c r="L747" s="215"/>
      <c r="M747" s="215"/>
      <c r="N747" s="215"/>
      <c r="O747" s="215"/>
      <c r="P747" s="215"/>
      <c r="Q747" s="215"/>
      <c r="R747" s="215"/>
      <c r="S747" s="215"/>
      <c r="T747" s="215"/>
      <c r="U747" s="215"/>
      <c r="V747" s="215"/>
      <c r="W747" s="215"/>
      <c r="X747" s="215"/>
    </row>
    <row r="748" spans="1:24" ht="14.25" customHeight="1" x14ac:dyDescent="0.2">
      <c r="A748" s="215"/>
      <c r="B748" s="215"/>
      <c r="C748" s="215"/>
      <c r="D748" s="215"/>
      <c r="E748" s="215"/>
      <c r="F748" s="215"/>
      <c r="G748" s="215"/>
      <c r="H748" s="215"/>
      <c r="I748" s="215"/>
      <c r="J748" s="215"/>
      <c r="K748" s="215"/>
      <c r="L748" s="215"/>
      <c r="M748" s="215"/>
      <c r="N748" s="215"/>
      <c r="O748" s="215"/>
      <c r="P748" s="215"/>
      <c r="Q748" s="215"/>
      <c r="R748" s="215"/>
      <c r="S748" s="215"/>
      <c r="T748" s="215"/>
      <c r="U748" s="215"/>
      <c r="V748" s="215"/>
      <c r="W748" s="215"/>
      <c r="X748" s="215"/>
    </row>
    <row r="749" spans="1:24" ht="14.25" customHeight="1" x14ac:dyDescent="0.2">
      <c r="A749" s="215"/>
      <c r="B749" s="215"/>
      <c r="C749" s="215"/>
      <c r="D749" s="215"/>
      <c r="E749" s="215"/>
      <c r="F749" s="215"/>
      <c r="G749" s="215"/>
      <c r="H749" s="215"/>
      <c r="I749" s="215"/>
      <c r="J749" s="215"/>
      <c r="K749" s="215"/>
      <c r="L749" s="215"/>
      <c r="M749" s="215"/>
      <c r="N749" s="215"/>
      <c r="O749" s="215"/>
      <c r="P749" s="215"/>
      <c r="Q749" s="215"/>
      <c r="R749" s="215"/>
      <c r="S749" s="215"/>
      <c r="T749" s="215"/>
      <c r="U749" s="215"/>
      <c r="V749" s="215"/>
      <c r="W749" s="215"/>
      <c r="X749" s="215"/>
    </row>
    <row r="750" spans="1:24" ht="14.25" customHeight="1" x14ac:dyDescent="0.2">
      <c r="A750" s="215"/>
      <c r="B750" s="215"/>
      <c r="C750" s="215"/>
      <c r="D750" s="215"/>
      <c r="E750" s="215"/>
      <c r="F750" s="215"/>
      <c r="G750" s="215"/>
      <c r="H750" s="215"/>
      <c r="I750" s="215"/>
      <c r="J750" s="215"/>
      <c r="K750" s="215"/>
      <c r="L750" s="215"/>
      <c r="M750" s="215"/>
      <c r="N750" s="215"/>
      <c r="O750" s="215"/>
      <c r="P750" s="215"/>
      <c r="Q750" s="215"/>
      <c r="R750" s="215"/>
      <c r="S750" s="215"/>
      <c r="T750" s="215"/>
      <c r="U750" s="215"/>
      <c r="V750" s="215"/>
      <c r="W750" s="215"/>
      <c r="X750" s="215"/>
    </row>
    <row r="751" spans="1:24" ht="14.25" customHeight="1" x14ac:dyDescent="0.2">
      <c r="A751" s="215"/>
      <c r="B751" s="215"/>
      <c r="C751" s="215"/>
      <c r="D751" s="215"/>
      <c r="E751" s="215"/>
      <c r="F751" s="215"/>
      <c r="G751" s="215"/>
      <c r="H751" s="215"/>
      <c r="I751" s="215"/>
      <c r="J751" s="215"/>
      <c r="K751" s="215"/>
      <c r="L751" s="215"/>
      <c r="M751" s="215"/>
      <c r="N751" s="215"/>
      <c r="O751" s="215"/>
      <c r="P751" s="215"/>
      <c r="Q751" s="215"/>
      <c r="R751" s="215"/>
      <c r="S751" s="215"/>
      <c r="T751" s="215"/>
      <c r="U751" s="215"/>
      <c r="V751" s="215"/>
      <c r="W751" s="215"/>
      <c r="X751" s="215"/>
    </row>
    <row r="752" spans="1:24" ht="14.25" customHeight="1" x14ac:dyDescent="0.2">
      <c r="A752" s="215"/>
      <c r="B752" s="215"/>
      <c r="C752" s="215"/>
      <c r="D752" s="215"/>
      <c r="E752" s="215"/>
      <c r="F752" s="215"/>
      <c r="G752" s="215"/>
      <c r="H752" s="215"/>
      <c r="I752" s="215"/>
      <c r="J752" s="215"/>
      <c r="K752" s="215"/>
      <c r="L752" s="215"/>
      <c r="M752" s="215"/>
      <c r="N752" s="215"/>
      <c r="O752" s="215"/>
      <c r="P752" s="215"/>
      <c r="Q752" s="215"/>
      <c r="R752" s="215"/>
      <c r="S752" s="215"/>
      <c r="T752" s="215"/>
      <c r="U752" s="215"/>
      <c r="V752" s="215"/>
      <c r="W752" s="215"/>
      <c r="X752" s="215"/>
    </row>
    <row r="753" spans="1:24" ht="14.25" customHeight="1" x14ac:dyDescent="0.2">
      <c r="A753" s="215"/>
      <c r="B753" s="215"/>
      <c r="C753" s="215"/>
      <c r="D753" s="215"/>
      <c r="E753" s="215"/>
      <c r="F753" s="215"/>
      <c r="G753" s="215"/>
      <c r="H753" s="215"/>
      <c r="I753" s="215"/>
      <c r="J753" s="215"/>
      <c r="K753" s="215"/>
      <c r="L753" s="215"/>
      <c r="M753" s="215"/>
      <c r="N753" s="215"/>
      <c r="O753" s="215"/>
      <c r="P753" s="215"/>
      <c r="Q753" s="215"/>
      <c r="R753" s="215"/>
      <c r="S753" s="215"/>
      <c r="T753" s="215"/>
      <c r="U753" s="215"/>
      <c r="V753" s="215"/>
      <c r="W753" s="215"/>
      <c r="X753" s="215"/>
    </row>
    <row r="754" spans="1:24" ht="14.25" customHeight="1" x14ac:dyDescent="0.2">
      <c r="A754" s="215"/>
      <c r="B754" s="215"/>
      <c r="C754" s="215"/>
      <c r="D754" s="215"/>
      <c r="E754" s="215"/>
      <c r="F754" s="215"/>
      <c r="G754" s="215"/>
      <c r="H754" s="215"/>
      <c r="I754" s="215"/>
      <c r="J754" s="215"/>
      <c r="K754" s="215"/>
      <c r="L754" s="215"/>
      <c r="M754" s="215"/>
      <c r="N754" s="215"/>
      <c r="O754" s="215"/>
      <c r="P754" s="215"/>
      <c r="Q754" s="215"/>
      <c r="R754" s="215"/>
      <c r="S754" s="215"/>
      <c r="T754" s="215"/>
      <c r="U754" s="215"/>
      <c r="V754" s="215"/>
      <c r="W754" s="215"/>
      <c r="X754" s="215"/>
    </row>
    <row r="755" spans="1:24" ht="14.25" customHeight="1" x14ac:dyDescent="0.2">
      <c r="A755" s="215"/>
      <c r="B755" s="215"/>
      <c r="C755" s="215"/>
      <c r="D755" s="215"/>
      <c r="E755" s="215"/>
      <c r="F755" s="215"/>
      <c r="G755" s="215"/>
      <c r="H755" s="215"/>
      <c r="I755" s="215"/>
      <c r="J755" s="215"/>
      <c r="K755" s="215"/>
      <c r="L755" s="215"/>
      <c r="M755" s="215"/>
      <c r="N755" s="215"/>
      <c r="O755" s="215"/>
      <c r="P755" s="215"/>
      <c r="Q755" s="215"/>
      <c r="R755" s="215"/>
      <c r="S755" s="215"/>
      <c r="T755" s="215"/>
      <c r="U755" s="215"/>
      <c r="V755" s="215"/>
      <c r="W755" s="215"/>
      <c r="X755" s="215"/>
    </row>
    <row r="756" spans="1:24" ht="14.25" customHeight="1" x14ac:dyDescent="0.2">
      <c r="A756" s="215"/>
      <c r="B756" s="215"/>
      <c r="C756" s="215"/>
      <c r="D756" s="215"/>
      <c r="E756" s="215"/>
      <c r="F756" s="215"/>
      <c r="G756" s="215"/>
      <c r="H756" s="215"/>
      <c r="I756" s="215"/>
      <c r="J756" s="215"/>
      <c r="K756" s="215"/>
      <c r="L756" s="215"/>
      <c r="M756" s="215"/>
      <c r="N756" s="215"/>
      <c r="O756" s="215"/>
      <c r="P756" s="215"/>
      <c r="Q756" s="215"/>
      <c r="R756" s="215"/>
      <c r="S756" s="215"/>
      <c r="T756" s="215"/>
      <c r="U756" s="215"/>
      <c r="V756" s="215"/>
      <c r="W756" s="215"/>
      <c r="X756" s="215"/>
    </row>
    <row r="757" spans="1:24" ht="14.25" customHeight="1" x14ac:dyDescent="0.2">
      <c r="A757" s="215"/>
      <c r="B757" s="215"/>
      <c r="C757" s="215"/>
      <c r="D757" s="215"/>
      <c r="E757" s="215"/>
      <c r="F757" s="215"/>
      <c r="G757" s="215"/>
      <c r="H757" s="215"/>
      <c r="I757" s="215"/>
      <c r="J757" s="215"/>
      <c r="K757" s="215"/>
      <c r="L757" s="215"/>
      <c r="M757" s="215"/>
      <c r="N757" s="215"/>
      <c r="O757" s="215"/>
      <c r="P757" s="215"/>
      <c r="Q757" s="215"/>
      <c r="R757" s="215"/>
      <c r="S757" s="215"/>
      <c r="T757" s="215"/>
      <c r="U757" s="215"/>
      <c r="V757" s="215"/>
      <c r="W757" s="215"/>
      <c r="X757" s="215"/>
    </row>
    <row r="758" spans="1:24" ht="14.25" customHeight="1" x14ac:dyDescent="0.2">
      <c r="A758" s="215"/>
      <c r="B758" s="215"/>
      <c r="C758" s="215"/>
      <c r="D758" s="215"/>
      <c r="E758" s="215"/>
      <c r="F758" s="215"/>
      <c r="G758" s="215"/>
      <c r="H758" s="215"/>
      <c r="I758" s="215"/>
      <c r="J758" s="215"/>
      <c r="K758" s="215"/>
      <c r="L758" s="215"/>
      <c r="M758" s="215"/>
      <c r="N758" s="215"/>
      <c r="O758" s="215"/>
      <c r="P758" s="215"/>
      <c r="Q758" s="215"/>
      <c r="R758" s="215"/>
      <c r="S758" s="215"/>
      <c r="T758" s="215"/>
      <c r="U758" s="215"/>
      <c r="V758" s="215"/>
      <c r="W758" s="215"/>
      <c r="X758" s="215"/>
    </row>
    <row r="759" spans="1:24" ht="14.25" customHeight="1" x14ac:dyDescent="0.2">
      <c r="A759" s="215"/>
      <c r="B759" s="215"/>
      <c r="C759" s="215"/>
      <c r="D759" s="215"/>
      <c r="E759" s="215"/>
      <c r="F759" s="215"/>
      <c r="G759" s="215"/>
      <c r="H759" s="215"/>
      <c r="I759" s="215"/>
      <c r="J759" s="215"/>
      <c r="K759" s="215"/>
      <c r="L759" s="215"/>
      <c r="M759" s="215"/>
      <c r="N759" s="215"/>
      <c r="O759" s="215"/>
      <c r="P759" s="215"/>
      <c r="Q759" s="215"/>
      <c r="R759" s="215"/>
      <c r="S759" s="215"/>
      <c r="T759" s="215"/>
      <c r="U759" s="215"/>
      <c r="V759" s="215"/>
      <c r="W759" s="215"/>
      <c r="X759" s="215"/>
    </row>
    <row r="760" spans="1:24" ht="14.25" customHeight="1" x14ac:dyDescent="0.2">
      <c r="A760" s="215"/>
      <c r="B760" s="215"/>
      <c r="C760" s="215"/>
      <c r="D760" s="215"/>
      <c r="E760" s="215"/>
      <c r="F760" s="215"/>
      <c r="G760" s="215"/>
      <c r="H760" s="215"/>
      <c r="I760" s="215"/>
      <c r="J760" s="215"/>
      <c r="K760" s="215"/>
      <c r="L760" s="215"/>
      <c r="M760" s="215"/>
      <c r="N760" s="215"/>
      <c r="O760" s="215"/>
      <c r="P760" s="215"/>
      <c r="Q760" s="215"/>
      <c r="R760" s="215"/>
      <c r="S760" s="215"/>
      <c r="T760" s="215"/>
      <c r="U760" s="215"/>
      <c r="V760" s="215"/>
      <c r="W760" s="215"/>
      <c r="X760" s="215"/>
    </row>
    <row r="761" spans="1:24" ht="14.25" customHeight="1" x14ac:dyDescent="0.2">
      <c r="A761" s="215"/>
      <c r="B761" s="215"/>
      <c r="C761" s="215"/>
      <c r="D761" s="215"/>
      <c r="E761" s="215"/>
      <c r="F761" s="215"/>
      <c r="G761" s="215"/>
      <c r="H761" s="215"/>
      <c r="I761" s="215"/>
      <c r="J761" s="215"/>
      <c r="K761" s="215"/>
      <c r="L761" s="215"/>
      <c r="M761" s="215"/>
      <c r="N761" s="215"/>
      <c r="O761" s="215"/>
      <c r="P761" s="215"/>
      <c r="Q761" s="215"/>
      <c r="R761" s="215"/>
      <c r="S761" s="215"/>
      <c r="T761" s="215"/>
      <c r="U761" s="215"/>
      <c r="V761" s="215"/>
      <c r="W761" s="215"/>
      <c r="X761" s="215"/>
    </row>
    <row r="762" spans="1:24" ht="14.25" customHeight="1" x14ac:dyDescent="0.2">
      <c r="A762" s="215"/>
      <c r="B762" s="215"/>
      <c r="C762" s="215"/>
      <c r="D762" s="215"/>
      <c r="E762" s="215"/>
      <c r="F762" s="215"/>
      <c r="G762" s="215"/>
      <c r="H762" s="215"/>
      <c r="I762" s="215"/>
      <c r="J762" s="215"/>
      <c r="K762" s="215"/>
      <c r="L762" s="215"/>
      <c r="M762" s="215"/>
      <c r="N762" s="215"/>
      <c r="O762" s="215"/>
      <c r="P762" s="215"/>
      <c r="Q762" s="215"/>
      <c r="R762" s="215"/>
      <c r="S762" s="215"/>
      <c r="T762" s="215"/>
      <c r="U762" s="215"/>
      <c r="V762" s="215"/>
      <c r="W762" s="215"/>
      <c r="X762" s="215"/>
    </row>
    <row r="763" spans="1:24" ht="14.25" customHeight="1" x14ac:dyDescent="0.2">
      <c r="A763" s="215"/>
      <c r="B763" s="215"/>
      <c r="C763" s="215"/>
      <c r="D763" s="215"/>
      <c r="E763" s="215"/>
      <c r="F763" s="215"/>
      <c r="G763" s="215"/>
      <c r="H763" s="215"/>
      <c r="I763" s="215"/>
      <c r="J763" s="215"/>
      <c r="K763" s="215"/>
      <c r="L763" s="215"/>
      <c r="M763" s="215"/>
      <c r="N763" s="215"/>
      <c r="O763" s="215"/>
      <c r="P763" s="215"/>
      <c r="Q763" s="215"/>
      <c r="R763" s="215"/>
      <c r="S763" s="215"/>
      <c r="T763" s="215"/>
      <c r="U763" s="215"/>
      <c r="V763" s="215"/>
      <c r="W763" s="215"/>
      <c r="X763" s="215"/>
    </row>
    <row r="764" spans="1:24" ht="14.25" customHeight="1" x14ac:dyDescent="0.2">
      <c r="A764" s="215"/>
      <c r="B764" s="215"/>
      <c r="C764" s="215"/>
      <c r="D764" s="215"/>
      <c r="E764" s="215"/>
      <c r="F764" s="215"/>
      <c r="G764" s="215"/>
      <c r="H764" s="215"/>
      <c r="I764" s="215"/>
      <c r="J764" s="215"/>
      <c r="K764" s="215"/>
      <c r="L764" s="215"/>
      <c r="M764" s="215"/>
      <c r="N764" s="215"/>
      <c r="O764" s="215"/>
      <c r="P764" s="215"/>
      <c r="Q764" s="215"/>
      <c r="R764" s="215"/>
      <c r="S764" s="215"/>
      <c r="T764" s="215"/>
      <c r="U764" s="215"/>
      <c r="V764" s="215"/>
      <c r="W764" s="215"/>
      <c r="X764" s="215"/>
    </row>
    <row r="765" spans="1:24" ht="14.25" customHeight="1" x14ac:dyDescent="0.2">
      <c r="A765" s="215"/>
      <c r="B765" s="215"/>
      <c r="C765" s="215"/>
      <c r="D765" s="215"/>
      <c r="E765" s="215"/>
      <c r="F765" s="215"/>
      <c r="G765" s="215"/>
      <c r="H765" s="215"/>
      <c r="I765" s="215"/>
      <c r="J765" s="215"/>
      <c r="K765" s="215"/>
      <c r="L765" s="215"/>
      <c r="M765" s="215"/>
      <c r="N765" s="215"/>
      <c r="O765" s="215"/>
      <c r="P765" s="215"/>
      <c r="Q765" s="215"/>
      <c r="R765" s="215"/>
      <c r="S765" s="215"/>
      <c r="T765" s="215"/>
      <c r="U765" s="215"/>
      <c r="V765" s="215"/>
      <c r="W765" s="215"/>
      <c r="X765" s="215"/>
    </row>
    <row r="766" spans="1:24" ht="14.25" customHeight="1" x14ac:dyDescent="0.2">
      <c r="A766" s="215"/>
      <c r="B766" s="215"/>
      <c r="C766" s="215"/>
      <c r="D766" s="215"/>
      <c r="E766" s="215"/>
      <c r="F766" s="215"/>
      <c r="G766" s="215"/>
      <c r="H766" s="215"/>
      <c r="I766" s="215"/>
      <c r="J766" s="215"/>
      <c r="K766" s="215"/>
      <c r="L766" s="215"/>
      <c r="M766" s="215"/>
      <c r="N766" s="215"/>
      <c r="O766" s="215"/>
      <c r="P766" s="215"/>
      <c r="Q766" s="215"/>
      <c r="R766" s="215"/>
      <c r="S766" s="215"/>
      <c r="T766" s="215"/>
      <c r="U766" s="215"/>
      <c r="V766" s="215"/>
      <c r="W766" s="215"/>
      <c r="X766" s="215"/>
    </row>
    <row r="767" spans="1:24" ht="14.25" customHeight="1" x14ac:dyDescent="0.2">
      <c r="A767" s="215"/>
      <c r="B767" s="215"/>
      <c r="C767" s="215"/>
      <c r="D767" s="215"/>
      <c r="E767" s="215"/>
      <c r="F767" s="215"/>
      <c r="G767" s="215"/>
      <c r="H767" s="215"/>
      <c r="I767" s="215"/>
      <c r="J767" s="215"/>
      <c r="K767" s="215"/>
      <c r="L767" s="215"/>
      <c r="M767" s="215"/>
      <c r="N767" s="215"/>
      <c r="O767" s="215"/>
      <c r="P767" s="215"/>
      <c r="Q767" s="215"/>
      <c r="R767" s="215"/>
      <c r="S767" s="215"/>
      <c r="T767" s="215"/>
      <c r="U767" s="215"/>
      <c r="V767" s="215"/>
      <c r="W767" s="215"/>
      <c r="X767" s="215"/>
    </row>
    <row r="768" spans="1:24" ht="14.25" customHeight="1" x14ac:dyDescent="0.2">
      <c r="A768" s="215"/>
      <c r="B768" s="215"/>
      <c r="C768" s="215"/>
      <c r="D768" s="215"/>
      <c r="E768" s="215"/>
      <c r="F768" s="215"/>
      <c r="G768" s="215"/>
      <c r="H768" s="215"/>
      <c r="I768" s="215"/>
      <c r="J768" s="215"/>
      <c r="K768" s="215"/>
      <c r="L768" s="215"/>
      <c r="M768" s="215"/>
      <c r="N768" s="215"/>
      <c r="O768" s="215"/>
      <c r="P768" s="215"/>
      <c r="Q768" s="215"/>
      <c r="R768" s="215"/>
      <c r="S768" s="215"/>
      <c r="T768" s="215"/>
      <c r="U768" s="215"/>
      <c r="V768" s="215"/>
      <c r="W768" s="215"/>
      <c r="X768" s="215"/>
    </row>
    <row r="769" spans="1:24" ht="14.25" customHeight="1" x14ac:dyDescent="0.2">
      <c r="A769" s="215"/>
      <c r="B769" s="215"/>
      <c r="C769" s="215"/>
      <c r="D769" s="215"/>
      <c r="E769" s="215"/>
      <c r="F769" s="215"/>
      <c r="G769" s="215"/>
      <c r="H769" s="215"/>
      <c r="I769" s="215"/>
      <c r="J769" s="215"/>
      <c r="K769" s="215"/>
      <c r="L769" s="215"/>
      <c r="M769" s="215"/>
      <c r="N769" s="215"/>
      <c r="O769" s="215"/>
      <c r="P769" s="215"/>
      <c r="Q769" s="215"/>
      <c r="R769" s="215"/>
      <c r="S769" s="215"/>
      <c r="T769" s="215"/>
      <c r="U769" s="215"/>
      <c r="V769" s="215"/>
      <c r="W769" s="215"/>
      <c r="X769" s="215"/>
    </row>
    <row r="770" spans="1:24" ht="14.25" customHeight="1" x14ac:dyDescent="0.2">
      <c r="A770" s="215"/>
      <c r="B770" s="215"/>
      <c r="C770" s="215"/>
      <c r="D770" s="215"/>
      <c r="E770" s="215"/>
      <c r="F770" s="215"/>
      <c r="G770" s="215"/>
      <c r="H770" s="215"/>
      <c r="I770" s="215"/>
      <c r="J770" s="215"/>
      <c r="K770" s="215"/>
      <c r="L770" s="215"/>
      <c r="M770" s="215"/>
      <c r="N770" s="215"/>
      <c r="O770" s="215"/>
      <c r="P770" s="215"/>
      <c r="Q770" s="215"/>
      <c r="R770" s="215"/>
      <c r="S770" s="215"/>
      <c r="T770" s="215"/>
      <c r="U770" s="215"/>
      <c r="V770" s="215"/>
      <c r="W770" s="215"/>
      <c r="X770" s="215"/>
    </row>
    <row r="771" spans="1:24" ht="14.25" customHeight="1" x14ac:dyDescent="0.2">
      <c r="A771" s="215"/>
      <c r="B771" s="215"/>
      <c r="C771" s="215"/>
      <c r="D771" s="215"/>
      <c r="E771" s="215"/>
      <c r="F771" s="215"/>
      <c r="G771" s="215"/>
      <c r="H771" s="215"/>
      <c r="I771" s="215"/>
      <c r="J771" s="215"/>
      <c r="K771" s="215"/>
      <c r="L771" s="215"/>
      <c r="M771" s="215"/>
      <c r="N771" s="215"/>
      <c r="O771" s="215"/>
      <c r="P771" s="215"/>
      <c r="Q771" s="215"/>
      <c r="R771" s="215"/>
      <c r="S771" s="215"/>
      <c r="T771" s="215"/>
      <c r="U771" s="215"/>
      <c r="V771" s="215"/>
      <c r="W771" s="215"/>
      <c r="X771" s="215"/>
    </row>
    <row r="772" spans="1:24" ht="14.25" customHeight="1" x14ac:dyDescent="0.2">
      <c r="A772" s="215"/>
      <c r="B772" s="215"/>
      <c r="C772" s="215"/>
      <c r="D772" s="215"/>
      <c r="E772" s="215"/>
      <c r="F772" s="215"/>
      <c r="G772" s="215"/>
      <c r="H772" s="215"/>
      <c r="I772" s="215"/>
      <c r="J772" s="215"/>
      <c r="K772" s="215"/>
      <c r="L772" s="215"/>
      <c r="M772" s="215"/>
      <c r="N772" s="215"/>
      <c r="O772" s="215"/>
      <c r="P772" s="215"/>
      <c r="Q772" s="215"/>
      <c r="R772" s="215"/>
      <c r="S772" s="215"/>
      <c r="T772" s="215"/>
      <c r="U772" s="215"/>
      <c r="V772" s="215"/>
      <c r="W772" s="215"/>
      <c r="X772" s="215"/>
    </row>
    <row r="773" spans="1:24" ht="14.25" customHeight="1" x14ac:dyDescent="0.2">
      <c r="A773" s="215"/>
      <c r="B773" s="215"/>
      <c r="C773" s="215"/>
      <c r="D773" s="215"/>
      <c r="E773" s="215"/>
      <c r="F773" s="215"/>
      <c r="G773" s="215"/>
      <c r="H773" s="215"/>
      <c r="I773" s="215"/>
      <c r="J773" s="215"/>
      <c r="K773" s="215"/>
      <c r="L773" s="215"/>
      <c r="M773" s="215"/>
      <c r="N773" s="215"/>
      <c r="O773" s="215"/>
      <c r="P773" s="215"/>
      <c r="Q773" s="215"/>
      <c r="R773" s="215"/>
      <c r="S773" s="215"/>
      <c r="T773" s="215"/>
      <c r="U773" s="215"/>
      <c r="V773" s="215"/>
      <c r="W773" s="215"/>
      <c r="X773" s="215"/>
    </row>
    <row r="774" spans="1:24" ht="14.25" customHeight="1" x14ac:dyDescent="0.2">
      <c r="A774" s="215"/>
      <c r="B774" s="215"/>
      <c r="C774" s="215"/>
      <c r="D774" s="215"/>
      <c r="E774" s="215"/>
      <c r="F774" s="215"/>
      <c r="G774" s="215"/>
      <c r="H774" s="215"/>
      <c r="I774" s="215"/>
      <c r="J774" s="215"/>
      <c r="K774" s="215"/>
      <c r="L774" s="215"/>
      <c r="M774" s="215"/>
      <c r="N774" s="215"/>
      <c r="O774" s="215"/>
      <c r="P774" s="215"/>
      <c r="Q774" s="215"/>
      <c r="R774" s="215"/>
      <c r="S774" s="215"/>
      <c r="T774" s="215"/>
      <c r="U774" s="215"/>
      <c r="V774" s="215"/>
      <c r="W774" s="215"/>
      <c r="X774" s="215"/>
    </row>
    <row r="775" spans="1:24" ht="14.25" customHeight="1" x14ac:dyDescent="0.2">
      <c r="A775" s="215"/>
      <c r="B775" s="215"/>
      <c r="C775" s="215"/>
      <c r="D775" s="215"/>
      <c r="E775" s="215"/>
      <c r="F775" s="215"/>
      <c r="G775" s="215"/>
      <c r="H775" s="215"/>
      <c r="I775" s="215"/>
      <c r="J775" s="215"/>
      <c r="K775" s="215"/>
      <c r="L775" s="215"/>
      <c r="M775" s="215"/>
      <c r="N775" s="215"/>
      <c r="O775" s="215"/>
      <c r="P775" s="215"/>
      <c r="Q775" s="215"/>
      <c r="R775" s="215"/>
      <c r="S775" s="215"/>
      <c r="T775" s="215"/>
      <c r="U775" s="215"/>
      <c r="V775" s="215"/>
      <c r="W775" s="215"/>
      <c r="X775" s="215"/>
    </row>
    <row r="776" spans="1:24" ht="14.25" customHeight="1" x14ac:dyDescent="0.2">
      <c r="A776" s="215"/>
      <c r="B776" s="215"/>
      <c r="C776" s="215"/>
      <c r="D776" s="215"/>
      <c r="E776" s="215"/>
      <c r="F776" s="215"/>
      <c r="G776" s="215"/>
      <c r="H776" s="215"/>
      <c r="I776" s="215"/>
      <c r="J776" s="215"/>
      <c r="K776" s="215"/>
      <c r="L776" s="215"/>
      <c r="M776" s="215"/>
      <c r="N776" s="215"/>
      <c r="O776" s="215"/>
      <c r="P776" s="215"/>
      <c r="Q776" s="215"/>
      <c r="R776" s="215"/>
      <c r="S776" s="215"/>
      <c r="T776" s="215"/>
      <c r="U776" s="215"/>
      <c r="V776" s="215"/>
      <c r="W776" s="215"/>
      <c r="X776" s="215"/>
    </row>
    <row r="777" spans="1:24" ht="14.25" customHeight="1" x14ac:dyDescent="0.2">
      <c r="A777" s="215"/>
      <c r="B777" s="215"/>
      <c r="C777" s="215"/>
      <c r="D777" s="215"/>
      <c r="E777" s="215"/>
      <c r="F777" s="215"/>
      <c r="G777" s="215"/>
      <c r="H777" s="215"/>
      <c r="I777" s="215"/>
      <c r="J777" s="215"/>
      <c r="K777" s="215"/>
      <c r="L777" s="215"/>
      <c r="M777" s="215"/>
      <c r="N777" s="215"/>
      <c r="O777" s="215"/>
      <c r="P777" s="215"/>
      <c r="Q777" s="215"/>
      <c r="R777" s="215"/>
      <c r="S777" s="215"/>
      <c r="T777" s="215"/>
      <c r="U777" s="215"/>
      <c r="V777" s="215"/>
      <c r="W777" s="215"/>
      <c r="X777" s="215"/>
    </row>
    <row r="778" spans="1:24" ht="14.25" customHeight="1" x14ac:dyDescent="0.2">
      <c r="A778" s="215"/>
      <c r="B778" s="215"/>
      <c r="C778" s="215"/>
      <c r="D778" s="215"/>
      <c r="E778" s="215"/>
      <c r="F778" s="215"/>
      <c r="G778" s="215"/>
      <c r="H778" s="215"/>
      <c r="I778" s="215"/>
      <c r="J778" s="215"/>
      <c r="K778" s="215"/>
      <c r="L778" s="215"/>
      <c r="M778" s="215"/>
      <c r="N778" s="215"/>
      <c r="O778" s="215"/>
      <c r="P778" s="215"/>
      <c r="Q778" s="215"/>
      <c r="R778" s="215"/>
      <c r="S778" s="215"/>
      <c r="T778" s="215"/>
      <c r="U778" s="215"/>
      <c r="V778" s="215"/>
      <c r="W778" s="215"/>
      <c r="X778" s="215"/>
    </row>
    <row r="779" spans="1:24" ht="14.25" customHeight="1" x14ac:dyDescent="0.2">
      <c r="A779" s="215"/>
      <c r="B779" s="215"/>
      <c r="C779" s="215"/>
      <c r="D779" s="215"/>
      <c r="E779" s="215"/>
      <c r="F779" s="215"/>
      <c r="G779" s="215"/>
      <c r="H779" s="215"/>
      <c r="I779" s="215"/>
      <c r="J779" s="215"/>
      <c r="K779" s="215"/>
      <c r="L779" s="215"/>
      <c r="M779" s="215"/>
      <c r="N779" s="215"/>
      <c r="O779" s="215"/>
      <c r="P779" s="215"/>
      <c r="Q779" s="215"/>
      <c r="R779" s="215"/>
      <c r="S779" s="215"/>
      <c r="T779" s="215"/>
      <c r="U779" s="215"/>
      <c r="V779" s="215"/>
      <c r="W779" s="215"/>
      <c r="X779" s="215"/>
    </row>
    <row r="780" spans="1:24" ht="14.25" customHeight="1" x14ac:dyDescent="0.2">
      <c r="A780" s="215"/>
      <c r="B780" s="215"/>
      <c r="C780" s="215"/>
      <c r="D780" s="215"/>
      <c r="E780" s="215"/>
      <c r="F780" s="215"/>
      <c r="G780" s="215"/>
      <c r="H780" s="215"/>
      <c r="I780" s="215"/>
      <c r="J780" s="215"/>
      <c r="K780" s="215"/>
      <c r="L780" s="215"/>
      <c r="M780" s="215"/>
      <c r="N780" s="215"/>
      <c r="O780" s="215"/>
      <c r="P780" s="215"/>
      <c r="Q780" s="215"/>
      <c r="R780" s="215"/>
      <c r="S780" s="215"/>
      <c r="T780" s="215"/>
      <c r="U780" s="215"/>
      <c r="V780" s="215"/>
      <c r="W780" s="215"/>
      <c r="X780" s="215"/>
    </row>
    <row r="781" spans="1:24" ht="14.25" customHeight="1" x14ac:dyDescent="0.2">
      <c r="A781" s="215"/>
      <c r="B781" s="215"/>
      <c r="C781" s="215"/>
      <c r="D781" s="215"/>
      <c r="E781" s="215"/>
      <c r="F781" s="215"/>
      <c r="G781" s="215"/>
      <c r="H781" s="215"/>
      <c r="I781" s="215"/>
      <c r="J781" s="215"/>
      <c r="K781" s="215"/>
      <c r="L781" s="215"/>
      <c r="M781" s="215"/>
      <c r="N781" s="215"/>
      <c r="O781" s="215"/>
      <c r="P781" s="215"/>
      <c r="Q781" s="215"/>
      <c r="R781" s="215"/>
      <c r="S781" s="215"/>
      <c r="T781" s="215"/>
      <c r="U781" s="215"/>
      <c r="V781" s="215"/>
      <c r="W781" s="215"/>
      <c r="X781" s="215"/>
    </row>
    <row r="782" spans="1:24" ht="14.25" customHeight="1" x14ac:dyDescent="0.2">
      <c r="A782" s="215"/>
      <c r="B782" s="215"/>
      <c r="C782" s="215"/>
      <c r="D782" s="215"/>
      <c r="E782" s="215"/>
      <c r="F782" s="215"/>
      <c r="G782" s="215"/>
      <c r="H782" s="215"/>
      <c r="I782" s="215"/>
      <c r="J782" s="215"/>
      <c r="K782" s="215"/>
      <c r="L782" s="215"/>
      <c r="M782" s="215"/>
      <c r="N782" s="215"/>
      <c r="O782" s="215"/>
      <c r="P782" s="215"/>
      <c r="Q782" s="215"/>
      <c r="R782" s="215"/>
      <c r="S782" s="215"/>
      <c r="T782" s="215"/>
      <c r="U782" s="215"/>
      <c r="V782" s="215"/>
      <c r="W782" s="215"/>
      <c r="X782" s="215"/>
    </row>
    <row r="783" spans="1:24" ht="14.25" customHeight="1" x14ac:dyDescent="0.2">
      <c r="A783" s="215"/>
      <c r="B783" s="215"/>
      <c r="C783" s="215"/>
      <c r="D783" s="215"/>
      <c r="E783" s="215"/>
      <c r="F783" s="215"/>
      <c r="G783" s="215"/>
      <c r="H783" s="215"/>
      <c r="I783" s="215"/>
      <c r="J783" s="215"/>
      <c r="K783" s="215"/>
      <c r="L783" s="215"/>
      <c r="M783" s="215"/>
      <c r="N783" s="215"/>
      <c r="O783" s="215"/>
      <c r="P783" s="215"/>
      <c r="Q783" s="215"/>
      <c r="R783" s="215"/>
      <c r="S783" s="215"/>
      <c r="T783" s="215"/>
      <c r="U783" s="215"/>
      <c r="V783" s="215"/>
      <c r="W783" s="215"/>
      <c r="X783" s="215"/>
    </row>
    <row r="784" spans="1:24" ht="14.25" customHeight="1" x14ac:dyDescent="0.2">
      <c r="A784" s="215"/>
      <c r="B784" s="215"/>
      <c r="C784" s="215"/>
      <c r="D784" s="215"/>
      <c r="E784" s="215"/>
      <c r="F784" s="215"/>
      <c r="G784" s="215"/>
      <c r="H784" s="215"/>
      <c r="I784" s="215"/>
      <c r="J784" s="215"/>
      <c r="K784" s="215"/>
      <c r="L784" s="215"/>
      <c r="M784" s="215"/>
      <c r="N784" s="215"/>
      <c r="O784" s="215"/>
      <c r="P784" s="215"/>
      <c r="Q784" s="215"/>
      <c r="R784" s="215"/>
      <c r="S784" s="215"/>
      <c r="T784" s="215"/>
      <c r="U784" s="215"/>
      <c r="V784" s="215"/>
      <c r="W784" s="215"/>
      <c r="X784" s="215"/>
    </row>
    <row r="785" spans="1:24" ht="14.25" customHeight="1" x14ac:dyDescent="0.2">
      <c r="A785" s="215"/>
      <c r="B785" s="215"/>
      <c r="C785" s="215"/>
      <c r="D785" s="215"/>
      <c r="E785" s="215"/>
      <c r="F785" s="215"/>
      <c r="G785" s="215"/>
      <c r="H785" s="215"/>
      <c r="I785" s="215"/>
      <c r="J785" s="215"/>
      <c r="K785" s="215"/>
      <c r="L785" s="215"/>
      <c r="M785" s="215"/>
      <c r="N785" s="215"/>
      <c r="O785" s="215"/>
      <c r="P785" s="215"/>
      <c r="Q785" s="215"/>
      <c r="R785" s="215"/>
      <c r="S785" s="215"/>
      <c r="T785" s="215"/>
      <c r="U785" s="215"/>
      <c r="V785" s="215"/>
      <c r="W785" s="215"/>
      <c r="X785" s="215"/>
    </row>
    <row r="786" spans="1:24" ht="14.25" customHeight="1" x14ac:dyDescent="0.2">
      <c r="A786" s="215"/>
      <c r="B786" s="215"/>
      <c r="C786" s="215"/>
      <c r="D786" s="215"/>
      <c r="E786" s="215"/>
      <c r="F786" s="215"/>
      <c r="G786" s="215"/>
      <c r="H786" s="215"/>
      <c r="I786" s="215"/>
      <c r="J786" s="215"/>
      <c r="K786" s="215"/>
      <c r="L786" s="215"/>
      <c r="M786" s="215"/>
      <c r="N786" s="215"/>
      <c r="O786" s="215"/>
      <c r="P786" s="215"/>
      <c r="Q786" s="215"/>
      <c r="R786" s="215"/>
      <c r="S786" s="215"/>
      <c r="T786" s="215"/>
      <c r="U786" s="215"/>
      <c r="V786" s="215"/>
      <c r="W786" s="215"/>
      <c r="X786" s="215"/>
    </row>
    <row r="787" spans="1:24" ht="14.25" customHeight="1" x14ac:dyDescent="0.2">
      <c r="A787" s="215"/>
      <c r="B787" s="215"/>
      <c r="C787" s="215"/>
      <c r="D787" s="215"/>
      <c r="E787" s="215"/>
      <c r="F787" s="215"/>
      <c r="G787" s="215"/>
      <c r="H787" s="215"/>
      <c r="I787" s="215"/>
      <c r="J787" s="215"/>
      <c r="K787" s="215"/>
      <c r="L787" s="215"/>
      <c r="M787" s="215"/>
      <c r="N787" s="215"/>
      <c r="O787" s="215"/>
      <c r="P787" s="215"/>
      <c r="Q787" s="215"/>
      <c r="R787" s="215"/>
      <c r="S787" s="215"/>
      <c r="T787" s="215"/>
      <c r="U787" s="215"/>
      <c r="V787" s="215"/>
      <c r="W787" s="215"/>
      <c r="X787" s="215"/>
    </row>
    <row r="788" spans="1:24" ht="14.25" customHeight="1" x14ac:dyDescent="0.2">
      <c r="A788" s="215"/>
      <c r="B788" s="215"/>
      <c r="C788" s="215"/>
      <c r="D788" s="215"/>
      <c r="E788" s="215"/>
      <c r="F788" s="215"/>
      <c r="G788" s="215"/>
      <c r="H788" s="215"/>
      <c r="I788" s="215"/>
      <c r="J788" s="215"/>
      <c r="K788" s="215"/>
      <c r="L788" s="215"/>
      <c r="M788" s="215"/>
      <c r="N788" s="215"/>
      <c r="O788" s="215"/>
      <c r="P788" s="215"/>
      <c r="Q788" s="215"/>
      <c r="R788" s="215"/>
      <c r="S788" s="215"/>
      <c r="T788" s="215"/>
      <c r="U788" s="215"/>
      <c r="V788" s="215"/>
      <c r="W788" s="215"/>
      <c r="X788" s="215"/>
    </row>
    <row r="789" spans="1:24" ht="14.25" customHeight="1" x14ac:dyDescent="0.2">
      <c r="A789" s="215"/>
      <c r="B789" s="215"/>
      <c r="C789" s="215"/>
      <c r="D789" s="215"/>
      <c r="E789" s="215"/>
      <c r="F789" s="215"/>
      <c r="G789" s="215"/>
      <c r="H789" s="215"/>
      <c r="I789" s="215"/>
      <c r="J789" s="215"/>
      <c r="K789" s="215"/>
      <c r="L789" s="215"/>
      <c r="M789" s="215"/>
      <c r="N789" s="215"/>
      <c r="O789" s="215"/>
      <c r="P789" s="215"/>
      <c r="Q789" s="215"/>
      <c r="R789" s="215"/>
      <c r="S789" s="215"/>
      <c r="T789" s="215"/>
      <c r="U789" s="215"/>
      <c r="V789" s="215"/>
      <c r="W789" s="215"/>
      <c r="X789" s="215"/>
    </row>
    <row r="790" spans="1:24" ht="14.25" customHeight="1" x14ac:dyDescent="0.2">
      <c r="A790" s="215"/>
      <c r="B790" s="215"/>
      <c r="C790" s="215"/>
      <c r="D790" s="215"/>
      <c r="E790" s="215"/>
      <c r="F790" s="215"/>
      <c r="G790" s="215"/>
      <c r="H790" s="215"/>
      <c r="I790" s="215"/>
      <c r="J790" s="215"/>
      <c r="K790" s="215"/>
      <c r="L790" s="215"/>
      <c r="M790" s="215"/>
      <c r="N790" s="215"/>
      <c r="O790" s="215"/>
      <c r="P790" s="215"/>
      <c r="Q790" s="215"/>
      <c r="R790" s="215"/>
      <c r="S790" s="215"/>
      <c r="T790" s="215"/>
      <c r="U790" s="215"/>
      <c r="V790" s="215"/>
      <c r="W790" s="215"/>
      <c r="X790" s="215"/>
    </row>
    <row r="791" spans="1:24" ht="14.25" customHeight="1" x14ac:dyDescent="0.2">
      <c r="A791" s="215"/>
      <c r="B791" s="215"/>
      <c r="C791" s="215"/>
      <c r="D791" s="215"/>
      <c r="E791" s="215"/>
      <c r="F791" s="215"/>
      <c r="G791" s="215"/>
      <c r="H791" s="215"/>
      <c r="I791" s="215"/>
      <c r="J791" s="215"/>
      <c r="K791" s="215"/>
      <c r="L791" s="215"/>
      <c r="M791" s="215"/>
      <c r="N791" s="215"/>
      <c r="O791" s="215"/>
      <c r="P791" s="215"/>
      <c r="Q791" s="215"/>
      <c r="R791" s="215"/>
      <c r="S791" s="215"/>
      <c r="T791" s="215"/>
      <c r="U791" s="215"/>
      <c r="V791" s="215"/>
      <c r="W791" s="215"/>
      <c r="X791" s="215"/>
    </row>
    <row r="792" spans="1:24" ht="14.25" customHeight="1" x14ac:dyDescent="0.2">
      <c r="A792" s="215"/>
      <c r="B792" s="215"/>
      <c r="C792" s="215"/>
      <c r="D792" s="215"/>
      <c r="E792" s="215"/>
      <c r="F792" s="215"/>
      <c r="G792" s="215"/>
      <c r="H792" s="215"/>
      <c r="I792" s="215"/>
      <c r="J792" s="215"/>
      <c r="K792" s="215"/>
      <c r="L792" s="215"/>
      <c r="M792" s="215"/>
      <c r="N792" s="215"/>
      <c r="O792" s="215"/>
      <c r="P792" s="215"/>
      <c r="Q792" s="215"/>
      <c r="R792" s="215"/>
      <c r="S792" s="215"/>
      <c r="T792" s="215"/>
      <c r="U792" s="215"/>
      <c r="V792" s="215"/>
      <c r="W792" s="215"/>
      <c r="X792" s="215"/>
    </row>
    <row r="793" spans="1:24" ht="14.25" customHeight="1" x14ac:dyDescent="0.2">
      <c r="A793" s="215"/>
      <c r="B793" s="215"/>
      <c r="C793" s="215"/>
      <c r="D793" s="215"/>
      <c r="E793" s="215"/>
      <c r="F793" s="215"/>
      <c r="G793" s="215"/>
      <c r="H793" s="215"/>
      <c r="I793" s="215"/>
      <c r="J793" s="215"/>
      <c r="K793" s="215"/>
      <c r="L793" s="215"/>
      <c r="M793" s="215"/>
      <c r="N793" s="215"/>
      <c r="O793" s="215"/>
      <c r="P793" s="215"/>
      <c r="Q793" s="215"/>
      <c r="R793" s="215"/>
      <c r="S793" s="215"/>
      <c r="T793" s="215"/>
      <c r="U793" s="215"/>
      <c r="V793" s="215"/>
      <c r="W793" s="215"/>
      <c r="X793" s="215"/>
    </row>
    <row r="794" spans="1:24" ht="14.25" customHeight="1" x14ac:dyDescent="0.2">
      <c r="A794" s="215"/>
      <c r="B794" s="215"/>
      <c r="C794" s="215"/>
      <c r="D794" s="215"/>
      <c r="E794" s="215"/>
      <c r="F794" s="215"/>
      <c r="G794" s="215"/>
      <c r="H794" s="215"/>
      <c r="I794" s="215"/>
      <c r="J794" s="215"/>
      <c r="K794" s="215"/>
      <c r="L794" s="215"/>
      <c r="M794" s="215"/>
      <c r="N794" s="215"/>
      <c r="O794" s="215"/>
      <c r="P794" s="215"/>
      <c r="Q794" s="215"/>
      <c r="R794" s="215"/>
      <c r="S794" s="215"/>
      <c r="T794" s="215"/>
      <c r="U794" s="215"/>
      <c r="V794" s="215"/>
      <c r="W794" s="215"/>
      <c r="X794" s="215"/>
    </row>
    <row r="795" spans="1:24" ht="14.25" customHeight="1" x14ac:dyDescent="0.2">
      <c r="A795" s="215"/>
      <c r="B795" s="215"/>
      <c r="C795" s="215"/>
      <c r="D795" s="215"/>
      <c r="E795" s="215"/>
      <c r="F795" s="215"/>
      <c r="G795" s="215"/>
      <c r="H795" s="215"/>
      <c r="I795" s="215"/>
      <c r="J795" s="215"/>
      <c r="K795" s="215"/>
      <c r="L795" s="215"/>
      <c r="M795" s="215"/>
      <c r="N795" s="215"/>
      <c r="O795" s="215"/>
      <c r="P795" s="215"/>
      <c r="Q795" s="215"/>
      <c r="R795" s="215"/>
      <c r="S795" s="215"/>
      <c r="T795" s="215"/>
      <c r="U795" s="215"/>
      <c r="V795" s="215"/>
      <c r="W795" s="215"/>
      <c r="X795" s="215"/>
    </row>
    <row r="796" spans="1:24" ht="14.25" customHeight="1" x14ac:dyDescent="0.2">
      <c r="A796" s="215"/>
      <c r="B796" s="215"/>
      <c r="C796" s="215"/>
      <c r="D796" s="215"/>
      <c r="E796" s="215"/>
      <c r="F796" s="215"/>
      <c r="G796" s="215"/>
      <c r="H796" s="215"/>
      <c r="I796" s="215"/>
      <c r="J796" s="215"/>
      <c r="K796" s="215"/>
      <c r="L796" s="215"/>
      <c r="M796" s="215"/>
      <c r="N796" s="215"/>
      <c r="O796" s="215"/>
      <c r="P796" s="215"/>
      <c r="Q796" s="215"/>
      <c r="R796" s="215"/>
      <c r="S796" s="215"/>
      <c r="T796" s="215"/>
      <c r="U796" s="215"/>
      <c r="V796" s="215"/>
      <c r="W796" s="215"/>
      <c r="X796" s="215"/>
    </row>
    <row r="797" spans="1:24" ht="14.25" customHeight="1" x14ac:dyDescent="0.2">
      <c r="A797" s="215"/>
      <c r="B797" s="215"/>
      <c r="C797" s="215"/>
      <c r="D797" s="215"/>
      <c r="E797" s="215"/>
      <c r="F797" s="215"/>
      <c r="G797" s="215"/>
      <c r="H797" s="215"/>
      <c r="I797" s="215"/>
      <c r="J797" s="215"/>
      <c r="K797" s="215"/>
      <c r="L797" s="215"/>
      <c r="M797" s="215"/>
      <c r="N797" s="215"/>
      <c r="O797" s="215"/>
      <c r="P797" s="215"/>
      <c r="Q797" s="215"/>
      <c r="R797" s="215"/>
      <c r="S797" s="215"/>
      <c r="T797" s="215"/>
      <c r="U797" s="215"/>
      <c r="V797" s="215"/>
      <c r="W797" s="215"/>
      <c r="X797" s="215"/>
    </row>
    <row r="798" spans="1:24" ht="14.25" customHeight="1" x14ac:dyDescent="0.2">
      <c r="A798" s="215"/>
      <c r="B798" s="215"/>
      <c r="C798" s="215"/>
      <c r="D798" s="215"/>
      <c r="E798" s="215"/>
      <c r="F798" s="215"/>
      <c r="G798" s="215"/>
      <c r="H798" s="215"/>
      <c r="I798" s="215"/>
      <c r="J798" s="215"/>
      <c r="K798" s="215"/>
      <c r="L798" s="215"/>
      <c r="M798" s="215"/>
      <c r="N798" s="215"/>
      <c r="O798" s="215"/>
      <c r="P798" s="215"/>
      <c r="Q798" s="215"/>
      <c r="R798" s="215"/>
      <c r="S798" s="215"/>
      <c r="T798" s="215"/>
      <c r="U798" s="215"/>
      <c r="V798" s="215"/>
      <c r="W798" s="215"/>
      <c r="X798" s="215"/>
    </row>
    <row r="799" spans="1:24" ht="14.25" customHeight="1" x14ac:dyDescent="0.2">
      <c r="A799" s="215"/>
      <c r="B799" s="215"/>
      <c r="C799" s="215"/>
      <c r="D799" s="215"/>
      <c r="E799" s="215"/>
      <c r="F799" s="215"/>
      <c r="G799" s="215"/>
      <c r="H799" s="215"/>
      <c r="I799" s="215"/>
      <c r="J799" s="215"/>
      <c r="K799" s="215"/>
      <c r="L799" s="215"/>
      <c r="M799" s="215"/>
      <c r="N799" s="215"/>
      <c r="O799" s="215"/>
      <c r="P799" s="215"/>
      <c r="Q799" s="215"/>
      <c r="R799" s="215"/>
      <c r="S799" s="215"/>
      <c r="T799" s="215"/>
      <c r="U799" s="215"/>
      <c r="V799" s="215"/>
      <c r="W799" s="215"/>
      <c r="X799" s="215"/>
    </row>
    <row r="800" spans="1:24" ht="14.25" customHeight="1" x14ac:dyDescent="0.2">
      <c r="A800" s="215"/>
      <c r="B800" s="215"/>
      <c r="C800" s="215"/>
      <c r="D800" s="215"/>
      <c r="E800" s="215"/>
      <c r="F800" s="215"/>
      <c r="G800" s="215"/>
      <c r="H800" s="215"/>
      <c r="I800" s="215"/>
      <c r="J800" s="215"/>
      <c r="K800" s="215"/>
      <c r="L800" s="215"/>
      <c r="M800" s="215"/>
      <c r="N800" s="215"/>
      <c r="O800" s="215"/>
      <c r="P800" s="215"/>
      <c r="Q800" s="215"/>
      <c r="R800" s="215"/>
      <c r="S800" s="215"/>
      <c r="T800" s="215"/>
      <c r="U800" s="215"/>
      <c r="V800" s="215"/>
      <c r="W800" s="215"/>
      <c r="X800" s="215"/>
    </row>
    <row r="801" spans="1:24" ht="14.25" customHeight="1" x14ac:dyDescent="0.2">
      <c r="A801" s="215"/>
      <c r="B801" s="215"/>
      <c r="C801" s="215"/>
      <c r="D801" s="215"/>
      <c r="E801" s="215"/>
      <c r="F801" s="215"/>
      <c r="G801" s="215"/>
      <c r="H801" s="215"/>
      <c r="I801" s="215"/>
      <c r="J801" s="215"/>
      <c r="K801" s="215"/>
      <c r="L801" s="215"/>
      <c r="M801" s="215"/>
      <c r="N801" s="215"/>
      <c r="O801" s="215"/>
      <c r="P801" s="215"/>
      <c r="Q801" s="215"/>
      <c r="R801" s="215"/>
      <c r="S801" s="215"/>
      <c r="T801" s="215"/>
      <c r="U801" s="215"/>
      <c r="V801" s="215"/>
      <c r="W801" s="215"/>
      <c r="X801" s="215"/>
    </row>
    <row r="802" spans="1:24" ht="14.25" customHeight="1" x14ac:dyDescent="0.2">
      <c r="A802" s="215"/>
      <c r="B802" s="215"/>
      <c r="C802" s="215"/>
      <c r="D802" s="215"/>
      <c r="E802" s="215"/>
      <c r="F802" s="215"/>
      <c r="G802" s="215"/>
      <c r="H802" s="215"/>
      <c r="I802" s="215"/>
      <c r="J802" s="215"/>
      <c r="K802" s="215"/>
      <c r="L802" s="215"/>
      <c r="M802" s="215"/>
      <c r="N802" s="215"/>
      <c r="O802" s="215"/>
      <c r="P802" s="215"/>
      <c r="Q802" s="215"/>
      <c r="R802" s="215"/>
      <c r="S802" s="215"/>
      <c r="T802" s="215"/>
      <c r="U802" s="215"/>
      <c r="V802" s="215"/>
      <c r="W802" s="215"/>
      <c r="X802" s="215"/>
    </row>
    <row r="803" spans="1:24" ht="14.25" customHeight="1" x14ac:dyDescent="0.2">
      <c r="A803" s="215"/>
      <c r="B803" s="215"/>
      <c r="C803" s="215"/>
      <c r="D803" s="215"/>
      <c r="E803" s="215"/>
      <c r="F803" s="215"/>
      <c r="G803" s="215"/>
      <c r="H803" s="215"/>
      <c r="I803" s="215"/>
      <c r="J803" s="215"/>
      <c r="K803" s="215"/>
      <c r="L803" s="215"/>
      <c r="M803" s="215"/>
      <c r="N803" s="215"/>
      <c r="O803" s="215"/>
      <c r="P803" s="215"/>
      <c r="Q803" s="215"/>
      <c r="R803" s="215"/>
      <c r="S803" s="215"/>
      <c r="T803" s="215"/>
      <c r="U803" s="215"/>
      <c r="V803" s="215"/>
      <c r="W803" s="215"/>
      <c r="X803" s="215"/>
    </row>
    <row r="804" spans="1:24" ht="14.25" customHeight="1" x14ac:dyDescent="0.2">
      <c r="A804" s="215"/>
      <c r="B804" s="215"/>
      <c r="C804" s="215"/>
      <c r="D804" s="215"/>
      <c r="E804" s="215"/>
      <c r="F804" s="215"/>
      <c r="G804" s="215"/>
      <c r="H804" s="215"/>
      <c r="I804" s="215"/>
      <c r="J804" s="215"/>
      <c r="K804" s="215"/>
      <c r="L804" s="215"/>
      <c r="M804" s="215"/>
      <c r="N804" s="215"/>
      <c r="O804" s="215"/>
      <c r="P804" s="215"/>
      <c r="Q804" s="215"/>
      <c r="R804" s="215"/>
      <c r="S804" s="215"/>
      <c r="T804" s="215"/>
      <c r="U804" s="215"/>
      <c r="V804" s="215"/>
      <c r="W804" s="215"/>
      <c r="X804" s="215"/>
    </row>
    <row r="805" spans="1:24" ht="14.25" customHeight="1" x14ac:dyDescent="0.2">
      <c r="A805" s="215"/>
      <c r="B805" s="215"/>
      <c r="C805" s="215"/>
      <c r="D805" s="215"/>
      <c r="E805" s="215"/>
      <c r="F805" s="215"/>
      <c r="G805" s="215"/>
      <c r="H805" s="215"/>
      <c r="I805" s="215"/>
      <c r="J805" s="215"/>
      <c r="K805" s="215"/>
      <c r="L805" s="215"/>
      <c r="M805" s="215"/>
      <c r="N805" s="215"/>
      <c r="O805" s="215"/>
      <c r="P805" s="215"/>
      <c r="Q805" s="215"/>
      <c r="R805" s="215"/>
      <c r="S805" s="215"/>
      <c r="T805" s="215"/>
      <c r="U805" s="215"/>
      <c r="V805" s="215"/>
      <c r="W805" s="215"/>
      <c r="X805" s="215"/>
    </row>
    <row r="806" spans="1:24" ht="14.25" customHeight="1" x14ac:dyDescent="0.2">
      <c r="A806" s="215"/>
      <c r="B806" s="215"/>
      <c r="C806" s="215"/>
      <c r="D806" s="215"/>
      <c r="E806" s="215"/>
      <c r="F806" s="215"/>
      <c r="G806" s="215"/>
      <c r="H806" s="215"/>
      <c r="I806" s="215"/>
      <c r="J806" s="215"/>
      <c r="K806" s="215"/>
      <c r="L806" s="215"/>
      <c r="M806" s="215"/>
      <c r="N806" s="215"/>
      <c r="O806" s="215"/>
      <c r="P806" s="215"/>
      <c r="Q806" s="215"/>
      <c r="R806" s="215"/>
      <c r="S806" s="215"/>
      <c r="T806" s="215"/>
      <c r="U806" s="215"/>
      <c r="V806" s="215"/>
      <c r="W806" s="215"/>
      <c r="X806" s="215"/>
    </row>
    <row r="807" spans="1:24" ht="14.25" customHeight="1" x14ac:dyDescent="0.2">
      <c r="A807" s="215"/>
      <c r="B807" s="215"/>
      <c r="C807" s="215"/>
      <c r="D807" s="215"/>
      <c r="E807" s="215"/>
      <c r="F807" s="215"/>
      <c r="G807" s="215"/>
      <c r="H807" s="215"/>
      <c r="I807" s="215"/>
      <c r="J807" s="215"/>
      <c r="K807" s="215"/>
      <c r="L807" s="215"/>
      <c r="M807" s="215"/>
      <c r="N807" s="215"/>
      <c r="O807" s="215"/>
      <c r="P807" s="215"/>
      <c r="Q807" s="215"/>
      <c r="R807" s="215"/>
      <c r="S807" s="215"/>
      <c r="T807" s="215"/>
      <c r="U807" s="215"/>
      <c r="V807" s="215"/>
      <c r="W807" s="215"/>
      <c r="X807" s="215"/>
    </row>
    <row r="808" spans="1:24" ht="14.25" customHeight="1" x14ac:dyDescent="0.2">
      <c r="A808" s="215"/>
      <c r="B808" s="215"/>
      <c r="C808" s="215"/>
      <c r="D808" s="215"/>
      <c r="E808" s="215"/>
      <c r="F808" s="215"/>
      <c r="G808" s="215"/>
      <c r="H808" s="215"/>
      <c r="I808" s="215"/>
      <c r="J808" s="215"/>
      <c r="K808" s="215"/>
      <c r="L808" s="215"/>
      <c r="M808" s="215"/>
      <c r="N808" s="215"/>
      <c r="O808" s="215"/>
      <c r="P808" s="215"/>
      <c r="Q808" s="215"/>
      <c r="R808" s="215"/>
      <c r="S808" s="215"/>
      <c r="T808" s="215"/>
      <c r="U808" s="215"/>
      <c r="V808" s="215"/>
      <c r="W808" s="215"/>
      <c r="X808" s="215"/>
    </row>
    <row r="809" spans="1:24" ht="14.25" customHeight="1" x14ac:dyDescent="0.2">
      <c r="A809" s="215"/>
      <c r="B809" s="215"/>
      <c r="C809" s="215"/>
      <c r="D809" s="215"/>
      <c r="E809" s="215"/>
      <c r="F809" s="215"/>
      <c r="G809" s="215"/>
      <c r="H809" s="215"/>
      <c r="I809" s="215"/>
      <c r="J809" s="215"/>
      <c r="K809" s="215"/>
      <c r="L809" s="215"/>
      <c r="M809" s="215"/>
      <c r="N809" s="215"/>
      <c r="O809" s="215"/>
      <c r="P809" s="215"/>
      <c r="Q809" s="215"/>
      <c r="R809" s="215"/>
      <c r="S809" s="215"/>
      <c r="T809" s="215"/>
      <c r="U809" s="215"/>
      <c r="V809" s="215"/>
      <c r="W809" s="215"/>
      <c r="X809" s="215"/>
    </row>
    <row r="810" spans="1:24" ht="14.25" customHeight="1" x14ac:dyDescent="0.2">
      <c r="A810" s="215"/>
      <c r="B810" s="215"/>
      <c r="C810" s="215"/>
      <c r="D810" s="215"/>
      <c r="E810" s="215"/>
      <c r="F810" s="215"/>
      <c r="G810" s="215"/>
      <c r="H810" s="215"/>
      <c r="I810" s="215"/>
      <c r="J810" s="215"/>
      <c r="K810" s="215"/>
      <c r="L810" s="215"/>
      <c r="M810" s="215"/>
      <c r="N810" s="215"/>
      <c r="O810" s="215"/>
      <c r="P810" s="215"/>
      <c r="Q810" s="215"/>
      <c r="R810" s="215"/>
      <c r="S810" s="215"/>
      <c r="T810" s="215"/>
      <c r="U810" s="215"/>
      <c r="V810" s="215"/>
      <c r="W810" s="215"/>
      <c r="X810" s="215"/>
    </row>
    <row r="811" spans="1:24" ht="14.25" customHeight="1" x14ac:dyDescent="0.2">
      <c r="A811" s="215"/>
      <c r="B811" s="215"/>
      <c r="C811" s="215"/>
      <c r="D811" s="215"/>
      <c r="E811" s="215"/>
      <c r="F811" s="215"/>
      <c r="G811" s="215"/>
      <c r="H811" s="215"/>
      <c r="I811" s="215"/>
      <c r="J811" s="215"/>
      <c r="K811" s="215"/>
      <c r="L811" s="215"/>
      <c r="M811" s="215"/>
      <c r="N811" s="215"/>
      <c r="O811" s="215"/>
      <c r="P811" s="215"/>
      <c r="Q811" s="215"/>
      <c r="R811" s="215"/>
      <c r="S811" s="215"/>
      <c r="T811" s="215"/>
      <c r="U811" s="215"/>
      <c r="V811" s="215"/>
      <c r="W811" s="215"/>
      <c r="X811" s="215"/>
    </row>
    <row r="812" spans="1:24" ht="14.25" customHeight="1" x14ac:dyDescent="0.2">
      <c r="A812" s="215"/>
      <c r="B812" s="215"/>
      <c r="C812" s="215"/>
      <c r="D812" s="215"/>
      <c r="E812" s="215"/>
      <c r="F812" s="215"/>
      <c r="G812" s="215"/>
      <c r="H812" s="215"/>
      <c r="I812" s="215"/>
      <c r="J812" s="215"/>
      <c r="K812" s="215"/>
      <c r="L812" s="215"/>
      <c r="M812" s="215"/>
      <c r="N812" s="215"/>
      <c r="O812" s="215"/>
      <c r="P812" s="215"/>
      <c r="Q812" s="215"/>
      <c r="R812" s="215"/>
      <c r="S812" s="215"/>
      <c r="T812" s="215"/>
      <c r="U812" s="215"/>
      <c r="V812" s="215"/>
      <c r="W812" s="215"/>
      <c r="X812" s="215"/>
    </row>
    <row r="813" spans="1:24" ht="14.25" customHeight="1" x14ac:dyDescent="0.2">
      <c r="A813" s="215"/>
      <c r="B813" s="215"/>
      <c r="C813" s="215"/>
      <c r="D813" s="215"/>
      <c r="E813" s="215"/>
      <c r="F813" s="215"/>
      <c r="G813" s="215"/>
      <c r="H813" s="215"/>
      <c r="I813" s="215"/>
      <c r="J813" s="215"/>
      <c r="K813" s="215"/>
      <c r="L813" s="215"/>
      <c r="M813" s="215"/>
      <c r="N813" s="215"/>
      <c r="O813" s="215"/>
      <c r="P813" s="215"/>
      <c r="Q813" s="215"/>
      <c r="R813" s="215"/>
      <c r="S813" s="215"/>
      <c r="T813" s="215"/>
      <c r="U813" s="215"/>
      <c r="V813" s="215"/>
      <c r="W813" s="215"/>
      <c r="X813" s="215"/>
    </row>
    <row r="814" spans="1:24" ht="14.25" customHeight="1" x14ac:dyDescent="0.2">
      <c r="A814" s="215"/>
      <c r="B814" s="215"/>
      <c r="C814" s="215"/>
      <c r="D814" s="215"/>
      <c r="E814" s="215"/>
      <c r="F814" s="215"/>
      <c r="G814" s="215"/>
      <c r="H814" s="215"/>
      <c r="I814" s="215"/>
      <c r="J814" s="215"/>
      <c r="K814" s="215"/>
      <c r="L814" s="215"/>
      <c r="M814" s="215"/>
      <c r="N814" s="215"/>
      <c r="O814" s="215"/>
      <c r="P814" s="215"/>
      <c r="Q814" s="215"/>
      <c r="R814" s="215"/>
      <c r="S814" s="215"/>
      <c r="T814" s="215"/>
      <c r="U814" s="215"/>
      <c r="V814" s="215"/>
      <c r="W814" s="215"/>
      <c r="X814" s="215"/>
    </row>
    <row r="815" spans="1:24" ht="14.25" customHeight="1" x14ac:dyDescent="0.2">
      <c r="A815" s="215"/>
      <c r="B815" s="215"/>
      <c r="C815" s="215"/>
      <c r="D815" s="215"/>
      <c r="E815" s="215"/>
      <c r="F815" s="215"/>
      <c r="G815" s="215"/>
      <c r="H815" s="215"/>
      <c r="I815" s="215"/>
      <c r="J815" s="215"/>
      <c r="K815" s="215"/>
      <c r="L815" s="215"/>
      <c r="M815" s="215"/>
      <c r="N815" s="215"/>
      <c r="O815" s="215"/>
      <c r="P815" s="215"/>
      <c r="Q815" s="215"/>
      <c r="R815" s="215"/>
      <c r="S815" s="215"/>
      <c r="T815" s="215"/>
      <c r="U815" s="215"/>
      <c r="V815" s="215"/>
      <c r="W815" s="215"/>
      <c r="X815" s="215"/>
    </row>
    <row r="816" spans="1:24" ht="14.25" customHeight="1" x14ac:dyDescent="0.2">
      <c r="A816" s="215"/>
      <c r="B816" s="215"/>
      <c r="C816" s="215"/>
      <c r="D816" s="215"/>
      <c r="E816" s="215"/>
      <c r="F816" s="215"/>
      <c r="G816" s="215"/>
      <c r="H816" s="215"/>
      <c r="I816" s="215"/>
      <c r="J816" s="215"/>
      <c r="K816" s="215"/>
      <c r="L816" s="215"/>
      <c r="M816" s="215"/>
      <c r="N816" s="215"/>
      <c r="O816" s="215"/>
      <c r="P816" s="215"/>
      <c r="Q816" s="215"/>
      <c r="R816" s="215"/>
      <c r="S816" s="215"/>
      <c r="T816" s="215"/>
      <c r="U816" s="215"/>
      <c r="V816" s="215"/>
      <c r="W816" s="215"/>
      <c r="X816" s="215"/>
    </row>
    <row r="817" spans="1:24" ht="14.25" customHeight="1" x14ac:dyDescent="0.2">
      <c r="A817" s="215"/>
      <c r="B817" s="215"/>
      <c r="C817" s="215"/>
      <c r="D817" s="215"/>
      <c r="E817" s="215"/>
      <c r="F817" s="215"/>
      <c r="G817" s="215"/>
      <c r="H817" s="215"/>
      <c r="I817" s="215"/>
      <c r="J817" s="215"/>
      <c r="K817" s="215"/>
      <c r="L817" s="215"/>
      <c r="M817" s="215"/>
      <c r="N817" s="215"/>
      <c r="O817" s="215"/>
      <c r="P817" s="215"/>
      <c r="Q817" s="215"/>
      <c r="R817" s="215"/>
      <c r="S817" s="215"/>
      <c r="T817" s="215"/>
      <c r="U817" s="215"/>
      <c r="V817" s="215"/>
      <c r="W817" s="215"/>
      <c r="X817" s="215"/>
    </row>
    <row r="818" spans="1:24" ht="14.25" customHeight="1" x14ac:dyDescent="0.2">
      <c r="A818" s="215"/>
      <c r="B818" s="215"/>
      <c r="C818" s="215"/>
      <c r="D818" s="215"/>
      <c r="E818" s="215"/>
      <c r="F818" s="215"/>
      <c r="G818" s="215"/>
      <c r="H818" s="215"/>
      <c r="I818" s="215"/>
      <c r="J818" s="215"/>
      <c r="K818" s="215"/>
      <c r="L818" s="215"/>
      <c r="M818" s="215"/>
      <c r="N818" s="215"/>
      <c r="O818" s="215"/>
      <c r="P818" s="215"/>
      <c r="Q818" s="215"/>
      <c r="R818" s="215"/>
      <c r="S818" s="215"/>
      <c r="T818" s="215"/>
      <c r="U818" s="215"/>
      <c r="V818" s="215"/>
      <c r="W818" s="215"/>
      <c r="X818" s="215"/>
    </row>
    <row r="819" spans="1:24" ht="14.25" customHeight="1" x14ac:dyDescent="0.2">
      <c r="A819" s="215"/>
      <c r="B819" s="215"/>
      <c r="C819" s="215"/>
      <c r="D819" s="215"/>
      <c r="E819" s="215"/>
      <c r="F819" s="215"/>
      <c r="G819" s="215"/>
      <c r="H819" s="215"/>
      <c r="I819" s="215"/>
      <c r="J819" s="215"/>
      <c r="K819" s="215"/>
      <c r="L819" s="215"/>
      <c r="M819" s="215"/>
      <c r="N819" s="215"/>
      <c r="O819" s="215"/>
      <c r="P819" s="215"/>
      <c r="Q819" s="215"/>
      <c r="R819" s="215"/>
      <c r="S819" s="215"/>
      <c r="T819" s="215"/>
      <c r="U819" s="215"/>
      <c r="V819" s="215"/>
      <c r="W819" s="215"/>
      <c r="X819" s="215"/>
    </row>
    <row r="820" spans="1:24" ht="14.25" customHeight="1" x14ac:dyDescent="0.2">
      <c r="A820" s="215"/>
      <c r="B820" s="215"/>
      <c r="C820" s="215"/>
      <c r="D820" s="215"/>
      <c r="E820" s="215"/>
      <c r="F820" s="215"/>
      <c r="G820" s="215"/>
      <c r="H820" s="215"/>
      <c r="I820" s="215"/>
      <c r="J820" s="215"/>
      <c r="K820" s="215"/>
      <c r="L820" s="215"/>
      <c r="M820" s="215"/>
      <c r="N820" s="215"/>
      <c r="O820" s="215"/>
      <c r="P820" s="215"/>
      <c r="Q820" s="215"/>
      <c r="R820" s="215"/>
      <c r="S820" s="215"/>
      <c r="T820" s="215"/>
      <c r="U820" s="215"/>
      <c r="V820" s="215"/>
      <c r="W820" s="215"/>
      <c r="X820" s="215"/>
    </row>
    <row r="821" spans="1:24" ht="14.25" customHeight="1" x14ac:dyDescent="0.2">
      <c r="A821" s="215"/>
      <c r="B821" s="215"/>
      <c r="C821" s="215"/>
      <c r="D821" s="215"/>
      <c r="E821" s="215"/>
      <c r="F821" s="215"/>
      <c r="G821" s="215"/>
      <c r="H821" s="215"/>
      <c r="I821" s="215"/>
      <c r="J821" s="215"/>
      <c r="K821" s="215"/>
      <c r="L821" s="215"/>
      <c r="M821" s="215"/>
      <c r="N821" s="215"/>
      <c r="O821" s="215"/>
      <c r="P821" s="215"/>
      <c r="Q821" s="215"/>
      <c r="R821" s="215"/>
      <c r="S821" s="215"/>
      <c r="T821" s="215"/>
      <c r="U821" s="215"/>
      <c r="V821" s="215"/>
      <c r="W821" s="215"/>
      <c r="X821" s="215"/>
    </row>
    <row r="822" spans="1:24" ht="14.25" customHeight="1" x14ac:dyDescent="0.2">
      <c r="A822" s="215"/>
      <c r="B822" s="215"/>
      <c r="C822" s="215"/>
      <c r="D822" s="215"/>
      <c r="E822" s="215"/>
      <c r="F822" s="215"/>
      <c r="G822" s="215"/>
      <c r="H822" s="215"/>
      <c r="I822" s="215"/>
      <c r="J822" s="215"/>
      <c r="K822" s="215"/>
      <c r="L822" s="215"/>
      <c r="M822" s="215"/>
      <c r="N822" s="215"/>
      <c r="O822" s="215"/>
      <c r="P822" s="215"/>
      <c r="Q822" s="215"/>
      <c r="R822" s="215"/>
      <c r="S822" s="215"/>
      <c r="T822" s="215"/>
      <c r="U822" s="215"/>
      <c r="V822" s="215"/>
      <c r="W822" s="215"/>
      <c r="X822" s="215"/>
    </row>
    <row r="823" spans="1:24" ht="14.25" customHeight="1" x14ac:dyDescent="0.2">
      <c r="A823" s="215"/>
      <c r="B823" s="215"/>
      <c r="C823" s="215"/>
      <c r="D823" s="215"/>
      <c r="E823" s="215"/>
      <c r="F823" s="215"/>
      <c r="G823" s="215"/>
      <c r="H823" s="215"/>
      <c r="I823" s="215"/>
      <c r="J823" s="215"/>
      <c r="K823" s="215"/>
      <c r="L823" s="215"/>
      <c r="M823" s="215"/>
      <c r="N823" s="215"/>
      <c r="O823" s="215"/>
      <c r="P823" s="215"/>
      <c r="Q823" s="215"/>
      <c r="R823" s="215"/>
      <c r="S823" s="215"/>
      <c r="T823" s="215"/>
      <c r="U823" s="215"/>
      <c r="V823" s="215"/>
      <c r="W823" s="215"/>
      <c r="X823" s="215"/>
    </row>
    <row r="824" spans="1:24" ht="14.25" customHeight="1" x14ac:dyDescent="0.2">
      <c r="A824" s="215"/>
      <c r="B824" s="215"/>
      <c r="C824" s="215"/>
      <c r="D824" s="215"/>
      <c r="E824" s="215"/>
      <c r="F824" s="215"/>
      <c r="G824" s="215"/>
      <c r="H824" s="215"/>
      <c r="I824" s="215"/>
      <c r="J824" s="215"/>
      <c r="K824" s="215"/>
      <c r="L824" s="215"/>
      <c r="M824" s="215"/>
      <c r="N824" s="215"/>
      <c r="O824" s="215"/>
      <c r="P824" s="215"/>
      <c r="Q824" s="215"/>
      <c r="R824" s="215"/>
      <c r="S824" s="215"/>
      <c r="T824" s="215"/>
      <c r="U824" s="215"/>
      <c r="V824" s="215"/>
      <c r="W824" s="215"/>
      <c r="X824" s="215"/>
    </row>
    <row r="825" spans="1:24" ht="14.25" customHeight="1" x14ac:dyDescent="0.2">
      <c r="A825" s="215"/>
      <c r="B825" s="215"/>
      <c r="C825" s="215"/>
      <c r="D825" s="215"/>
      <c r="E825" s="215"/>
      <c r="F825" s="215"/>
      <c r="G825" s="215"/>
      <c r="H825" s="215"/>
      <c r="I825" s="215"/>
      <c r="J825" s="215"/>
      <c r="K825" s="215"/>
      <c r="L825" s="215"/>
      <c r="M825" s="215"/>
      <c r="N825" s="215"/>
      <c r="O825" s="215"/>
      <c r="P825" s="215"/>
      <c r="Q825" s="215"/>
      <c r="R825" s="215"/>
      <c r="S825" s="215"/>
      <c r="T825" s="215"/>
      <c r="U825" s="215"/>
      <c r="V825" s="215"/>
      <c r="W825" s="215"/>
      <c r="X825" s="215"/>
    </row>
    <row r="826" spans="1:24" ht="14.25" customHeight="1" x14ac:dyDescent="0.2">
      <c r="A826" s="215"/>
      <c r="B826" s="215"/>
      <c r="C826" s="215"/>
      <c r="D826" s="215"/>
      <c r="E826" s="215"/>
      <c r="F826" s="215"/>
      <c r="G826" s="215"/>
      <c r="H826" s="215"/>
      <c r="I826" s="215"/>
      <c r="J826" s="215"/>
      <c r="K826" s="215"/>
      <c r="L826" s="215"/>
      <c r="M826" s="215"/>
      <c r="N826" s="215"/>
      <c r="O826" s="215"/>
      <c r="P826" s="215"/>
      <c r="Q826" s="215"/>
      <c r="R826" s="215"/>
      <c r="S826" s="215"/>
      <c r="T826" s="215"/>
      <c r="U826" s="215"/>
      <c r="V826" s="215"/>
      <c r="W826" s="215"/>
      <c r="X826" s="215"/>
    </row>
    <row r="827" spans="1:24" ht="14.25" customHeight="1" x14ac:dyDescent="0.2">
      <c r="A827" s="215"/>
      <c r="B827" s="215"/>
      <c r="C827" s="215"/>
      <c r="D827" s="215"/>
      <c r="E827" s="215"/>
      <c r="F827" s="215"/>
      <c r="G827" s="215"/>
      <c r="H827" s="215"/>
      <c r="I827" s="215"/>
      <c r="J827" s="215"/>
      <c r="K827" s="215"/>
      <c r="L827" s="215"/>
      <c r="M827" s="215"/>
      <c r="N827" s="215"/>
      <c r="O827" s="215"/>
      <c r="P827" s="215"/>
      <c r="Q827" s="215"/>
      <c r="R827" s="215"/>
      <c r="S827" s="215"/>
      <c r="T827" s="215"/>
      <c r="U827" s="215"/>
      <c r="V827" s="215"/>
      <c r="W827" s="215"/>
      <c r="X827" s="215"/>
    </row>
    <row r="828" spans="1:24" ht="14.25" customHeight="1" x14ac:dyDescent="0.2">
      <c r="A828" s="215"/>
      <c r="B828" s="215"/>
      <c r="C828" s="215"/>
      <c r="D828" s="215"/>
      <c r="E828" s="215"/>
      <c r="F828" s="215"/>
      <c r="G828" s="215"/>
      <c r="H828" s="215"/>
      <c r="I828" s="215"/>
      <c r="J828" s="215"/>
      <c r="K828" s="215"/>
      <c r="L828" s="215"/>
      <c r="M828" s="215"/>
      <c r="N828" s="215"/>
      <c r="O828" s="215"/>
      <c r="P828" s="215"/>
      <c r="Q828" s="215"/>
      <c r="R828" s="215"/>
      <c r="S828" s="215"/>
      <c r="T828" s="215"/>
      <c r="U828" s="215"/>
      <c r="V828" s="215"/>
      <c r="W828" s="215"/>
      <c r="X828" s="215"/>
    </row>
    <row r="829" spans="1:24" ht="14.25" customHeight="1" x14ac:dyDescent="0.2">
      <c r="A829" s="215"/>
      <c r="B829" s="215"/>
      <c r="C829" s="215"/>
      <c r="D829" s="215"/>
      <c r="E829" s="215"/>
      <c r="F829" s="215"/>
      <c r="G829" s="215"/>
      <c r="H829" s="215"/>
      <c r="I829" s="215"/>
      <c r="J829" s="215"/>
      <c r="K829" s="215"/>
      <c r="L829" s="215"/>
      <c r="M829" s="215"/>
      <c r="N829" s="215"/>
      <c r="O829" s="215"/>
      <c r="P829" s="215"/>
      <c r="Q829" s="215"/>
      <c r="R829" s="215"/>
      <c r="S829" s="215"/>
      <c r="T829" s="215"/>
      <c r="U829" s="215"/>
      <c r="V829" s="215"/>
      <c r="W829" s="215"/>
      <c r="X829" s="215"/>
    </row>
    <row r="830" spans="1:24" ht="14.25" customHeight="1" x14ac:dyDescent="0.2">
      <c r="A830" s="215"/>
      <c r="B830" s="215"/>
      <c r="C830" s="215"/>
      <c r="D830" s="215"/>
      <c r="E830" s="215"/>
      <c r="F830" s="215"/>
      <c r="G830" s="215"/>
      <c r="H830" s="215"/>
      <c r="I830" s="215"/>
      <c r="J830" s="215"/>
      <c r="K830" s="215"/>
      <c r="L830" s="215"/>
      <c r="M830" s="215"/>
      <c r="N830" s="215"/>
      <c r="O830" s="215"/>
      <c r="P830" s="215"/>
      <c r="Q830" s="215"/>
      <c r="R830" s="215"/>
      <c r="S830" s="215"/>
      <c r="T830" s="215"/>
      <c r="U830" s="215"/>
      <c r="V830" s="215"/>
      <c r="W830" s="215"/>
      <c r="X830" s="215"/>
    </row>
    <row r="831" spans="1:24" ht="14.25" customHeight="1" x14ac:dyDescent="0.2">
      <c r="A831" s="215"/>
      <c r="B831" s="215"/>
      <c r="C831" s="215"/>
      <c r="D831" s="215"/>
      <c r="E831" s="215"/>
      <c r="F831" s="215"/>
      <c r="G831" s="215"/>
      <c r="H831" s="215"/>
      <c r="I831" s="215"/>
      <c r="J831" s="215"/>
      <c r="K831" s="215"/>
      <c r="L831" s="215"/>
      <c r="M831" s="215"/>
      <c r="N831" s="215"/>
      <c r="O831" s="215"/>
      <c r="P831" s="215"/>
      <c r="Q831" s="215"/>
      <c r="R831" s="215"/>
      <c r="S831" s="215"/>
      <c r="T831" s="215"/>
      <c r="U831" s="215"/>
      <c r="V831" s="215"/>
      <c r="W831" s="215"/>
      <c r="X831" s="215"/>
    </row>
    <row r="832" spans="1:24" ht="14.25" customHeight="1" x14ac:dyDescent="0.2">
      <c r="A832" s="215"/>
      <c r="B832" s="215"/>
      <c r="C832" s="215"/>
      <c r="D832" s="215"/>
      <c r="E832" s="215"/>
      <c r="F832" s="215"/>
      <c r="G832" s="215"/>
      <c r="H832" s="215"/>
      <c r="I832" s="215"/>
      <c r="J832" s="215"/>
      <c r="K832" s="215"/>
      <c r="L832" s="215"/>
      <c r="M832" s="215"/>
      <c r="N832" s="215"/>
      <c r="O832" s="215"/>
      <c r="P832" s="215"/>
      <c r="Q832" s="215"/>
      <c r="R832" s="215"/>
      <c r="S832" s="215"/>
      <c r="T832" s="215"/>
      <c r="U832" s="215"/>
      <c r="V832" s="215"/>
      <c r="W832" s="215"/>
      <c r="X832" s="215"/>
    </row>
    <row r="833" spans="1:24" ht="14.25" customHeight="1" x14ac:dyDescent="0.2">
      <c r="A833" s="215"/>
      <c r="B833" s="215"/>
      <c r="C833" s="215"/>
      <c r="D833" s="215"/>
      <c r="E833" s="215"/>
      <c r="F833" s="215"/>
      <c r="G833" s="215"/>
      <c r="H833" s="215"/>
      <c r="I833" s="215"/>
      <c r="J833" s="215"/>
      <c r="K833" s="215"/>
      <c r="L833" s="215"/>
      <c r="M833" s="215"/>
      <c r="N833" s="215"/>
      <c r="O833" s="215"/>
      <c r="P833" s="215"/>
      <c r="Q833" s="215"/>
      <c r="R833" s="215"/>
      <c r="S833" s="215"/>
      <c r="T833" s="215"/>
      <c r="U833" s="215"/>
      <c r="V833" s="215"/>
      <c r="W833" s="215"/>
      <c r="X833" s="215"/>
    </row>
    <row r="834" spans="1:24" ht="14.25" customHeight="1" x14ac:dyDescent="0.2">
      <c r="A834" s="215"/>
      <c r="B834" s="215"/>
      <c r="C834" s="215"/>
      <c r="D834" s="215"/>
      <c r="E834" s="215"/>
      <c r="F834" s="215"/>
      <c r="G834" s="215"/>
      <c r="H834" s="215"/>
      <c r="I834" s="215"/>
      <c r="J834" s="215"/>
      <c r="K834" s="215"/>
      <c r="L834" s="215"/>
      <c r="M834" s="215"/>
      <c r="N834" s="215"/>
      <c r="O834" s="215"/>
      <c r="P834" s="215"/>
      <c r="Q834" s="215"/>
      <c r="R834" s="215"/>
      <c r="S834" s="215"/>
      <c r="T834" s="215"/>
      <c r="U834" s="215"/>
      <c r="V834" s="215"/>
      <c r="W834" s="215"/>
      <c r="X834" s="215"/>
    </row>
    <row r="835" spans="1:24" ht="14.25" customHeight="1" x14ac:dyDescent="0.2">
      <c r="A835" s="215"/>
      <c r="B835" s="215"/>
      <c r="C835" s="215"/>
      <c r="D835" s="215"/>
      <c r="E835" s="215"/>
      <c r="F835" s="215"/>
      <c r="G835" s="215"/>
      <c r="H835" s="215"/>
      <c r="I835" s="215"/>
      <c r="J835" s="215"/>
      <c r="K835" s="215"/>
      <c r="L835" s="215"/>
      <c r="M835" s="215"/>
      <c r="N835" s="215"/>
      <c r="O835" s="215"/>
      <c r="P835" s="215"/>
      <c r="Q835" s="215"/>
      <c r="R835" s="215"/>
      <c r="S835" s="215"/>
      <c r="T835" s="215"/>
      <c r="U835" s="215"/>
      <c r="V835" s="215"/>
      <c r="W835" s="215"/>
      <c r="X835" s="215"/>
    </row>
    <row r="836" spans="1:24" ht="14.25" customHeight="1" x14ac:dyDescent="0.2">
      <c r="A836" s="215"/>
      <c r="B836" s="215"/>
      <c r="C836" s="215"/>
      <c r="D836" s="215"/>
      <c r="E836" s="215"/>
      <c r="F836" s="215"/>
      <c r="G836" s="215"/>
      <c r="H836" s="215"/>
      <c r="I836" s="215"/>
      <c r="J836" s="215"/>
      <c r="K836" s="215"/>
      <c r="L836" s="215"/>
      <c r="M836" s="215"/>
      <c r="N836" s="215"/>
      <c r="O836" s="215"/>
      <c r="P836" s="215"/>
      <c r="Q836" s="215"/>
      <c r="R836" s="215"/>
      <c r="S836" s="215"/>
      <c r="T836" s="215"/>
      <c r="U836" s="215"/>
      <c r="V836" s="215"/>
      <c r="W836" s="215"/>
      <c r="X836" s="215"/>
    </row>
    <row r="837" spans="1:24" ht="14.25" customHeight="1" x14ac:dyDescent="0.2">
      <c r="A837" s="215"/>
      <c r="B837" s="215"/>
      <c r="C837" s="215"/>
      <c r="D837" s="215"/>
      <c r="E837" s="215"/>
      <c r="F837" s="215"/>
      <c r="G837" s="215"/>
      <c r="H837" s="215"/>
      <c r="I837" s="215"/>
      <c r="J837" s="215"/>
      <c r="K837" s="215"/>
      <c r="L837" s="215"/>
      <c r="M837" s="215"/>
      <c r="N837" s="215"/>
      <c r="O837" s="215"/>
      <c r="P837" s="215"/>
      <c r="Q837" s="215"/>
      <c r="R837" s="215"/>
      <c r="S837" s="215"/>
      <c r="T837" s="215"/>
      <c r="U837" s="215"/>
      <c r="V837" s="215"/>
      <c r="W837" s="215"/>
      <c r="X837" s="215"/>
    </row>
    <row r="838" spans="1:24" ht="14.25" customHeight="1" x14ac:dyDescent="0.2">
      <c r="A838" s="215"/>
      <c r="B838" s="215"/>
      <c r="C838" s="215"/>
      <c r="D838" s="215"/>
      <c r="E838" s="215"/>
      <c r="F838" s="215"/>
      <c r="G838" s="215"/>
      <c r="H838" s="215"/>
      <c r="I838" s="215"/>
      <c r="J838" s="215"/>
      <c r="K838" s="215"/>
      <c r="L838" s="215"/>
      <c r="M838" s="215"/>
      <c r="N838" s="215"/>
      <c r="O838" s="215"/>
      <c r="P838" s="215"/>
      <c r="Q838" s="215"/>
      <c r="R838" s="215"/>
      <c r="S838" s="215"/>
      <c r="T838" s="215"/>
      <c r="U838" s="215"/>
      <c r="V838" s="215"/>
      <c r="W838" s="215"/>
      <c r="X838" s="215"/>
    </row>
    <row r="839" spans="1:24" ht="14.25" customHeight="1" x14ac:dyDescent="0.2">
      <c r="A839" s="215"/>
      <c r="B839" s="215"/>
      <c r="C839" s="215"/>
      <c r="D839" s="215"/>
      <c r="E839" s="215"/>
      <c r="F839" s="215"/>
      <c r="G839" s="215"/>
      <c r="H839" s="215"/>
      <c r="I839" s="215"/>
      <c r="J839" s="215"/>
      <c r="K839" s="215"/>
      <c r="L839" s="215"/>
      <c r="M839" s="215"/>
      <c r="N839" s="215"/>
      <c r="O839" s="215"/>
      <c r="P839" s="215"/>
      <c r="Q839" s="215"/>
      <c r="R839" s="215"/>
      <c r="S839" s="215"/>
      <c r="T839" s="215"/>
      <c r="U839" s="215"/>
      <c r="V839" s="215"/>
      <c r="W839" s="215"/>
      <c r="X839" s="215"/>
    </row>
    <row r="840" spans="1:24" ht="14.25" customHeight="1" x14ac:dyDescent="0.2">
      <c r="A840" s="215"/>
      <c r="B840" s="215"/>
      <c r="C840" s="215"/>
      <c r="D840" s="215"/>
      <c r="E840" s="215"/>
      <c r="F840" s="215"/>
      <c r="G840" s="215"/>
      <c r="H840" s="215"/>
      <c r="I840" s="215"/>
      <c r="J840" s="215"/>
      <c r="K840" s="215"/>
      <c r="L840" s="215"/>
      <c r="M840" s="215"/>
      <c r="N840" s="215"/>
      <c r="O840" s="215"/>
      <c r="P840" s="215"/>
      <c r="Q840" s="215"/>
      <c r="R840" s="215"/>
      <c r="S840" s="215"/>
      <c r="T840" s="215"/>
      <c r="U840" s="215"/>
      <c r="V840" s="215"/>
      <c r="W840" s="215"/>
      <c r="X840" s="215"/>
    </row>
    <row r="841" spans="1:24" ht="14.25" customHeight="1" x14ac:dyDescent="0.2">
      <c r="A841" s="215"/>
      <c r="B841" s="215"/>
      <c r="C841" s="215"/>
      <c r="D841" s="215"/>
      <c r="E841" s="215"/>
      <c r="F841" s="215"/>
      <c r="G841" s="215"/>
      <c r="H841" s="215"/>
      <c r="I841" s="215"/>
      <c r="J841" s="215"/>
      <c r="K841" s="215"/>
      <c r="L841" s="215"/>
      <c r="M841" s="215"/>
      <c r="N841" s="215"/>
      <c r="O841" s="215"/>
      <c r="P841" s="215"/>
      <c r="Q841" s="215"/>
      <c r="R841" s="215"/>
      <c r="S841" s="215"/>
      <c r="T841" s="215"/>
      <c r="U841" s="215"/>
      <c r="V841" s="215"/>
      <c r="W841" s="215"/>
      <c r="X841" s="215"/>
    </row>
    <row r="842" spans="1:24" ht="14.25" customHeight="1" x14ac:dyDescent="0.2">
      <c r="A842" s="215"/>
      <c r="B842" s="215"/>
      <c r="C842" s="215"/>
      <c r="D842" s="215"/>
      <c r="E842" s="215"/>
      <c r="F842" s="215"/>
      <c r="G842" s="215"/>
      <c r="H842" s="215"/>
      <c r="I842" s="215"/>
      <c r="J842" s="215"/>
      <c r="K842" s="215"/>
      <c r="L842" s="215"/>
      <c r="M842" s="215"/>
      <c r="N842" s="215"/>
      <c r="O842" s="215"/>
      <c r="P842" s="215"/>
      <c r="Q842" s="215"/>
      <c r="R842" s="215"/>
      <c r="S842" s="215"/>
      <c r="T842" s="215"/>
      <c r="U842" s="215"/>
      <c r="V842" s="215"/>
      <c r="W842" s="215"/>
      <c r="X842" s="215"/>
    </row>
    <row r="843" spans="1:24" ht="14.25" customHeight="1" x14ac:dyDescent="0.2">
      <c r="A843" s="215"/>
      <c r="B843" s="215"/>
      <c r="C843" s="215"/>
      <c r="D843" s="215"/>
      <c r="E843" s="215"/>
      <c r="F843" s="215"/>
      <c r="G843" s="215"/>
      <c r="H843" s="215"/>
      <c r="I843" s="215"/>
      <c r="J843" s="215"/>
      <c r="K843" s="215"/>
      <c r="L843" s="215"/>
      <c r="M843" s="215"/>
      <c r="N843" s="215"/>
      <c r="O843" s="215"/>
      <c r="P843" s="215"/>
      <c r="Q843" s="215"/>
      <c r="R843" s="215"/>
      <c r="S843" s="215"/>
      <c r="T843" s="215"/>
      <c r="U843" s="215"/>
      <c r="V843" s="215"/>
      <c r="W843" s="215"/>
      <c r="X843" s="215"/>
    </row>
    <row r="844" spans="1:24" ht="14.25" customHeight="1" x14ac:dyDescent="0.2">
      <c r="A844" s="215"/>
      <c r="B844" s="215"/>
      <c r="C844" s="215"/>
      <c r="D844" s="215"/>
      <c r="E844" s="215"/>
      <c r="F844" s="215"/>
      <c r="G844" s="215"/>
      <c r="H844" s="215"/>
      <c r="I844" s="215"/>
      <c r="J844" s="215"/>
      <c r="K844" s="215"/>
      <c r="L844" s="215"/>
      <c r="M844" s="215"/>
      <c r="N844" s="215"/>
      <c r="O844" s="215"/>
      <c r="P844" s="215"/>
      <c r="Q844" s="215"/>
      <c r="R844" s="215"/>
      <c r="S844" s="215"/>
      <c r="T844" s="215"/>
      <c r="U844" s="215"/>
      <c r="V844" s="215"/>
      <c r="W844" s="215"/>
      <c r="X844" s="215"/>
    </row>
    <row r="845" spans="1:24" ht="14.25" customHeight="1" x14ac:dyDescent="0.2">
      <c r="A845" s="215"/>
      <c r="B845" s="215"/>
      <c r="C845" s="215"/>
      <c r="D845" s="215"/>
      <c r="E845" s="215"/>
      <c r="F845" s="215"/>
      <c r="G845" s="215"/>
      <c r="H845" s="215"/>
      <c r="I845" s="215"/>
      <c r="J845" s="215"/>
      <c r="K845" s="215"/>
      <c r="L845" s="215"/>
      <c r="M845" s="215"/>
      <c r="N845" s="215"/>
      <c r="O845" s="215"/>
      <c r="P845" s="215"/>
      <c r="Q845" s="215"/>
      <c r="R845" s="215"/>
      <c r="S845" s="215"/>
      <c r="T845" s="215"/>
      <c r="U845" s="215"/>
      <c r="V845" s="215"/>
      <c r="W845" s="215"/>
      <c r="X845" s="215"/>
    </row>
    <row r="846" spans="1:24" ht="14.25" customHeight="1" x14ac:dyDescent="0.2">
      <c r="A846" s="215"/>
      <c r="B846" s="215"/>
      <c r="C846" s="215"/>
      <c r="D846" s="215"/>
      <c r="E846" s="215"/>
      <c r="F846" s="215"/>
      <c r="G846" s="215"/>
      <c r="H846" s="215"/>
      <c r="I846" s="215"/>
      <c r="J846" s="215"/>
      <c r="K846" s="215"/>
      <c r="L846" s="215"/>
      <c r="M846" s="215"/>
      <c r="N846" s="215"/>
      <c r="O846" s="215"/>
      <c r="P846" s="215"/>
      <c r="Q846" s="215"/>
      <c r="R846" s="215"/>
      <c r="S846" s="215"/>
      <c r="T846" s="215"/>
      <c r="U846" s="215"/>
      <c r="V846" s="215"/>
      <c r="W846" s="215"/>
      <c r="X846" s="215"/>
    </row>
    <row r="847" spans="1:24" ht="14.25" customHeight="1" x14ac:dyDescent="0.2">
      <c r="A847" s="215"/>
      <c r="B847" s="215"/>
      <c r="C847" s="215"/>
      <c r="D847" s="215"/>
      <c r="E847" s="215"/>
      <c r="F847" s="215"/>
      <c r="G847" s="215"/>
      <c r="H847" s="215"/>
      <c r="I847" s="215"/>
      <c r="J847" s="215"/>
      <c r="K847" s="215"/>
      <c r="L847" s="215"/>
      <c r="M847" s="215"/>
      <c r="N847" s="215"/>
      <c r="O847" s="215"/>
      <c r="P847" s="215"/>
      <c r="Q847" s="215"/>
      <c r="R847" s="215"/>
      <c r="S847" s="215"/>
      <c r="T847" s="215"/>
      <c r="U847" s="215"/>
      <c r="V847" s="215"/>
      <c r="W847" s="215"/>
      <c r="X847" s="215"/>
    </row>
    <row r="848" spans="1:24" ht="14.25" customHeight="1" x14ac:dyDescent="0.2">
      <c r="A848" s="215"/>
      <c r="B848" s="215"/>
      <c r="C848" s="215"/>
      <c r="D848" s="215"/>
      <c r="E848" s="215"/>
      <c r="F848" s="215"/>
      <c r="G848" s="215"/>
      <c r="H848" s="215"/>
      <c r="I848" s="215"/>
      <c r="J848" s="215"/>
      <c r="K848" s="215"/>
      <c r="L848" s="215"/>
      <c r="M848" s="215"/>
      <c r="N848" s="215"/>
      <c r="O848" s="215"/>
      <c r="P848" s="215"/>
      <c r="Q848" s="215"/>
      <c r="R848" s="215"/>
      <c r="S848" s="215"/>
      <c r="T848" s="215"/>
      <c r="U848" s="215"/>
      <c r="V848" s="215"/>
      <c r="W848" s="215"/>
      <c r="X848" s="215"/>
    </row>
    <row r="849" spans="1:24" ht="14.25" customHeight="1" x14ac:dyDescent="0.2">
      <c r="A849" s="215"/>
      <c r="B849" s="215"/>
      <c r="C849" s="215"/>
      <c r="D849" s="215"/>
      <c r="E849" s="215"/>
      <c r="F849" s="215"/>
      <c r="G849" s="215"/>
      <c r="H849" s="215"/>
      <c r="I849" s="215"/>
      <c r="J849" s="215"/>
      <c r="K849" s="215"/>
      <c r="L849" s="215"/>
      <c r="M849" s="215"/>
      <c r="N849" s="215"/>
      <c r="O849" s="215"/>
      <c r="P849" s="215"/>
      <c r="Q849" s="215"/>
      <c r="R849" s="215"/>
      <c r="S849" s="215"/>
      <c r="T849" s="215"/>
      <c r="U849" s="215"/>
      <c r="V849" s="215"/>
      <c r="W849" s="215"/>
      <c r="X849" s="215"/>
    </row>
    <row r="850" spans="1:24" ht="14.25" customHeight="1" x14ac:dyDescent="0.2">
      <c r="A850" s="215"/>
      <c r="B850" s="215"/>
      <c r="C850" s="215"/>
      <c r="D850" s="215"/>
      <c r="E850" s="215"/>
      <c r="F850" s="215"/>
      <c r="G850" s="215"/>
      <c r="H850" s="215"/>
      <c r="I850" s="215"/>
      <c r="J850" s="215"/>
      <c r="K850" s="215"/>
      <c r="L850" s="215"/>
      <c r="M850" s="215"/>
      <c r="N850" s="215"/>
      <c r="O850" s="215"/>
      <c r="P850" s="215"/>
      <c r="Q850" s="215"/>
      <c r="R850" s="215"/>
      <c r="S850" s="215"/>
      <c r="T850" s="215"/>
      <c r="U850" s="215"/>
      <c r="V850" s="215"/>
      <c r="W850" s="215"/>
      <c r="X850" s="215"/>
    </row>
    <row r="851" spans="1:24" ht="14.25" customHeight="1" x14ac:dyDescent="0.2">
      <c r="A851" s="215"/>
      <c r="B851" s="215"/>
      <c r="C851" s="215"/>
      <c r="D851" s="215"/>
      <c r="E851" s="215"/>
      <c r="F851" s="215"/>
      <c r="G851" s="215"/>
      <c r="H851" s="215"/>
      <c r="I851" s="215"/>
      <c r="J851" s="215"/>
      <c r="K851" s="215"/>
      <c r="L851" s="215"/>
      <c r="M851" s="215"/>
      <c r="N851" s="215"/>
      <c r="O851" s="215"/>
      <c r="P851" s="215"/>
      <c r="Q851" s="215"/>
      <c r="R851" s="215"/>
      <c r="S851" s="215"/>
      <c r="T851" s="215"/>
      <c r="U851" s="215"/>
      <c r="V851" s="215"/>
      <c r="W851" s="215"/>
      <c r="X851" s="215"/>
    </row>
    <row r="852" spans="1:24" ht="14.25" customHeight="1" x14ac:dyDescent="0.2">
      <c r="A852" s="215"/>
      <c r="B852" s="215"/>
      <c r="C852" s="215"/>
      <c r="D852" s="215"/>
      <c r="E852" s="215"/>
      <c r="F852" s="215"/>
      <c r="G852" s="215"/>
      <c r="H852" s="215"/>
      <c r="I852" s="215"/>
      <c r="J852" s="215"/>
      <c r="K852" s="215"/>
      <c r="L852" s="215"/>
      <c r="M852" s="215"/>
      <c r="N852" s="215"/>
      <c r="O852" s="215"/>
      <c r="P852" s="215"/>
      <c r="Q852" s="215"/>
      <c r="R852" s="215"/>
      <c r="S852" s="215"/>
      <c r="T852" s="215"/>
      <c r="U852" s="215"/>
      <c r="V852" s="215"/>
      <c r="W852" s="215"/>
      <c r="X852" s="215"/>
    </row>
    <row r="853" spans="1:24" ht="14.25" customHeight="1" x14ac:dyDescent="0.2">
      <c r="A853" s="215"/>
      <c r="B853" s="215"/>
      <c r="C853" s="215"/>
      <c r="D853" s="215"/>
      <c r="E853" s="215"/>
      <c r="F853" s="215"/>
      <c r="G853" s="215"/>
      <c r="H853" s="215"/>
      <c r="I853" s="215"/>
      <c r="J853" s="215"/>
      <c r="K853" s="215"/>
      <c r="L853" s="215"/>
      <c r="M853" s="215"/>
      <c r="N853" s="215"/>
      <c r="O853" s="215"/>
      <c r="P853" s="215"/>
      <c r="Q853" s="215"/>
      <c r="R853" s="215"/>
      <c r="S853" s="215"/>
      <c r="T853" s="215"/>
      <c r="U853" s="215"/>
      <c r="V853" s="215"/>
      <c r="W853" s="215"/>
      <c r="X853" s="215"/>
    </row>
    <row r="854" spans="1:24" ht="14.25" customHeight="1" x14ac:dyDescent="0.2">
      <c r="A854" s="215"/>
      <c r="B854" s="215"/>
      <c r="C854" s="215"/>
      <c r="D854" s="215"/>
      <c r="E854" s="215"/>
      <c r="F854" s="215"/>
      <c r="G854" s="215"/>
      <c r="H854" s="215"/>
      <c r="I854" s="215"/>
      <c r="J854" s="215"/>
      <c r="K854" s="215"/>
      <c r="L854" s="215"/>
      <c r="M854" s="215"/>
      <c r="N854" s="215"/>
      <c r="O854" s="215"/>
      <c r="P854" s="215"/>
      <c r="Q854" s="215"/>
      <c r="R854" s="215"/>
      <c r="S854" s="215"/>
      <c r="T854" s="215"/>
      <c r="U854" s="215"/>
      <c r="V854" s="215"/>
      <c r="W854" s="215"/>
      <c r="X854" s="215"/>
    </row>
    <row r="855" spans="1:24" ht="14.25" customHeight="1" x14ac:dyDescent="0.2">
      <c r="A855" s="215"/>
      <c r="B855" s="215"/>
      <c r="C855" s="215"/>
      <c r="D855" s="215"/>
      <c r="E855" s="215"/>
      <c r="F855" s="215"/>
      <c r="G855" s="215"/>
      <c r="H855" s="215"/>
      <c r="I855" s="215"/>
      <c r="J855" s="215"/>
      <c r="K855" s="215"/>
      <c r="L855" s="215"/>
      <c r="M855" s="215"/>
      <c r="N855" s="215"/>
      <c r="O855" s="215"/>
      <c r="P855" s="215"/>
      <c r="Q855" s="215"/>
      <c r="R855" s="215"/>
      <c r="S855" s="215"/>
      <c r="T855" s="215"/>
      <c r="U855" s="215"/>
      <c r="V855" s="215"/>
      <c r="W855" s="215"/>
      <c r="X855" s="215"/>
    </row>
    <row r="856" spans="1:24" ht="14.25" customHeight="1" x14ac:dyDescent="0.2">
      <c r="A856" s="215"/>
      <c r="B856" s="215"/>
      <c r="C856" s="215"/>
      <c r="D856" s="215"/>
      <c r="E856" s="215"/>
      <c r="F856" s="215"/>
      <c r="G856" s="215"/>
      <c r="H856" s="215"/>
      <c r="I856" s="215"/>
      <c r="J856" s="215"/>
      <c r="K856" s="215"/>
      <c r="L856" s="215"/>
      <c r="M856" s="215"/>
      <c r="N856" s="215"/>
      <c r="O856" s="215"/>
      <c r="P856" s="215"/>
      <c r="Q856" s="215"/>
      <c r="R856" s="215"/>
      <c r="S856" s="215"/>
      <c r="T856" s="215"/>
      <c r="U856" s="215"/>
      <c r="V856" s="215"/>
      <c r="W856" s="215"/>
      <c r="X856" s="215"/>
    </row>
    <row r="857" spans="1:24" ht="14.25" customHeight="1" x14ac:dyDescent="0.2">
      <c r="A857" s="215"/>
      <c r="B857" s="215"/>
      <c r="C857" s="215"/>
      <c r="D857" s="215"/>
      <c r="E857" s="215"/>
      <c r="F857" s="215"/>
      <c r="G857" s="215"/>
      <c r="H857" s="215"/>
      <c r="I857" s="215"/>
      <c r="J857" s="215"/>
      <c r="K857" s="215"/>
      <c r="L857" s="215"/>
      <c r="M857" s="215"/>
      <c r="N857" s="215"/>
      <c r="O857" s="215"/>
      <c r="P857" s="215"/>
      <c r="Q857" s="215"/>
      <c r="R857" s="215"/>
      <c r="S857" s="215"/>
      <c r="T857" s="215"/>
      <c r="U857" s="215"/>
      <c r="V857" s="215"/>
      <c r="W857" s="215"/>
      <c r="X857" s="215"/>
    </row>
    <row r="858" spans="1:24" ht="14.25" customHeight="1" x14ac:dyDescent="0.2">
      <c r="A858" s="215"/>
      <c r="B858" s="215"/>
      <c r="C858" s="215"/>
      <c r="D858" s="215"/>
      <c r="E858" s="215"/>
      <c r="F858" s="215"/>
      <c r="G858" s="215"/>
      <c r="H858" s="215"/>
      <c r="I858" s="215"/>
      <c r="J858" s="215"/>
      <c r="K858" s="215"/>
      <c r="L858" s="215"/>
      <c r="M858" s="215"/>
      <c r="N858" s="215"/>
      <c r="O858" s="215"/>
      <c r="P858" s="215"/>
      <c r="Q858" s="215"/>
      <c r="R858" s="215"/>
      <c r="S858" s="215"/>
      <c r="T858" s="215"/>
      <c r="U858" s="215"/>
      <c r="V858" s="215"/>
      <c r="W858" s="215"/>
      <c r="X858" s="215"/>
    </row>
    <row r="859" spans="1:24" ht="14.25" customHeight="1" x14ac:dyDescent="0.2">
      <c r="A859" s="215"/>
      <c r="B859" s="215"/>
      <c r="C859" s="215"/>
      <c r="D859" s="215"/>
      <c r="E859" s="215"/>
      <c r="F859" s="215"/>
      <c r="G859" s="215"/>
      <c r="H859" s="215"/>
      <c r="I859" s="215"/>
      <c r="J859" s="215"/>
      <c r="K859" s="215"/>
      <c r="L859" s="215"/>
      <c r="M859" s="215"/>
      <c r="N859" s="215"/>
      <c r="O859" s="215"/>
      <c r="P859" s="215"/>
      <c r="Q859" s="215"/>
      <c r="R859" s="215"/>
      <c r="S859" s="215"/>
      <c r="T859" s="215"/>
      <c r="U859" s="215"/>
      <c r="V859" s="215"/>
      <c r="W859" s="215"/>
      <c r="X859" s="215"/>
    </row>
    <row r="860" spans="1:24" ht="14.25" customHeight="1" x14ac:dyDescent="0.2">
      <c r="A860" s="215"/>
      <c r="B860" s="215"/>
      <c r="C860" s="215"/>
      <c r="D860" s="215"/>
      <c r="E860" s="215"/>
      <c r="F860" s="215"/>
      <c r="G860" s="215"/>
      <c r="H860" s="215"/>
      <c r="I860" s="215"/>
      <c r="J860" s="215"/>
      <c r="K860" s="215"/>
      <c r="L860" s="215"/>
      <c r="M860" s="215"/>
      <c r="N860" s="215"/>
      <c r="O860" s="215"/>
      <c r="P860" s="215"/>
      <c r="Q860" s="215"/>
      <c r="R860" s="215"/>
      <c r="S860" s="215"/>
      <c r="T860" s="215"/>
      <c r="U860" s="215"/>
      <c r="V860" s="215"/>
      <c r="W860" s="215"/>
      <c r="X860" s="215"/>
    </row>
    <row r="861" spans="1:24" ht="14.25" customHeight="1" x14ac:dyDescent="0.2">
      <c r="A861" s="215"/>
      <c r="B861" s="215"/>
      <c r="C861" s="215"/>
      <c r="D861" s="215"/>
      <c r="E861" s="215"/>
      <c r="F861" s="215"/>
      <c r="G861" s="215"/>
      <c r="H861" s="215"/>
      <c r="I861" s="215"/>
      <c r="J861" s="215"/>
      <c r="K861" s="215"/>
      <c r="L861" s="215"/>
      <c r="M861" s="215"/>
      <c r="N861" s="215"/>
      <c r="O861" s="215"/>
      <c r="P861" s="215"/>
      <c r="Q861" s="215"/>
      <c r="R861" s="215"/>
      <c r="S861" s="215"/>
      <c r="T861" s="215"/>
      <c r="U861" s="215"/>
      <c r="V861" s="215"/>
      <c r="W861" s="215"/>
      <c r="X861" s="215"/>
    </row>
    <row r="862" spans="1:24" ht="14.25" customHeight="1" x14ac:dyDescent="0.2">
      <c r="A862" s="215"/>
      <c r="B862" s="215"/>
      <c r="C862" s="215"/>
      <c r="D862" s="215"/>
      <c r="E862" s="215"/>
      <c r="F862" s="215"/>
      <c r="G862" s="215"/>
      <c r="H862" s="215"/>
      <c r="I862" s="215"/>
      <c r="J862" s="215"/>
      <c r="K862" s="215"/>
      <c r="L862" s="215"/>
      <c r="M862" s="215"/>
      <c r="N862" s="215"/>
      <c r="O862" s="215"/>
      <c r="P862" s="215"/>
      <c r="Q862" s="215"/>
      <c r="R862" s="215"/>
      <c r="S862" s="215"/>
      <c r="T862" s="215"/>
      <c r="U862" s="215"/>
      <c r="V862" s="215"/>
      <c r="W862" s="215"/>
      <c r="X862" s="215"/>
    </row>
    <row r="863" spans="1:24" ht="14.25" customHeight="1" x14ac:dyDescent="0.2">
      <c r="A863" s="215"/>
      <c r="B863" s="215"/>
      <c r="C863" s="215"/>
      <c r="D863" s="215"/>
      <c r="E863" s="215"/>
      <c r="F863" s="215"/>
      <c r="G863" s="215"/>
      <c r="H863" s="215"/>
      <c r="I863" s="215"/>
      <c r="J863" s="215"/>
      <c r="K863" s="215"/>
      <c r="L863" s="215"/>
      <c r="M863" s="215"/>
      <c r="N863" s="215"/>
      <c r="O863" s="215"/>
      <c r="P863" s="215"/>
      <c r="Q863" s="215"/>
      <c r="R863" s="215"/>
      <c r="S863" s="215"/>
      <c r="T863" s="215"/>
      <c r="U863" s="215"/>
      <c r="V863" s="215"/>
      <c r="W863" s="215"/>
      <c r="X863" s="215"/>
    </row>
    <row r="864" spans="1:24" ht="14.25" customHeight="1" x14ac:dyDescent="0.2">
      <c r="A864" s="215"/>
      <c r="B864" s="215"/>
      <c r="C864" s="215"/>
      <c r="D864" s="215"/>
      <c r="E864" s="215"/>
      <c r="F864" s="215"/>
      <c r="G864" s="215"/>
      <c r="H864" s="215"/>
      <c r="I864" s="215"/>
      <c r="J864" s="215"/>
      <c r="K864" s="215"/>
      <c r="L864" s="215"/>
      <c r="M864" s="215"/>
      <c r="N864" s="215"/>
      <c r="O864" s="215"/>
      <c r="P864" s="215"/>
      <c r="Q864" s="215"/>
      <c r="R864" s="215"/>
      <c r="S864" s="215"/>
      <c r="T864" s="215"/>
      <c r="U864" s="215"/>
      <c r="V864" s="215"/>
      <c r="W864" s="215"/>
      <c r="X864" s="215"/>
    </row>
    <row r="865" spans="1:24" ht="14.25" customHeight="1" x14ac:dyDescent="0.2">
      <c r="A865" s="215"/>
      <c r="B865" s="215"/>
      <c r="C865" s="215"/>
      <c r="D865" s="215"/>
      <c r="E865" s="215"/>
      <c r="F865" s="215"/>
      <c r="G865" s="215"/>
      <c r="H865" s="215"/>
      <c r="I865" s="215"/>
      <c r="J865" s="215"/>
      <c r="K865" s="215"/>
      <c r="L865" s="215"/>
      <c r="M865" s="215"/>
      <c r="N865" s="215"/>
      <c r="O865" s="215"/>
      <c r="P865" s="215"/>
      <c r="Q865" s="215"/>
      <c r="R865" s="215"/>
      <c r="S865" s="215"/>
      <c r="T865" s="215"/>
      <c r="U865" s="215"/>
      <c r="V865" s="215"/>
      <c r="W865" s="215"/>
      <c r="X865" s="215"/>
    </row>
    <row r="866" spans="1:24" ht="14.25" customHeight="1" x14ac:dyDescent="0.2">
      <c r="A866" s="215"/>
      <c r="B866" s="215"/>
      <c r="C866" s="215"/>
      <c r="D866" s="215"/>
      <c r="E866" s="215"/>
      <c r="F866" s="215"/>
      <c r="G866" s="215"/>
      <c r="H866" s="215"/>
      <c r="I866" s="215"/>
      <c r="J866" s="215"/>
      <c r="K866" s="215"/>
      <c r="L866" s="215"/>
      <c r="M866" s="215"/>
      <c r="N866" s="215"/>
      <c r="O866" s="215"/>
      <c r="P866" s="215"/>
      <c r="Q866" s="215"/>
      <c r="R866" s="215"/>
      <c r="S866" s="215"/>
      <c r="T866" s="215"/>
      <c r="U866" s="215"/>
      <c r="V866" s="215"/>
      <c r="W866" s="215"/>
      <c r="X866" s="215"/>
    </row>
    <row r="867" spans="1:24" ht="14.25" customHeight="1" x14ac:dyDescent="0.2">
      <c r="A867" s="215"/>
      <c r="B867" s="215"/>
      <c r="C867" s="215"/>
      <c r="D867" s="215"/>
      <c r="E867" s="215"/>
      <c r="F867" s="215"/>
      <c r="G867" s="215"/>
      <c r="H867" s="215"/>
      <c r="I867" s="215"/>
      <c r="J867" s="215"/>
      <c r="K867" s="215"/>
      <c r="L867" s="215"/>
      <c r="M867" s="215"/>
      <c r="N867" s="215"/>
      <c r="O867" s="215"/>
      <c r="P867" s="215"/>
      <c r="Q867" s="215"/>
      <c r="R867" s="215"/>
      <c r="S867" s="215"/>
      <c r="T867" s="215"/>
      <c r="U867" s="215"/>
      <c r="V867" s="215"/>
      <c r="W867" s="215"/>
      <c r="X867" s="215"/>
    </row>
    <row r="868" spans="1:24" ht="14.25" customHeight="1" x14ac:dyDescent="0.2">
      <c r="A868" s="215"/>
      <c r="B868" s="215"/>
      <c r="C868" s="215"/>
      <c r="D868" s="215"/>
      <c r="E868" s="215"/>
      <c r="F868" s="215"/>
      <c r="G868" s="215"/>
      <c r="H868" s="215"/>
      <c r="I868" s="215"/>
      <c r="J868" s="215"/>
      <c r="K868" s="215"/>
      <c r="L868" s="215"/>
      <c r="M868" s="215"/>
      <c r="N868" s="215"/>
      <c r="O868" s="215"/>
      <c r="P868" s="215"/>
      <c r="Q868" s="215"/>
      <c r="R868" s="215"/>
      <c r="S868" s="215"/>
      <c r="T868" s="215"/>
      <c r="U868" s="215"/>
      <c r="V868" s="215"/>
      <c r="W868" s="215"/>
      <c r="X868" s="215"/>
    </row>
    <row r="869" spans="1:24" ht="14.25" customHeight="1" x14ac:dyDescent="0.2">
      <c r="A869" s="215"/>
      <c r="B869" s="215"/>
      <c r="C869" s="215"/>
      <c r="D869" s="215"/>
      <c r="E869" s="215"/>
      <c r="F869" s="215"/>
      <c r="G869" s="215"/>
      <c r="H869" s="215"/>
      <c r="I869" s="215"/>
      <c r="J869" s="215"/>
      <c r="K869" s="215"/>
      <c r="L869" s="215"/>
      <c r="M869" s="215"/>
      <c r="N869" s="215"/>
      <c r="O869" s="215"/>
      <c r="P869" s="215"/>
      <c r="Q869" s="215"/>
      <c r="R869" s="215"/>
      <c r="S869" s="215"/>
      <c r="T869" s="215"/>
      <c r="U869" s="215"/>
      <c r="V869" s="215"/>
      <c r="W869" s="215"/>
      <c r="X869" s="215"/>
    </row>
    <row r="870" spans="1:24" ht="14.25" customHeight="1" x14ac:dyDescent="0.2">
      <c r="A870" s="215"/>
      <c r="B870" s="215"/>
      <c r="C870" s="215"/>
      <c r="D870" s="215"/>
      <c r="E870" s="215"/>
      <c r="F870" s="215"/>
      <c r="G870" s="215"/>
      <c r="H870" s="215"/>
      <c r="I870" s="215"/>
      <c r="J870" s="215"/>
      <c r="K870" s="215"/>
      <c r="L870" s="215"/>
      <c r="M870" s="215"/>
      <c r="N870" s="215"/>
      <c r="O870" s="215"/>
      <c r="P870" s="215"/>
      <c r="Q870" s="215"/>
      <c r="R870" s="215"/>
      <c r="S870" s="215"/>
      <c r="T870" s="215"/>
      <c r="U870" s="215"/>
      <c r="V870" s="215"/>
      <c r="W870" s="215"/>
      <c r="X870" s="215"/>
    </row>
    <row r="871" spans="1:24" ht="14.25" customHeight="1" x14ac:dyDescent="0.2">
      <c r="A871" s="215"/>
      <c r="B871" s="215"/>
      <c r="C871" s="215"/>
      <c r="D871" s="215"/>
      <c r="E871" s="215"/>
      <c r="F871" s="215"/>
      <c r="G871" s="215"/>
      <c r="H871" s="215"/>
      <c r="I871" s="215"/>
      <c r="J871" s="215"/>
      <c r="K871" s="215"/>
      <c r="L871" s="215"/>
      <c r="M871" s="215"/>
      <c r="N871" s="215"/>
      <c r="O871" s="215"/>
      <c r="P871" s="215"/>
      <c r="Q871" s="215"/>
      <c r="R871" s="215"/>
      <c r="S871" s="215"/>
      <c r="T871" s="215"/>
      <c r="U871" s="215"/>
      <c r="V871" s="215"/>
      <c r="W871" s="215"/>
      <c r="X871" s="215"/>
    </row>
    <row r="872" spans="1:24" ht="14.25" customHeight="1" x14ac:dyDescent="0.2">
      <c r="A872" s="215"/>
      <c r="B872" s="215"/>
      <c r="C872" s="215"/>
      <c r="D872" s="215"/>
      <c r="E872" s="215"/>
      <c r="F872" s="215"/>
      <c r="G872" s="215"/>
      <c r="H872" s="215"/>
      <c r="I872" s="215"/>
      <c r="J872" s="215"/>
      <c r="K872" s="215"/>
      <c r="L872" s="215"/>
      <c r="M872" s="215"/>
      <c r="N872" s="215"/>
      <c r="O872" s="215"/>
      <c r="P872" s="215"/>
      <c r="Q872" s="215"/>
      <c r="R872" s="215"/>
      <c r="S872" s="215"/>
      <c r="T872" s="215"/>
      <c r="U872" s="215"/>
      <c r="V872" s="215"/>
      <c r="W872" s="215"/>
      <c r="X872" s="215"/>
    </row>
    <row r="873" spans="1:24" ht="14.25" customHeight="1" x14ac:dyDescent="0.2">
      <c r="A873" s="215"/>
      <c r="B873" s="215"/>
      <c r="C873" s="215"/>
      <c r="D873" s="215"/>
      <c r="E873" s="215"/>
      <c r="F873" s="215"/>
      <c r="G873" s="215"/>
      <c r="H873" s="215"/>
      <c r="I873" s="215"/>
      <c r="J873" s="215"/>
      <c r="K873" s="215"/>
      <c r="L873" s="215"/>
      <c r="M873" s="215"/>
      <c r="N873" s="215"/>
      <c r="O873" s="215"/>
      <c r="P873" s="215"/>
      <c r="Q873" s="215"/>
      <c r="R873" s="215"/>
      <c r="S873" s="215"/>
      <c r="T873" s="215"/>
      <c r="U873" s="215"/>
      <c r="V873" s="215"/>
      <c r="W873" s="215"/>
      <c r="X873" s="215"/>
    </row>
    <row r="874" spans="1:24" ht="14.25" customHeight="1" x14ac:dyDescent="0.2">
      <c r="A874" s="215"/>
      <c r="B874" s="215"/>
      <c r="C874" s="215"/>
      <c r="D874" s="215"/>
      <c r="E874" s="215"/>
      <c r="F874" s="215"/>
      <c r="G874" s="215"/>
      <c r="H874" s="215"/>
      <c r="I874" s="215"/>
      <c r="J874" s="215"/>
      <c r="K874" s="215"/>
      <c r="L874" s="215"/>
      <c r="M874" s="215"/>
      <c r="N874" s="215"/>
      <c r="O874" s="215"/>
      <c r="P874" s="215"/>
      <c r="Q874" s="215"/>
      <c r="R874" s="215"/>
      <c r="S874" s="215"/>
      <c r="T874" s="215"/>
      <c r="U874" s="215"/>
      <c r="V874" s="215"/>
      <c r="W874" s="215"/>
      <c r="X874" s="215"/>
    </row>
    <row r="875" spans="1:24" ht="14.25" customHeight="1" x14ac:dyDescent="0.2">
      <c r="A875" s="215"/>
      <c r="B875" s="215"/>
      <c r="C875" s="215"/>
      <c r="D875" s="215"/>
      <c r="E875" s="215"/>
      <c r="F875" s="215"/>
      <c r="G875" s="215"/>
      <c r="H875" s="215"/>
      <c r="I875" s="215"/>
      <c r="J875" s="215"/>
      <c r="K875" s="215"/>
      <c r="L875" s="215"/>
      <c r="M875" s="215"/>
      <c r="N875" s="215"/>
      <c r="O875" s="215"/>
      <c r="P875" s="215"/>
      <c r="Q875" s="215"/>
      <c r="R875" s="215"/>
      <c r="S875" s="215"/>
      <c r="T875" s="215"/>
      <c r="U875" s="215"/>
      <c r="V875" s="215"/>
      <c r="W875" s="215"/>
      <c r="X875" s="215"/>
    </row>
    <row r="876" spans="1:24" ht="14.25" customHeight="1" x14ac:dyDescent="0.2">
      <c r="A876" s="215"/>
      <c r="B876" s="215"/>
      <c r="C876" s="215"/>
      <c r="D876" s="215"/>
      <c r="E876" s="215"/>
      <c r="F876" s="215"/>
      <c r="G876" s="215"/>
      <c r="H876" s="215"/>
      <c r="I876" s="215"/>
      <c r="J876" s="215"/>
      <c r="K876" s="215"/>
      <c r="L876" s="215"/>
      <c r="M876" s="215"/>
      <c r="N876" s="215"/>
      <c r="O876" s="215"/>
      <c r="P876" s="215"/>
      <c r="Q876" s="215"/>
      <c r="R876" s="215"/>
      <c r="S876" s="215"/>
      <c r="T876" s="215"/>
      <c r="U876" s="215"/>
      <c r="V876" s="215"/>
      <c r="W876" s="215"/>
      <c r="X876" s="215"/>
    </row>
    <row r="877" spans="1:24" ht="14.25" customHeight="1" x14ac:dyDescent="0.2">
      <c r="A877" s="215"/>
      <c r="B877" s="215"/>
      <c r="C877" s="215"/>
      <c r="D877" s="215"/>
      <c r="E877" s="215"/>
      <c r="F877" s="215"/>
      <c r="G877" s="215"/>
      <c r="H877" s="215"/>
      <c r="I877" s="215"/>
      <c r="J877" s="215"/>
      <c r="K877" s="215"/>
      <c r="L877" s="215"/>
      <c r="M877" s="215"/>
      <c r="N877" s="215"/>
      <c r="O877" s="215"/>
      <c r="P877" s="215"/>
      <c r="Q877" s="215"/>
      <c r="R877" s="215"/>
      <c r="S877" s="215"/>
      <c r="T877" s="215"/>
      <c r="U877" s="215"/>
      <c r="V877" s="215"/>
      <c r="W877" s="215"/>
      <c r="X877" s="215"/>
    </row>
    <row r="878" spans="1:24" ht="14.25" customHeight="1" x14ac:dyDescent="0.2">
      <c r="A878" s="215"/>
      <c r="B878" s="215"/>
      <c r="C878" s="215"/>
      <c r="D878" s="215"/>
      <c r="E878" s="215"/>
      <c r="F878" s="215"/>
      <c r="G878" s="215"/>
      <c r="H878" s="215"/>
      <c r="I878" s="215"/>
      <c r="J878" s="215"/>
      <c r="K878" s="215"/>
      <c r="L878" s="215"/>
      <c r="M878" s="215"/>
      <c r="N878" s="215"/>
      <c r="O878" s="215"/>
      <c r="P878" s="215"/>
      <c r="Q878" s="215"/>
      <c r="R878" s="215"/>
      <c r="S878" s="215"/>
      <c r="T878" s="215"/>
      <c r="U878" s="215"/>
      <c r="V878" s="215"/>
      <c r="W878" s="215"/>
      <c r="X878" s="215"/>
    </row>
    <row r="879" spans="1:24" ht="14.25" customHeight="1" x14ac:dyDescent="0.2">
      <c r="A879" s="215"/>
      <c r="B879" s="215"/>
      <c r="C879" s="215"/>
      <c r="D879" s="215"/>
      <c r="E879" s="215"/>
      <c r="F879" s="215"/>
      <c r="G879" s="215"/>
      <c r="H879" s="215"/>
      <c r="I879" s="215"/>
      <c r="J879" s="215"/>
      <c r="K879" s="215"/>
      <c r="L879" s="215"/>
      <c r="M879" s="215"/>
      <c r="N879" s="215"/>
      <c r="O879" s="215"/>
      <c r="P879" s="215"/>
      <c r="Q879" s="215"/>
      <c r="R879" s="215"/>
      <c r="S879" s="215"/>
      <c r="T879" s="215"/>
      <c r="U879" s="215"/>
      <c r="V879" s="215"/>
      <c r="W879" s="215"/>
      <c r="X879" s="215"/>
    </row>
    <row r="880" spans="1:24" ht="14.25" customHeight="1" x14ac:dyDescent="0.2">
      <c r="A880" s="215"/>
      <c r="B880" s="215"/>
      <c r="C880" s="215"/>
      <c r="D880" s="215"/>
      <c r="E880" s="215"/>
      <c r="F880" s="215"/>
      <c r="G880" s="215"/>
      <c r="H880" s="215"/>
      <c r="I880" s="215"/>
      <c r="J880" s="215"/>
      <c r="K880" s="215"/>
      <c r="L880" s="215"/>
      <c r="M880" s="215"/>
      <c r="N880" s="215"/>
      <c r="O880" s="215"/>
      <c r="P880" s="215"/>
      <c r="Q880" s="215"/>
      <c r="R880" s="215"/>
      <c r="S880" s="215"/>
      <c r="T880" s="215"/>
      <c r="U880" s="215"/>
      <c r="V880" s="215"/>
      <c r="W880" s="215"/>
      <c r="X880" s="215"/>
    </row>
    <row r="881" spans="1:24" ht="14.25" customHeight="1" x14ac:dyDescent="0.2">
      <c r="A881" s="215"/>
      <c r="B881" s="215"/>
      <c r="C881" s="215"/>
      <c r="D881" s="215"/>
      <c r="E881" s="215"/>
      <c r="F881" s="215"/>
      <c r="G881" s="215"/>
      <c r="H881" s="215"/>
      <c r="I881" s="215"/>
      <c r="J881" s="215"/>
      <c r="K881" s="215"/>
      <c r="L881" s="215"/>
      <c r="M881" s="215"/>
      <c r="N881" s="215"/>
      <c r="O881" s="215"/>
      <c r="P881" s="215"/>
      <c r="Q881" s="215"/>
      <c r="R881" s="215"/>
      <c r="S881" s="215"/>
      <c r="T881" s="215"/>
      <c r="U881" s="215"/>
      <c r="V881" s="215"/>
      <c r="W881" s="215"/>
      <c r="X881" s="215"/>
    </row>
    <row r="882" spans="1:24" ht="14.25" customHeight="1" x14ac:dyDescent="0.2">
      <c r="A882" s="215"/>
      <c r="B882" s="215"/>
      <c r="C882" s="215"/>
      <c r="D882" s="215"/>
      <c r="E882" s="215"/>
      <c r="F882" s="215"/>
      <c r="G882" s="215"/>
      <c r="H882" s="215"/>
      <c r="I882" s="215"/>
      <c r="J882" s="215"/>
      <c r="K882" s="215"/>
      <c r="L882" s="215"/>
      <c r="M882" s="215"/>
      <c r="N882" s="215"/>
      <c r="O882" s="215"/>
      <c r="P882" s="215"/>
      <c r="Q882" s="215"/>
      <c r="R882" s="215"/>
      <c r="S882" s="215"/>
      <c r="T882" s="215"/>
      <c r="U882" s="215"/>
      <c r="V882" s="215"/>
      <c r="W882" s="215"/>
      <c r="X882" s="215"/>
    </row>
    <row r="883" spans="1:24" ht="14.25" customHeight="1" x14ac:dyDescent="0.2">
      <c r="A883" s="215"/>
      <c r="B883" s="215"/>
      <c r="C883" s="215"/>
      <c r="D883" s="215"/>
      <c r="E883" s="215"/>
      <c r="F883" s="215"/>
      <c r="G883" s="215"/>
      <c r="H883" s="215"/>
      <c r="I883" s="215"/>
      <c r="J883" s="215"/>
      <c r="K883" s="215"/>
      <c r="L883" s="215"/>
      <c r="M883" s="215"/>
      <c r="N883" s="215"/>
      <c r="O883" s="215"/>
      <c r="P883" s="215"/>
      <c r="Q883" s="215"/>
      <c r="R883" s="215"/>
      <c r="S883" s="215"/>
      <c r="T883" s="215"/>
      <c r="U883" s="215"/>
      <c r="V883" s="215"/>
      <c r="W883" s="215"/>
      <c r="X883" s="215"/>
    </row>
    <row r="884" spans="1:24" ht="14.25" customHeight="1" x14ac:dyDescent="0.2">
      <c r="A884" s="215"/>
      <c r="B884" s="215"/>
      <c r="C884" s="215"/>
      <c r="D884" s="215"/>
      <c r="E884" s="215"/>
      <c r="F884" s="215"/>
      <c r="G884" s="215"/>
      <c r="H884" s="215"/>
      <c r="I884" s="215"/>
      <c r="J884" s="215"/>
      <c r="K884" s="215"/>
      <c r="L884" s="215"/>
      <c r="M884" s="215"/>
      <c r="N884" s="215"/>
      <c r="O884" s="215"/>
      <c r="P884" s="215"/>
      <c r="Q884" s="215"/>
      <c r="R884" s="215"/>
      <c r="S884" s="215"/>
      <c r="T884" s="215"/>
      <c r="U884" s="215"/>
      <c r="V884" s="215"/>
      <c r="W884" s="215"/>
      <c r="X884" s="215"/>
    </row>
    <row r="885" spans="1:24" ht="14.25" customHeight="1" x14ac:dyDescent="0.2">
      <c r="A885" s="215"/>
      <c r="B885" s="215"/>
      <c r="C885" s="215"/>
      <c r="D885" s="215"/>
      <c r="E885" s="215"/>
      <c r="F885" s="215"/>
      <c r="G885" s="215"/>
      <c r="H885" s="215"/>
      <c r="I885" s="215"/>
      <c r="J885" s="215"/>
      <c r="K885" s="215"/>
      <c r="L885" s="215"/>
      <c r="M885" s="215"/>
      <c r="N885" s="215"/>
      <c r="O885" s="215"/>
      <c r="P885" s="215"/>
      <c r="Q885" s="215"/>
      <c r="R885" s="215"/>
      <c r="S885" s="215"/>
      <c r="T885" s="215"/>
      <c r="U885" s="215"/>
      <c r="V885" s="215"/>
      <c r="W885" s="215"/>
      <c r="X885" s="215"/>
    </row>
    <row r="886" spans="1:24" ht="14.25" customHeight="1" x14ac:dyDescent="0.2">
      <c r="A886" s="215"/>
      <c r="B886" s="215"/>
      <c r="C886" s="215"/>
      <c r="D886" s="215"/>
      <c r="E886" s="215"/>
      <c r="F886" s="215"/>
      <c r="G886" s="215"/>
      <c r="H886" s="215"/>
      <c r="I886" s="215"/>
      <c r="J886" s="215"/>
      <c r="K886" s="215"/>
      <c r="L886" s="215"/>
      <c r="M886" s="215"/>
      <c r="N886" s="215"/>
      <c r="O886" s="215"/>
      <c r="P886" s="215"/>
      <c r="Q886" s="215"/>
      <c r="R886" s="215"/>
      <c r="S886" s="215"/>
      <c r="T886" s="215"/>
      <c r="U886" s="215"/>
      <c r="V886" s="215"/>
      <c r="W886" s="215"/>
      <c r="X886" s="215"/>
    </row>
    <row r="887" spans="1:24" ht="14.25" customHeight="1" x14ac:dyDescent="0.2">
      <c r="A887" s="215"/>
      <c r="B887" s="215"/>
      <c r="C887" s="215"/>
      <c r="D887" s="215"/>
      <c r="E887" s="215"/>
      <c r="F887" s="215"/>
      <c r="G887" s="215"/>
      <c r="H887" s="215"/>
      <c r="I887" s="215"/>
      <c r="J887" s="215"/>
      <c r="K887" s="215"/>
      <c r="L887" s="215"/>
      <c r="M887" s="215"/>
      <c r="N887" s="215"/>
      <c r="O887" s="215"/>
      <c r="P887" s="215"/>
      <c r="Q887" s="215"/>
      <c r="R887" s="215"/>
      <c r="S887" s="215"/>
      <c r="T887" s="215"/>
      <c r="U887" s="215"/>
      <c r="V887" s="215"/>
      <c r="W887" s="215"/>
      <c r="X887" s="215"/>
    </row>
    <row r="888" spans="1:24" ht="14.25" customHeight="1" x14ac:dyDescent="0.2">
      <c r="A888" s="215"/>
      <c r="B888" s="215"/>
      <c r="C888" s="215"/>
      <c r="D888" s="215"/>
      <c r="E888" s="215"/>
      <c r="F888" s="215"/>
      <c r="G888" s="215"/>
      <c r="H888" s="215"/>
      <c r="I888" s="215"/>
      <c r="J888" s="215"/>
      <c r="K888" s="215"/>
      <c r="L888" s="215"/>
      <c r="M888" s="215"/>
      <c r="N888" s="215"/>
      <c r="O888" s="215"/>
      <c r="P888" s="215"/>
      <c r="Q888" s="215"/>
      <c r="R888" s="215"/>
      <c r="S888" s="215"/>
      <c r="T888" s="215"/>
      <c r="U888" s="215"/>
      <c r="V888" s="215"/>
      <c r="W888" s="215"/>
      <c r="X888" s="215"/>
    </row>
    <row r="889" spans="1:24" ht="14.25" customHeight="1" x14ac:dyDescent="0.2">
      <c r="A889" s="215"/>
      <c r="B889" s="215"/>
      <c r="C889" s="215"/>
      <c r="D889" s="215"/>
      <c r="E889" s="215"/>
      <c r="F889" s="215"/>
      <c r="G889" s="215"/>
      <c r="H889" s="215"/>
      <c r="I889" s="215"/>
      <c r="J889" s="215"/>
      <c r="K889" s="215"/>
      <c r="L889" s="215"/>
      <c r="M889" s="215"/>
      <c r="N889" s="215"/>
      <c r="O889" s="215"/>
      <c r="P889" s="215"/>
      <c r="Q889" s="215"/>
      <c r="R889" s="215"/>
      <c r="S889" s="215"/>
      <c r="T889" s="215"/>
      <c r="U889" s="215"/>
      <c r="V889" s="215"/>
      <c r="W889" s="215"/>
      <c r="X889" s="215"/>
    </row>
    <row r="890" spans="1:24" ht="14.25" customHeight="1" x14ac:dyDescent="0.2">
      <c r="A890" s="215"/>
      <c r="B890" s="215"/>
      <c r="C890" s="215"/>
      <c r="D890" s="215"/>
      <c r="E890" s="215"/>
      <c r="F890" s="215"/>
      <c r="G890" s="215"/>
      <c r="H890" s="215"/>
      <c r="I890" s="215"/>
      <c r="J890" s="215"/>
      <c r="K890" s="215"/>
      <c r="L890" s="215"/>
      <c r="M890" s="215"/>
      <c r="N890" s="215"/>
      <c r="O890" s="215"/>
      <c r="P890" s="215"/>
      <c r="Q890" s="215"/>
      <c r="R890" s="215"/>
      <c r="S890" s="215"/>
      <c r="T890" s="215"/>
      <c r="U890" s="215"/>
      <c r="V890" s="215"/>
      <c r="W890" s="215"/>
      <c r="X890" s="215"/>
    </row>
    <row r="891" spans="1:24" ht="14.25" customHeight="1" x14ac:dyDescent="0.2">
      <c r="A891" s="215"/>
      <c r="B891" s="215"/>
      <c r="C891" s="215"/>
      <c r="D891" s="215"/>
      <c r="E891" s="215"/>
      <c r="F891" s="215"/>
      <c r="G891" s="215"/>
      <c r="H891" s="215"/>
      <c r="I891" s="215"/>
      <c r="J891" s="215"/>
      <c r="K891" s="215"/>
      <c r="L891" s="215"/>
      <c r="M891" s="215"/>
      <c r="N891" s="215"/>
      <c r="O891" s="215"/>
      <c r="P891" s="215"/>
      <c r="Q891" s="215"/>
      <c r="R891" s="215"/>
      <c r="S891" s="215"/>
      <c r="T891" s="215"/>
      <c r="U891" s="215"/>
      <c r="V891" s="215"/>
      <c r="W891" s="215"/>
      <c r="X891" s="215"/>
    </row>
    <row r="892" spans="1:24" ht="14.25" customHeight="1" x14ac:dyDescent="0.2">
      <c r="A892" s="215"/>
      <c r="B892" s="215"/>
      <c r="C892" s="215"/>
      <c r="D892" s="215"/>
      <c r="E892" s="215"/>
      <c r="F892" s="215"/>
      <c r="G892" s="215"/>
      <c r="H892" s="215"/>
      <c r="I892" s="215"/>
      <c r="J892" s="215"/>
      <c r="K892" s="215"/>
      <c r="L892" s="215"/>
      <c r="M892" s="215"/>
      <c r="N892" s="215"/>
      <c r="O892" s="215"/>
      <c r="P892" s="215"/>
      <c r="Q892" s="215"/>
      <c r="R892" s="215"/>
      <c r="S892" s="215"/>
      <c r="T892" s="215"/>
      <c r="U892" s="215"/>
      <c r="V892" s="215"/>
      <c r="W892" s="215"/>
      <c r="X892" s="215"/>
    </row>
    <row r="893" spans="1:24" ht="14.25" customHeight="1" x14ac:dyDescent="0.2">
      <c r="A893" s="215"/>
      <c r="B893" s="215"/>
      <c r="C893" s="215"/>
      <c r="D893" s="215"/>
      <c r="E893" s="215"/>
      <c r="F893" s="215"/>
      <c r="G893" s="215"/>
      <c r="H893" s="215"/>
      <c r="I893" s="215"/>
      <c r="J893" s="215"/>
      <c r="K893" s="215"/>
      <c r="L893" s="215"/>
      <c r="M893" s="215"/>
      <c r="N893" s="215"/>
      <c r="O893" s="215"/>
      <c r="P893" s="215"/>
      <c r="Q893" s="215"/>
      <c r="R893" s="215"/>
      <c r="S893" s="215"/>
      <c r="T893" s="215"/>
      <c r="U893" s="215"/>
      <c r="V893" s="215"/>
      <c r="W893" s="215"/>
      <c r="X893" s="215"/>
    </row>
    <row r="894" spans="1:24" ht="14.25" customHeight="1" x14ac:dyDescent="0.2">
      <c r="A894" s="215"/>
      <c r="B894" s="215"/>
      <c r="C894" s="215"/>
      <c r="D894" s="215"/>
      <c r="E894" s="215"/>
      <c r="F894" s="215"/>
      <c r="G894" s="215"/>
      <c r="H894" s="215"/>
      <c r="I894" s="215"/>
      <c r="J894" s="215"/>
      <c r="K894" s="215"/>
      <c r="L894" s="215"/>
      <c r="M894" s="215"/>
      <c r="N894" s="215"/>
      <c r="O894" s="215"/>
      <c r="P894" s="215"/>
      <c r="Q894" s="215"/>
      <c r="R894" s="215"/>
      <c r="S894" s="215"/>
      <c r="T894" s="215"/>
      <c r="U894" s="215"/>
      <c r="V894" s="215"/>
      <c r="W894" s="215"/>
      <c r="X894" s="215"/>
    </row>
    <row r="895" spans="1:24" ht="14.25" customHeight="1" x14ac:dyDescent="0.2">
      <c r="A895" s="215"/>
      <c r="B895" s="215"/>
      <c r="C895" s="215"/>
      <c r="D895" s="215"/>
      <c r="E895" s="215"/>
      <c r="F895" s="215"/>
      <c r="G895" s="215"/>
      <c r="H895" s="215"/>
      <c r="I895" s="215"/>
      <c r="J895" s="215"/>
      <c r="K895" s="215"/>
      <c r="L895" s="215"/>
      <c r="M895" s="215"/>
      <c r="N895" s="215"/>
      <c r="O895" s="215"/>
      <c r="P895" s="215"/>
      <c r="Q895" s="215"/>
      <c r="R895" s="215"/>
      <c r="S895" s="215"/>
      <c r="T895" s="215"/>
      <c r="U895" s="215"/>
      <c r="V895" s="215"/>
      <c r="W895" s="215"/>
      <c r="X895" s="215"/>
    </row>
    <row r="896" spans="1:24" ht="14.25" customHeight="1" x14ac:dyDescent="0.2">
      <c r="A896" s="215"/>
      <c r="B896" s="215"/>
      <c r="C896" s="215"/>
      <c r="D896" s="215"/>
      <c r="E896" s="215"/>
      <c r="F896" s="215"/>
      <c r="G896" s="215"/>
      <c r="H896" s="215"/>
      <c r="I896" s="215"/>
      <c r="J896" s="215"/>
      <c r="K896" s="215"/>
      <c r="L896" s="215"/>
      <c r="M896" s="215"/>
      <c r="N896" s="215"/>
      <c r="O896" s="215"/>
      <c r="P896" s="215"/>
      <c r="Q896" s="215"/>
      <c r="R896" s="215"/>
      <c r="S896" s="215"/>
      <c r="T896" s="215"/>
      <c r="U896" s="215"/>
      <c r="V896" s="215"/>
      <c r="W896" s="215"/>
      <c r="X896" s="215"/>
    </row>
    <row r="897" spans="1:24" ht="14.25" customHeight="1" x14ac:dyDescent="0.2">
      <c r="A897" s="215"/>
      <c r="B897" s="215"/>
      <c r="C897" s="215"/>
      <c r="D897" s="215"/>
      <c r="E897" s="215"/>
      <c r="F897" s="215"/>
      <c r="G897" s="215"/>
      <c r="H897" s="215"/>
      <c r="I897" s="215"/>
      <c r="J897" s="215"/>
      <c r="K897" s="215"/>
      <c r="L897" s="215"/>
      <c r="M897" s="215"/>
      <c r="N897" s="215"/>
      <c r="O897" s="215"/>
      <c r="P897" s="215"/>
      <c r="Q897" s="215"/>
      <c r="R897" s="215"/>
      <c r="S897" s="215"/>
      <c r="T897" s="215"/>
      <c r="U897" s="215"/>
      <c r="V897" s="215"/>
      <c r="W897" s="215"/>
      <c r="X897" s="215"/>
    </row>
    <row r="898" spans="1:24" ht="14.25" customHeight="1" x14ac:dyDescent="0.2">
      <c r="A898" s="215"/>
      <c r="B898" s="215"/>
      <c r="C898" s="215"/>
      <c r="D898" s="215"/>
      <c r="E898" s="215"/>
      <c r="F898" s="215"/>
      <c r="G898" s="215"/>
      <c r="H898" s="215"/>
      <c r="I898" s="215"/>
      <c r="J898" s="215"/>
      <c r="K898" s="215"/>
      <c r="L898" s="215"/>
      <c r="M898" s="215"/>
      <c r="N898" s="215"/>
      <c r="O898" s="215"/>
      <c r="P898" s="215"/>
      <c r="Q898" s="215"/>
      <c r="R898" s="215"/>
      <c r="S898" s="215"/>
      <c r="T898" s="215"/>
      <c r="U898" s="215"/>
      <c r="V898" s="215"/>
      <c r="W898" s="215"/>
      <c r="X898" s="215"/>
    </row>
    <row r="899" spans="1:24" ht="14.25" customHeight="1" x14ac:dyDescent="0.2">
      <c r="A899" s="215"/>
      <c r="B899" s="215"/>
      <c r="C899" s="215"/>
      <c r="D899" s="215"/>
      <c r="E899" s="215"/>
      <c r="F899" s="215"/>
      <c r="G899" s="215"/>
      <c r="H899" s="215"/>
      <c r="I899" s="215"/>
      <c r="J899" s="215"/>
      <c r="K899" s="215"/>
      <c r="L899" s="215"/>
      <c r="M899" s="215"/>
      <c r="N899" s="215"/>
      <c r="O899" s="215"/>
      <c r="P899" s="215"/>
      <c r="Q899" s="215"/>
      <c r="R899" s="215"/>
      <c r="S899" s="215"/>
      <c r="T899" s="215"/>
      <c r="U899" s="215"/>
      <c r="V899" s="215"/>
      <c r="W899" s="215"/>
      <c r="X899" s="215"/>
    </row>
    <row r="900" spans="1:24" ht="14.25" customHeight="1" x14ac:dyDescent="0.2">
      <c r="A900" s="215"/>
      <c r="B900" s="215"/>
      <c r="C900" s="215"/>
      <c r="D900" s="215"/>
      <c r="E900" s="215"/>
      <c r="F900" s="215"/>
      <c r="G900" s="215"/>
      <c r="H900" s="215"/>
      <c r="I900" s="215"/>
      <c r="J900" s="215"/>
      <c r="K900" s="215"/>
      <c r="L900" s="215"/>
      <c r="M900" s="215"/>
      <c r="N900" s="215"/>
      <c r="O900" s="215"/>
      <c r="P900" s="215"/>
      <c r="Q900" s="215"/>
      <c r="R900" s="215"/>
      <c r="S900" s="215"/>
      <c r="T900" s="215"/>
      <c r="U900" s="215"/>
      <c r="V900" s="215"/>
      <c r="W900" s="215"/>
      <c r="X900" s="215"/>
    </row>
    <row r="901" spans="1:24" ht="14.25" customHeight="1" x14ac:dyDescent="0.2">
      <c r="A901" s="215"/>
      <c r="B901" s="215"/>
      <c r="C901" s="215"/>
      <c r="D901" s="215"/>
      <c r="E901" s="215"/>
      <c r="F901" s="215"/>
      <c r="G901" s="215"/>
      <c r="H901" s="215"/>
      <c r="I901" s="215"/>
      <c r="J901" s="215"/>
      <c r="K901" s="215"/>
      <c r="L901" s="215"/>
      <c r="M901" s="215"/>
      <c r="N901" s="215"/>
      <c r="O901" s="215"/>
      <c r="P901" s="215"/>
      <c r="Q901" s="215"/>
      <c r="R901" s="215"/>
      <c r="S901" s="215"/>
      <c r="T901" s="215"/>
      <c r="U901" s="215"/>
      <c r="V901" s="215"/>
      <c r="W901" s="215"/>
      <c r="X901" s="215"/>
    </row>
    <row r="902" spans="1:24" ht="14.25" customHeight="1" x14ac:dyDescent="0.2">
      <c r="A902" s="215"/>
      <c r="B902" s="215"/>
      <c r="C902" s="215"/>
      <c r="D902" s="215"/>
      <c r="E902" s="215"/>
      <c r="F902" s="215"/>
      <c r="G902" s="215"/>
      <c r="H902" s="215"/>
      <c r="I902" s="215"/>
      <c r="J902" s="215"/>
      <c r="K902" s="215"/>
      <c r="L902" s="215"/>
      <c r="M902" s="215"/>
      <c r="N902" s="215"/>
      <c r="O902" s="215"/>
      <c r="P902" s="215"/>
      <c r="Q902" s="215"/>
      <c r="R902" s="215"/>
      <c r="S902" s="215"/>
      <c r="T902" s="215"/>
      <c r="U902" s="215"/>
      <c r="V902" s="215"/>
      <c r="W902" s="215"/>
      <c r="X902" s="215"/>
    </row>
    <row r="903" spans="1:24" ht="14.25" customHeight="1" x14ac:dyDescent="0.2">
      <c r="A903" s="215"/>
      <c r="B903" s="215"/>
      <c r="C903" s="215"/>
      <c r="D903" s="215"/>
      <c r="E903" s="215"/>
      <c r="F903" s="215"/>
      <c r="G903" s="215"/>
      <c r="H903" s="215"/>
      <c r="I903" s="215"/>
      <c r="J903" s="215"/>
      <c r="K903" s="215"/>
      <c r="L903" s="215"/>
      <c r="M903" s="215"/>
      <c r="N903" s="215"/>
      <c r="O903" s="215"/>
      <c r="P903" s="215"/>
      <c r="Q903" s="215"/>
      <c r="R903" s="215"/>
      <c r="S903" s="215"/>
      <c r="T903" s="215"/>
      <c r="U903" s="215"/>
      <c r="V903" s="215"/>
      <c r="W903" s="215"/>
      <c r="X903" s="215"/>
    </row>
    <row r="904" spans="1:24" ht="14.25" customHeight="1" x14ac:dyDescent="0.2">
      <c r="A904" s="215"/>
      <c r="B904" s="215"/>
      <c r="C904" s="215"/>
      <c r="D904" s="215"/>
      <c r="E904" s="215"/>
      <c r="F904" s="215"/>
      <c r="G904" s="215"/>
      <c r="H904" s="215"/>
      <c r="I904" s="215"/>
      <c r="J904" s="215"/>
      <c r="K904" s="215"/>
      <c r="L904" s="215"/>
      <c r="M904" s="215"/>
      <c r="N904" s="215"/>
      <c r="O904" s="215"/>
      <c r="P904" s="215"/>
      <c r="Q904" s="215"/>
      <c r="R904" s="215"/>
      <c r="S904" s="215"/>
      <c r="T904" s="215"/>
      <c r="U904" s="215"/>
      <c r="V904" s="215"/>
      <c r="W904" s="215"/>
      <c r="X904" s="215"/>
    </row>
    <row r="905" spans="1:24" ht="14.25" customHeight="1" x14ac:dyDescent="0.2">
      <c r="A905" s="215"/>
      <c r="B905" s="215"/>
      <c r="C905" s="215"/>
      <c r="D905" s="215"/>
      <c r="E905" s="215"/>
      <c r="F905" s="215"/>
      <c r="G905" s="215"/>
      <c r="H905" s="215"/>
      <c r="I905" s="215"/>
      <c r="J905" s="215"/>
      <c r="K905" s="215"/>
      <c r="L905" s="215"/>
      <c r="M905" s="215"/>
      <c r="N905" s="215"/>
      <c r="O905" s="215"/>
      <c r="P905" s="215"/>
      <c r="Q905" s="215"/>
      <c r="R905" s="215"/>
      <c r="S905" s="215"/>
      <c r="T905" s="215"/>
      <c r="U905" s="215"/>
      <c r="V905" s="215"/>
      <c r="W905" s="215"/>
      <c r="X905" s="215"/>
    </row>
    <row r="906" spans="1:24" ht="14.25" customHeight="1" x14ac:dyDescent="0.2">
      <c r="A906" s="215"/>
      <c r="B906" s="215"/>
      <c r="C906" s="215"/>
      <c r="D906" s="215"/>
      <c r="E906" s="215"/>
      <c r="F906" s="215"/>
      <c r="G906" s="215"/>
      <c r="H906" s="215"/>
      <c r="I906" s="215"/>
      <c r="J906" s="215"/>
      <c r="K906" s="215"/>
      <c r="L906" s="215"/>
      <c r="M906" s="215"/>
      <c r="N906" s="215"/>
      <c r="O906" s="215"/>
      <c r="P906" s="215"/>
      <c r="Q906" s="215"/>
      <c r="R906" s="215"/>
      <c r="S906" s="215"/>
      <c r="T906" s="215"/>
      <c r="U906" s="215"/>
      <c r="V906" s="215"/>
      <c r="W906" s="215"/>
      <c r="X906" s="215"/>
    </row>
    <row r="907" spans="1:24" ht="14.25" customHeight="1" x14ac:dyDescent="0.2">
      <c r="A907" s="215"/>
      <c r="B907" s="215"/>
      <c r="C907" s="215"/>
      <c r="D907" s="215"/>
      <c r="E907" s="215"/>
      <c r="F907" s="215"/>
      <c r="G907" s="215"/>
      <c r="H907" s="215"/>
      <c r="I907" s="215"/>
      <c r="J907" s="215"/>
      <c r="K907" s="215"/>
      <c r="L907" s="215"/>
      <c r="M907" s="215"/>
      <c r="N907" s="215"/>
      <c r="O907" s="215"/>
      <c r="P907" s="215"/>
      <c r="Q907" s="215"/>
      <c r="R907" s="215"/>
      <c r="S907" s="215"/>
      <c r="T907" s="215"/>
      <c r="U907" s="215"/>
      <c r="V907" s="215"/>
      <c r="W907" s="215"/>
      <c r="X907" s="215"/>
    </row>
    <row r="908" spans="1:24" ht="14.25" customHeight="1" x14ac:dyDescent="0.2">
      <c r="A908" s="215"/>
      <c r="B908" s="215"/>
      <c r="C908" s="215"/>
      <c r="D908" s="215"/>
      <c r="E908" s="215"/>
      <c r="F908" s="215"/>
      <c r="G908" s="215"/>
      <c r="H908" s="215"/>
      <c r="I908" s="215"/>
      <c r="J908" s="215"/>
      <c r="K908" s="215"/>
      <c r="L908" s="215"/>
      <c r="M908" s="215"/>
      <c r="N908" s="215"/>
      <c r="O908" s="215"/>
      <c r="P908" s="215"/>
      <c r="Q908" s="215"/>
      <c r="R908" s="215"/>
      <c r="S908" s="215"/>
      <c r="T908" s="215"/>
      <c r="U908" s="215"/>
      <c r="V908" s="215"/>
      <c r="W908" s="215"/>
      <c r="X908" s="215"/>
    </row>
    <row r="909" spans="1:24" ht="14.25" customHeight="1" x14ac:dyDescent="0.2">
      <c r="A909" s="215"/>
      <c r="B909" s="215"/>
      <c r="C909" s="215"/>
      <c r="D909" s="215"/>
      <c r="E909" s="215"/>
      <c r="F909" s="215"/>
      <c r="G909" s="215"/>
      <c r="H909" s="215"/>
      <c r="I909" s="215"/>
      <c r="J909" s="215"/>
      <c r="K909" s="215"/>
      <c r="L909" s="215"/>
      <c r="M909" s="215"/>
      <c r="N909" s="215"/>
      <c r="O909" s="215"/>
      <c r="P909" s="215"/>
      <c r="Q909" s="215"/>
      <c r="R909" s="215"/>
      <c r="S909" s="215"/>
      <c r="T909" s="215"/>
      <c r="U909" s="215"/>
      <c r="V909" s="215"/>
      <c r="W909" s="215"/>
      <c r="X909" s="215"/>
    </row>
    <row r="910" spans="1:24" ht="14.25" customHeight="1" x14ac:dyDescent="0.2">
      <c r="A910" s="215"/>
      <c r="B910" s="215"/>
      <c r="C910" s="215"/>
      <c r="D910" s="215"/>
      <c r="E910" s="215"/>
      <c r="F910" s="215"/>
      <c r="G910" s="215"/>
      <c r="H910" s="215"/>
      <c r="I910" s="215"/>
      <c r="J910" s="215"/>
      <c r="K910" s="215"/>
      <c r="L910" s="215"/>
      <c r="M910" s="215"/>
      <c r="N910" s="215"/>
      <c r="O910" s="215"/>
      <c r="P910" s="215"/>
      <c r="Q910" s="215"/>
      <c r="R910" s="215"/>
      <c r="S910" s="215"/>
      <c r="T910" s="215"/>
      <c r="U910" s="215"/>
      <c r="V910" s="215"/>
      <c r="W910" s="215"/>
      <c r="X910" s="215"/>
    </row>
    <row r="911" spans="1:24" ht="14.25" customHeight="1" x14ac:dyDescent="0.2">
      <c r="A911" s="215"/>
      <c r="B911" s="215"/>
      <c r="C911" s="215"/>
      <c r="D911" s="215"/>
      <c r="E911" s="215"/>
      <c r="F911" s="215"/>
      <c r="G911" s="215"/>
      <c r="H911" s="215"/>
      <c r="I911" s="215"/>
      <c r="J911" s="215"/>
      <c r="K911" s="215"/>
      <c r="L911" s="215"/>
      <c r="M911" s="215"/>
      <c r="N911" s="215"/>
      <c r="O911" s="215"/>
      <c r="P911" s="215"/>
      <c r="Q911" s="215"/>
      <c r="R911" s="215"/>
      <c r="S911" s="215"/>
      <c r="T911" s="215"/>
      <c r="U911" s="215"/>
      <c r="V911" s="215"/>
      <c r="W911" s="215"/>
      <c r="X911" s="215"/>
    </row>
    <row r="912" spans="1:24" ht="14.25" customHeight="1" x14ac:dyDescent="0.2">
      <c r="A912" s="215"/>
      <c r="B912" s="215"/>
      <c r="C912" s="215"/>
      <c r="D912" s="215"/>
      <c r="E912" s="215"/>
      <c r="F912" s="215"/>
      <c r="G912" s="215"/>
      <c r="H912" s="215"/>
      <c r="I912" s="215"/>
      <c r="J912" s="215"/>
      <c r="K912" s="215"/>
      <c r="L912" s="215"/>
      <c r="M912" s="215"/>
      <c r="N912" s="215"/>
      <c r="O912" s="215"/>
      <c r="P912" s="215"/>
      <c r="Q912" s="215"/>
      <c r="R912" s="215"/>
      <c r="S912" s="215"/>
      <c r="T912" s="215"/>
      <c r="U912" s="215"/>
      <c r="V912" s="215"/>
      <c r="W912" s="215"/>
      <c r="X912" s="215"/>
    </row>
    <row r="913" spans="1:24" ht="14.25" customHeight="1" x14ac:dyDescent="0.2">
      <c r="A913" s="215"/>
      <c r="B913" s="215"/>
      <c r="C913" s="215"/>
      <c r="D913" s="215"/>
      <c r="E913" s="215"/>
      <c r="F913" s="215"/>
      <c r="G913" s="215"/>
      <c r="H913" s="215"/>
      <c r="I913" s="215"/>
      <c r="J913" s="215"/>
      <c r="K913" s="215"/>
      <c r="L913" s="215"/>
      <c r="M913" s="215"/>
      <c r="N913" s="215"/>
      <c r="O913" s="215"/>
      <c r="P913" s="215"/>
      <c r="Q913" s="215"/>
      <c r="R913" s="215"/>
      <c r="S913" s="215"/>
      <c r="T913" s="215"/>
      <c r="U913" s="215"/>
      <c r="V913" s="215"/>
      <c r="W913" s="215"/>
      <c r="X913" s="215"/>
    </row>
    <row r="914" spans="1:24" ht="14.25" customHeight="1" x14ac:dyDescent="0.2">
      <c r="A914" s="215"/>
      <c r="B914" s="215"/>
      <c r="C914" s="215"/>
      <c r="D914" s="215"/>
      <c r="E914" s="215"/>
      <c r="F914" s="215"/>
      <c r="G914" s="215"/>
      <c r="H914" s="215"/>
      <c r="I914" s="215"/>
      <c r="J914" s="215"/>
      <c r="K914" s="215"/>
      <c r="L914" s="215"/>
      <c r="M914" s="215"/>
      <c r="N914" s="215"/>
      <c r="O914" s="215"/>
      <c r="P914" s="215"/>
      <c r="Q914" s="215"/>
      <c r="R914" s="215"/>
      <c r="S914" s="215"/>
      <c r="T914" s="215"/>
      <c r="U914" s="215"/>
      <c r="V914" s="215"/>
      <c r="W914" s="215"/>
      <c r="X914" s="215"/>
    </row>
    <row r="915" spans="1:24" ht="14.25" customHeight="1" x14ac:dyDescent="0.2">
      <c r="A915" s="215"/>
      <c r="B915" s="215"/>
      <c r="C915" s="215"/>
      <c r="D915" s="215"/>
      <c r="E915" s="215"/>
      <c r="F915" s="215"/>
      <c r="G915" s="215"/>
      <c r="H915" s="215"/>
      <c r="I915" s="215"/>
      <c r="J915" s="215"/>
      <c r="K915" s="215"/>
      <c r="L915" s="215"/>
      <c r="M915" s="215"/>
      <c r="N915" s="215"/>
      <c r="O915" s="215"/>
      <c r="P915" s="215"/>
      <c r="Q915" s="215"/>
      <c r="R915" s="215"/>
      <c r="S915" s="215"/>
      <c r="T915" s="215"/>
      <c r="U915" s="215"/>
      <c r="V915" s="215"/>
      <c r="W915" s="215"/>
      <c r="X915" s="215"/>
    </row>
    <row r="916" spans="1:24" ht="14.25" customHeight="1" x14ac:dyDescent="0.2">
      <c r="A916" s="215"/>
      <c r="B916" s="215"/>
      <c r="C916" s="215"/>
      <c r="D916" s="215"/>
      <c r="E916" s="215"/>
      <c r="F916" s="215"/>
      <c r="G916" s="215"/>
      <c r="H916" s="215"/>
      <c r="I916" s="215"/>
      <c r="J916" s="215"/>
      <c r="K916" s="215"/>
      <c r="L916" s="215"/>
      <c r="M916" s="215"/>
      <c r="N916" s="215"/>
      <c r="O916" s="215"/>
      <c r="P916" s="215"/>
      <c r="Q916" s="215"/>
      <c r="R916" s="215"/>
      <c r="S916" s="215"/>
      <c r="T916" s="215"/>
      <c r="U916" s="215"/>
      <c r="V916" s="215"/>
      <c r="W916" s="215"/>
      <c r="X916" s="215"/>
    </row>
    <row r="917" spans="1:24" ht="14.25" customHeight="1" x14ac:dyDescent="0.2">
      <c r="A917" s="215"/>
      <c r="B917" s="215"/>
      <c r="C917" s="215"/>
      <c r="D917" s="215"/>
      <c r="E917" s="215"/>
      <c r="F917" s="215"/>
      <c r="G917" s="215"/>
      <c r="H917" s="215"/>
      <c r="I917" s="215"/>
      <c r="J917" s="215"/>
      <c r="K917" s="215"/>
      <c r="L917" s="215"/>
      <c r="M917" s="215"/>
      <c r="N917" s="215"/>
      <c r="O917" s="215"/>
      <c r="P917" s="215"/>
      <c r="Q917" s="215"/>
      <c r="R917" s="215"/>
      <c r="S917" s="215"/>
      <c r="T917" s="215"/>
      <c r="U917" s="215"/>
      <c r="V917" s="215"/>
      <c r="W917" s="215"/>
      <c r="X917" s="215"/>
    </row>
    <row r="918" spans="1:24" ht="14.25" customHeight="1" x14ac:dyDescent="0.2">
      <c r="A918" s="215"/>
      <c r="B918" s="215"/>
      <c r="C918" s="215"/>
      <c r="D918" s="215"/>
      <c r="E918" s="215"/>
      <c r="F918" s="215"/>
      <c r="G918" s="215"/>
      <c r="H918" s="215"/>
      <c r="I918" s="215"/>
      <c r="J918" s="215"/>
      <c r="K918" s="215"/>
      <c r="L918" s="215"/>
      <c r="M918" s="215"/>
      <c r="N918" s="215"/>
      <c r="O918" s="215"/>
      <c r="P918" s="215"/>
      <c r="Q918" s="215"/>
      <c r="R918" s="215"/>
      <c r="S918" s="215"/>
      <c r="T918" s="215"/>
      <c r="U918" s="215"/>
      <c r="V918" s="215"/>
      <c r="W918" s="215"/>
      <c r="X918" s="215"/>
    </row>
    <row r="919" spans="1:24" ht="14.25" customHeight="1" x14ac:dyDescent="0.2">
      <c r="A919" s="215"/>
      <c r="B919" s="215"/>
      <c r="C919" s="215"/>
      <c r="D919" s="215"/>
      <c r="E919" s="215"/>
      <c r="F919" s="215"/>
      <c r="G919" s="215"/>
      <c r="H919" s="215"/>
      <c r="I919" s="215"/>
      <c r="J919" s="215"/>
      <c r="K919" s="215"/>
      <c r="L919" s="215"/>
      <c r="M919" s="215"/>
      <c r="N919" s="215"/>
      <c r="O919" s="215"/>
      <c r="P919" s="215"/>
      <c r="Q919" s="215"/>
      <c r="R919" s="215"/>
      <c r="S919" s="215"/>
      <c r="T919" s="215"/>
      <c r="U919" s="215"/>
      <c r="V919" s="215"/>
      <c r="W919" s="215"/>
      <c r="X919" s="215"/>
    </row>
    <row r="920" spans="1:24" ht="14.25" customHeight="1" x14ac:dyDescent="0.2">
      <c r="A920" s="215"/>
      <c r="B920" s="215"/>
      <c r="C920" s="215"/>
      <c r="D920" s="215"/>
      <c r="E920" s="215"/>
      <c r="F920" s="215"/>
      <c r="G920" s="215"/>
      <c r="H920" s="215"/>
      <c r="I920" s="215"/>
      <c r="J920" s="215"/>
      <c r="K920" s="215"/>
      <c r="L920" s="215"/>
      <c r="M920" s="215"/>
      <c r="N920" s="215"/>
      <c r="O920" s="215"/>
      <c r="P920" s="215"/>
      <c r="Q920" s="215"/>
      <c r="R920" s="215"/>
      <c r="S920" s="215"/>
      <c r="T920" s="215"/>
      <c r="U920" s="215"/>
      <c r="V920" s="215"/>
      <c r="W920" s="215"/>
      <c r="X920" s="215"/>
    </row>
    <row r="921" spans="1:24" ht="14.25" customHeight="1" x14ac:dyDescent="0.2">
      <c r="A921" s="215"/>
      <c r="B921" s="215"/>
      <c r="C921" s="215"/>
      <c r="D921" s="215"/>
      <c r="E921" s="215"/>
      <c r="F921" s="215"/>
      <c r="G921" s="215"/>
      <c r="H921" s="215"/>
      <c r="I921" s="215"/>
      <c r="J921" s="215"/>
      <c r="K921" s="215"/>
      <c r="L921" s="215"/>
      <c r="M921" s="215"/>
      <c r="N921" s="215"/>
      <c r="O921" s="215"/>
      <c r="P921" s="215"/>
      <c r="Q921" s="215"/>
      <c r="R921" s="215"/>
      <c r="S921" s="215"/>
      <c r="T921" s="215"/>
      <c r="U921" s="215"/>
      <c r="V921" s="215"/>
      <c r="W921" s="215"/>
      <c r="X921" s="215"/>
    </row>
    <row r="922" spans="1:24" ht="14.25" customHeight="1" x14ac:dyDescent="0.2">
      <c r="A922" s="215"/>
      <c r="B922" s="215"/>
      <c r="C922" s="215"/>
      <c r="D922" s="215"/>
      <c r="E922" s="215"/>
      <c r="F922" s="215"/>
      <c r="G922" s="215"/>
      <c r="H922" s="215"/>
      <c r="I922" s="215"/>
      <c r="J922" s="215"/>
      <c r="K922" s="215"/>
      <c r="L922" s="215"/>
      <c r="M922" s="215"/>
      <c r="N922" s="215"/>
      <c r="O922" s="215"/>
      <c r="P922" s="215"/>
      <c r="Q922" s="215"/>
      <c r="R922" s="215"/>
      <c r="S922" s="215"/>
      <c r="T922" s="215"/>
      <c r="U922" s="215"/>
      <c r="V922" s="215"/>
      <c r="W922" s="215"/>
      <c r="X922" s="215"/>
    </row>
    <row r="923" spans="1:24" ht="14.25" customHeight="1" x14ac:dyDescent="0.2">
      <c r="A923" s="215"/>
      <c r="B923" s="215"/>
      <c r="C923" s="215"/>
      <c r="D923" s="215"/>
      <c r="E923" s="215"/>
      <c r="F923" s="215"/>
      <c r="G923" s="215"/>
      <c r="H923" s="215"/>
      <c r="I923" s="215"/>
      <c r="J923" s="215"/>
      <c r="K923" s="215"/>
      <c r="L923" s="215"/>
      <c r="M923" s="215"/>
      <c r="N923" s="215"/>
      <c r="O923" s="215"/>
      <c r="P923" s="215"/>
      <c r="Q923" s="215"/>
      <c r="R923" s="215"/>
      <c r="S923" s="215"/>
      <c r="T923" s="215"/>
      <c r="U923" s="215"/>
      <c r="V923" s="215"/>
      <c r="W923" s="215"/>
      <c r="X923" s="215"/>
    </row>
    <row r="924" spans="1:24" ht="14.25" customHeight="1" x14ac:dyDescent="0.2">
      <c r="A924" s="215"/>
      <c r="B924" s="215"/>
      <c r="C924" s="215"/>
      <c r="D924" s="215"/>
      <c r="E924" s="215"/>
      <c r="F924" s="215"/>
      <c r="G924" s="215"/>
      <c r="H924" s="215"/>
      <c r="I924" s="215"/>
      <c r="J924" s="215"/>
      <c r="K924" s="215"/>
      <c r="L924" s="215"/>
      <c r="M924" s="215"/>
      <c r="N924" s="215"/>
      <c r="O924" s="215"/>
      <c r="P924" s="215"/>
      <c r="Q924" s="215"/>
      <c r="R924" s="215"/>
      <c r="S924" s="215"/>
      <c r="T924" s="215"/>
      <c r="U924" s="215"/>
      <c r="V924" s="215"/>
      <c r="W924" s="215"/>
      <c r="X924" s="215"/>
    </row>
    <row r="925" spans="1:24" ht="14.25" customHeight="1" x14ac:dyDescent="0.2">
      <c r="A925" s="215"/>
      <c r="B925" s="215"/>
      <c r="C925" s="215"/>
      <c r="D925" s="215"/>
      <c r="E925" s="215"/>
      <c r="F925" s="215"/>
      <c r="G925" s="215"/>
      <c r="H925" s="215"/>
      <c r="I925" s="215"/>
      <c r="J925" s="215"/>
      <c r="K925" s="215"/>
      <c r="L925" s="215"/>
      <c r="M925" s="215"/>
      <c r="N925" s="215"/>
      <c r="O925" s="215"/>
      <c r="P925" s="215"/>
      <c r="Q925" s="215"/>
      <c r="R925" s="215"/>
      <c r="S925" s="215"/>
      <c r="T925" s="215"/>
      <c r="U925" s="215"/>
      <c r="V925" s="215"/>
      <c r="W925" s="215"/>
      <c r="X925" s="215"/>
    </row>
    <row r="926" spans="1:24" ht="14.25" customHeight="1" x14ac:dyDescent="0.2">
      <c r="A926" s="215"/>
      <c r="B926" s="215"/>
      <c r="C926" s="215"/>
      <c r="D926" s="215"/>
      <c r="E926" s="215"/>
      <c r="F926" s="215"/>
      <c r="G926" s="215"/>
      <c r="H926" s="215"/>
      <c r="I926" s="215"/>
      <c r="J926" s="215"/>
      <c r="K926" s="215"/>
      <c r="L926" s="215"/>
      <c r="M926" s="215"/>
      <c r="N926" s="215"/>
      <c r="O926" s="215"/>
      <c r="P926" s="215"/>
      <c r="Q926" s="215"/>
      <c r="R926" s="215"/>
      <c r="S926" s="215"/>
      <c r="T926" s="215"/>
      <c r="U926" s="215"/>
      <c r="V926" s="215"/>
      <c r="W926" s="215"/>
      <c r="X926" s="215"/>
    </row>
    <row r="927" spans="1:24" ht="14.25" customHeight="1" x14ac:dyDescent="0.2">
      <c r="A927" s="215"/>
      <c r="B927" s="215"/>
      <c r="C927" s="215"/>
      <c r="D927" s="215"/>
      <c r="E927" s="215"/>
      <c r="F927" s="215"/>
      <c r="G927" s="215"/>
      <c r="H927" s="215"/>
      <c r="I927" s="215"/>
      <c r="J927" s="215"/>
      <c r="K927" s="215"/>
      <c r="L927" s="215"/>
      <c r="M927" s="215"/>
      <c r="N927" s="215"/>
      <c r="O927" s="215"/>
      <c r="P927" s="215"/>
      <c r="Q927" s="215"/>
      <c r="R927" s="215"/>
      <c r="S927" s="215"/>
      <c r="T927" s="215"/>
      <c r="U927" s="215"/>
      <c r="V927" s="215"/>
      <c r="W927" s="215"/>
      <c r="X927" s="215"/>
    </row>
    <row r="928" spans="1:24" ht="14.25" customHeight="1" x14ac:dyDescent="0.2">
      <c r="A928" s="215"/>
      <c r="B928" s="215"/>
      <c r="C928" s="215"/>
      <c r="D928" s="215"/>
      <c r="E928" s="215"/>
      <c r="F928" s="215"/>
      <c r="G928" s="215"/>
      <c r="H928" s="215"/>
      <c r="I928" s="215"/>
      <c r="J928" s="215"/>
      <c r="K928" s="215"/>
      <c r="L928" s="215"/>
      <c r="M928" s="215"/>
      <c r="N928" s="215"/>
      <c r="O928" s="215"/>
      <c r="P928" s="215"/>
      <c r="Q928" s="215"/>
      <c r="R928" s="215"/>
      <c r="S928" s="215"/>
      <c r="T928" s="215"/>
      <c r="U928" s="215"/>
      <c r="V928" s="215"/>
      <c r="W928" s="215"/>
      <c r="X928" s="215"/>
    </row>
    <row r="929" spans="1:24" ht="14.25" customHeight="1" x14ac:dyDescent="0.2">
      <c r="A929" s="215"/>
      <c r="B929" s="215"/>
      <c r="C929" s="215"/>
      <c r="D929" s="215"/>
      <c r="E929" s="215"/>
      <c r="F929" s="215"/>
      <c r="G929" s="215"/>
      <c r="H929" s="215"/>
      <c r="I929" s="215"/>
      <c r="J929" s="215"/>
      <c r="K929" s="215"/>
      <c r="L929" s="215"/>
      <c r="M929" s="215"/>
      <c r="N929" s="215"/>
      <c r="O929" s="215"/>
      <c r="P929" s="215"/>
      <c r="Q929" s="215"/>
      <c r="R929" s="215"/>
      <c r="S929" s="215"/>
      <c r="T929" s="215"/>
      <c r="U929" s="215"/>
      <c r="V929" s="215"/>
      <c r="W929" s="215"/>
      <c r="X929" s="215"/>
    </row>
    <row r="930" spans="1:24" ht="14.25" customHeight="1" x14ac:dyDescent="0.2">
      <c r="A930" s="215"/>
      <c r="B930" s="215"/>
      <c r="C930" s="215"/>
      <c r="D930" s="215"/>
      <c r="E930" s="215"/>
      <c r="F930" s="215"/>
      <c r="G930" s="215"/>
      <c r="H930" s="215"/>
      <c r="I930" s="215"/>
      <c r="J930" s="215"/>
      <c r="K930" s="215"/>
      <c r="L930" s="215"/>
      <c r="M930" s="215"/>
      <c r="N930" s="215"/>
      <c r="O930" s="215"/>
      <c r="P930" s="215"/>
      <c r="Q930" s="215"/>
      <c r="R930" s="215"/>
      <c r="S930" s="215"/>
      <c r="T930" s="215"/>
      <c r="U930" s="215"/>
      <c r="V930" s="215"/>
      <c r="W930" s="215"/>
      <c r="X930" s="215"/>
    </row>
    <row r="931" spans="1:24" ht="14.25" customHeight="1" x14ac:dyDescent="0.2">
      <c r="A931" s="215"/>
      <c r="B931" s="215"/>
      <c r="C931" s="215"/>
      <c r="D931" s="215"/>
      <c r="E931" s="215"/>
      <c r="F931" s="215"/>
      <c r="G931" s="215"/>
      <c r="H931" s="215"/>
      <c r="I931" s="215"/>
      <c r="J931" s="215"/>
      <c r="K931" s="215"/>
      <c r="L931" s="215"/>
      <c r="M931" s="215"/>
      <c r="N931" s="215"/>
      <c r="O931" s="215"/>
      <c r="P931" s="215"/>
      <c r="Q931" s="215"/>
      <c r="R931" s="215"/>
      <c r="S931" s="215"/>
      <c r="T931" s="215"/>
      <c r="U931" s="215"/>
      <c r="V931" s="215"/>
      <c r="W931" s="215"/>
      <c r="X931" s="215"/>
    </row>
    <row r="932" spans="1:24" ht="14.25" customHeight="1" x14ac:dyDescent="0.2">
      <c r="A932" s="215"/>
      <c r="B932" s="215"/>
      <c r="C932" s="215"/>
      <c r="D932" s="215"/>
      <c r="E932" s="215"/>
      <c r="F932" s="215"/>
      <c r="G932" s="215"/>
      <c r="H932" s="215"/>
      <c r="I932" s="215"/>
      <c r="J932" s="215"/>
      <c r="K932" s="215"/>
      <c r="L932" s="215"/>
      <c r="M932" s="215"/>
      <c r="N932" s="215"/>
      <c r="O932" s="215"/>
      <c r="P932" s="215"/>
      <c r="Q932" s="215"/>
      <c r="R932" s="215"/>
      <c r="S932" s="215"/>
      <c r="T932" s="215"/>
      <c r="U932" s="215"/>
      <c r="V932" s="215"/>
      <c r="W932" s="215"/>
      <c r="X932" s="215"/>
    </row>
    <row r="933" spans="1:24" ht="14.25" customHeight="1" x14ac:dyDescent="0.2">
      <c r="A933" s="215"/>
      <c r="B933" s="215"/>
      <c r="C933" s="215"/>
      <c r="D933" s="215"/>
      <c r="E933" s="215"/>
      <c r="F933" s="215"/>
      <c r="G933" s="215"/>
      <c r="H933" s="215"/>
      <c r="I933" s="215"/>
      <c r="J933" s="215"/>
      <c r="K933" s="215"/>
      <c r="L933" s="215"/>
      <c r="M933" s="215"/>
      <c r="N933" s="215"/>
      <c r="O933" s="215"/>
      <c r="P933" s="215"/>
      <c r="Q933" s="215"/>
      <c r="R933" s="215"/>
      <c r="S933" s="215"/>
      <c r="T933" s="215"/>
      <c r="U933" s="215"/>
      <c r="V933" s="215"/>
      <c r="W933" s="215"/>
      <c r="X933" s="215"/>
    </row>
    <row r="934" spans="1:24" ht="14.25" customHeight="1" x14ac:dyDescent="0.2">
      <c r="A934" s="215"/>
      <c r="B934" s="215"/>
      <c r="C934" s="215"/>
      <c r="D934" s="215"/>
      <c r="E934" s="215"/>
      <c r="F934" s="215"/>
      <c r="G934" s="215"/>
      <c r="H934" s="215"/>
      <c r="I934" s="215"/>
      <c r="J934" s="215"/>
      <c r="K934" s="215"/>
      <c r="L934" s="215"/>
      <c r="M934" s="215"/>
      <c r="N934" s="215"/>
      <c r="O934" s="215"/>
      <c r="P934" s="215"/>
      <c r="Q934" s="215"/>
      <c r="R934" s="215"/>
      <c r="S934" s="215"/>
      <c r="T934" s="215"/>
      <c r="U934" s="215"/>
      <c r="V934" s="215"/>
      <c r="W934" s="215"/>
      <c r="X934" s="215"/>
    </row>
    <row r="935" spans="1:24" ht="14.25" customHeight="1" x14ac:dyDescent="0.2">
      <c r="A935" s="215"/>
      <c r="B935" s="215"/>
      <c r="C935" s="215"/>
      <c r="D935" s="215"/>
      <c r="E935" s="215"/>
      <c r="F935" s="215"/>
      <c r="G935" s="215"/>
      <c r="H935" s="215"/>
      <c r="I935" s="215"/>
      <c r="J935" s="215"/>
      <c r="K935" s="215"/>
      <c r="L935" s="215"/>
      <c r="M935" s="215"/>
      <c r="N935" s="215"/>
      <c r="O935" s="215"/>
      <c r="P935" s="215"/>
      <c r="Q935" s="215"/>
      <c r="R935" s="215"/>
      <c r="S935" s="215"/>
      <c r="T935" s="215"/>
      <c r="U935" s="215"/>
      <c r="V935" s="215"/>
      <c r="W935" s="215"/>
      <c r="X935" s="215"/>
    </row>
    <row r="936" spans="1:24" ht="14.25" customHeight="1" x14ac:dyDescent="0.2">
      <c r="A936" s="215"/>
      <c r="B936" s="215"/>
      <c r="C936" s="215"/>
      <c r="D936" s="215"/>
      <c r="E936" s="215"/>
      <c r="F936" s="215"/>
      <c r="G936" s="215"/>
      <c r="H936" s="215"/>
      <c r="I936" s="215"/>
      <c r="J936" s="215"/>
      <c r="K936" s="215"/>
      <c r="L936" s="215"/>
      <c r="M936" s="215"/>
      <c r="N936" s="215"/>
      <c r="O936" s="215"/>
      <c r="P936" s="215"/>
      <c r="Q936" s="215"/>
      <c r="R936" s="215"/>
      <c r="S936" s="215"/>
      <c r="T936" s="215"/>
      <c r="U936" s="215"/>
      <c r="V936" s="215"/>
      <c r="W936" s="215"/>
      <c r="X936" s="215"/>
    </row>
    <row r="937" spans="1:24" ht="14.25" customHeight="1" x14ac:dyDescent="0.2">
      <c r="A937" s="215"/>
      <c r="B937" s="215"/>
      <c r="C937" s="215"/>
      <c r="D937" s="215"/>
      <c r="E937" s="215"/>
      <c r="F937" s="215"/>
      <c r="G937" s="215"/>
      <c r="H937" s="215"/>
      <c r="I937" s="215"/>
      <c r="J937" s="215"/>
      <c r="K937" s="215"/>
      <c r="L937" s="215"/>
      <c r="M937" s="215"/>
      <c r="N937" s="215"/>
      <c r="O937" s="215"/>
      <c r="P937" s="215"/>
      <c r="Q937" s="215"/>
      <c r="R937" s="215"/>
      <c r="S937" s="215"/>
      <c r="T937" s="215"/>
      <c r="U937" s="215"/>
      <c r="V937" s="215"/>
      <c r="W937" s="215"/>
      <c r="X937" s="215"/>
    </row>
    <row r="938" spans="1:24" ht="14.25" customHeight="1" x14ac:dyDescent="0.2">
      <c r="A938" s="215"/>
      <c r="B938" s="215"/>
      <c r="C938" s="215"/>
      <c r="D938" s="215"/>
      <c r="E938" s="215"/>
      <c r="F938" s="215"/>
      <c r="G938" s="215"/>
      <c r="H938" s="215"/>
      <c r="I938" s="215"/>
      <c r="J938" s="215"/>
      <c r="K938" s="215"/>
      <c r="L938" s="215"/>
      <c r="M938" s="215"/>
      <c r="N938" s="215"/>
      <c r="O938" s="215"/>
      <c r="P938" s="215"/>
      <c r="Q938" s="215"/>
      <c r="R938" s="215"/>
      <c r="S938" s="215"/>
      <c r="T938" s="215"/>
      <c r="U938" s="215"/>
      <c r="V938" s="215"/>
      <c r="W938" s="215"/>
      <c r="X938" s="215"/>
    </row>
    <row r="939" spans="1:24" ht="14.25" customHeight="1" x14ac:dyDescent="0.2">
      <c r="A939" s="215"/>
      <c r="B939" s="215"/>
      <c r="C939" s="215"/>
      <c r="D939" s="215"/>
      <c r="E939" s="215"/>
      <c r="F939" s="215"/>
      <c r="G939" s="215"/>
      <c r="H939" s="215"/>
      <c r="I939" s="215"/>
      <c r="J939" s="215"/>
      <c r="K939" s="215"/>
      <c r="L939" s="215"/>
      <c r="M939" s="215"/>
      <c r="N939" s="215"/>
      <c r="O939" s="215"/>
      <c r="P939" s="215"/>
      <c r="Q939" s="215"/>
      <c r="R939" s="215"/>
      <c r="S939" s="215"/>
      <c r="T939" s="215"/>
      <c r="U939" s="215"/>
      <c r="V939" s="215"/>
      <c r="W939" s="215"/>
      <c r="X939" s="215"/>
    </row>
    <row r="940" spans="1:24" ht="14.25" customHeight="1" x14ac:dyDescent="0.2">
      <c r="A940" s="215"/>
      <c r="B940" s="215"/>
      <c r="C940" s="215"/>
      <c r="D940" s="215"/>
      <c r="E940" s="215"/>
      <c r="F940" s="215"/>
      <c r="G940" s="215"/>
      <c r="H940" s="215"/>
      <c r="I940" s="215"/>
      <c r="J940" s="215"/>
      <c r="K940" s="215"/>
      <c r="L940" s="215"/>
      <c r="M940" s="215"/>
      <c r="N940" s="215"/>
      <c r="O940" s="215"/>
      <c r="P940" s="215"/>
      <c r="Q940" s="215"/>
      <c r="R940" s="215"/>
      <c r="S940" s="215"/>
      <c r="T940" s="215"/>
      <c r="U940" s="215"/>
      <c r="V940" s="215"/>
      <c r="W940" s="215"/>
      <c r="X940" s="215"/>
    </row>
    <row r="941" spans="1:24" ht="14.25" customHeight="1" x14ac:dyDescent="0.2">
      <c r="A941" s="215"/>
      <c r="B941" s="215"/>
      <c r="C941" s="215"/>
      <c r="D941" s="215"/>
      <c r="E941" s="215"/>
      <c r="F941" s="215"/>
      <c r="G941" s="215"/>
      <c r="H941" s="215"/>
      <c r="I941" s="215"/>
      <c r="J941" s="215"/>
      <c r="K941" s="215"/>
      <c r="L941" s="215"/>
      <c r="M941" s="215"/>
      <c r="N941" s="215"/>
      <c r="O941" s="215"/>
      <c r="P941" s="215"/>
      <c r="Q941" s="215"/>
      <c r="R941" s="215"/>
      <c r="S941" s="215"/>
      <c r="T941" s="215"/>
      <c r="U941" s="215"/>
      <c r="V941" s="215"/>
      <c r="W941" s="215"/>
      <c r="X941" s="215"/>
    </row>
    <row r="942" spans="1:24" ht="14.25" customHeight="1" x14ac:dyDescent="0.2">
      <c r="A942" s="215"/>
      <c r="B942" s="215"/>
      <c r="C942" s="215"/>
      <c r="D942" s="215"/>
      <c r="E942" s="215"/>
      <c r="F942" s="215"/>
      <c r="G942" s="215"/>
      <c r="H942" s="215"/>
      <c r="I942" s="215"/>
      <c r="J942" s="215"/>
      <c r="K942" s="215"/>
      <c r="L942" s="215"/>
      <c r="M942" s="215"/>
      <c r="N942" s="215"/>
      <c r="O942" s="215"/>
      <c r="P942" s="215"/>
      <c r="Q942" s="215"/>
      <c r="R942" s="215"/>
      <c r="S942" s="215"/>
      <c r="T942" s="215"/>
      <c r="U942" s="215"/>
      <c r="V942" s="215"/>
      <c r="W942" s="215"/>
      <c r="X942" s="215"/>
    </row>
    <row r="943" spans="1:24" ht="14.25" customHeight="1" x14ac:dyDescent="0.2">
      <c r="A943" s="215"/>
      <c r="B943" s="215"/>
      <c r="C943" s="215"/>
      <c r="D943" s="215"/>
      <c r="E943" s="215"/>
      <c r="F943" s="215"/>
      <c r="G943" s="215"/>
      <c r="H943" s="215"/>
      <c r="I943" s="215"/>
      <c r="J943" s="215"/>
      <c r="K943" s="215"/>
      <c r="L943" s="215"/>
      <c r="M943" s="215"/>
      <c r="N943" s="215"/>
      <c r="O943" s="215"/>
      <c r="P943" s="215"/>
      <c r="Q943" s="215"/>
      <c r="R943" s="215"/>
      <c r="S943" s="215"/>
      <c r="T943" s="215"/>
      <c r="U943" s="215"/>
      <c r="V943" s="215"/>
      <c r="W943" s="215"/>
      <c r="X943" s="215"/>
    </row>
    <row r="944" spans="1:24" ht="14.25" customHeight="1" x14ac:dyDescent="0.2">
      <c r="A944" s="215"/>
      <c r="B944" s="215"/>
      <c r="C944" s="215"/>
      <c r="D944" s="215"/>
      <c r="E944" s="215"/>
      <c r="F944" s="215"/>
      <c r="G944" s="215"/>
      <c r="H944" s="215"/>
      <c r="I944" s="215"/>
      <c r="J944" s="215"/>
      <c r="K944" s="215"/>
      <c r="L944" s="215"/>
      <c r="M944" s="215"/>
      <c r="N944" s="215"/>
      <c r="O944" s="215"/>
      <c r="P944" s="215"/>
      <c r="Q944" s="215"/>
      <c r="R944" s="215"/>
      <c r="S944" s="215"/>
      <c r="T944" s="215"/>
      <c r="U944" s="215"/>
      <c r="V944" s="215"/>
      <c r="W944" s="215"/>
      <c r="X944" s="215"/>
    </row>
    <row r="945" spans="1:24" ht="14.25" customHeight="1" x14ac:dyDescent="0.2">
      <c r="A945" s="215"/>
      <c r="B945" s="215"/>
      <c r="C945" s="215"/>
      <c r="D945" s="215"/>
      <c r="E945" s="215"/>
      <c r="F945" s="215"/>
      <c r="G945" s="215"/>
      <c r="H945" s="215"/>
      <c r="I945" s="215"/>
      <c r="J945" s="215"/>
      <c r="K945" s="215"/>
      <c r="L945" s="215"/>
      <c r="M945" s="215"/>
      <c r="N945" s="215"/>
      <c r="O945" s="215"/>
      <c r="P945" s="215"/>
      <c r="Q945" s="215"/>
      <c r="R945" s="215"/>
      <c r="S945" s="215"/>
      <c r="T945" s="215"/>
      <c r="U945" s="215"/>
      <c r="V945" s="215"/>
      <c r="W945" s="215"/>
      <c r="X945" s="215"/>
    </row>
    <row r="946" spans="1:24" ht="14.25" customHeight="1" x14ac:dyDescent="0.2">
      <c r="A946" s="215"/>
      <c r="B946" s="215"/>
      <c r="C946" s="215"/>
      <c r="D946" s="215"/>
      <c r="E946" s="215"/>
      <c r="F946" s="215"/>
      <c r="G946" s="215"/>
      <c r="H946" s="215"/>
      <c r="I946" s="215"/>
      <c r="J946" s="215"/>
      <c r="K946" s="215"/>
      <c r="L946" s="215"/>
      <c r="M946" s="215"/>
      <c r="N946" s="215"/>
      <c r="O946" s="215"/>
      <c r="P946" s="215"/>
      <c r="Q946" s="215"/>
      <c r="R946" s="215"/>
      <c r="S946" s="215"/>
      <c r="T946" s="215"/>
      <c r="U946" s="215"/>
      <c r="V946" s="215"/>
      <c r="W946" s="215"/>
      <c r="X946" s="215"/>
    </row>
    <row r="947" spans="1:24" ht="14.25" customHeight="1" x14ac:dyDescent="0.2">
      <c r="A947" s="215"/>
      <c r="B947" s="215"/>
      <c r="C947" s="215"/>
      <c r="D947" s="215"/>
      <c r="E947" s="215"/>
      <c r="F947" s="215"/>
      <c r="G947" s="215"/>
      <c r="H947" s="215"/>
      <c r="I947" s="215"/>
      <c r="J947" s="215"/>
      <c r="K947" s="215"/>
      <c r="L947" s="215"/>
      <c r="M947" s="215"/>
      <c r="N947" s="215"/>
      <c r="O947" s="215"/>
      <c r="P947" s="215"/>
      <c r="Q947" s="215"/>
      <c r="R947" s="215"/>
      <c r="S947" s="215"/>
      <c r="T947" s="215"/>
      <c r="U947" s="215"/>
      <c r="V947" s="215"/>
      <c r="W947" s="215"/>
      <c r="X947" s="215"/>
    </row>
    <row r="948" spans="1:24" ht="14.25" customHeight="1" x14ac:dyDescent="0.2">
      <c r="A948" s="215"/>
      <c r="B948" s="215"/>
      <c r="C948" s="215"/>
      <c r="D948" s="215"/>
      <c r="E948" s="215"/>
      <c r="F948" s="215"/>
      <c r="G948" s="215"/>
      <c r="H948" s="215"/>
      <c r="I948" s="215"/>
      <c r="J948" s="215"/>
      <c r="K948" s="215"/>
      <c r="L948" s="215"/>
      <c r="M948" s="215"/>
      <c r="N948" s="215"/>
      <c r="O948" s="215"/>
      <c r="P948" s="215"/>
      <c r="Q948" s="215"/>
      <c r="R948" s="215"/>
      <c r="S948" s="215"/>
      <c r="T948" s="215"/>
      <c r="U948" s="215"/>
      <c r="V948" s="215"/>
      <c r="W948" s="215"/>
      <c r="X948" s="215"/>
    </row>
    <row r="949" spans="1:24" ht="14.25" customHeight="1" x14ac:dyDescent="0.2">
      <c r="A949" s="215"/>
      <c r="B949" s="215"/>
      <c r="C949" s="215"/>
      <c r="D949" s="215"/>
      <c r="E949" s="215"/>
      <c r="F949" s="215"/>
      <c r="G949" s="215"/>
      <c r="H949" s="215"/>
      <c r="I949" s="215"/>
      <c r="J949" s="215"/>
      <c r="K949" s="215"/>
      <c r="L949" s="215"/>
      <c r="M949" s="215"/>
      <c r="N949" s="215"/>
      <c r="O949" s="215"/>
      <c r="P949" s="215"/>
      <c r="Q949" s="215"/>
      <c r="R949" s="215"/>
      <c r="S949" s="215"/>
      <c r="T949" s="215"/>
      <c r="U949" s="215"/>
      <c r="V949" s="215"/>
      <c r="W949" s="215"/>
      <c r="X949" s="215"/>
    </row>
    <row r="950" spans="1:24" ht="14.25" customHeight="1" x14ac:dyDescent="0.2">
      <c r="A950" s="215"/>
      <c r="B950" s="215"/>
      <c r="C950" s="215"/>
      <c r="D950" s="215"/>
      <c r="E950" s="215"/>
      <c r="F950" s="215"/>
      <c r="G950" s="215"/>
      <c r="H950" s="215"/>
      <c r="I950" s="215"/>
      <c r="J950" s="215"/>
      <c r="K950" s="215"/>
      <c r="L950" s="215"/>
      <c r="M950" s="215"/>
      <c r="N950" s="215"/>
      <c r="O950" s="215"/>
      <c r="P950" s="215"/>
      <c r="Q950" s="215"/>
      <c r="R950" s="215"/>
      <c r="S950" s="215"/>
      <c r="T950" s="215"/>
      <c r="U950" s="215"/>
      <c r="V950" s="215"/>
      <c r="W950" s="215"/>
      <c r="X950" s="215"/>
    </row>
    <row r="951" spans="1:24" ht="14.25" customHeight="1" x14ac:dyDescent="0.2">
      <c r="A951" s="215"/>
      <c r="B951" s="215"/>
      <c r="C951" s="215"/>
      <c r="D951" s="215"/>
      <c r="E951" s="215"/>
      <c r="F951" s="215"/>
      <c r="G951" s="215"/>
      <c r="H951" s="215"/>
      <c r="I951" s="215"/>
      <c r="J951" s="215"/>
      <c r="K951" s="215"/>
      <c r="L951" s="215"/>
      <c r="M951" s="215"/>
      <c r="N951" s="215"/>
      <c r="O951" s="215"/>
      <c r="P951" s="215"/>
      <c r="Q951" s="215"/>
      <c r="R951" s="215"/>
      <c r="S951" s="215"/>
      <c r="T951" s="215"/>
      <c r="U951" s="215"/>
      <c r="V951" s="215"/>
      <c r="W951" s="215"/>
      <c r="X951" s="215"/>
    </row>
    <row r="952" spans="1:24" ht="14.25" customHeight="1" x14ac:dyDescent="0.2">
      <c r="A952" s="215"/>
      <c r="B952" s="215"/>
      <c r="C952" s="215"/>
      <c r="D952" s="215"/>
      <c r="E952" s="215"/>
      <c r="F952" s="215"/>
      <c r="G952" s="215"/>
      <c r="H952" s="215"/>
      <c r="I952" s="215"/>
      <c r="J952" s="215"/>
      <c r="K952" s="215"/>
      <c r="L952" s="215"/>
      <c r="M952" s="215"/>
      <c r="N952" s="215"/>
      <c r="O952" s="215"/>
      <c r="P952" s="215"/>
      <c r="Q952" s="215"/>
      <c r="R952" s="215"/>
      <c r="S952" s="215"/>
      <c r="T952" s="215"/>
      <c r="U952" s="215"/>
      <c r="V952" s="215"/>
      <c r="W952" s="215"/>
      <c r="X952" s="215"/>
    </row>
    <row r="953" spans="1:24" ht="14.25" customHeight="1" x14ac:dyDescent="0.2">
      <c r="A953" s="215"/>
      <c r="B953" s="215"/>
      <c r="C953" s="215"/>
      <c r="D953" s="215"/>
      <c r="E953" s="215"/>
      <c r="F953" s="215"/>
      <c r="G953" s="215"/>
      <c r="H953" s="215"/>
      <c r="I953" s="215"/>
      <c r="J953" s="215"/>
      <c r="K953" s="215"/>
      <c r="L953" s="215"/>
      <c r="M953" s="215"/>
      <c r="N953" s="215"/>
      <c r="O953" s="215"/>
      <c r="P953" s="215"/>
      <c r="Q953" s="215"/>
      <c r="R953" s="215"/>
      <c r="S953" s="215"/>
      <c r="T953" s="215"/>
      <c r="U953" s="215"/>
      <c r="V953" s="215"/>
      <c r="W953" s="215"/>
      <c r="X953" s="215"/>
    </row>
    <row r="954" spans="1:24" ht="14.25" customHeight="1" x14ac:dyDescent="0.2">
      <c r="A954" s="215"/>
      <c r="B954" s="215"/>
      <c r="C954" s="215"/>
      <c r="D954" s="215"/>
      <c r="E954" s="215"/>
      <c r="F954" s="215"/>
      <c r="G954" s="215"/>
      <c r="H954" s="215"/>
      <c r="I954" s="215"/>
      <c r="J954" s="215"/>
      <c r="K954" s="215"/>
      <c r="L954" s="215"/>
      <c r="M954" s="215"/>
      <c r="N954" s="215"/>
      <c r="O954" s="215"/>
      <c r="P954" s="215"/>
      <c r="Q954" s="215"/>
      <c r="R954" s="215"/>
      <c r="S954" s="215"/>
      <c r="T954" s="215"/>
      <c r="U954" s="215"/>
      <c r="V954" s="215"/>
      <c r="W954" s="215"/>
      <c r="X954" s="215"/>
    </row>
    <row r="955" spans="1:24" ht="14.25" customHeight="1" x14ac:dyDescent="0.2">
      <c r="A955" s="215"/>
      <c r="B955" s="215"/>
      <c r="C955" s="215"/>
      <c r="D955" s="215"/>
      <c r="E955" s="215"/>
      <c r="F955" s="215"/>
      <c r="G955" s="215"/>
      <c r="H955" s="215"/>
      <c r="I955" s="215"/>
      <c r="J955" s="215"/>
      <c r="K955" s="215"/>
      <c r="L955" s="215"/>
      <c r="M955" s="215"/>
      <c r="N955" s="215"/>
      <c r="O955" s="215"/>
      <c r="P955" s="215"/>
      <c r="Q955" s="215"/>
      <c r="R955" s="215"/>
      <c r="S955" s="215"/>
      <c r="T955" s="215"/>
      <c r="U955" s="215"/>
      <c r="V955" s="215"/>
      <c r="W955" s="215"/>
      <c r="X955" s="215"/>
    </row>
    <row r="956" spans="1:24" ht="14.25" customHeight="1" x14ac:dyDescent="0.2">
      <c r="A956" s="215"/>
      <c r="B956" s="215"/>
      <c r="C956" s="215"/>
      <c r="D956" s="215"/>
      <c r="E956" s="215"/>
      <c r="F956" s="215"/>
      <c r="G956" s="215"/>
      <c r="H956" s="215"/>
      <c r="I956" s="215"/>
      <c r="J956" s="215"/>
      <c r="K956" s="215"/>
      <c r="L956" s="215"/>
      <c r="M956" s="215"/>
      <c r="N956" s="215"/>
      <c r="O956" s="215"/>
      <c r="P956" s="215"/>
      <c r="Q956" s="215"/>
      <c r="R956" s="215"/>
      <c r="S956" s="215"/>
      <c r="T956" s="215"/>
      <c r="U956" s="215"/>
      <c r="V956" s="215"/>
      <c r="W956" s="215"/>
      <c r="X956" s="215"/>
    </row>
    <row r="957" spans="1:24" ht="14.25" customHeight="1" x14ac:dyDescent="0.2">
      <c r="A957" s="215"/>
      <c r="B957" s="215"/>
      <c r="C957" s="215"/>
      <c r="D957" s="215"/>
      <c r="E957" s="215"/>
      <c r="F957" s="215"/>
      <c r="G957" s="215"/>
      <c r="H957" s="215"/>
      <c r="I957" s="215"/>
      <c r="J957" s="215"/>
      <c r="K957" s="215"/>
      <c r="L957" s="215"/>
      <c r="M957" s="215"/>
      <c r="N957" s="215"/>
      <c r="O957" s="215"/>
      <c r="P957" s="215"/>
      <c r="Q957" s="215"/>
      <c r="R957" s="215"/>
      <c r="S957" s="215"/>
      <c r="T957" s="215"/>
      <c r="U957" s="215"/>
      <c r="V957" s="215"/>
      <c r="W957" s="215"/>
      <c r="X957" s="215"/>
    </row>
    <row r="958" spans="1:24" ht="14.25" customHeight="1" x14ac:dyDescent="0.2">
      <c r="A958" s="215"/>
      <c r="B958" s="215"/>
      <c r="C958" s="215"/>
      <c r="D958" s="215"/>
      <c r="E958" s="215"/>
      <c r="F958" s="215"/>
      <c r="G958" s="215"/>
      <c r="H958" s="215"/>
      <c r="I958" s="215"/>
      <c r="J958" s="215"/>
      <c r="K958" s="215"/>
      <c r="L958" s="215"/>
      <c r="M958" s="215"/>
      <c r="N958" s="215"/>
      <c r="O958" s="215"/>
      <c r="P958" s="215"/>
      <c r="Q958" s="215"/>
      <c r="R958" s="215"/>
      <c r="S958" s="215"/>
      <c r="T958" s="215"/>
      <c r="U958" s="215"/>
      <c r="V958" s="215"/>
      <c r="W958" s="215"/>
      <c r="X958" s="215"/>
    </row>
    <row r="959" spans="1:24" ht="14.25" customHeight="1" x14ac:dyDescent="0.2">
      <c r="A959" s="215"/>
      <c r="B959" s="215"/>
      <c r="C959" s="215"/>
      <c r="D959" s="215"/>
      <c r="E959" s="215"/>
      <c r="F959" s="215"/>
      <c r="G959" s="215"/>
      <c r="H959" s="215"/>
      <c r="I959" s="215"/>
      <c r="J959" s="215"/>
      <c r="K959" s="215"/>
      <c r="L959" s="215"/>
      <c r="M959" s="215"/>
      <c r="N959" s="215"/>
      <c r="O959" s="215"/>
      <c r="P959" s="215"/>
      <c r="Q959" s="215"/>
      <c r="R959" s="215"/>
      <c r="S959" s="215"/>
      <c r="T959" s="215"/>
      <c r="U959" s="215"/>
      <c r="V959" s="215"/>
      <c r="W959" s="215"/>
      <c r="X959" s="215"/>
    </row>
    <row r="960" spans="1:24" ht="14.25" customHeight="1" x14ac:dyDescent="0.2">
      <c r="A960" s="215"/>
      <c r="B960" s="215"/>
      <c r="C960" s="215"/>
      <c r="D960" s="215"/>
      <c r="E960" s="215"/>
      <c r="F960" s="215"/>
      <c r="G960" s="215"/>
      <c r="H960" s="215"/>
      <c r="I960" s="215"/>
      <c r="J960" s="215"/>
      <c r="K960" s="215"/>
      <c r="L960" s="215"/>
      <c r="M960" s="215"/>
      <c r="N960" s="215"/>
      <c r="O960" s="215"/>
      <c r="P960" s="215"/>
      <c r="Q960" s="215"/>
      <c r="R960" s="215"/>
      <c r="S960" s="215"/>
      <c r="T960" s="215"/>
      <c r="U960" s="215"/>
      <c r="V960" s="215"/>
      <c r="W960" s="215"/>
      <c r="X960" s="215"/>
    </row>
    <row r="961" spans="1:24" ht="14.25" customHeight="1" x14ac:dyDescent="0.2">
      <c r="A961" s="215"/>
      <c r="B961" s="215"/>
      <c r="C961" s="215"/>
      <c r="D961" s="215"/>
      <c r="E961" s="215"/>
      <c r="F961" s="215"/>
      <c r="G961" s="215"/>
      <c r="H961" s="215"/>
      <c r="I961" s="215"/>
      <c r="J961" s="215"/>
      <c r="K961" s="215"/>
      <c r="L961" s="215"/>
      <c r="M961" s="215"/>
      <c r="N961" s="215"/>
      <c r="O961" s="215"/>
      <c r="P961" s="215"/>
      <c r="Q961" s="215"/>
      <c r="R961" s="215"/>
      <c r="S961" s="215"/>
      <c r="T961" s="215"/>
      <c r="U961" s="215"/>
      <c r="V961" s="215"/>
      <c r="W961" s="215"/>
      <c r="X961" s="215"/>
    </row>
    <row r="962" spans="1:24" ht="14.25" customHeight="1" x14ac:dyDescent="0.2">
      <c r="A962" s="215"/>
      <c r="B962" s="215"/>
      <c r="C962" s="215"/>
      <c r="D962" s="215"/>
      <c r="E962" s="215"/>
      <c r="F962" s="215"/>
      <c r="G962" s="215"/>
      <c r="H962" s="215"/>
      <c r="I962" s="215"/>
      <c r="J962" s="215"/>
      <c r="K962" s="215"/>
      <c r="L962" s="215"/>
      <c r="M962" s="215"/>
      <c r="N962" s="215"/>
      <c r="O962" s="215"/>
      <c r="P962" s="215"/>
      <c r="Q962" s="215"/>
      <c r="R962" s="215"/>
      <c r="S962" s="215"/>
      <c r="T962" s="215"/>
      <c r="U962" s="215"/>
      <c r="V962" s="215"/>
      <c r="W962" s="215"/>
      <c r="X962" s="215"/>
    </row>
    <row r="963" spans="1:24" ht="14.25" customHeight="1" x14ac:dyDescent="0.2">
      <c r="A963" s="215"/>
      <c r="B963" s="215"/>
      <c r="C963" s="215"/>
      <c r="D963" s="215"/>
      <c r="E963" s="215"/>
      <c r="F963" s="215"/>
      <c r="G963" s="215"/>
      <c r="H963" s="215"/>
      <c r="I963" s="215"/>
      <c r="J963" s="215"/>
      <c r="K963" s="215"/>
      <c r="L963" s="215"/>
      <c r="M963" s="215"/>
      <c r="N963" s="215"/>
      <c r="O963" s="215"/>
      <c r="P963" s="215"/>
      <c r="Q963" s="215"/>
      <c r="R963" s="215"/>
      <c r="S963" s="215"/>
      <c r="T963" s="215"/>
      <c r="U963" s="215"/>
      <c r="V963" s="215"/>
      <c r="W963" s="215"/>
      <c r="X963" s="215"/>
    </row>
  </sheetData>
  <autoFilter ref="A2:X334" xr:uid="{00000000-0009-0000-0000-00000C000000}"/>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outlinePr summaryBelow="0" summaryRight="0"/>
  </sheetPr>
  <dimension ref="A1:AH65"/>
  <sheetViews>
    <sheetView topLeftCell="E2" zoomScale="90" zoomScaleNormal="90" workbookViewId="0">
      <selection activeCell="J5" sqref="J5"/>
    </sheetView>
  </sheetViews>
  <sheetFormatPr baseColWidth="10" defaultColWidth="0" defaultRowHeight="15.75" customHeight="1" zeroHeight="1" x14ac:dyDescent="0.2"/>
  <cols>
    <col min="1" max="1" width="67" style="5" bestFit="1" customWidth="1"/>
    <col min="2" max="2" width="28.75" style="5" bestFit="1" customWidth="1"/>
    <col min="3" max="3" width="2.625" style="217" customWidth="1"/>
    <col min="4" max="4" width="78.125" style="5" customWidth="1"/>
    <col min="5" max="5" width="2.625" style="219" customWidth="1"/>
    <col min="6" max="6" width="101.75" style="5" customWidth="1"/>
    <col min="7" max="7" width="2.625" style="219" customWidth="1"/>
    <col min="8" max="8" width="73" style="5" customWidth="1"/>
    <col min="9" max="9" width="2.625" style="219" customWidth="1"/>
    <col min="10" max="10" width="14.625" style="5" customWidth="1"/>
    <col min="11" max="11" width="2.625" style="219" customWidth="1"/>
    <col min="12" max="12" width="14.625" style="5" customWidth="1"/>
    <col min="13" max="13" width="2.625" style="219" customWidth="1"/>
    <col min="14" max="14" width="8.75" style="5" customWidth="1"/>
    <col min="15" max="15" width="40.125" style="5" bestFit="1" customWidth="1"/>
    <col min="16" max="17" width="8.75" style="5" customWidth="1"/>
    <col min="18" max="34" width="0" style="5" hidden="1" customWidth="1"/>
    <col min="35" max="35" width="8.75" style="5" hidden="1" customWidth="1"/>
    <col min="36" max="16384" width="8.75" style="5" hidden="1"/>
  </cols>
  <sheetData>
    <row r="1" spans="1:34" ht="15.75" hidden="1" customHeight="1" x14ac:dyDescent="0.2">
      <c r="A1" s="231" t="s">
        <v>1996</v>
      </c>
    </row>
    <row r="2" spans="1:34" ht="13.5" customHeight="1" x14ac:dyDescent="0.2">
      <c r="A2" s="7" t="s">
        <v>1997</v>
      </c>
      <c r="B2" s="7" t="s">
        <v>1998</v>
      </c>
      <c r="C2" s="216"/>
      <c r="D2" s="7" t="s">
        <v>350</v>
      </c>
      <c r="E2" s="218"/>
      <c r="F2" s="7" t="s">
        <v>1999</v>
      </c>
      <c r="G2" s="218"/>
      <c r="H2" s="7" t="s">
        <v>2000</v>
      </c>
      <c r="I2" s="218"/>
      <c r="J2" s="87" t="s">
        <v>2001</v>
      </c>
      <c r="K2" s="222"/>
      <c r="L2" s="87" t="s">
        <v>2002</v>
      </c>
      <c r="M2" s="222"/>
      <c r="N2" s="87" t="s">
        <v>2003</v>
      </c>
      <c r="P2" s="60"/>
      <c r="Q2" s="7"/>
      <c r="R2" s="7"/>
      <c r="S2" s="7"/>
      <c r="T2" s="7"/>
      <c r="U2" s="7"/>
      <c r="V2" s="7"/>
      <c r="W2" s="7"/>
      <c r="X2" s="7"/>
      <c r="Y2" s="7"/>
      <c r="Z2" s="7"/>
      <c r="AA2" s="7"/>
      <c r="AB2" s="7"/>
      <c r="AC2" s="7"/>
      <c r="AD2" s="7"/>
      <c r="AE2" s="7"/>
      <c r="AF2" s="7"/>
      <c r="AG2" s="7"/>
      <c r="AH2" s="7"/>
    </row>
    <row r="3" spans="1:34" ht="13.5" customHeight="1" x14ac:dyDescent="0.2">
      <c r="A3" s="6" t="s">
        <v>2004</v>
      </c>
      <c r="B3" s="6" t="s">
        <v>2005</v>
      </c>
      <c r="D3" s="6" t="s">
        <v>2006</v>
      </c>
      <c r="F3" s="6" t="s">
        <v>2007</v>
      </c>
      <c r="H3" s="206" t="s">
        <v>2008</v>
      </c>
      <c r="I3" s="220"/>
      <c r="J3" s="5" t="s">
        <v>355</v>
      </c>
      <c r="L3" s="5" t="s">
        <v>2009</v>
      </c>
      <c r="N3" s="88" t="s">
        <v>663</v>
      </c>
      <c r="O3" s="88" t="s">
        <v>2010</v>
      </c>
      <c r="P3" s="89" t="s">
        <v>2011</v>
      </c>
    </row>
    <row r="4" spans="1:34" ht="13.5" customHeight="1" x14ac:dyDescent="0.2">
      <c r="A4" s="6" t="s">
        <v>2012</v>
      </c>
      <c r="B4" s="6" t="s">
        <v>2013</v>
      </c>
      <c r="D4" s="6" t="s">
        <v>2014</v>
      </c>
      <c r="F4" s="6" t="s">
        <v>2015</v>
      </c>
      <c r="H4" s="6" t="s">
        <v>2016</v>
      </c>
      <c r="I4" s="221"/>
      <c r="J4" s="5" t="s">
        <v>364</v>
      </c>
      <c r="L4" s="5" t="s">
        <v>1466</v>
      </c>
      <c r="N4" s="316" t="s">
        <v>2017</v>
      </c>
      <c r="O4" s="5" t="s">
        <v>2018</v>
      </c>
      <c r="P4" s="60">
        <f>COUNTIF('(backend scoring)'!$B:$B,'Auto Responses'!$N4)</f>
        <v>9</v>
      </c>
    </row>
    <row r="5" spans="1:34" ht="13.5" customHeight="1" x14ac:dyDescent="0.2">
      <c r="A5" s="6" t="s">
        <v>2019</v>
      </c>
      <c r="B5" s="6" t="s">
        <v>2020</v>
      </c>
      <c r="D5" s="6" t="s">
        <v>2021</v>
      </c>
      <c r="F5" s="6" t="s">
        <v>2022</v>
      </c>
      <c r="H5" s="6" t="s">
        <v>2023</v>
      </c>
      <c r="I5" s="221"/>
      <c r="J5" s="5" t="s">
        <v>452</v>
      </c>
      <c r="L5" s="5" t="s">
        <v>2024</v>
      </c>
      <c r="N5" s="316" t="s">
        <v>620</v>
      </c>
      <c r="O5" s="5" t="s">
        <v>2025</v>
      </c>
      <c r="P5" s="60">
        <f>COUNTIF('(backend scoring)'!$B:$B,'Auto Responses'!$N5)</f>
        <v>5</v>
      </c>
    </row>
    <row r="6" spans="1:34" ht="13.5" customHeight="1" x14ac:dyDescent="0.2">
      <c r="A6" s="6" t="s">
        <v>2026</v>
      </c>
      <c r="B6" s="6" t="s">
        <v>2027</v>
      </c>
      <c r="D6" s="6" t="s">
        <v>2028</v>
      </c>
      <c r="F6" s="6" t="s">
        <v>2029</v>
      </c>
      <c r="L6" s="5" t="s">
        <v>2030</v>
      </c>
      <c r="N6" s="316" t="s">
        <v>2031</v>
      </c>
      <c r="O6" s="5" t="s">
        <v>2032</v>
      </c>
      <c r="P6" s="60">
        <f>COUNTIF('(backend scoring)'!$B:$B,'Auto Responses'!$N6)</f>
        <v>8</v>
      </c>
    </row>
    <row r="7" spans="1:34" ht="13.5" customHeight="1" x14ac:dyDescent="0.2">
      <c r="A7" s="6" t="s">
        <v>2033</v>
      </c>
      <c r="B7" s="6" t="s">
        <v>2034</v>
      </c>
      <c r="D7" s="6" t="s">
        <v>2035</v>
      </c>
      <c r="F7" s="6" t="s">
        <v>2036</v>
      </c>
      <c r="J7" s="5" t="s">
        <v>2037</v>
      </c>
      <c r="L7" s="5" t="s">
        <v>2038</v>
      </c>
      <c r="N7" s="316" t="s">
        <v>621</v>
      </c>
      <c r="O7" s="5" t="s">
        <v>2039</v>
      </c>
      <c r="P7" s="60">
        <f>COUNTIF('(backend scoring)'!$B:$B,'Auto Responses'!$N7)</f>
        <v>7</v>
      </c>
    </row>
    <row r="8" spans="1:34" ht="13.5" customHeight="1" x14ac:dyDescent="0.2">
      <c r="A8" s="6" t="s">
        <v>2040</v>
      </c>
      <c r="B8" s="6" t="s">
        <v>2041</v>
      </c>
      <c r="D8" s="5" t="s">
        <v>2042</v>
      </c>
      <c r="F8" s="5" t="s">
        <v>2043</v>
      </c>
      <c r="J8" s="5" t="s">
        <v>2044</v>
      </c>
      <c r="L8" s="5" t="s">
        <v>2045</v>
      </c>
      <c r="N8" s="316" t="s">
        <v>636</v>
      </c>
      <c r="O8" s="5" t="s">
        <v>2046</v>
      </c>
      <c r="P8" s="60">
        <f>COUNTIF('(backend scoring)'!$B:$B,'Auto Responses'!$N8)</f>
        <v>18</v>
      </c>
    </row>
    <row r="9" spans="1:34" ht="13.5" customHeight="1" x14ac:dyDescent="0.2">
      <c r="A9" s="6" t="s">
        <v>2047</v>
      </c>
      <c r="B9" s="6" t="s">
        <v>2048</v>
      </c>
      <c r="D9" s="5" t="s">
        <v>2049</v>
      </c>
      <c r="L9" s="5" t="s">
        <v>1500</v>
      </c>
      <c r="N9" s="316" t="s">
        <v>622</v>
      </c>
      <c r="O9" s="5" t="s">
        <v>2050</v>
      </c>
      <c r="P9" s="60">
        <f>COUNTIF('(backend scoring)'!$B:$B,'Auto Responses'!$N9)</f>
        <v>5</v>
      </c>
    </row>
    <row r="10" spans="1:34" ht="13.5" customHeight="1" x14ac:dyDescent="0.2">
      <c r="A10" s="6" t="s">
        <v>2051</v>
      </c>
      <c r="B10" s="6" t="s">
        <v>2052</v>
      </c>
      <c r="N10" s="316" t="s">
        <v>632</v>
      </c>
      <c r="O10" s="5" t="s">
        <v>2053</v>
      </c>
      <c r="P10" s="60">
        <f>COUNTIF('(backend scoring)'!$B:$B,'Auto Responses'!$N10)</f>
        <v>9</v>
      </c>
    </row>
    <row r="11" spans="1:34" ht="13.5" customHeight="1" x14ac:dyDescent="0.2">
      <c r="A11" s="6" t="s">
        <v>2054</v>
      </c>
      <c r="B11" s="6" t="s">
        <v>2055</v>
      </c>
      <c r="J11" s="5" t="s">
        <v>773</v>
      </c>
      <c r="N11" s="316" t="s">
        <v>627</v>
      </c>
      <c r="O11" s="5" t="s">
        <v>2056</v>
      </c>
      <c r="P11" s="60">
        <f>COUNTIF('(backend scoring)'!$B:$B,'Auto Responses'!$N11)</f>
        <v>14</v>
      </c>
    </row>
    <row r="12" spans="1:34" ht="13.5" customHeight="1" x14ac:dyDescent="0.2">
      <c r="A12" s="6" t="s">
        <v>2057</v>
      </c>
      <c r="B12" s="6" t="s">
        <v>2058</v>
      </c>
      <c r="F12" s="6"/>
      <c r="J12" s="5" t="s">
        <v>722</v>
      </c>
      <c r="L12" s="87" t="s">
        <v>2059</v>
      </c>
      <c r="N12" s="316" t="s">
        <v>625</v>
      </c>
      <c r="O12" s="5" t="s">
        <v>2060</v>
      </c>
      <c r="P12" s="60">
        <f>COUNTIF('(backend scoring)'!$B:$B,'Auto Responses'!$N12)</f>
        <v>18</v>
      </c>
    </row>
    <row r="13" spans="1:34" ht="13.5" customHeight="1" x14ac:dyDescent="0.2">
      <c r="A13" s="6" t="s">
        <v>2061</v>
      </c>
      <c r="B13" s="6" t="s">
        <v>2062</v>
      </c>
      <c r="F13" s="6"/>
      <c r="J13" s="5" t="s">
        <v>731</v>
      </c>
      <c r="L13" s="5" t="s">
        <v>703</v>
      </c>
      <c r="N13" s="316" t="s">
        <v>623</v>
      </c>
      <c r="O13" s="5" t="s">
        <v>2063</v>
      </c>
      <c r="P13" s="60">
        <f>COUNTIF('(backend scoring)'!$B:$B,'Auto Responses'!$N13)</f>
        <v>16</v>
      </c>
    </row>
    <row r="14" spans="1:34" ht="13.5" customHeight="1" x14ac:dyDescent="0.2">
      <c r="A14" s="6" t="s">
        <v>748</v>
      </c>
      <c r="B14" s="6" t="s">
        <v>2064</v>
      </c>
      <c r="J14" s="5" t="s">
        <v>2065</v>
      </c>
      <c r="L14" s="5" t="s">
        <v>2066</v>
      </c>
      <c r="N14" s="316" t="s">
        <v>626</v>
      </c>
      <c r="O14" s="5" t="s">
        <v>2067</v>
      </c>
      <c r="P14" s="60">
        <f>COUNTIF('(backend scoring)'!$B:$B,'Auto Responses'!$N14)</f>
        <v>23</v>
      </c>
    </row>
    <row r="15" spans="1:34" ht="13.5" customHeight="1" x14ac:dyDescent="0.2">
      <c r="A15" s="6" t="s">
        <v>747</v>
      </c>
      <c r="B15" s="6" t="s">
        <v>2068</v>
      </c>
      <c r="L15" s="5" t="s">
        <v>771</v>
      </c>
      <c r="N15" s="316" t="s">
        <v>628</v>
      </c>
      <c r="O15" s="5" t="s">
        <v>2069</v>
      </c>
      <c r="P15" s="60">
        <f>COUNTIF('(backend scoring)'!$B:$B,'Auto Responses'!$N15)</f>
        <v>16</v>
      </c>
    </row>
    <row r="16" spans="1:34" ht="13.5" customHeight="1" x14ac:dyDescent="0.2">
      <c r="A16" s="6" t="s">
        <v>2070</v>
      </c>
      <c r="B16" s="6" t="s">
        <v>2071</v>
      </c>
      <c r="L16" s="5" t="s">
        <v>683</v>
      </c>
      <c r="N16" s="316" t="s">
        <v>629</v>
      </c>
      <c r="O16" s="5" t="s">
        <v>2072</v>
      </c>
      <c r="P16" s="60">
        <f>COUNTIF('(backend scoring)'!$B:$B,'Auto Responses'!$N16)</f>
        <v>11</v>
      </c>
    </row>
    <row r="17" spans="1:20" ht="13.5" customHeight="1" x14ac:dyDescent="0.2">
      <c r="A17" s="6" t="s">
        <v>2073</v>
      </c>
      <c r="B17" s="6" t="s">
        <v>2074</v>
      </c>
      <c r="J17" s="5" t="s">
        <v>2075</v>
      </c>
      <c r="L17" s="5" t="s">
        <v>907</v>
      </c>
      <c r="N17" s="316" t="s">
        <v>624</v>
      </c>
      <c r="O17" s="5" t="s">
        <v>2076</v>
      </c>
      <c r="P17" s="60">
        <f>COUNTIF('(backend scoring)'!$B:$B,'Auto Responses'!$N17)</f>
        <v>15</v>
      </c>
    </row>
    <row r="18" spans="1:20" ht="13.5" customHeight="1" x14ac:dyDescent="0.2">
      <c r="A18" s="6" t="s">
        <v>2077</v>
      </c>
      <c r="B18" s="6" t="s">
        <v>2078</v>
      </c>
      <c r="J18" s="5" t="s">
        <v>2079</v>
      </c>
      <c r="L18" s="5" t="s">
        <v>808</v>
      </c>
      <c r="N18" s="316" t="s">
        <v>630</v>
      </c>
      <c r="O18" s="5" t="s">
        <v>2080</v>
      </c>
      <c r="P18" s="60">
        <f>COUNTIF('(backend scoring)'!$B:$B,'Auto Responses'!$N18)</f>
        <v>4</v>
      </c>
    </row>
    <row r="19" spans="1:20" ht="13.5" customHeight="1" x14ac:dyDescent="0.2">
      <c r="A19" s="6" t="s">
        <v>2081</v>
      </c>
      <c r="B19" s="6" t="s">
        <v>2082</v>
      </c>
      <c r="J19" s="5" t="s">
        <v>2083</v>
      </c>
      <c r="L19" s="5" t="s">
        <v>894</v>
      </c>
      <c r="N19" s="316" t="s">
        <v>631</v>
      </c>
      <c r="O19" s="5" t="s">
        <v>2084</v>
      </c>
      <c r="P19" s="60">
        <f>COUNTIF('(backend scoring)'!$B:$B,'Auto Responses'!$N19)</f>
        <v>6</v>
      </c>
    </row>
    <row r="20" spans="1:20" ht="13.5" customHeight="1" x14ac:dyDescent="0.2">
      <c r="A20" s="6" t="s">
        <v>2085</v>
      </c>
      <c r="B20" s="6" t="s">
        <v>2086</v>
      </c>
      <c r="J20" s="5" t="s">
        <v>455</v>
      </c>
      <c r="L20" s="5" t="s">
        <v>687</v>
      </c>
      <c r="N20" s="316" t="s">
        <v>633</v>
      </c>
      <c r="O20" s="5" t="s">
        <v>2087</v>
      </c>
      <c r="P20" s="60">
        <f>COUNTIF('(backend scoring)'!$B:$B,'Auto Responses'!$N20)</f>
        <v>29</v>
      </c>
    </row>
    <row r="21" spans="1:20" ht="13.5" customHeight="1" x14ac:dyDescent="0.2">
      <c r="A21" s="6" t="s">
        <v>2088</v>
      </c>
      <c r="B21" s="6" t="s">
        <v>2089</v>
      </c>
      <c r="J21" s="5" t="s">
        <v>2090</v>
      </c>
      <c r="L21" s="5" t="s">
        <v>688</v>
      </c>
      <c r="N21" s="316" t="s">
        <v>634</v>
      </c>
      <c r="O21" s="5" t="s">
        <v>2091</v>
      </c>
      <c r="P21" s="60">
        <f>COUNTIF('(backend scoring)'!$B:$B,'Auto Responses'!$N21)</f>
        <v>12</v>
      </c>
    </row>
    <row r="22" spans="1:20" ht="13.5" customHeight="1" x14ac:dyDescent="0.2">
      <c r="A22" s="6" t="s">
        <v>2092</v>
      </c>
      <c r="B22" s="6" t="s">
        <v>2093</v>
      </c>
      <c r="J22" s="5" t="s">
        <v>2094</v>
      </c>
      <c r="N22" s="316" t="s">
        <v>635</v>
      </c>
      <c r="O22" s="5" t="s">
        <v>2095</v>
      </c>
      <c r="P22" s="60">
        <f>COUNTIF('(backend scoring)'!$B:$B,'Auto Responses'!$N22)</f>
        <v>10</v>
      </c>
    </row>
    <row r="23" spans="1:20" ht="13.5" customHeight="1" x14ac:dyDescent="0.2">
      <c r="A23" s="6" t="s">
        <v>2096</v>
      </c>
      <c r="B23" s="6" t="s">
        <v>2097</v>
      </c>
      <c r="J23" s="5" t="s">
        <v>2098</v>
      </c>
      <c r="N23" s="316" t="s">
        <v>665</v>
      </c>
      <c r="O23" s="5" t="s">
        <v>2099</v>
      </c>
      <c r="P23" s="60">
        <f>COUNTIF('(backend scoring)'!$B:$B,'Auto Responses'!$N23)</f>
        <v>5</v>
      </c>
    </row>
    <row r="24" spans="1:20" ht="13.5" customHeight="1" x14ac:dyDescent="0.2">
      <c r="A24" s="6" t="s">
        <v>2100</v>
      </c>
      <c r="B24" s="6" t="s">
        <v>2101</v>
      </c>
      <c r="N24" s="316" t="s">
        <v>666</v>
      </c>
      <c r="O24" s="5" t="s">
        <v>2102</v>
      </c>
      <c r="P24" s="60">
        <f>COUNTIF('(backend scoring)'!$B:$B,'Auto Responses'!$N24)</f>
        <v>4</v>
      </c>
    </row>
    <row r="25" spans="1:20" ht="13.5" customHeight="1" x14ac:dyDescent="0.2">
      <c r="A25" s="6" t="s">
        <v>2103</v>
      </c>
      <c r="B25" s="6" t="s">
        <v>2104</v>
      </c>
      <c r="N25" s="316" t="s">
        <v>667</v>
      </c>
      <c r="O25" s="5" t="s">
        <v>2105</v>
      </c>
      <c r="P25" s="60">
        <f>COUNTIF('(backend scoring)'!$B:$B,'Auto Responses'!$N25)</f>
        <v>3</v>
      </c>
    </row>
    <row r="26" spans="1:20" ht="13.5" customHeight="1" x14ac:dyDescent="0.2">
      <c r="A26" s="6" t="s">
        <v>2106</v>
      </c>
      <c r="B26" s="6" t="s">
        <v>2107</v>
      </c>
      <c r="N26" s="316" t="s">
        <v>668</v>
      </c>
      <c r="O26" s="5" t="s">
        <v>2108</v>
      </c>
      <c r="P26" s="60">
        <f>COUNTIF('(backend scoring)'!$B:$B,'Auto Responses'!$N26)</f>
        <v>2</v>
      </c>
    </row>
    <row r="27" spans="1:20" ht="15.75" customHeight="1" x14ac:dyDescent="0.2">
      <c r="A27" s="5" t="s">
        <v>2109</v>
      </c>
      <c r="J27" s="5" t="s">
        <v>2110</v>
      </c>
      <c r="N27" s="316" t="s">
        <v>669</v>
      </c>
      <c r="O27" s="5" t="s">
        <v>2111</v>
      </c>
      <c r="P27" s="60">
        <f>COUNTIF('(backend scoring)'!$B:$B,'Auto Responses'!$N27)</f>
        <v>2</v>
      </c>
    </row>
    <row r="28" spans="1:20" ht="15.75" customHeight="1" x14ac:dyDescent="0.2">
      <c r="A28" s="6" t="s">
        <v>2112</v>
      </c>
      <c r="J28" s="5" t="s">
        <v>702</v>
      </c>
      <c r="N28" s="316" t="s">
        <v>670</v>
      </c>
      <c r="O28" s="5" t="s">
        <v>2113</v>
      </c>
      <c r="P28" s="60">
        <f>COUNTIF('(backend scoring)'!$B:$B,'Auto Responses'!$N28)</f>
        <v>8</v>
      </c>
    </row>
    <row r="29" spans="1:20" ht="15.75" customHeight="1" x14ac:dyDescent="0.2">
      <c r="A29" s="6"/>
      <c r="N29" s="316" t="s">
        <v>671</v>
      </c>
      <c r="O29" s="5" t="s">
        <v>2114</v>
      </c>
      <c r="P29" s="60">
        <f>COUNTIF('(backend scoring)'!$B:$B,'Auto Responses'!$N29)</f>
        <v>13</v>
      </c>
    </row>
    <row r="30" spans="1:20" ht="15.75" customHeight="1" x14ac:dyDescent="0.2">
      <c r="A30" s="6"/>
      <c r="N30" s="316" t="s">
        <v>672</v>
      </c>
      <c r="O30" s="5" t="s">
        <v>2115</v>
      </c>
      <c r="P30" s="60">
        <f>COUNTIF('(backend scoring)'!$B:$B,'Auto Responses'!$N30)</f>
        <v>5</v>
      </c>
    </row>
    <row r="31" spans="1:20" ht="15.75" customHeight="1" x14ac:dyDescent="0.2">
      <c r="A31" s="6"/>
      <c r="N31" s="316" t="s">
        <v>673</v>
      </c>
      <c r="O31" s="5" t="s">
        <v>2116</v>
      </c>
      <c r="P31" s="60">
        <f>COUNTIF('(backend scoring)'!$B:$B,'Auto Responses'!$N31)</f>
        <v>15</v>
      </c>
      <c r="T31" s="6"/>
    </row>
    <row r="32" spans="1:20" ht="15.75" customHeight="1" x14ac:dyDescent="0.2">
      <c r="A32" s="6" t="str">
        <f>LEFT($A$3,21)</f>
        <v>Based on the response</v>
      </c>
      <c r="N32" s="316" t="s">
        <v>674</v>
      </c>
      <c r="O32" s="5" t="s">
        <v>2117</v>
      </c>
      <c r="P32" s="60">
        <f>COUNTIF('(backend scoring)'!$B:$B,'Auto Responses'!$N32)</f>
        <v>8</v>
      </c>
    </row>
    <row r="33" spans="1:16" ht="15.75" customHeight="1" x14ac:dyDescent="0.2">
      <c r="A33" s="5" t="s">
        <v>2118</v>
      </c>
      <c r="N33" s="316" t="s">
        <v>2119</v>
      </c>
      <c r="O33" s="5" t="s">
        <v>2120</v>
      </c>
      <c r="P33" s="60">
        <f>COUNTIF('(backend scoring)'!$B:$B,'Auto Responses'!$N33)</f>
        <v>2</v>
      </c>
    </row>
    <row r="34" spans="1:16" ht="15.75" customHeight="1" x14ac:dyDescent="0.2">
      <c r="A34" s="6"/>
      <c r="N34" s="316" t="s">
        <v>2121</v>
      </c>
      <c r="O34" s="5" t="s">
        <v>2122</v>
      </c>
      <c r="P34" s="60">
        <f>COUNTIF('(backend scoring)'!$B:$B,'Auto Responses'!$N34)</f>
        <v>5</v>
      </c>
    </row>
    <row r="35" spans="1:16" ht="15.75" customHeight="1" x14ac:dyDescent="0.2">
      <c r="A35" s="6"/>
      <c r="N35" s="316" t="s">
        <v>2123</v>
      </c>
      <c r="O35" s="5" t="s">
        <v>2124</v>
      </c>
      <c r="P35" s="60">
        <f>COUNTIF('(backend scoring)'!$B:$B,'Auto Responses'!$N35)</f>
        <v>5</v>
      </c>
    </row>
    <row r="36" spans="1:16" ht="15.75" customHeight="1" x14ac:dyDescent="0.2">
      <c r="A36" s="6" t="s">
        <v>2125</v>
      </c>
      <c r="N36" s="316" t="s">
        <v>2126</v>
      </c>
      <c r="O36" s="5" t="s">
        <v>2127</v>
      </c>
      <c r="P36" s="60">
        <f>COUNTIF('(backend scoring)'!$B:$B,'Auto Responses'!$N36)</f>
        <v>5</v>
      </c>
    </row>
    <row r="37" spans="1:16" ht="15.75" customHeight="1" x14ac:dyDescent="0.2">
      <c r="A37" s="6"/>
      <c r="N37" s="316" t="s">
        <v>2128</v>
      </c>
      <c r="O37" s="5" t="s">
        <v>2129</v>
      </c>
      <c r="P37" s="60">
        <f>COUNTIF('(backend scoring)'!$B:$B,'Auto Responses'!$N37)</f>
        <v>8</v>
      </c>
    </row>
    <row r="38" spans="1:16" ht="15.75" customHeight="1" x14ac:dyDescent="0.2">
      <c r="A38" s="6"/>
      <c r="N38" s="316" t="s">
        <v>2130</v>
      </c>
      <c r="O38" s="5" t="s">
        <v>2131</v>
      </c>
      <c r="P38" s="60">
        <f>COUNTIF('(backend scoring)'!$B:$B,'Auto Responses'!$N38)</f>
        <v>6</v>
      </c>
    </row>
    <row r="39" spans="1:16" ht="15.75" customHeight="1" x14ac:dyDescent="0.2">
      <c r="A39" s="229" t="s">
        <v>544</v>
      </c>
    </row>
    <row r="40" spans="1:16" ht="15.75" hidden="1" customHeight="1" x14ac:dyDescent="0.2">
      <c r="A40" s="6"/>
    </row>
    <row r="41" spans="1:16" ht="15.75" hidden="1" customHeight="1" x14ac:dyDescent="0.2">
      <c r="A41" s="6"/>
    </row>
    <row r="42" spans="1:16" ht="15.75" hidden="1" customHeight="1" x14ac:dyDescent="0.2">
      <c r="A42" s="206"/>
    </row>
    <row r="43" spans="1:16" ht="15.75" hidden="1" customHeight="1" x14ac:dyDescent="0.2">
      <c r="A43" s="6"/>
    </row>
    <row r="44" spans="1:16" ht="15.75" hidden="1" customHeight="1" x14ac:dyDescent="0.2">
      <c r="A44" s="6"/>
    </row>
    <row r="45" spans="1:16" ht="15.75" hidden="1" customHeight="1" x14ac:dyDescent="0.2">
      <c r="A45" s="6"/>
    </row>
    <row r="51" spans="4:4" ht="15.75" hidden="1" customHeight="1" x14ac:dyDescent="0.2">
      <c r="D51" s="207"/>
    </row>
    <row r="52" spans="4:4" ht="15.75" hidden="1" customHeight="1" x14ac:dyDescent="0.2">
      <c r="D52" s="207"/>
    </row>
    <row r="53" spans="4:4" ht="15.75" hidden="1" customHeight="1" x14ac:dyDescent="0.2">
      <c r="D53" s="207"/>
    </row>
    <row r="54" spans="4:4" ht="15.75" hidden="1" customHeight="1" x14ac:dyDescent="0.2">
      <c r="D54" s="207"/>
    </row>
    <row r="55" spans="4:4" ht="15.75" hidden="1" customHeight="1" x14ac:dyDescent="0.2">
      <c r="D55" s="207"/>
    </row>
    <row r="56" spans="4:4" ht="15.75" hidden="1" customHeight="1" x14ac:dyDescent="0.2">
      <c r="D56" s="207"/>
    </row>
    <row r="57" spans="4:4" ht="15.75" hidden="1" customHeight="1" x14ac:dyDescent="0.2">
      <c r="D57" s="207"/>
    </row>
    <row r="58" spans="4:4" ht="15.75" hidden="1" customHeight="1" x14ac:dyDescent="0.2">
      <c r="D58" s="207"/>
    </row>
    <row r="59" spans="4:4" ht="15.75" hidden="1" customHeight="1" x14ac:dyDescent="0.2">
      <c r="D59" s="207"/>
    </row>
    <row r="60" spans="4:4" ht="15.75" hidden="1" customHeight="1" x14ac:dyDescent="0.2">
      <c r="D60" s="207"/>
    </row>
    <row r="61" spans="4:4" ht="15.75" hidden="1" customHeight="1" x14ac:dyDescent="0.2">
      <c r="D61" s="207"/>
    </row>
    <row r="62" spans="4:4" ht="15.75" hidden="1" customHeight="1" x14ac:dyDescent="0.2">
      <c r="D62" s="207"/>
    </row>
    <row r="63" spans="4:4" ht="15.75" hidden="1" customHeight="1" x14ac:dyDescent="0.2">
      <c r="D63" s="207"/>
    </row>
    <row r="64" spans="4:4" ht="15.75" hidden="1" customHeight="1" x14ac:dyDescent="0.2">
      <c r="D64" s="207"/>
    </row>
    <row r="65" spans="4:4" ht="15.75" hidden="1" customHeight="1" x14ac:dyDescent="0.2">
      <c r="D65" s="207"/>
    </row>
  </sheetData>
  <conditionalFormatting sqref="D8">
    <cfRule type="expression" dxfId="0" priority="1">
      <formula>ISNUMBER(FIND("*",#REF!))</formula>
    </cfRule>
  </conditionalFormatting>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W962"/>
  <sheetViews>
    <sheetView zoomScale="90" zoomScaleNormal="90" workbookViewId="0">
      <pane xSplit="1" ySplit="2" topLeftCell="E281" activePane="bottomRight" state="frozen"/>
      <selection pane="topRight" activeCell="B1" sqref="B1"/>
      <selection pane="bottomLeft" activeCell="A2" sqref="A2"/>
      <selection pane="bottomRight" activeCell="L288" sqref="L288"/>
    </sheetView>
  </sheetViews>
  <sheetFormatPr baseColWidth="10" defaultColWidth="0" defaultRowHeight="16" zeroHeight="1" x14ac:dyDescent="0.2"/>
  <cols>
    <col min="1" max="1" width="8.75" style="2" customWidth="1"/>
    <col min="2" max="2" width="0" style="2" hidden="1"/>
    <col min="3" max="3" width="35.75" style="2" customWidth="1"/>
    <col min="4" max="4" width="15.375" style="2" customWidth="1"/>
    <col min="5" max="6" width="12.75" style="2" customWidth="1"/>
    <col min="7" max="8" width="8.75" style="2" customWidth="1"/>
    <col min="9" max="10" width="10.875" style="2" customWidth="1"/>
    <col min="11" max="11" width="11.25" style="2" customWidth="1"/>
    <col min="12" max="12" width="12" style="101" customWidth="1"/>
    <col min="13" max="14" width="13" customWidth="1"/>
    <col min="15" max="16" width="8.75" customWidth="1"/>
    <col min="17" max="22" width="8.75" style="101" customWidth="1"/>
    <col min="23" max="23" width="8.75" customWidth="1"/>
    <col min="24" max="24" width="8.75" hidden="1" customWidth="1"/>
    <col min="25" max="16384" width="8.75" hidden="1"/>
  </cols>
  <sheetData>
    <row r="1" spans="1:22" hidden="1" x14ac:dyDescent="0.2">
      <c r="A1" s="232" t="s">
        <v>2132</v>
      </c>
    </row>
    <row r="2" spans="1:22" ht="90" customHeight="1" x14ac:dyDescent="0.2">
      <c r="A2" s="96" t="s">
        <v>680</v>
      </c>
      <c r="B2" s="102" t="s">
        <v>2133</v>
      </c>
      <c r="C2" s="96" t="s">
        <v>645</v>
      </c>
      <c r="D2" s="96" t="s">
        <v>689</v>
      </c>
      <c r="E2" s="97" t="s">
        <v>690</v>
      </c>
      <c r="F2" s="98" t="s">
        <v>2134</v>
      </c>
      <c r="G2" s="99" t="s">
        <v>647</v>
      </c>
      <c r="H2" s="99" t="s">
        <v>648</v>
      </c>
      <c r="I2" s="100" t="s">
        <v>649</v>
      </c>
      <c r="J2" s="99" t="s">
        <v>650</v>
      </c>
      <c r="K2" s="99" t="s">
        <v>2135</v>
      </c>
      <c r="L2" s="99" t="s">
        <v>2136</v>
      </c>
      <c r="M2" s="99" t="s">
        <v>2137</v>
      </c>
      <c r="N2" s="99" t="s">
        <v>2138</v>
      </c>
      <c r="O2" s="99" t="s">
        <v>2139</v>
      </c>
      <c r="P2" s="99" t="s">
        <v>2140</v>
      </c>
      <c r="Q2" s="152" t="s">
        <v>2141</v>
      </c>
      <c r="R2" s="152" t="s">
        <v>2142</v>
      </c>
      <c r="S2" s="152" t="s">
        <v>2143</v>
      </c>
      <c r="T2" s="152" t="s">
        <v>2144</v>
      </c>
      <c r="U2" s="152" t="s">
        <v>2145</v>
      </c>
      <c r="V2" s="152" t="s">
        <v>2146</v>
      </c>
    </row>
    <row r="3" spans="1:22" ht="57" customHeight="1" x14ac:dyDescent="0.2">
      <c r="A3" s="4" t="str">
        <f>Questions!$A3</f>
        <v>GNRL-01</v>
      </c>
      <c r="B3" s="4" t="str">
        <f t="shared" ref="B3:B66" si="0">LEFT(A3,4)</f>
        <v>GNRL</v>
      </c>
      <c r="C3" s="4" t="str">
        <f>VLOOKUP($A3,Questions!$A$3:$L$333,2,0)&amp;""</f>
        <v>Solution Provider Name</v>
      </c>
      <c r="D3" s="4" t="str">
        <f>VLOOKUP($A3,Questions!$A$3:$L$333,11,0)&amp;""</f>
        <v>NA</v>
      </c>
      <c r="E3" s="4" t="str">
        <f>VLOOKUP($A3,Questions!$A$3:$L$333,12,0)&amp;""</f>
        <v>Not Scored</v>
      </c>
      <c r="F3" s="4" t="str">
        <f ca="1">VLOOKUP($A3,'Institution Evaluation'!$A$56:$K$345,3,0)&amp;""</f>
        <v>Accredible (EdInvent Inc. d.b.a. Accredible)</v>
      </c>
      <c r="G3" s="4" t="str">
        <f>VLOOKUP($A3,'Institution Evaluation'!$A$56:$K$345,7,0)&amp;""</f>
        <v>Not scored</v>
      </c>
      <c r="H3" s="4" t="str">
        <f>VLOOKUP($A3,'Institution Evaluation'!$A$56:$K$345,8,0)&amp;""</f>
        <v/>
      </c>
      <c r="I3" s="4" t="str">
        <f>VLOOKUP($A3,'Institution Evaluation'!$A$56:$K$345,9,0)&amp;""</f>
        <v/>
      </c>
      <c r="J3" s="4" t="str">
        <f>VLOOKUP($A3,'Institution Evaluation'!$A$56:$K$345,10,0)&amp;""</f>
        <v/>
      </c>
      <c r="K3" s="4">
        <f>IF($I3='Auto Responses'!$J$11,20,IF($I3='Auto Responses'!$J$13,5,10))</f>
        <v>10</v>
      </c>
      <c r="L3" s="101" t="str">
        <f>IF($E3='Auto Responses'!$L$13, 'Auto Responses'!$J$5,IF(AND($D3='Auto Responses'!$J$27,$H3=""),'Auto Responses'!$J$5,IF(AND($D3='Auto Responses'!$J$27,$H3='Auto Responses'!$J$7),1,IF(AND($D3='Auto Responses'!$J$27,$H3='Auto Responses'!$J$8),0,IF(OR(AND($F3=$G3,$H3=""),$H3='Auto Responses'!$J$7),1,0)))))</f>
        <v>N/A</v>
      </c>
      <c r="M3" s="4" t="str">
        <f>VLOOKUP($A3,'Institution Evaluation'!$A$56:$K$345,11,0)&amp;""</f>
        <v/>
      </c>
      <c r="N3" s="4">
        <f>IF($J3='Auto Responses'!$J$11,1,IF(AND($J3="",$I3='Auto Responses'!$J$11),1,0))</f>
        <v>0</v>
      </c>
      <c r="O3" s="101" t="str">
        <f>IF($E3='Auto Responses'!$L$13,'Auto Responses'!$J$5,IF($J3="",$K3,IF($J3='Auto Responses'!$J$13,5,IF($J3='Auto Responses'!$J$12,10,IF($J3='Auto Responses'!$J$11,20,0)))))</f>
        <v>N/A</v>
      </c>
      <c r="P3" s="101" t="str">
        <f>IF(OR($O3='Auto Responses'!$J$5,$L3='Auto Responses'!$J$5),'Auto Responses'!$J$5,$O3*$L3)</f>
        <v>N/A</v>
      </c>
      <c r="Q3" s="101">
        <f t="shared" ref="Q3:Q66" si="1">IF(M3="TRUE",1,0)</f>
        <v>0</v>
      </c>
      <c r="R3" s="101">
        <f>Q3</f>
        <v>0</v>
      </c>
      <c r="S3" s="101">
        <f t="shared" ref="S3:S66" si="2">IF(Q3=0,0,R3)</f>
        <v>0</v>
      </c>
      <c r="T3" s="101">
        <f t="shared" ref="T3:T66" si="3">IF(N3=1,1,0)</f>
        <v>0</v>
      </c>
      <c r="U3" s="101">
        <f>T3</f>
        <v>0</v>
      </c>
      <c r="V3" s="101">
        <f t="shared" ref="V3:V66" si="4">IF(T3=0,0,U3)</f>
        <v>0</v>
      </c>
    </row>
    <row r="4" spans="1:22" ht="57" customHeight="1" x14ac:dyDescent="0.2">
      <c r="A4" s="4" t="str">
        <f>Questions!$A4</f>
        <v>GNRL-02</v>
      </c>
      <c r="B4" s="4" t="str">
        <f t="shared" si="0"/>
        <v>GNRL</v>
      </c>
      <c r="C4" s="4" t="str">
        <f>VLOOKUP($A4,Questions!$A$3:$L$333,2,0)&amp;""</f>
        <v>Solution Name</v>
      </c>
      <c r="D4" s="4" t="str">
        <f>VLOOKUP($A4,Questions!$A$3:$L$333,11,0)&amp;""</f>
        <v>NA</v>
      </c>
      <c r="E4" s="4" t="str">
        <f>VLOOKUP($A4,Questions!$A$3:$L$333,12,0)&amp;""</f>
        <v>Not Scored</v>
      </c>
      <c r="F4" s="4" t="str">
        <f ca="1">VLOOKUP($A4,'Institution Evaluation'!$A$56:$K$345,3,0)&amp;""</f>
        <v>Accredible Digital Credentialing Platform</v>
      </c>
      <c r="G4" s="4" t="str">
        <f>VLOOKUP($A4,'Institution Evaluation'!$A$56:$K$345,7,0)&amp;""</f>
        <v>Not scored</v>
      </c>
      <c r="H4" s="4" t="str">
        <f>VLOOKUP($A4,'Institution Evaluation'!$A$56:$K$345,8,0)&amp;""</f>
        <v/>
      </c>
      <c r="I4" s="4" t="str">
        <f>VLOOKUP($A4,'Institution Evaluation'!$A$56:$K$345,9,0)&amp;""</f>
        <v/>
      </c>
      <c r="J4" s="4" t="str">
        <f>VLOOKUP($A4,'Institution Evaluation'!$A$56:$K$345,10,0)&amp;""</f>
        <v/>
      </c>
      <c r="K4" s="4">
        <f>IF($I4='Auto Responses'!$J$11,20,IF($I4='Auto Responses'!$J$13,5,10))</f>
        <v>10</v>
      </c>
      <c r="L4" s="101" t="str">
        <f>IF($E4='Auto Responses'!$L$13, 'Auto Responses'!$J$5,IF(AND($D4='Auto Responses'!$J$27,$H4=""),'Auto Responses'!$J$5,IF(AND($D4='Auto Responses'!$J$27,$H4='Auto Responses'!$J$7),1,IF(AND($D4='Auto Responses'!$J$27,$H4='Auto Responses'!$J$8),0,IF(OR(AND($F4=$G4,$H4=""),$H4='Auto Responses'!$J$7),1,0)))))</f>
        <v>N/A</v>
      </c>
      <c r="M4" s="4" t="str">
        <f>VLOOKUP($A4,'Institution Evaluation'!$A$56:$K$345,11,0)&amp;""</f>
        <v/>
      </c>
      <c r="N4" s="4">
        <f>IF($J4='Auto Responses'!$J$11,1,IF(AND($J4="",$I4='Auto Responses'!$J$11),1,0))</f>
        <v>0</v>
      </c>
      <c r="O4" s="101" t="str">
        <f>IF($E4='Auto Responses'!$L$13,'Auto Responses'!$J$5,IF($J4="",$K4,IF($J4='Auto Responses'!$J$13,5,IF($J4='Auto Responses'!$J$12,10,IF($J4='Auto Responses'!$J$11,20,0)))))</f>
        <v>N/A</v>
      </c>
      <c r="P4" s="101" t="str">
        <f>IF(OR($O4='Auto Responses'!$J$5,$L4='Auto Responses'!$J$5),'Auto Responses'!$J$5,$O4*$L4)</f>
        <v>N/A</v>
      </c>
      <c r="Q4" s="101">
        <f t="shared" si="1"/>
        <v>0</v>
      </c>
      <c r="R4" s="101">
        <f t="shared" ref="R4:R67" si="5">R3+Q4</f>
        <v>0</v>
      </c>
      <c r="S4" s="101">
        <f t="shared" si="2"/>
        <v>0</v>
      </c>
      <c r="T4" s="101">
        <f t="shared" si="3"/>
        <v>0</v>
      </c>
      <c r="U4" s="101">
        <f t="shared" ref="U4:U67" si="6">U3+T4</f>
        <v>0</v>
      </c>
      <c r="V4" s="101">
        <f t="shared" si="4"/>
        <v>0</v>
      </c>
    </row>
    <row r="5" spans="1:22" ht="57" customHeight="1" x14ac:dyDescent="0.2">
      <c r="A5" s="4" t="str">
        <f>Questions!$A5</f>
        <v>GNRL-03</v>
      </c>
      <c r="B5" s="4" t="str">
        <f t="shared" si="0"/>
        <v>GNRL</v>
      </c>
      <c r="C5" s="4" t="str">
        <f>VLOOKUP($A5,Questions!$A$3:$L$333,2,0)&amp;""</f>
        <v>Solution Description</v>
      </c>
      <c r="D5" s="4" t="str">
        <f>VLOOKUP($A5,Questions!$A$3:$L$333,11,0)&amp;""</f>
        <v>NA</v>
      </c>
      <c r="E5" s="4" t="str">
        <f>VLOOKUP($A5,Questions!$A$3:$L$333,12,0)&amp;""</f>
        <v>Not Scored</v>
      </c>
      <c r="F5" s="4" t="str">
        <f ca="1">VLOOKUP($A5,'Institution Evaluation'!$A$56:$K$345,3,0)&amp;""</f>
        <v>Accredible is a cloud-hosted, multi-tenant Software as a Service (SaaS) digital credentialing platform that enables organizations to design, issue, manage, and verify digital credentials including certificates and badges.</v>
      </c>
      <c r="G5" s="4" t="str">
        <f>VLOOKUP($A5,'Institution Evaluation'!$A$56:$K$345,7,0)&amp;""</f>
        <v>Not scored</v>
      </c>
      <c r="H5" s="4" t="str">
        <f>VLOOKUP($A5,'Institution Evaluation'!$A$56:$K$345,8,0)&amp;""</f>
        <v/>
      </c>
      <c r="I5" s="4" t="str">
        <f>VLOOKUP($A5,'Institution Evaluation'!$A$56:$K$345,9,0)&amp;""</f>
        <v/>
      </c>
      <c r="J5" s="4" t="str">
        <f>VLOOKUP($A5,'Institution Evaluation'!$A$56:$K$345,10,0)&amp;""</f>
        <v/>
      </c>
      <c r="K5" s="4">
        <f>IF($I5='Auto Responses'!$J$11,20,IF($I5='Auto Responses'!$J$13,5,10))</f>
        <v>10</v>
      </c>
      <c r="L5" s="101" t="str">
        <f>IF($E5='Auto Responses'!$L$13, 'Auto Responses'!$J$5,IF(AND($D5='Auto Responses'!$J$27,$H5=""),'Auto Responses'!$J$5,IF(AND($D5='Auto Responses'!$J$27,$H5='Auto Responses'!$J$7),1,IF(AND($D5='Auto Responses'!$J$27,$H5='Auto Responses'!$J$8),0,IF(OR(AND($F5=$G5,$H5=""),$H5='Auto Responses'!$J$7),1,0)))))</f>
        <v>N/A</v>
      </c>
      <c r="M5" s="4" t="str">
        <f>VLOOKUP($A5,'Institution Evaluation'!$A$56:$K$345,11,0)&amp;""</f>
        <v/>
      </c>
      <c r="N5" s="4">
        <f>IF($J5='Auto Responses'!$J$11,1,IF(AND($J5="",$I5='Auto Responses'!$J$11),1,0))</f>
        <v>0</v>
      </c>
      <c r="O5" s="101" t="str">
        <f>IF($E5='Auto Responses'!$L$13,'Auto Responses'!$J$5,IF($J5="",$K5,IF($J5='Auto Responses'!$J$13,5,IF($J5='Auto Responses'!$J$12,10,IF($J5='Auto Responses'!$J$11,20,0)))))</f>
        <v>N/A</v>
      </c>
      <c r="P5" s="101" t="str">
        <f>IF(OR($O5='Auto Responses'!$J$5,$L5='Auto Responses'!$J$5),'Auto Responses'!$J$5,$O5*$L5)</f>
        <v>N/A</v>
      </c>
      <c r="Q5" s="101">
        <f t="shared" si="1"/>
        <v>0</v>
      </c>
      <c r="R5" s="101">
        <f t="shared" si="5"/>
        <v>0</v>
      </c>
      <c r="S5" s="101">
        <f t="shared" si="2"/>
        <v>0</v>
      </c>
      <c r="T5" s="101">
        <f t="shared" si="3"/>
        <v>0</v>
      </c>
      <c r="U5" s="101">
        <f t="shared" si="6"/>
        <v>0</v>
      </c>
      <c r="V5" s="101">
        <f t="shared" si="4"/>
        <v>0</v>
      </c>
    </row>
    <row r="6" spans="1:22" ht="57" customHeight="1" x14ac:dyDescent="0.2">
      <c r="A6" s="4" t="str">
        <f>Questions!$A6</f>
        <v>GNRL-04</v>
      </c>
      <c r="B6" s="4" t="str">
        <f t="shared" si="0"/>
        <v>GNRL</v>
      </c>
      <c r="C6" s="4" t="str">
        <f>VLOOKUP($A6,Questions!$A$3:$L$333,2,0)&amp;""</f>
        <v>Solution Provider Contact Name</v>
      </c>
      <c r="D6" s="4" t="str">
        <f>VLOOKUP($A6,Questions!$A$3:$L$333,11,0)&amp;""</f>
        <v>NA</v>
      </c>
      <c r="E6" s="4" t="str">
        <f>VLOOKUP($A6,Questions!$A$3:$L$333,12,0)&amp;""</f>
        <v>Not Scored</v>
      </c>
      <c r="F6" s="4" t="str">
        <f>VLOOKUP($A6,'Institution Evaluation'!$A$56:$K$345,3,0)&amp;""</f>
        <v>Alan Heppenstall</v>
      </c>
      <c r="G6" s="4" t="str">
        <f>VLOOKUP($A6,'Institution Evaluation'!$A$56:$K$345,7,0)&amp;""</f>
        <v>Not scored</v>
      </c>
      <c r="H6" s="4" t="str">
        <f>VLOOKUP($A6,'Institution Evaluation'!$A$56:$K$345,8,0)&amp;""</f>
        <v/>
      </c>
      <c r="I6" s="4" t="str">
        <f>VLOOKUP($A6,'Institution Evaluation'!$A$56:$K$345,9,0)&amp;""</f>
        <v/>
      </c>
      <c r="J6" s="4" t="str">
        <f>VLOOKUP($A6,'Institution Evaluation'!$A$56:$K$345,10,0)&amp;""</f>
        <v/>
      </c>
      <c r="K6" s="4">
        <f>IF($I6='Auto Responses'!$J$11,20,IF($I6='Auto Responses'!$J$13,5,10))</f>
        <v>10</v>
      </c>
      <c r="L6" s="101" t="str">
        <f>IF($E6='Auto Responses'!$L$13, 'Auto Responses'!$J$5,IF(AND($D6='Auto Responses'!$J$27,$H6=""),'Auto Responses'!$J$5,IF(AND($D6='Auto Responses'!$J$27,$H6='Auto Responses'!$J$7),1,IF(AND($D6='Auto Responses'!$J$27,$H6='Auto Responses'!$J$8),0,IF(OR(AND($F6=$G6,$H6=""),$H6='Auto Responses'!$J$7),1,0)))))</f>
        <v>N/A</v>
      </c>
      <c r="M6" s="4" t="str">
        <f>VLOOKUP($A6,'Institution Evaluation'!$A$56:$K$345,11,0)&amp;""</f>
        <v/>
      </c>
      <c r="N6" s="4">
        <f>IF($J6='Auto Responses'!$J$11,1,IF(AND($J6="",$I6='Auto Responses'!$J$11),1,0))</f>
        <v>0</v>
      </c>
      <c r="O6" s="101" t="str">
        <f>IF($E6='Auto Responses'!$L$13,'Auto Responses'!$J$5,IF($J6="",$K6,IF($J6='Auto Responses'!$J$13,5,IF($J6='Auto Responses'!$J$12,10,IF($J6='Auto Responses'!$J$11,20,0)))))</f>
        <v>N/A</v>
      </c>
      <c r="P6" s="101" t="str">
        <f>IF(OR($O6='Auto Responses'!$J$5,$L6='Auto Responses'!$J$5),'Auto Responses'!$J$5,$O6*$L6)</f>
        <v>N/A</v>
      </c>
      <c r="Q6" s="101">
        <f t="shared" si="1"/>
        <v>0</v>
      </c>
      <c r="R6" s="101">
        <f t="shared" si="5"/>
        <v>0</v>
      </c>
      <c r="S6" s="101">
        <f t="shared" si="2"/>
        <v>0</v>
      </c>
      <c r="T6" s="101">
        <f t="shared" si="3"/>
        <v>0</v>
      </c>
      <c r="U6" s="101">
        <f t="shared" si="6"/>
        <v>0</v>
      </c>
      <c r="V6" s="101">
        <f t="shared" si="4"/>
        <v>0</v>
      </c>
    </row>
    <row r="7" spans="1:22" ht="57" customHeight="1" x14ac:dyDescent="0.2">
      <c r="A7" s="4" t="str">
        <f>Questions!$A7</f>
        <v>GNRL-05</v>
      </c>
      <c r="B7" s="4" t="str">
        <f t="shared" si="0"/>
        <v>GNRL</v>
      </c>
      <c r="C7" s="4" t="str">
        <f>VLOOKUP($A7,Questions!$A$3:$L$333,2,0)&amp;""</f>
        <v>Solution Provider Contact Title</v>
      </c>
      <c r="D7" s="4" t="str">
        <f>VLOOKUP($A7,Questions!$A$3:$L$333,11,0)&amp;""</f>
        <v>NA</v>
      </c>
      <c r="E7" s="4" t="str">
        <f>VLOOKUP($A7,Questions!$A$3:$L$333,12,0)&amp;""</f>
        <v>Not Scored</v>
      </c>
      <c r="F7" s="4" t="str">
        <f>VLOOKUP($A7,'Institution Evaluation'!$A$56:$K$345,3,0)&amp;""</f>
        <v>CTO</v>
      </c>
      <c r="G7" s="4" t="str">
        <f>VLOOKUP($A7,'Institution Evaluation'!$A$56:$K$345,7,0)&amp;""</f>
        <v>Not scored</v>
      </c>
      <c r="H7" s="4" t="str">
        <f>VLOOKUP($A7,'Institution Evaluation'!$A$56:$K$345,8,0)&amp;""</f>
        <v/>
      </c>
      <c r="I7" s="4" t="str">
        <f>VLOOKUP($A7,'Institution Evaluation'!$A$56:$K$345,9,0)&amp;""</f>
        <v/>
      </c>
      <c r="J7" s="4" t="str">
        <f>VLOOKUP($A7,'Institution Evaluation'!$A$56:$K$345,10,0)&amp;""</f>
        <v/>
      </c>
      <c r="K7" s="4">
        <f>IF($I7='Auto Responses'!$J$11,20,IF($I7='Auto Responses'!$J$13,5,10))</f>
        <v>10</v>
      </c>
      <c r="L7" s="101" t="str">
        <f>IF($E7='Auto Responses'!$L$13, 'Auto Responses'!$J$5,IF(AND($D7='Auto Responses'!$J$27,$H7=""),'Auto Responses'!$J$5,IF(AND($D7='Auto Responses'!$J$27,$H7='Auto Responses'!$J$7),1,IF(AND($D7='Auto Responses'!$J$27,$H7='Auto Responses'!$J$8),0,IF(OR(AND($F7=$G7,$H7=""),$H7='Auto Responses'!$J$7),1,0)))))</f>
        <v>N/A</v>
      </c>
      <c r="M7" s="4" t="str">
        <f>VLOOKUP($A7,'Institution Evaluation'!$A$56:$K$345,11,0)&amp;""</f>
        <v/>
      </c>
      <c r="N7" s="4">
        <f>IF($J7='Auto Responses'!$J$11,1,IF(AND($J7="",$I7='Auto Responses'!$J$11),1,0))</f>
        <v>0</v>
      </c>
      <c r="O7" s="101" t="str">
        <f>IF($E7='Auto Responses'!$L$13,'Auto Responses'!$J$5,IF($J7="",$K7,IF($J7='Auto Responses'!$J$13,5,IF($J7='Auto Responses'!$J$12,10,IF($J7='Auto Responses'!$J$11,20,0)))))</f>
        <v>N/A</v>
      </c>
      <c r="P7" s="101" t="str">
        <f>IF(OR($O7='Auto Responses'!$J$5,$L7='Auto Responses'!$J$5),'Auto Responses'!$J$5,$O7*$L7)</f>
        <v>N/A</v>
      </c>
      <c r="Q7" s="101">
        <f t="shared" si="1"/>
        <v>0</v>
      </c>
      <c r="R7" s="101">
        <f t="shared" si="5"/>
        <v>0</v>
      </c>
      <c r="S7" s="101">
        <f t="shared" si="2"/>
        <v>0</v>
      </c>
      <c r="T7" s="101">
        <f t="shared" si="3"/>
        <v>0</v>
      </c>
      <c r="U7" s="101">
        <f t="shared" si="6"/>
        <v>0</v>
      </c>
      <c r="V7" s="101">
        <f t="shared" si="4"/>
        <v>0</v>
      </c>
    </row>
    <row r="8" spans="1:22" ht="57" customHeight="1" x14ac:dyDescent="0.2">
      <c r="A8" s="4" t="str">
        <f>Questions!$A8</f>
        <v>GNRL-06</v>
      </c>
      <c r="B8" s="4" t="str">
        <f t="shared" si="0"/>
        <v>GNRL</v>
      </c>
      <c r="C8" s="4" t="str">
        <f>VLOOKUP($A8,Questions!$A$3:$L$333,2,0)&amp;""</f>
        <v>Solution Provider Contact Email</v>
      </c>
      <c r="D8" s="4" t="str">
        <f>VLOOKUP($A8,Questions!$A$3:$L$333,11,0)&amp;""</f>
        <v>NA</v>
      </c>
      <c r="E8" s="4" t="str">
        <f>VLOOKUP($A8,Questions!$A$3:$L$333,12,0)&amp;""</f>
        <v>Not Scored</v>
      </c>
      <c r="F8" s="4" t="str">
        <f>VLOOKUP($A8,'Institution Evaluation'!$A$56:$K$345,3,0)&amp;""</f>
        <v>alan@accredible.com</v>
      </c>
      <c r="G8" s="4" t="str">
        <f>VLOOKUP($A8,'Institution Evaluation'!$A$56:$K$345,7,0)&amp;""</f>
        <v>Not scored</v>
      </c>
      <c r="H8" s="4" t="str">
        <f>VLOOKUP($A8,'Institution Evaluation'!$A$56:$K$345,8,0)&amp;""</f>
        <v/>
      </c>
      <c r="I8" s="4" t="str">
        <f>VLOOKUP($A8,'Institution Evaluation'!$A$56:$K$345,9,0)&amp;""</f>
        <v/>
      </c>
      <c r="J8" s="4" t="str">
        <f>VLOOKUP($A8,'Institution Evaluation'!$A$56:$K$345,10,0)&amp;""</f>
        <v/>
      </c>
      <c r="K8" s="4">
        <f>IF($I8='Auto Responses'!$J$11,20,IF($I8='Auto Responses'!$J$13,5,10))</f>
        <v>10</v>
      </c>
      <c r="L8" s="101" t="str">
        <f>IF($E8='Auto Responses'!$L$13, 'Auto Responses'!$J$5,IF(AND($D8='Auto Responses'!$J$27,$H8=""),'Auto Responses'!$J$5,IF(AND($D8='Auto Responses'!$J$27,$H8='Auto Responses'!$J$7),1,IF(AND($D8='Auto Responses'!$J$27,$H8='Auto Responses'!$J$8),0,IF(OR(AND($F8=$G8,$H8=""),$H8='Auto Responses'!$J$7),1,0)))))</f>
        <v>N/A</v>
      </c>
      <c r="M8" s="4" t="str">
        <f>VLOOKUP($A8,'Institution Evaluation'!$A$56:$K$345,11,0)&amp;""</f>
        <v/>
      </c>
      <c r="N8" s="4">
        <f>IF($J8='Auto Responses'!$J$11,1,IF(AND($J8="",$I8='Auto Responses'!$J$11),1,0))</f>
        <v>0</v>
      </c>
      <c r="O8" s="101" t="str">
        <f>IF($E8='Auto Responses'!$L$13,'Auto Responses'!$J$5,IF($J8="",$K8,IF($J8='Auto Responses'!$J$13,5,IF($J8='Auto Responses'!$J$12,10,IF($J8='Auto Responses'!$J$11,20,0)))))</f>
        <v>N/A</v>
      </c>
      <c r="P8" s="101" t="str">
        <f>IF(OR($O8='Auto Responses'!$J$5,$L8='Auto Responses'!$J$5),'Auto Responses'!$J$5,$O8*$L8)</f>
        <v>N/A</v>
      </c>
      <c r="Q8" s="101">
        <f t="shared" si="1"/>
        <v>0</v>
      </c>
      <c r="R8" s="101">
        <f t="shared" si="5"/>
        <v>0</v>
      </c>
      <c r="S8" s="101">
        <f t="shared" si="2"/>
        <v>0</v>
      </c>
      <c r="T8" s="101">
        <f t="shared" si="3"/>
        <v>0</v>
      </c>
      <c r="U8" s="101">
        <f t="shared" si="6"/>
        <v>0</v>
      </c>
      <c r="V8" s="101">
        <f t="shared" si="4"/>
        <v>0</v>
      </c>
    </row>
    <row r="9" spans="1:22" ht="57" customHeight="1" x14ac:dyDescent="0.2">
      <c r="A9" s="4" t="str">
        <f>Questions!$A9</f>
        <v>GNRL-07</v>
      </c>
      <c r="B9" s="4" t="str">
        <f t="shared" si="0"/>
        <v>GNRL</v>
      </c>
      <c r="C9" s="4" t="str">
        <f>VLOOKUP($A9,Questions!$A$3:$L$333,2,0)&amp;""</f>
        <v>Solution Provider Contact Phone Number</v>
      </c>
      <c r="D9" s="4" t="str">
        <f>VLOOKUP($A9,Questions!$A$3:$L$333,11,0)&amp;""</f>
        <v>NA</v>
      </c>
      <c r="E9" s="4" t="str">
        <f>VLOOKUP($A9,Questions!$A$3:$L$333,12,0)&amp;""</f>
        <v>Not Scored</v>
      </c>
      <c r="F9" s="4" t="str">
        <f>VLOOKUP($A9,'Institution Evaluation'!$A$56:$K$345,3,0)&amp;""</f>
        <v>+1 (628) 214-2701</v>
      </c>
      <c r="G9" s="4" t="str">
        <f>VLOOKUP($A9,'Institution Evaluation'!$A$56:$K$345,7,0)&amp;""</f>
        <v>Not scored</v>
      </c>
      <c r="H9" s="4" t="str">
        <f>VLOOKUP($A9,'Institution Evaluation'!$A$56:$K$345,8,0)&amp;""</f>
        <v/>
      </c>
      <c r="I9" s="4" t="str">
        <f>VLOOKUP($A9,'Institution Evaluation'!$A$56:$K$345,9,0)&amp;""</f>
        <v/>
      </c>
      <c r="J9" s="4" t="str">
        <f>VLOOKUP($A9,'Institution Evaluation'!$A$56:$K$345,10,0)&amp;""</f>
        <v/>
      </c>
      <c r="K9" s="4">
        <f>IF($I9='Auto Responses'!$J$11,20,IF($I9='Auto Responses'!$J$13,5,10))</f>
        <v>10</v>
      </c>
      <c r="L9" s="101" t="str">
        <f>IF($E9='Auto Responses'!$L$13, 'Auto Responses'!$J$5,IF(AND($D9='Auto Responses'!$J$27,$H9=""),'Auto Responses'!$J$5,IF(AND($D9='Auto Responses'!$J$27,$H9='Auto Responses'!$J$7),1,IF(AND($D9='Auto Responses'!$J$27,$H9='Auto Responses'!$J$8),0,IF(OR(AND($F9=$G9,$H9=""),$H9='Auto Responses'!$J$7),1,0)))))</f>
        <v>N/A</v>
      </c>
      <c r="M9" s="4" t="str">
        <f>VLOOKUP($A9,'Institution Evaluation'!$A$56:$K$345,11,0)&amp;""</f>
        <v/>
      </c>
      <c r="N9" s="4">
        <f>IF($J9='Auto Responses'!$J$11,1,IF(AND($J9="",$I9='Auto Responses'!$J$11),1,0))</f>
        <v>0</v>
      </c>
      <c r="O9" s="101" t="str">
        <f>IF($E9='Auto Responses'!$L$13,'Auto Responses'!$J$5,IF($J9="",$K9,IF($J9='Auto Responses'!$J$13,5,IF($J9='Auto Responses'!$J$12,10,IF($J9='Auto Responses'!$J$11,20,0)))))</f>
        <v>N/A</v>
      </c>
      <c r="P9" s="101" t="str">
        <f>IF(OR($O9='Auto Responses'!$J$5,$L9='Auto Responses'!$J$5),'Auto Responses'!$J$5,$O9*$L9)</f>
        <v>N/A</v>
      </c>
      <c r="Q9" s="101">
        <f t="shared" si="1"/>
        <v>0</v>
      </c>
      <c r="R9" s="101">
        <f t="shared" si="5"/>
        <v>0</v>
      </c>
      <c r="S9" s="101">
        <f t="shared" si="2"/>
        <v>0</v>
      </c>
      <c r="T9" s="101">
        <f t="shared" si="3"/>
        <v>0</v>
      </c>
      <c r="U9" s="101">
        <f t="shared" si="6"/>
        <v>0</v>
      </c>
      <c r="V9" s="101">
        <f t="shared" si="4"/>
        <v>0</v>
      </c>
    </row>
    <row r="10" spans="1:22" ht="57" customHeight="1" x14ac:dyDescent="0.2">
      <c r="A10" s="4" t="str">
        <f>Questions!$A10</f>
        <v>GNRL-08</v>
      </c>
      <c r="B10" s="4" t="str">
        <f t="shared" si="0"/>
        <v>GNRL</v>
      </c>
      <c r="C10" s="4" t="str">
        <f>VLOOKUP($A10,Questions!$A$3:$L$333,2,0)&amp;""</f>
        <v>Country of Company Headquarters</v>
      </c>
      <c r="D10" s="4" t="str">
        <f>VLOOKUP($A10,Questions!$A$3:$L$333,11,0)&amp;""</f>
        <v>NA</v>
      </c>
      <c r="E10" s="4" t="str">
        <f>VLOOKUP($A10,Questions!$A$3:$L$333,12,0)&amp;""</f>
        <v>Not Scored</v>
      </c>
      <c r="F10" s="4" t="str">
        <f ca="1">VLOOKUP($A10,'Institution Evaluation'!$A$56:$K$345,3,0)&amp;""</f>
        <v>United States</v>
      </c>
      <c r="G10" s="4" t="str">
        <f>VLOOKUP($A10,'Institution Evaluation'!$A$56:$K$345,7,0)&amp;""</f>
        <v>Not scored</v>
      </c>
      <c r="H10" s="4" t="str">
        <f>VLOOKUP($A10,'Institution Evaluation'!$A$56:$K$345,8,0)&amp;""</f>
        <v/>
      </c>
      <c r="I10" s="4" t="str">
        <f>VLOOKUP($A10,'Institution Evaluation'!$A$56:$K$345,9,0)&amp;""</f>
        <v/>
      </c>
      <c r="J10" s="4" t="str">
        <f>VLOOKUP($A10,'Institution Evaluation'!$A$56:$K$345,10,0)&amp;""</f>
        <v/>
      </c>
      <c r="K10" s="4">
        <f>IF($I10='Auto Responses'!$J$11,20,IF($I10='Auto Responses'!$J$13,5,10))</f>
        <v>10</v>
      </c>
      <c r="L10" s="101" t="str">
        <f>IF($E10='Auto Responses'!$L$13, 'Auto Responses'!$J$5,IF(AND($D10='Auto Responses'!$J$27,$H10=""),'Auto Responses'!$J$5,IF(AND($D10='Auto Responses'!$J$27,$H10='Auto Responses'!$J$7),1,IF(AND($D10='Auto Responses'!$J$27,$H10='Auto Responses'!$J$8),0,IF(OR(AND($F10=$G10,$H10=""),$H10='Auto Responses'!$J$7),1,0)))))</f>
        <v>N/A</v>
      </c>
      <c r="M10" s="4" t="str">
        <f>VLOOKUP($A10,'Institution Evaluation'!$A$56:$K$345,11,0)&amp;""</f>
        <v/>
      </c>
      <c r="N10" s="4">
        <f>IF($J10='Auto Responses'!$J$11,1,IF(AND($J10="",$I10='Auto Responses'!$J$11),1,0))</f>
        <v>0</v>
      </c>
      <c r="O10" s="101" t="str">
        <f>IF($E10='Auto Responses'!$L$13,'Auto Responses'!$J$5,IF($J10="",$K10,IF($J10='Auto Responses'!$J$13,5,IF($J10='Auto Responses'!$J$12,10,IF($J10='Auto Responses'!$J$11,20,0)))))</f>
        <v>N/A</v>
      </c>
      <c r="P10" s="101" t="str">
        <f>IF(OR($O10='Auto Responses'!$J$5,$L10='Auto Responses'!$J$5),'Auto Responses'!$J$5,$O10*$L10)</f>
        <v>N/A</v>
      </c>
      <c r="Q10" s="101">
        <f t="shared" si="1"/>
        <v>0</v>
      </c>
      <c r="R10" s="101">
        <f t="shared" si="5"/>
        <v>0</v>
      </c>
      <c r="S10" s="101">
        <f t="shared" si="2"/>
        <v>0</v>
      </c>
      <c r="T10" s="101">
        <f t="shared" si="3"/>
        <v>0</v>
      </c>
      <c r="U10" s="101">
        <f t="shared" si="6"/>
        <v>0</v>
      </c>
      <c r="V10" s="101">
        <f t="shared" si="4"/>
        <v>0</v>
      </c>
    </row>
    <row r="11" spans="1:22" ht="57" customHeight="1" x14ac:dyDescent="0.2">
      <c r="A11" s="4" t="str">
        <f>Questions!$A11</f>
        <v>GNRL-09</v>
      </c>
      <c r="B11" s="4" t="str">
        <f t="shared" si="0"/>
        <v>GNRL</v>
      </c>
      <c r="C11" s="4" t="str">
        <f>VLOOKUP($A11,Questions!$A$3:$L$333,2,0)&amp;""</f>
        <v>Employee Work Locations (all)</v>
      </c>
      <c r="D11" s="4" t="s">
        <v>702</v>
      </c>
      <c r="E11" s="4" t="str">
        <f>VLOOKUP($A11,Questions!$A$3:$L$333,12,0)&amp;""</f>
        <v>Not Scored</v>
      </c>
      <c r="F11" s="4" t="str">
        <f>VLOOKUP($A11,'Institution Evaluation'!$A$56:$K$345,3,0)&amp;""</f>
        <v/>
      </c>
      <c r="G11" s="4" t="str">
        <f>VLOOKUP($A11,'Institution Evaluation'!$A$56:$K$345,7,0)&amp;""</f>
        <v>Not scored</v>
      </c>
      <c r="H11" s="4" t="str">
        <f>VLOOKUP($A11,'Institution Evaluation'!$A$56:$K$345,8,0)&amp;""</f>
        <v/>
      </c>
      <c r="I11" s="4" t="str">
        <f>VLOOKUP($A11,'Institution Evaluation'!$A$56:$K$345,9,0)&amp;""</f>
        <v/>
      </c>
      <c r="J11" s="4" t="str">
        <f>VLOOKUP($A11,'Institution Evaluation'!$A$56:$K$345,10,0)&amp;""</f>
        <v/>
      </c>
      <c r="K11" s="4">
        <f>IF($I11='Auto Responses'!$J$11,20,IF($I11='Auto Responses'!$J$13,5,10))</f>
        <v>10</v>
      </c>
      <c r="L11" s="101" t="str">
        <f>IF($E11='Auto Responses'!$L$13, 'Auto Responses'!$J$5,IF(AND($D11='Auto Responses'!$J$27,$H11=""),'Auto Responses'!$J$5,IF(AND($D11='Auto Responses'!$J$27,$H11='Auto Responses'!$J$7),1,IF(AND($D11='Auto Responses'!$J$27,$H11='Auto Responses'!$J$8),0,IF(OR(AND($F11=$G11,$H11=""),$H11='Auto Responses'!$J$7),1,0)))))</f>
        <v>N/A</v>
      </c>
      <c r="M11" s="4" t="str">
        <f>VLOOKUP($A11,'Institution Evaluation'!$A$56:$K$345,11,0)&amp;""</f>
        <v/>
      </c>
      <c r="N11" s="4">
        <f>IF($J11='Auto Responses'!$J$11,1,IF(AND($J11="",$I11='Auto Responses'!$J$11),1,0))</f>
        <v>0</v>
      </c>
      <c r="O11" s="101" t="str">
        <f>IF($E11='Auto Responses'!$L$13,'Auto Responses'!$J$5,IF($J11="",$K11,IF($J11='Auto Responses'!$J$13,5,IF($J11='Auto Responses'!$J$12,10,IF($J11='Auto Responses'!$J$11,20,0)))))</f>
        <v>N/A</v>
      </c>
      <c r="P11" s="101" t="str">
        <f>IF(OR($O11='Auto Responses'!$J$5,$L11='Auto Responses'!$J$5),'Auto Responses'!$J$5,$O11*$L11)</f>
        <v>N/A</v>
      </c>
      <c r="Q11" s="101">
        <f t="shared" si="1"/>
        <v>0</v>
      </c>
      <c r="R11" s="101">
        <f t="shared" si="5"/>
        <v>0</v>
      </c>
      <c r="S11" s="101">
        <f t="shared" si="2"/>
        <v>0</v>
      </c>
      <c r="T11" s="101">
        <f t="shared" si="3"/>
        <v>0</v>
      </c>
      <c r="U11" s="101">
        <f t="shared" si="6"/>
        <v>0</v>
      </c>
      <c r="V11" s="101">
        <f t="shared" si="4"/>
        <v>0</v>
      </c>
    </row>
    <row r="12" spans="1:22" ht="57" customHeight="1" x14ac:dyDescent="0.2">
      <c r="A12" s="4" t="str">
        <f>Questions!$A12</f>
        <v>COMP-01</v>
      </c>
      <c r="B12" s="4" t="str">
        <f t="shared" si="0"/>
        <v>COMP</v>
      </c>
      <c r="C12" s="4" t="str">
        <f>VLOOKUP($A12,Questions!$A$3:$L$333,2,0)&amp;""</f>
        <v>Do you have a dedicated software and system development team(s) (e.g., customer support, implementation, product management, etc.)?*</v>
      </c>
      <c r="D12" s="4" t="str">
        <f>VLOOKUP($A12,Questions!$A$3:$L$333,11,0)&amp;""</f>
        <v/>
      </c>
      <c r="E12" s="4" t="str">
        <f>VLOOKUP($A12,Questions!$A$3:$L$333,12,0)&amp;""</f>
        <v>Start Here</v>
      </c>
      <c r="F12" s="4" t="str">
        <f>VLOOKUP($A12,'Institution Evaluation'!$A$56:$K$345,3,0)&amp;""</f>
        <v>Yes</v>
      </c>
      <c r="G12" s="4" t="str">
        <f>VLOOKUP($A12,'Institution Evaluation'!$A$56:$K$345,7,0)&amp;""</f>
        <v>Yes</v>
      </c>
      <c r="H12" s="4" t="str">
        <f>VLOOKUP($A12,'Institution Evaluation'!$A$56:$K$345,8,0)&amp;""</f>
        <v/>
      </c>
      <c r="I12" s="4" t="str">
        <f>VLOOKUP($A12,'Institution Evaluation'!$A$56:$K$345,9,0)&amp;""</f>
        <v>Standard Importance</v>
      </c>
      <c r="J12" s="4" t="str">
        <f>VLOOKUP($A12,'Institution Evaluation'!$A$56:$K$345,10,0)&amp;""</f>
        <v/>
      </c>
      <c r="K12" s="4">
        <f>IF($I12='Auto Responses'!$J$11,20,IF($I12='Auto Responses'!$J$13,5,10))</f>
        <v>10</v>
      </c>
      <c r="L12" s="101">
        <f>IF($E12='Auto Responses'!$L$13, 'Auto Responses'!$J$5,IF(AND($D12='Auto Responses'!$J$27,$H12=""),'Auto Responses'!$J$5,IF(AND($D12='Auto Responses'!$J$27,$H12='Auto Responses'!$J$7),1,IF(AND($D12='Auto Responses'!$J$27,$H12='Auto Responses'!$J$8),0,IF(OR(AND($F12=$G12,$H12=""),$H12='Auto Responses'!$J$7),1,0)))))</f>
        <v>1</v>
      </c>
      <c r="M12" s="4" t="str">
        <f>VLOOKUP($A12,'Institution Evaluation'!$A$56:$K$345,11,0)&amp;""</f>
        <v>FALSE</v>
      </c>
      <c r="N12" s="4">
        <f>IF($J12='Auto Responses'!$J$11,1,IF(AND($J12="",$I12='Auto Responses'!$J$11),1,0))</f>
        <v>0</v>
      </c>
      <c r="O12" s="101">
        <f>IF(OR($E12='Auto Responses'!$L$13,$F12='Auto Responses'!$J$5),'Auto Responses'!$J$5,IF($J12="",$K12,IF($J12='Auto Responses'!$J$13,5,IF($J12='Auto Responses'!$J$12,10,IF($J12='Auto Responses'!$J$11,20,0)))))</f>
        <v>10</v>
      </c>
      <c r="P12" s="101">
        <f>IF(OR($O12='Auto Responses'!$J$5,$L12='Auto Responses'!$J$5),'Auto Responses'!$J$5,$O12*$L12)</f>
        <v>10</v>
      </c>
      <c r="Q12" s="101">
        <f t="shared" si="1"/>
        <v>0</v>
      </c>
      <c r="R12" s="101">
        <f t="shared" si="5"/>
        <v>0</v>
      </c>
      <c r="S12" s="101">
        <f t="shared" si="2"/>
        <v>0</v>
      </c>
      <c r="T12" s="101">
        <f t="shared" si="3"/>
        <v>0</v>
      </c>
      <c r="U12" s="101">
        <f t="shared" si="6"/>
        <v>0</v>
      </c>
      <c r="V12" s="101">
        <f t="shared" si="4"/>
        <v>0</v>
      </c>
    </row>
    <row r="13" spans="1:22" ht="57" customHeight="1" x14ac:dyDescent="0.2">
      <c r="A13" s="4" t="str">
        <f>Questions!$A13</f>
        <v>COMP-02</v>
      </c>
      <c r="B13" s="4" t="str">
        <f t="shared" si="0"/>
        <v>COMP</v>
      </c>
      <c r="C13" s="4" t="str">
        <f>VLOOKUP($A13,Questions!$A$3:$L$333,2,0)&amp;""</f>
        <v>Describe your organization’s business background and ownership structure, including all parent and subsidiary relationships.</v>
      </c>
      <c r="D13" s="4" t="str">
        <f>VLOOKUP($A13,Questions!$A$3:$L$333,11,0)&amp;""</f>
        <v/>
      </c>
      <c r="E13" s="4" t="str">
        <f>VLOOKUP($A13,Questions!$A$3:$L$333,12,0)&amp;""</f>
        <v>Not scored</v>
      </c>
      <c r="F13" s="4" t="str">
        <f>VLOOKUP($A13,'Institution Evaluation'!$A$56:$K$345,3,0)&amp;""</f>
        <v>Yes</v>
      </c>
      <c r="G13" s="4" t="str">
        <f>VLOOKUP($A13,'Institution Evaluation'!$A$56:$K$345,7,0)&amp;""</f>
        <v>Not scored</v>
      </c>
      <c r="H13" s="4" t="str">
        <f>VLOOKUP($A13,'Institution Evaluation'!$A$56:$K$345,8,0)&amp;""</f>
        <v/>
      </c>
      <c r="I13" s="4" t="str">
        <f>VLOOKUP($A13,'Institution Evaluation'!$A$56:$K$345,9,0)&amp;""</f>
        <v/>
      </c>
      <c r="J13" s="4" t="str">
        <f>VLOOKUP($A13,'Institution Evaluation'!$A$56:$K$345,10,0)&amp;""</f>
        <v/>
      </c>
      <c r="K13" s="4">
        <f>IF($I13='Auto Responses'!$J$11,20,IF($I13='Auto Responses'!$J$13,5,10))</f>
        <v>10</v>
      </c>
      <c r="L13" s="101" t="str">
        <f>IF($E13='Auto Responses'!$L$13, 'Auto Responses'!$J$5,IF(AND($D13='Auto Responses'!$J$27,$H13=""),'Auto Responses'!$J$5,IF(AND($D13='Auto Responses'!$J$27,$H13='Auto Responses'!$J$7),1,IF(AND($D13='Auto Responses'!$J$27,$H13='Auto Responses'!$J$8),0,IF(OR(AND($F13=$G13,$H13=""),$H13='Auto Responses'!$J$7),1,0)))))</f>
        <v>N/A</v>
      </c>
      <c r="M13" s="4" t="str">
        <f>VLOOKUP($A13,'Institution Evaluation'!$A$56:$K$345,11,0)&amp;""</f>
        <v>FALSE</v>
      </c>
      <c r="N13" s="4">
        <f>IF($J13='Auto Responses'!$J$11,1,IF(AND($J13="",$I13='Auto Responses'!$J$11),1,0))</f>
        <v>0</v>
      </c>
      <c r="O13" s="101" t="str">
        <f>IF(OR($E13='Auto Responses'!$L$13,$F13='Auto Responses'!$J$5),'Auto Responses'!$J$5,IF($J13="",$K13,IF($J13='Auto Responses'!$J$13,5,IF($J13='Auto Responses'!$J$12,10,IF($J13='Auto Responses'!$J$11,20,0)))))</f>
        <v>N/A</v>
      </c>
      <c r="P13" s="101" t="str">
        <f>IF(OR($O13='Auto Responses'!$J$5,$L13='Auto Responses'!$J$5),'Auto Responses'!$J$5,$O13*$L13)</f>
        <v>N/A</v>
      </c>
      <c r="Q13" s="101">
        <f t="shared" si="1"/>
        <v>0</v>
      </c>
      <c r="R13" s="101">
        <f t="shared" si="5"/>
        <v>0</v>
      </c>
      <c r="S13" s="101">
        <f t="shared" si="2"/>
        <v>0</v>
      </c>
      <c r="T13" s="101">
        <f t="shared" si="3"/>
        <v>0</v>
      </c>
      <c r="U13" s="101">
        <f t="shared" si="6"/>
        <v>0</v>
      </c>
      <c r="V13" s="101">
        <f t="shared" si="4"/>
        <v>0</v>
      </c>
    </row>
    <row r="14" spans="1:22" ht="57" customHeight="1" x14ac:dyDescent="0.2">
      <c r="A14" s="4" t="str">
        <f>Questions!$A14</f>
        <v>COMP-03</v>
      </c>
      <c r="B14" s="4" t="str">
        <f t="shared" si="0"/>
        <v>COMP</v>
      </c>
      <c r="C14" s="4" t="str">
        <f>VLOOKUP($A14,Questions!$A$3:$L$333,2,0)&amp;""</f>
        <v>Have you operated without unplanned disruptions to this solution in the past 12 months?</v>
      </c>
      <c r="D14" s="4" t="str">
        <f>VLOOKUP($A14,Questions!$A$3:$L$333,11,0)&amp;""</f>
        <v/>
      </c>
      <c r="E14" s="4" t="str">
        <f>VLOOKUP($A14,Questions!$A$3:$L$333,12,0)&amp;""</f>
        <v>Start Here</v>
      </c>
      <c r="F14" s="4" t="str">
        <f>VLOOKUP($A14,'Institution Evaluation'!$A$56:$K$345,3,0)&amp;""</f>
        <v>Yes</v>
      </c>
      <c r="G14" s="4" t="str">
        <f>VLOOKUP($A14,'Institution Evaluation'!$A$56:$K$345,7,0)&amp;""</f>
        <v>Yes</v>
      </c>
      <c r="H14" s="4" t="str">
        <f>VLOOKUP($A14,'Institution Evaluation'!$A$56:$K$345,8,0)&amp;""</f>
        <v/>
      </c>
      <c r="I14" s="4" t="str">
        <f>VLOOKUP($A14,'Institution Evaluation'!$A$56:$K$345,9,0)&amp;""</f>
        <v>Minor Importance</v>
      </c>
      <c r="J14" s="4" t="str">
        <f>VLOOKUP($A14,'Institution Evaluation'!$A$56:$K$345,10,0)&amp;""</f>
        <v/>
      </c>
      <c r="K14" s="4">
        <f>IF($I14='Auto Responses'!$J$11,20,IF($I14='Auto Responses'!$J$13,5,10))</f>
        <v>5</v>
      </c>
      <c r="L14" s="101">
        <f>IF($E14='Auto Responses'!$L$13, 'Auto Responses'!$J$5,IF(AND($D14='Auto Responses'!$J$27,$H14=""),'Auto Responses'!$J$5,IF(AND($D14='Auto Responses'!$J$27,$H14='Auto Responses'!$J$7),1,IF(AND($D14='Auto Responses'!$J$27,$H14='Auto Responses'!$J$8),0,IF(OR(AND($F14=$G14,$H14=""),$H14='Auto Responses'!$J$7),1,0)))))</f>
        <v>1</v>
      </c>
      <c r="M14" s="4" t="str">
        <f>VLOOKUP($A14,'Institution Evaluation'!$A$56:$K$345,11,0)&amp;""</f>
        <v>FALSE</v>
      </c>
      <c r="N14" s="4">
        <f>IF($J14='Auto Responses'!$J$11,1,IF(AND($J14="",$I14='Auto Responses'!$J$11),1,0))</f>
        <v>0</v>
      </c>
      <c r="O14" s="101">
        <f>IF(OR($E14='Auto Responses'!$L$13,$F14='Auto Responses'!$J$5),'Auto Responses'!$J$5,IF($J14="",$K14,IF($J14='Auto Responses'!$J$13,5,IF($J14='Auto Responses'!$J$12,10,IF($J14='Auto Responses'!$J$11,20,0)))))</f>
        <v>5</v>
      </c>
      <c r="P14" s="101">
        <f>IF(OR($O14='Auto Responses'!$J$5,$L14='Auto Responses'!$J$5),'Auto Responses'!$J$5,$O14*$L14)</f>
        <v>5</v>
      </c>
      <c r="Q14" s="101">
        <f t="shared" si="1"/>
        <v>0</v>
      </c>
      <c r="R14" s="101">
        <f t="shared" si="5"/>
        <v>0</v>
      </c>
      <c r="S14" s="101">
        <f t="shared" si="2"/>
        <v>0</v>
      </c>
      <c r="T14" s="101">
        <f t="shared" si="3"/>
        <v>0</v>
      </c>
      <c r="U14" s="101">
        <f t="shared" si="6"/>
        <v>0</v>
      </c>
      <c r="V14" s="101">
        <f t="shared" si="4"/>
        <v>0</v>
      </c>
    </row>
    <row r="15" spans="1:22" ht="57" customHeight="1" x14ac:dyDescent="0.2">
      <c r="A15" s="4" t="str">
        <f>Questions!$A15</f>
        <v>COMP-04</v>
      </c>
      <c r="B15" s="4" t="str">
        <f t="shared" si="0"/>
        <v>COMP</v>
      </c>
      <c r="C15" s="4" t="str">
        <f>VLOOKUP($A15,Questions!$A$3:$L$333,2,0)&amp;""</f>
        <v>Do you have a dedicated information security staff or office?</v>
      </c>
      <c r="D15" s="4" t="str">
        <f>VLOOKUP($A15,Questions!$A$3:$L$333,11,0)&amp;""</f>
        <v/>
      </c>
      <c r="E15" s="4" t="str">
        <f>VLOOKUP($A15,Questions!$A$3:$L$333,12,0)&amp;""</f>
        <v>Start Here</v>
      </c>
      <c r="F15" s="4" t="str">
        <f>VLOOKUP($A15,'Institution Evaluation'!$A$56:$K$345,3,0)&amp;""</f>
        <v>Yes</v>
      </c>
      <c r="G15" s="4" t="str">
        <f>VLOOKUP($A15,'Institution Evaluation'!$A$56:$K$345,7,0)&amp;""</f>
        <v>Yes</v>
      </c>
      <c r="H15" s="4" t="str">
        <f>VLOOKUP($A15,'Institution Evaluation'!$A$56:$K$345,8,0)&amp;""</f>
        <v/>
      </c>
      <c r="I15" s="4" t="str">
        <f>VLOOKUP($A15,'Institution Evaluation'!$A$56:$K$345,9,0)&amp;""</f>
        <v>Minor Importance</v>
      </c>
      <c r="J15" s="4" t="str">
        <f>VLOOKUP($A15,'Institution Evaluation'!$A$56:$K$345,10,0)&amp;""</f>
        <v/>
      </c>
      <c r="K15" s="4">
        <f>IF($I15='Auto Responses'!$J$11,20,IF($I15='Auto Responses'!$J$13,5,10))</f>
        <v>5</v>
      </c>
      <c r="L15" s="101">
        <f>IF($E15='Auto Responses'!$L$13, 'Auto Responses'!$J$5,IF(AND($D15='Auto Responses'!$J$27,$H15=""),'Auto Responses'!$J$5,IF(AND($D15='Auto Responses'!$J$27,$H15='Auto Responses'!$J$7),1,IF(AND($D15='Auto Responses'!$J$27,$H15='Auto Responses'!$J$8),0,IF(OR(AND($F15=$G15,$H15=""),$H15='Auto Responses'!$J$7),1,0)))))</f>
        <v>1</v>
      </c>
      <c r="M15" s="4" t="str">
        <f>VLOOKUP($A15,'Institution Evaluation'!$A$56:$K$345,11,0)&amp;""</f>
        <v>FALSE</v>
      </c>
      <c r="N15" s="4">
        <f>IF($J15='Auto Responses'!$J$11,1,IF(AND($J15="",$I15='Auto Responses'!$J$11),1,0))</f>
        <v>0</v>
      </c>
      <c r="O15" s="101">
        <f>IF(OR($E15='Auto Responses'!$L$13,$F15='Auto Responses'!$J$5),'Auto Responses'!$J$5,IF($J15="",$K15,IF($J15='Auto Responses'!$J$13,5,IF($J15='Auto Responses'!$J$12,10,IF($J15='Auto Responses'!$J$11,20,0)))))</f>
        <v>5</v>
      </c>
      <c r="P15" s="101">
        <f>IF(OR($O15='Auto Responses'!$J$5,$L15='Auto Responses'!$J$5),'Auto Responses'!$J$5,$O15*$L15)</f>
        <v>5</v>
      </c>
      <c r="Q15" s="101">
        <f t="shared" si="1"/>
        <v>0</v>
      </c>
      <c r="R15" s="101">
        <f t="shared" si="5"/>
        <v>0</v>
      </c>
      <c r="S15" s="101">
        <f t="shared" si="2"/>
        <v>0</v>
      </c>
      <c r="T15" s="101">
        <f t="shared" si="3"/>
        <v>0</v>
      </c>
      <c r="U15" s="101">
        <f t="shared" si="6"/>
        <v>0</v>
      </c>
      <c r="V15" s="101">
        <f t="shared" si="4"/>
        <v>0</v>
      </c>
    </row>
    <row r="16" spans="1:22" ht="57" customHeight="1" x14ac:dyDescent="0.2">
      <c r="A16" s="4" t="str">
        <f>Questions!$A16</f>
        <v>COMP-05</v>
      </c>
      <c r="B16" s="4" t="str">
        <f t="shared" si="0"/>
        <v>COMP</v>
      </c>
      <c r="C16" s="4" t="str">
        <f>VLOOKUP($A16,Questions!$A$3:$L$333,2,0)&amp;""</f>
        <v>Use this area to share information about your environment that will assist those who are assessing your company's data security program.</v>
      </c>
      <c r="D16" s="4" t="str">
        <f>VLOOKUP($A16,Questions!$A$3:$L$333,11,0)&amp;""</f>
        <v/>
      </c>
      <c r="E16" s="4" t="str">
        <f>VLOOKUP($A16,Questions!$A$3:$L$333,12,0)&amp;""</f>
        <v>Not Scored</v>
      </c>
      <c r="F16" s="4" t="str">
        <f>VLOOKUP($A16,'Institution Evaluation'!$A$56:$K$345,3,0)&amp;""</f>
        <v>Yes</v>
      </c>
      <c r="G16" s="4" t="str">
        <f>VLOOKUP($A16,'Institution Evaluation'!$A$56:$K$345,7,0)&amp;""</f>
        <v>Not scored</v>
      </c>
      <c r="H16" s="4" t="str">
        <f>VLOOKUP($A16,'Institution Evaluation'!$A$56:$K$345,8,0)&amp;""</f>
        <v/>
      </c>
      <c r="I16" s="4" t="str">
        <f>VLOOKUP($A16,'Institution Evaluation'!$A$56:$K$345,9,0)&amp;""</f>
        <v>FALSE</v>
      </c>
      <c r="J16" s="4" t="str">
        <f>VLOOKUP($A16,'Institution Evaluation'!$A$56:$K$345,10,0)&amp;""</f>
        <v/>
      </c>
      <c r="K16" s="4">
        <f>IF($I16='Auto Responses'!$J$11,20,IF($I16='Auto Responses'!$J$13,5,10))</f>
        <v>10</v>
      </c>
      <c r="L16" s="101" t="str">
        <f>IF($E16='Auto Responses'!$L$13, 'Auto Responses'!$J$5,IF(AND($D16='Auto Responses'!$J$27,$H16=""),'Auto Responses'!$J$5,IF(AND($D16='Auto Responses'!$J$27,$H16='Auto Responses'!$J$7),1,IF(AND($D16='Auto Responses'!$J$27,$H16='Auto Responses'!$J$8),0,IF(OR(AND($F16=$G16,$H16=""),$H16='Auto Responses'!$J$7),1,0)))))</f>
        <v>N/A</v>
      </c>
      <c r="M16" s="4" t="str">
        <f>VLOOKUP($A16,'Institution Evaluation'!$A$56:$K$345,11,0)&amp;""</f>
        <v>FALSE</v>
      </c>
      <c r="N16" s="4">
        <f>IF($J16='Auto Responses'!$J$11,1,IF(AND($J16="",$I16='Auto Responses'!$J$11),1,0))</f>
        <v>0</v>
      </c>
      <c r="O16" s="101" t="str">
        <f>IF(OR($E16='Auto Responses'!$L$13,$F16='Auto Responses'!$J$5),'Auto Responses'!$J$5,IF($J16="",$K16,IF($J16='Auto Responses'!$J$13,5,IF($J16='Auto Responses'!$J$12,10,IF($J16='Auto Responses'!$J$11,20,0)))))</f>
        <v>N/A</v>
      </c>
      <c r="P16" s="101" t="str">
        <f>IF(OR($O16='Auto Responses'!$J$5,$L16='Auto Responses'!$J$5),'Auto Responses'!$J$5,$O16*$L16)</f>
        <v>N/A</v>
      </c>
      <c r="Q16" s="101">
        <f t="shared" si="1"/>
        <v>0</v>
      </c>
      <c r="R16" s="101">
        <f t="shared" si="5"/>
        <v>0</v>
      </c>
      <c r="S16" s="101">
        <f t="shared" si="2"/>
        <v>0</v>
      </c>
      <c r="T16" s="101">
        <f t="shared" si="3"/>
        <v>0</v>
      </c>
      <c r="U16" s="101">
        <f t="shared" si="6"/>
        <v>0</v>
      </c>
      <c r="V16" s="101">
        <f t="shared" si="4"/>
        <v>0</v>
      </c>
    </row>
    <row r="17" spans="1:22" ht="57" customHeight="1" x14ac:dyDescent="0.2">
      <c r="A17" s="4" t="str">
        <f>Questions!$A17</f>
        <v>REQU-01</v>
      </c>
      <c r="B17" s="4" t="str">
        <f t="shared" si="0"/>
        <v>REQU</v>
      </c>
      <c r="C17" s="4" t="str">
        <f>VLOOKUP($A17,Questions!$A$3:$L$333,2,0)&amp;""</f>
        <v>Are you offering a cloud-based product?</v>
      </c>
      <c r="D17" s="4" t="str">
        <f>VLOOKUP($A17,Questions!$A$3:$L$333,11,0)&amp;""</f>
        <v>NA</v>
      </c>
      <c r="E17" s="4" t="str">
        <f>VLOOKUP($A17,Questions!$A$3:$L$333,12,0)&amp;""</f>
        <v>Not Scored</v>
      </c>
      <c r="F17" s="4" t="str">
        <f>VLOOKUP($A17,'Institution Evaluation'!$A$56:$K$345,3,0)&amp;""</f>
        <v>Yes</v>
      </c>
      <c r="G17" s="4" t="str">
        <f>VLOOKUP($A17,'Institution Evaluation'!$A$56:$K$345,7,0)&amp;""</f>
        <v>Not scored</v>
      </c>
      <c r="H17" s="4" t="str">
        <f>VLOOKUP($A17,'Institution Evaluation'!$A$56:$K$345,8,0)&amp;""</f>
        <v/>
      </c>
      <c r="I17" s="4" t="str">
        <f>VLOOKUP($A17,'Institution Evaluation'!$A$56:$K$345,9,0)&amp;""</f>
        <v/>
      </c>
      <c r="J17" s="4" t="str">
        <f>VLOOKUP($A17,'Institution Evaluation'!$A$56:$K$345,10,0)&amp;""</f>
        <v/>
      </c>
      <c r="K17" s="4">
        <f>IF($I17='Auto Responses'!$J$11,20,IF($I17='Auto Responses'!$J$13,5,10))</f>
        <v>10</v>
      </c>
      <c r="L17" s="101" t="str">
        <f>IF($E17='Auto Responses'!$L$13, 'Auto Responses'!$J$5,IF(AND($D17='Auto Responses'!$J$27,$H17=""),'Auto Responses'!$J$5,IF(AND($D17='Auto Responses'!$J$27,$H17='Auto Responses'!$J$7),1,IF(AND($D17='Auto Responses'!$J$27,$H17='Auto Responses'!$J$8),0,IF(OR(AND($F17=$G17,$H17=""),$H17='Auto Responses'!$J$7),1,0)))))</f>
        <v>N/A</v>
      </c>
      <c r="M17" s="4" t="str">
        <f>VLOOKUP($A17,'Institution Evaluation'!$A$56:$K$345,11,0)&amp;""</f>
        <v>FALSE</v>
      </c>
      <c r="N17" s="4">
        <f>IF($J17='Auto Responses'!$J$11,1,IF(AND($J17="",$I17='Auto Responses'!$J$11),1,0))</f>
        <v>0</v>
      </c>
      <c r="O17" s="101" t="str">
        <f>IF($E17='Auto Responses'!$L$13,'Auto Responses'!$J$5,IF($J17="",$K17,IF($J17='Auto Responses'!$J$13,5,IF($J17='Auto Responses'!$J$12,10,IF($J17='Auto Responses'!$J$11,20,0)))))</f>
        <v>N/A</v>
      </c>
      <c r="P17" s="101" t="str">
        <f>IF(OR($O17='Auto Responses'!$J$5,$L17='Auto Responses'!$J$5),'Auto Responses'!$J$5,$O17*$L17)</f>
        <v>N/A</v>
      </c>
      <c r="Q17" s="101">
        <f t="shared" si="1"/>
        <v>0</v>
      </c>
      <c r="R17" s="101">
        <f t="shared" si="5"/>
        <v>0</v>
      </c>
      <c r="S17" s="101">
        <f t="shared" si="2"/>
        <v>0</v>
      </c>
      <c r="T17" s="101">
        <f t="shared" si="3"/>
        <v>0</v>
      </c>
      <c r="U17" s="101">
        <f t="shared" si="6"/>
        <v>0</v>
      </c>
      <c r="V17" s="101">
        <f t="shared" si="4"/>
        <v>0</v>
      </c>
    </row>
    <row r="18" spans="1:22" ht="57" customHeight="1" x14ac:dyDescent="0.2">
      <c r="A18" s="4" t="str">
        <f>Questions!$A18</f>
        <v>REQU-02</v>
      </c>
      <c r="B18" s="4" t="str">
        <f t="shared" si="0"/>
        <v>REQU</v>
      </c>
      <c r="C18" s="4" t="str">
        <f>VLOOKUP($A18,Questions!$A$3:$L$333,2,0)&amp;""</f>
        <v>Does your product or service have an interface?</v>
      </c>
      <c r="D18" s="4" t="str">
        <f>VLOOKUP($A18,Questions!$A$3:$L$333,11,0)&amp;""</f>
        <v>NA</v>
      </c>
      <c r="E18" s="4" t="str">
        <f>VLOOKUP($A18,Questions!$A$3:$L$333,12,0)&amp;""</f>
        <v>Not Scored</v>
      </c>
      <c r="F18" s="4" t="str">
        <f>VLOOKUP($A18,'Institution Evaluation'!$A$56:$K$345,3,0)&amp;""</f>
        <v>Yes</v>
      </c>
      <c r="G18" s="4" t="str">
        <f>VLOOKUP($A18,'Institution Evaluation'!$A$56:$K$345,7,0)&amp;""</f>
        <v>Not scored</v>
      </c>
      <c r="H18" s="4" t="str">
        <f>VLOOKUP($A18,'Institution Evaluation'!$A$56:$K$345,8,0)&amp;""</f>
        <v/>
      </c>
      <c r="I18" s="4" t="str">
        <f>VLOOKUP($A18,'Institution Evaluation'!$A$56:$K$345,9,0)&amp;""</f>
        <v/>
      </c>
      <c r="J18" s="4" t="str">
        <f>VLOOKUP($A18,'Institution Evaluation'!$A$56:$K$345,10,0)&amp;""</f>
        <v/>
      </c>
      <c r="K18" s="4">
        <f>IF($I18='Auto Responses'!$J$11,20,IF($I18='Auto Responses'!$J$13,5,10))</f>
        <v>10</v>
      </c>
      <c r="L18" s="101" t="str">
        <f>IF($E18='Auto Responses'!$L$13, 'Auto Responses'!$J$5,IF(AND($D18='Auto Responses'!$J$27,$H18=""),'Auto Responses'!$J$5,IF(AND($D18='Auto Responses'!$J$27,$H18='Auto Responses'!$J$7),1,IF(AND($D18='Auto Responses'!$J$27,$H18='Auto Responses'!$J$8),0,IF(OR(AND($F18=$G18,$H18=""),$H18='Auto Responses'!$J$7),1,0)))))</f>
        <v>N/A</v>
      </c>
      <c r="M18" s="4" t="str">
        <f>VLOOKUP($A18,'Institution Evaluation'!$A$56:$K$345,11,0)&amp;""</f>
        <v>FALSE</v>
      </c>
      <c r="N18" s="4">
        <f>IF($J18='Auto Responses'!$J$11,1,IF(AND($J18="",$I18='Auto Responses'!$J$11),1,0))</f>
        <v>0</v>
      </c>
      <c r="O18" s="101" t="str">
        <f>IF($E18='Auto Responses'!$L$13,'Auto Responses'!$J$5,IF($J18="",$K18,IF($J18='Auto Responses'!$J$13,5,IF($J18='Auto Responses'!$J$12,10,IF($J18='Auto Responses'!$J$11,20,0)))))</f>
        <v>N/A</v>
      </c>
      <c r="P18" s="101" t="str">
        <f>IF(OR($O18='Auto Responses'!$J$5,$L18='Auto Responses'!$J$5),'Auto Responses'!$J$5,$O18*$L18)</f>
        <v>N/A</v>
      </c>
      <c r="Q18" s="101">
        <f t="shared" si="1"/>
        <v>0</v>
      </c>
      <c r="R18" s="101">
        <f t="shared" si="5"/>
        <v>0</v>
      </c>
      <c r="S18" s="101">
        <f t="shared" si="2"/>
        <v>0</v>
      </c>
      <c r="T18" s="101">
        <f t="shared" si="3"/>
        <v>0</v>
      </c>
      <c r="U18" s="101">
        <f t="shared" si="6"/>
        <v>0</v>
      </c>
      <c r="V18" s="101">
        <f t="shared" si="4"/>
        <v>0</v>
      </c>
    </row>
    <row r="19" spans="1:22" ht="57" customHeight="1" x14ac:dyDescent="0.2">
      <c r="A19" s="4" t="str">
        <f>Questions!$A19</f>
        <v>REQU-03</v>
      </c>
      <c r="B19" s="4" t="str">
        <f t="shared" si="0"/>
        <v>REQU</v>
      </c>
      <c r="C19" s="4" t="str">
        <f>VLOOKUP($A19,Questions!$A$3:$L$333,2,0)&amp;""</f>
        <v>Are you providing consulting services?</v>
      </c>
      <c r="D19" s="4" t="str">
        <f>VLOOKUP($A19,Questions!$A$3:$L$333,11,0)&amp;""</f>
        <v>NA</v>
      </c>
      <c r="E19" s="4" t="str">
        <f>VLOOKUP($A19,Questions!$A$3:$L$333,12,0)&amp;""</f>
        <v>Not Scored</v>
      </c>
      <c r="F19" s="4" t="str">
        <f>VLOOKUP($A19,'Institution Evaluation'!$A$56:$K$345,3,0)&amp;""</f>
        <v>No</v>
      </c>
      <c r="G19" s="4" t="str">
        <f>VLOOKUP($A19,'Institution Evaluation'!$A$56:$K$345,7,0)&amp;""</f>
        <v>Not scored</v>
      </c>
      <c r="H19" s="4" t="str">
        <f>VLOOKUP($A19,'Institution Evaluation'!$A$56:$K$345,8,0)&amp;""</f>
        <v/>
      </c>
      <c r="I19" s="4" t="str">
        <f>VLOOKUP($A19,'Institution Evaluation'!$A$56:$K$345,9,0)&amp;""</f>
        <v/>
      </c>
      <c r="J19" s="4" t="str">
        <f>VLOOKUP($A19,'Institution Evaluation'!$A$56:$K$345,10,0)&amp;""</f>
        <v/>
      </c>
      <c r="K19" s="4">
        <f>IF($I19='Auto Responses'!$J$11,20,IF($I19='Auto Responses'!$J$13,5,10))</f>
        <v>10</v>
      </c>
      <c r="L19" s="101" t="str">
        <f>IF($E19='Auto Responses'!$L$13, 'Auto Responses'!$J$5,IF(AND($D19='Auto Responses'!$J$27,$H19=""),'Auto Responses'!$J$5,IF(AND($D19='Auto Responses'!$J$27,$H19='Auto Responses'!$J$7),1,IF(AND($D19='Auto Responses'!$J$27,$H19='Auto Responses'!$J$8),0,IF(OR(AND($F19=$G19,$H19=""),$H19='Auto Responses'!$J$7),1,0)))))</f>
        <v>N/A</v>
      </c>
      <c r="M19" s="4" t="str">
        <f>VLOOKUP($A19,'Institution Evaluation'!$A$56:$K$345,11,0)&amp;""</f>
        <v>FALSE</v>
      </c>
      <c r="N19" s="4">
        <f>IF($J19='Auto Responses'!$J$11,1,IF(AND($J19="",$I19='Auto Responses'!$J$11),1,0))</f>
        <v>0</v>
      </c>
      <c r="O19" s="101" t="str">
        <f>IF($E19='Auto Responses'!$L$13,'Auto Responses'!$J$5,IF($J19="",$K19,IF($J19='Auto Responses'!$J$13,5,IF($J19='Auto Responses'!$J$12,10,IF($J19='Auto Responses'!$J$11,20,0)))))</f>
        <v>N/A</v>
      </c>
      <c r="P19" s="101" t="str">
        <f>IF(OR($O19='Auto Responses'!$J$5,$L19='Auto Responses'!$J$5),'Auto Responses'!$J$5,$O19*$L19)</f>
        <v>N/A</v>
      </c>
      <c r="Q19" s="101">
        <f t="shared" si="1"/>
        <v>0</v>
      </c>
      <c r="R19" s="101">
        <f t="shared" si="5"/>
        <v>0</v>
      </c>
      <c r="S19" s="101">
        <f t="shared" si="2"/>
        <v>0</v>
      </c>
      <c r="T19" s="101">
        <f t="shared" si="3"/>
        <v>0</v>
      </c>
      <c r="U19" s="101">
        <f t="shared" si="6"/>
        <v>0</v>
      </c>
      <c r="V19" s="101">
        <f t="shared" si="4"/>
        <v>0</v>
      </c>
    </row>
    <row r="20" spans="1:22" ht="57" customHeight="1" x14ac:dyDescent="0.2">
      <c r="A20" s="4" t="str">
        <f>Questions!$A20</f>
        <v>REQU-04</v>
      </c>
      <c r="B20" s="4" t="str">
        <f t="shared" si="0"/>
        <v>REQU</v>
      </c>
      <c r="C20" s="4" t="str">
        <f>VLOOKUP($A20,Questions!$A$3:$L$333,2,0)&amp;""</f>
        <v>Does your solution have AI features, or are there plans to implement AI features in the next 12 months?</v>
      </c>
      <c r="D20" s="4" t="str">
        <f>VLOOKUP($A20,Questions!$A$3:$L$333,11,0)&amp;""</f>
        <v>NA</v>
      </c>
      <c r="E20" s="4" t="str">
        <f>VLOOKUP($A20,Questions!$A$3:$L$333,12,0)&amp;""</f>
        <v>Not Scored</v>
      </c>
      <c r="F20" s="4" t="str">
        <f>VLOOKUP($A20,'Institution Evaluation'!$A$56:$K$345,3,0)&amp;""</f>
        <v>Yes</v>
      </c>
      <c r="G20" s="4" t="str">
        <f>VLOOKUP($A20,'Institution Evaluation'!$A$56:$K$345,7,0)&amp;""</f>
        <v>Not scored</v>
      </c>
      <c r="H20" s="4" t="str">
        <f>VLOOKUP($A20,'Institution Evaluation'!$A$56:$K$345,8,0)&amp;""</f>
        <v/>
      </c>
      <c r="I20" s="4" t="str">
        <f>VLOOKUP($A20,'Institution Evaluation'!$A$56:$K$345,9,0)&amp;""</f>
        <v/>
      </c>
      <c r="J20" s="4" t="str">
        <f>VLOOKUP($A20,'Institution Evaluation'!$A$56:$K$345,10,0)&amp;""</f>
        <v/>
      </c>
      <c r="K20" s="4">
        <f>IF($I20='Auto Responses'!$J$11,20,IF($I20='Auto Responses'!$J$13,5,10))</f>
        <v>10</v>
      </c>
      <c r="L20" s="101" t="str">
        <f>IF($E20='Auto Responses'!$L$13, 'Auto Responses'!$J$5,IF(AND($D20='Auto Responses'!$J$27,$H20=""),'Auto Responses'!$J$5,IF(AND($D20='Auto Responses'!$J$27,$H20='Auto Responses'!$J$7),1,IF(AND($D20='Auto Responses'!$J$27,$H20='Auto Responses'!$J$8),0,IF(OR(AND($F20=$G20,$H20=""),$H20='Auto Responses'!$J$7),1,0)))))</f>
        <v>N/A</v>
      </c>
      <c r="M20" s="4" t="str">
        <f>VLOOKUP($A20,'Institution Evaluation'!$A$56:$K$345,11,0)&amp;""</f>
        <v>FALSE</v>
      </c>
      <c r="N20" s="4">
        <f>IF($J20='Auto Responses'!$J$11,1,IF(AND($J20="",$I20='Auto Responses'!$J$11),1,0))</f>
        <v>0</v>
      </c>
      <c r="O20" s="101" t="str">
        <f>IF($E20='Auto Responses'!$L$13,'Auto Responses'!$J$5,IF($J20="",$K20,IF($J20='Auto Responses'!$J$13,5,IF($J20='Auto Responses'!$J$12,10,IF($J20='Auto Responses'!$J$11,20,0)))))</f>
        <v>N/A</v>
      </c>
      <c r="P20" s="101" t="str">
        <f>IF(OR($O20='Auto Responses'!$J$5,$L20='Auto Responses'!$J$5),'Auto Responses'!$J$5,$O20*$L20)</f>
        <v>N/A</v>
      </c>
      <c r="Q20" s="101">
        <f t="shared" si="1"/>
        <v>0</v>
      </c>
      <c r="R20" s="101">
        <f t="shared" si="5"/>
        <v>0</v>
      </c>
      <c r="S20" s="101">
        <f t="shared" si="2"/>
        <v>0</v>
      </c>
      <c r="T20" s="101">
        <f t="shared" si="3"/>
        <v>0</v>
      </c>
      <c r="U20" s="101">
        <f t="shared" si="6"/>
        <v>0</v>
      </c>
      <c r="V20" s="101">
        <f t="shared" si="4"/>
        <v>0</v>
      </c>
    </row>
    <row r="21" spans="1:22" ht="57" customHeight="1" x14ac:dyDescent="0.2">
      <c r="A21" s="4" t="str">
        <f>Questions!$A21</f>
        <v>REQU-05</v>
      </c>
      <c r="B21" s="4" t="str">
        <f t="shared" si="0"/>
        <v>REQU</v>
      </c>
      <c r="C21" s="4" t="str">
        <f>VLOOKUP($A21,Questions!$A$3:$L$333,2,0)&amp;""</f>
        <v>Does your solution process protected health information (PHI) or any data covered by the Health Insurance Portability and Accountability Act (HIPAA)?</v>
      </c>
      <c r="D21" s="4" t="str">
        <f>VLOOKUP($A21,Questions!$A$3:$L$333,11,0)&amp;""</f>
        <v>NA</v>
      </c>
      <c r="E21" s="4" t="str">
        <f>VLOOKUP($A21,Questions!$A$3:$L$333,12,0)&amp;""</f>
        <v>Not Scored</v>
      </c>
      <c r="F21" s="4" t="str">
        <f>VLOOKUP($A21,'Institution Evaluation'!$A$56:$K$345,3,0)&amp;""</f>
        <v>No</v>
      </c>
      <c r="G21" s="4" t="str">
        <f>VLOOKUP($A21,'Institution Evaluation'!$A$56:$K$345,7,0)&amp;""</f>
        <v>Not scored</v>
      </c>
      <c r="H21" s="4" t="str">
        <f>VLOOKUP($A21,'Institution Evaluation'!$A$56:$K$345,8,0)&amp;""</f>
        <v/>
      </c>
      <c r="I21" s="4" t="str">
        <f>VLOOKUP($A21,'Institution Evaluation'!$A$56:$K$345,9,0)&amp;""</f>
        <v/>
      </c>
      <c r="J21" s="4" t="str">
        <f>VLOOKUP($A21,'Institution Evaluation'!$A$56:$K$345,10,0)&amp;""</f>
        <v/>
      </c>
      <c r="K21" s="4">
        <f>IF($I21='Auto Responses'!$J$11,20,IF($I21='Auto Responses'!$J$13,5,10))</f>
        <v>10</v>
      </c>
      <c r="L21" s="101" t="str">
        <f>IF($E21='Auto Responses'!$L$13, 'Auto Responses'!$J$5,IF(AND($D21='Auto Responses'!$J$27,$H21=""),'Auto Responses'!$J$5,IF(AND($D21='Auto Responses'!$J$27,$H21='Auto Responses'!$J$7),1,IF(AND($D21='Auto Responses'!$J$27,$H21='Auto Responses'!$J$8),0,IF(OR(AND($F21=$G21,$H21=""),$H21='Auto Responses'!$J$7),1,0)))))</f>
        <v>N/A</v>
      </c>
      <c r="M21" s="4" t="str">
        <f>VLOOKUP($A21,'Institution Evaluation'!$A$56:$K$345,11,0)&amp;""</f>
        <v>FALSE</v>
      </c>
      <c r="N21" s="4">
        <f>IF($J21='Auto Responses'!$J$11,1,IF(AND($J21="",$I21='Auto Responses'!$J$11),1,0))</f>
        <v>0</v>
      </c>
      <c r="O21" s="101" t="str">
        <f>IF($E21='Auto Responses'!$L$13,'Auto Responses'!$J$5,IF($J21="",$K21,IF($J21='Auto Responses'!$J$13,5,IF($J21='Auto Responses'!$J$12,10,IF($J21='Auto Responses'!$J$11,20,0)))))</f>
        <v>N/A</v>
      </c>
      <c r="P21" s="101" t="str">
        <f>IF(OR($O21='Auto Responses'!$J$5,$L21='Auto Responses'!$J$5),'Auto Responses'!$J$5,$O21*$L21)</f>
        <v>N/A</v>
      </c>
      <c r="Q21" s="101">
        <f t="shared" si="1"/>
        <v>0</v>
      </c>
      <c r="R21" s="101">
        <f t="shared" si="5"/>
        <v>0</v>
      </c>
      <c r="S21" s="101">
        <f t="shared" si="2"/>
        <v>0</v>
      </c>
      <c r="T21" s="101">
        <f t="shared" si="3"/>
        <v>0</v>
      </c>
      <c r="U21" s="101">
        <f t="shared" si="6"/>
        <v>0</v>
      </c>
      <c r="V21" s="101">
        <f t="shared" si="4"/>
        <v>0</v>
      </c>
    </row>
    <row r="22" spans="1:22" ht="57" customHeight="1" x14ac:dyDescent="0.2">
      <c r="A22" s="4" t="str">
        <f>Questions!$A22</f>
        <v>REQU-06</v>
      </c>
      <c r="B22" s="4" t="str">
        <f t="shared" si="0"/>
        <v>REQU</v>
      </c>
      <c r="C22" s="4" t="str">
        <f>VLOOKUP($A22,Questions!$A$3:$L$333,2,0)&amp;""</f>
        <v>Is the solution designed to process, store, or transmit credit card information?</v>
      </c>
      <c r="D22" s="4" t="str">
        <f>VLOOKUP($A22,Questions!$A$3:$L$333,11,0)&amp;""</f>
        <v>NA</v>
      </c>
      <c r="E22" s="4" t="str">
        <f>VLOOKUP($A22,Questions!$A$3:$L$333,12,0)&amp;""</f>
        <v>Not Scored</v>
      </c>
      <c r="F22" s="4" t="str">
        <f>VLOOKUP($A22,'Institution Evaluation'!$A$56:$K$345,3,0)&amp;""</f>
        <v>No</v>
      </c>
      <c r="G22" s="4" t="str">
        <f>VLOOKUP($A22,'Institution Evaluation'!$A$56:$K$345,7,0)&amp;""</f>
        <v>Not scored</v>
      </c>
      <c r="H22" s="4" t="str">
        <f>VLOOKUP($A22,'Institution Evaluation'!$A$56:$K$345,8,0)&amp;""</f>
        <v/>
      </c>
      <c r="I22" s="4" t="str">
        <f>VLOOKUP($A22,'Institution Evaluation'!$A$56:$K$345,9,0)&amp;""</f>
        <v/>
      </c>
      <c r="J22" s="4" t="str">
        <f>VLOOKUP($A22,'Institution Evaluation'!$A$56:$K$345,10,0)&amp;""</f>
        <v/>
      </c>
      <c r="K22" s="4">
        <f>IF($I22='Auto Responses'!$J$11,20,IF($I22='Auto Responses'!$J$13,5,10))</f>
        <v>10</v>
      </c>
      <c r="L22" s="101" t="str">
        <f>IF($E22='Auto Responses'!$L$13, 'Auto Responses'!$J$5,IF(AND($D22='Auto Responses'!$J$27,$H22=""),'Auto Responses'!$J$5,IF(AND($D22='Auto Responses'!$J$27,$H22='Auto Responses'!$J$7),1,IF(AND($D22='Auto Responses'!$J$27,$H22='Auto Responses'!$J$8),0,IF(OR(AND($F22=$G22,$H22=""),$H22='Auto Responses'!$J$7),1,0)))))</f>
        <v>N/A</v>
      </c>
      <c r="M22" s="4" t="str">
        <f>VLOOKUP($A22,'Institution Evaluation'!$A$56:$K$345,11,0)&amp;""</f>
        <v>FALSE</v>
      </c>
      <c r="N22" s="4">
        <f>IF($J22='Auto Responses'!$J$11,1,IF(AND($J22="",$I22='Auto Responses'!$J$11),1,0))</f>
        <v>0</v>
      </c>
      <c r="O22" s="101" t="str">
        <f>IF($E22='Auto Responses'!$L$13,'Auto Responses'!$J$5,IF($J22="",$K22,IF($J22='Auto Responses'!$J$13,5,IF($J22='Auto Responses'!$J$12,10,IF($J22='Auto Responses'!$J$11,20,0)))))</f>
        <v>N/A</v>
      </c>
      <c r="P22" s="101" t="str">
        <f>IF(OR($O22='Auto Responses'!$J$5,$L22='Auto Responses'!$J$5),'Auto Responses'!$J$5,$O22*$L22)</f>
        <v>N/A</v>
      </c>
      <c r="Q22" s="101">
        <f t="shared" si="1"/>
        <v>0</v>
      </c>
      <c r="R22" s="101">
        <f t="shared" si="5"/>
        <v>0</v>
      </c>
      <c r="S22" s="101">
        <f t="shared" si="2"/>
        <v>0</v>
      </c>
      <c r="T22" s="101">
        <f t="shared" si="3"/>
        <v>0</v>
      </c>
      <c r="U22" s="101">
        <f t="shared" si="6"/>
        <v>0</v>
      </c>
      <c r="V22" s="101">
        <f t="shared" si="4"/>
        <v>0</v>
      </c>
    </row>
    <row r="23" spans="1:22" ht="71.25" customHeight="1" x14ac:dyDescent="0.2">
      <c r="A23" s="4" t="str">
        <f>Questions!$A23</f>
        <v>REQU-07</v>
      </c>
      <c r="B23" s="4" t="str">
        <f t="shared" si="0"/>
        <v>REQU</v>
      </c>
      <c r="C23" s="4" t="str">
        <f>VLOOKUP($A23,Questions!$A$3:$L$333,2,0)&amp;""</f>
        <v>Does operating your solution require the institution to operate a physical or virtual appliance in their own environment or to provide inbound firewall exceptions to allow your employees to remotely administer systems in the institution's environment?</v>
      </c>
      <c r="D23" s="4" t="str">
        <f>VLOOKUP($A23,Questions!$A$3:$L$333,11,0)&amp;""</f>
        <v>NA</v>
      </c>
      <c r="E23" s="4" t="str">
        <f>VLOOKUP($A23,Questions!$A$3:$L$333,12,0)&amp;""</f>
        <v>Not Scored</v>
      </c>
      <c r="F23" s="4" t="str">
        <f>VLOOKUP($A23,'Institution Evaluation'!$A$56:$K$345,3,0)&amp;""</f>
        <v>No</v>
      </c>
      <c r="G23" s="4" t="str">
        <f>VLOOKUP($A23,'Institution Evaluation'!$A$56:$K$345,7,0)&amp;""</f>
        <v>Not scored</v>
      </c>
      <c r="H23" s="4" t="str">
        <f>VLOOKUP($A23,'Institution Evaluation'!$A$56:$K$345,8,0)&amp;""</f>
        <v/>
      </c>
      <c r="I23" s="4" t="str">
        <f>VLOOKUP($A23,'Institution Evaluation'!$A$56:$K$345,9,0)&amp;""</f>
        <v/>
      </c>
      <c r="J23" s="4" t="str">
        <f>VLOOKUP($A23,'Institution Evaluation'!$A$56:$K$345,10,0)&amp;""</f>
        <v/>
      </c>
      <c r="K23" s="4">
        <f>IF($I23='Auto Responses'!$J$11,20,IF($I23='Auto Responses'!$J$13,5,10))</f>
        <v>10</v>
      </c>
      <c r="L23" s="101" t="str">
        <f>IF($E23='Auto Responses'!$L$13, 'Auto Responses'!$J$5,IF(AND($D23='Auto Responses'!$J$27,$H23=""),'Auto Responses'!$J$5,IF(AND($D23='Auto Responses'!$J$27,$H23='Auto Responses'!$J$7),1,IF(AND($D23='Auto Responses'!$J$27,$H23='Auto Responses'!$J$8),0,IF(OR(AND($F23=$G23,$H23=""),$H23='Auto Responses'!$J$7),1,0)))))</f>
        <v>N/A</v>
      </c>
      <c r="M23" s="4" t="str">
        <f>VLOOKUP($A23,'Institution Evaluation'!$A$56:$K$345,11,0)&amp;""</f>
        <v>FALSE</v>
      </c>
      <c r="N23" s="4">
        <f>IF($J23='Auto Responses'!$J$11,1,IF(AND($J23="",$I23='Auto Responses'!$J$11),1,0))</f>
        <v>0</v>
      </c>
      <c r="O23" s="101" t="str">
        <f>IF($E23='Auto Responses'!$L$13,'Auto Responses'!$J$5,IF($J23="",$K23,IF($J23='Auto Responses'!$J$13,5,IF($J23='Auto Responses'!$J$12,10,IF($J23='Auto Responses'!$J$11,20,0)))))</f>
        <v>N/A</v>
      </c>
      <c r="P23" s="101" t="str">
        <f>IF(OR($O23='Auto Responses'!$J$5,$L23='Auto Responses'!$J$5),'Auto Responses'!$J$5,$O23*$L23)</f>
        <v>N/A</v>
      </c>
      <c r="Q23" s="101">
        <f t="shared" si="1"/>
        <v>0</v>
      </c>
      <c r="R23" s="101">
        <f t="shared" si="5"/>
        <v>0</v>
      </c>
      <c r="S23" s="101">
        <f t="shared" si="2"/>
        <v>0</v>
      </c>
      <c r="T23" s="101">
        <f t="shared" si="3"/>
        <v>0</v>
      </c>
      <c r="U23" s="101">
        <f t="shared" si="6"/>
        <v>0</v>
      </c>
      <c r="V23" s="101">
        <f t="shared" si="4"/>
        <v>0</v>
      </c>
    </row>
    <row r="24" spans="1:22" ht="57" customHeight="1" x14ac:dyDescent="0.2">
      <c r="A24" s="4" t="str">
        <f>Questions!$A24</f>
        <v>REQU-08</v>
      </c>
      <c r="B24" s="4" t="str">
        <f t="shared" si="0"/>
        <v>REQU</v>
      </c>
      <c r="C24" s="4" t="str">
        <f>VLOOKUP($A24,Questions!$A$3:$L$333,2,0)&amp;""</f>
        <v>Does your solution have access to personal or institutional data?</v>
      </c>
      <c r="D24" s="4" t="str">
        <f>VLOOKUP($A24,Questions!$A$3:$L$333,11,0)&amp;""</f>
        <v>NA</v>
      </c>
      <c r="E24" s="4" t="str">
        <f>VLOOKUP($A24,Questions!$A$3:$L$333,12,0)&amp;""</f>
        <v>Not Scored</v>
      </c>
      <c r="F24" s="4" t="str">
        <f>VLOOKUP($A24,'Institution Evaluation'!$A$56:$K$345,3,0)&amp;""</f>
        <v>Yes</v>
      </c>
      <c r="G24" s="4" t="str">
        <f>VLOOKUP($A24,'Institution Evaluation'!$A$56:$K$345,7,0)&amp;""</f>
        <v>Not scored</v>
      </c>
      <c r="H24" s="4" t="str">
        <f>VLOOKUP($A24,'Institution Evaluation'!$A$56:$K$345,8,0)&amp;""</f>
        <v/>
      </c>
      <c r="I24" s="4" t="str">
        <f>VLOOKUP($A24,'Institution Evaluation'!$A$56:$K$345,9,0)&amp;""</f>
        <v/>
      </c>
      <c r="J24" s="4" t="str">
        <f>VLOOKUP($A24,'Institution Evaluation'!$A$56:$K$345,10,0)&amp;""</f>
        <v/>
      </c>
      <c r="K24" s="4">
        <f>IF($I24='Auto Responses'!$J$11,20,IF($I24='Auto Responses'!$J$13,5,10))</f>
        <v>10</v>
      </c>
      <c r="L24" s="101" t="str">
        <f>IF($E24='Auto Responses'!$L$13, 'Auto Responses'!$J$5,IF(AND($D24='Auto Responses'!$J$27,$H24=""),'Auto Responses'!$J$5,IF(AND($D24='Auto Responses'!$J$27,$H24='Auto Responses'!$J$7),1,IF(AND($D24='Auto Responses'!$J$27,$H24='Auto Responses'!$J$8),0,IF(OR(AND($F24=$G24,$H24=""),$H24='Auto Responses'!$J$7),1,0)))))</f>
        <v>N/A</v>
      </c>
      <c r="M24" s="4" t="str">
        <f>VLOOKUP($A24,'Institution Evaluation'!$A$56:$K$345,11,0)&amp;""</f>
        <v>FALSE</v>
      </c>
      <c r="N24" s="4">
        <f>IF($J24='Auto Responses'!$J$11,1,IF(AND($J24="",$I24='Auto Responses'!$J$11),1,0))</f>
        <v>0</v>
      </c>
      <c r="O24" s="101" t="str">
        <f>IF($E24='Auto Responses'!$L$13,'Auto Responses'!$J$5,IF($J24="",$K24,IF($J24='Auto Responses'!$J$13,5,IF($J24='Auto Responses'!$J$12,10,IF($J24='Auto Responses'!$J$11,20,0)))))</f>
        <v>N/A</v>
      </c>
      <c r="P24" s="101" t="str">
        <f>IF(OR($O24='Auto Responses'!$J$5,$L24='Auto Responses'!$J$5),'Auto Responses'!$J$5,$O24*$L24)</f>
        <v>N/A</v>
      </c>
      <c r="Q24" s="101">
        <f t="shared" si="1"/>
        <v>0</v>
      </c>
      <c r="R24" s="101">
        <f t="shared" si="5"/>
        <v>0</v>
      </c>
      <c r="S24" s="101">
        <f t="shared" si="2"/>
        <v>0</v>
      </c>
      <c r="T24" s="101">
        <f t="shared" si="3"/>
        <v>0</v>
      </c>
      <c r="U24" s="101">
        <f t="shared" si="6"/>
        <v>0</v>
      </c>
      <c r="V24" s="101">
        <f t="shared" si="4"/>
        <v>0</v>
      </c>
    </row>
    <row r="25" spans="1:22" ht="57" customHeight="1" x14ac:dyDescent="0.2">
      <c r="A25" s="4" t="str">
        <f>Questions!$A25</f>
        <v>DOCU-01</v>
      </c>
      <c r="B25" s="4" t="str">
        <f t="shared" si="0"/>
        <v>DOCU</v>
      </c>
      <c r="C25" s="4" t="str">
        <f>VLOOKUP($A25,Questions!$A$3:$L$333,2,0)&amp;""</f>
        <v>Do you have a well-documented business continuity plan (BCP), with a clear owner, that is tested annually?*</v>
      </c>
      <c r="D25" s="4" t="str">
        <f>VLOOKUP($A25,Questions!$A$3:$L$333,11,0)&amp;""</f>
        <v/>
      </c>
      <c r="E25" s="4" t="str">
        <f>VLOOKUP($A25,Questions!$A$3:$L$333,12,0)&amp;""</f>
        <v>Organization</v>
      </c>
      <c r="F25" s="4" t="str">
        <f>VLOOKUP($A25,'Institution Evaluation'!$A$56:$K$345,3,0)&amp;""</f>
        <v>Yes</v>
      </c>
      <c r="G25" s="4" t="str">
        <f>VLOOKUP($A25,'Institution Evaluation'!$A$56:$K$345,7,0)&amp;""</f>
        <v>Yes</v>
      </c>
      <c r="H25" s="4" t="str">
        <f>VLOOKUP($A25,'Institution Evaluation'!$A$56:$K$345,8,0)&amp;""</f>
        <v/>
      </c>
      <c r="I25" s="4" t="str">
        <f>VLOOKUP($A25,'Institution Evaluation'!$A$56:$K$345,9,0)&amp;""</f>
        <v>Critical Importance</v>
      </c>
      <c r="J25" s="4" t="str">
        <f>VLOOKUP($A25,'Institution Evaluation'!$A$56:$K$345,10,0)&amp;""</f>
        <v/>
      </c>
      <c r="K25" s="4">
        <f>IF($I25='Auto Responses'!$J$11,20,IF($I25='Auto Responses'!$J$13,5,10))</f>
        <v>20</v>
      </c>
      <c r="L25" s="101">
        <f>IF($E25='Auto Responses'!$L$13, 'Auto Responses'!$J$5,IF(AND($D25='Auto Responses'!$J$27,$H25=""),'Auto Responses'!$J$5,IF(AND($D25='Auto Responses'!$J$27,$H25='Auto Responses'!$J$7),1,IF(AND($D25='Auto Responses'!$J$27,$H25='Auto Responses'!$J$8),0,IF(OR(AND($F25=$G25,$H25=""),$H25='Auto Responses'!$J$7),1,0)))))</f>
        <v>1</v>
      </c>
      <c r="M25" s="4" t="str">
        <f>VLOOKUP($A25,'Institution Evaluation'!$A$56:$K$345,11,0)&amp;""</f>
        <v>FALSE</v>
      </c>
      <c r="N25" s="4">
        <f>IF($J25='Auto Responses'!$J$11,1,IF(AND($J25="",$I25='Auto Responses'!$J$11),1,0))</f>
        <v>1</v>
      </c>
      <c r="O25" s="101">
        <f>IF(OR($E25='Auto Responses'!$L$13,$F25='Auto Responses'!$J$5),'Auto Responses'!$J$5,IF($J25="",$K25,IF($J25='Auto Responses'!$J$13,5,IF($J25='Auto Responses'!$J$12,10,IF($J25='Auto Responses'!$J$11,20,0)))))</f>
        <v>20</v>
      </c>
      <c r="P25" s="101">
        <f>IF(OR($O25='Auto Responses'!$J$5,$L25='Auto Responses'!$J$5),'Auto Responses'!$J$5,$O25*$L25)</f>
        <v>20</v>
      </c>
      <c r="Q25" s="101">
        <f t="shared" si="1"/>
        <v>0</v>
      </c>
      <c r="R25" s="101">
        <f t="shared" si="5"/>
        <v>0</v>
      </c>
      <c r="S25" s="101">
        <f t="shared" si="2"/>
        <v>0</v>
      </c>
      <c r="T25" s="101">
        <f t="shared" si="3"/>
        <v>1</v>
      </c>
      <c r="U25" s="101">
        <f t="shared" si="6"/>
        <v>1</v>
      </c>
      <c r="V25" s="101">
        <f t="shared" si="4"/>
        <v>1</v>
      </c>
    </row>
    <row r="26" spans="1:22" ht="57" customHeight="1" x14ac:dyDescent="0.2">
      <c r="A26" s="4" t="str">
        <f>Questions!$A26</f>
        <v>DOCU-02</v>
      </c>
      <c r="B26" s="4" t="str">
        <f t="shared" si="0"/>
        <v>DOCU</v>
      </c>
      <c r="C26" s="4" t="str">
        <f>VLOOKUP($A26,Questions!$A$3:$L$333,2,0)&amp;""</f>
        <v>Do you have a well-documented disaster recovery plan (DRP), with a clear owner, that is tested annually?*</v>
      </c>
      <c r="D26" s="4" t="str">
        <f>VLOOKUP($A26,Questions!$A$3:$L$333,11,0)&amp;""</f>
        <v/>
      </c>
      <c r="E26" s="4" t="str">
        <f>VLOOKUP($A26,Questions!$A$3:$L$333,12,0)&amp;""</f>
        <v>Organization</v>
      </c>
      <c r="F26" s="4" t="str">
        <f>VLOOKUP($A26,'Institution Evaluation'!$A$56:$K$345,3,0)&amp;""</f>
        <v>Yes</v>
      </c>
      <c r="G26" s="4" t="str">
        <f>VLOOKUP($A26,'Institution Evaluation'!$A$56:$K$345,7,0)&amp;""</f>
        <v>Yes</v>
      </c>
      <c r="H26" s="4" t="str">
        <f>VLOOKUP($A26,'Institution Evaluation'!$A$56:$K$345,8,0)&amp;""</f>
        <v/>
      </c>
      <c r="I26" s="4" t="str">
        <f>VLOOKUP($A26,'Institution Evaluation'!$A$56:$K$345,9,0)&amp;""</f>
        <v>Critical Importance</v>
      </c>
      <c r="J26" s="4" t="str">
        <f>VLOOKUP($A26,'Institution Evaluation'!$A$56:$K$345,10,0)&amp;""</f>
        <v/>
      </c>
      <c r="K26" s="4">
        <f>IF($I26='Auto Responses'!$J$11,20,IF($I26='Auto Responses'!$J$13,5,10))</f>
        <v>20</v>
      </c>
      <c r="L26" s="101">
        <f>IF($E26='Auto Responses'!$L$13, 'Auto Responses'!$J$5,IF(AND($D26='Auto Responses'!$J$27,$H26=""),'Auto Responses'!$J$5,IF(AND($D26='Auto Responses'!$J$27,$H26='Auto Responses'!$J$7),1,IF(AND($D26='Auto Responses'!$J$27,$H26='Auto Responses'!$J$8),0,IF(OR(AND($F26=$G26,$H26=""),$H26='Auto Responses'!$J$7),1,0)))))</f>
        <v>1</v>
      </c>
      <c r="M26" s="4" t="str">
        <f>VLOOKUP($A26,'Institution Evaluation'!$A$56:$K$345,11,0)&amp;""</f>
        <v>FALSE</v>
      </c>
      <c r="N26" s="4">
        <f>IF($J26='Auto Responses'!$J$11,1,IF(AND($J26="",$I26='Auto Responses'!$J$11),1,0))</f>
        <v>1</v>
      </c>
      <c r="O26" s="101">
        <f>IF(OR($E26='Auto Responses'!$L$13,$F26='Auto Responses'!$J$5),'Auto Responses'!$J$5,IF($J26="",$K26,IF($J26='Auto Responses'!$J$13,5,IF($J26='Auto Responses'!$J$12,10,IF($J26='Auto Responses'!$J$11,20,0)))))</f>
        <v>20</v>
      </c>
      <c r="P26" s="101">
        <f>IF(OR($O26='Auto Responses'!$J$5,$L26='Auto Responses'!$J$5),'Auto Responses'!$J$5,$O26*$L26)</f>
        <v>20</v>
      </c>
      <c r="Q26" s="101">
        <f t="shared" si="1"/>
        <v>0</v>
      </c>
      <c r="R26" s="101">
        <f t="shared" si="5"/>
        <v>0</v>
      </c>
      <c r="S26" s="101">
        <f t="shared" si="2"/>
        <v>0</v>
      </c>
      <c r="T26" s="101">
        <f t="shared" si="3"/>
        <v>1</v>
      </c>
      <c r="U26" s="101">
        <f t="shared" si="6"/>
        <v>2</v>
      </c>
      <c r="V26" s="101">
        <f t="shared" si="4"/>
        <v>2</v>
      </c>
    </row>
    <row r="27" spans="1:22" ht="57" customHeight="1" x14ac:dyDescent="0.2">
      <c r="A27" s="4" t="str">
        <f>Questions!$A27</f>
        <v>DOCU-03</v>
      </c>
      <c r="B27" s="4" t="str">
        <f t="shared" si="0"/>
        <v>DOCU</v>
      </c>
      <c r="C27" s="4" t="str">
        <f>VLOOKUP($A27,Questions!$A$3:$L$333,2,0)&amp;""</f>
        <v>Have you undergone a SSAE 18/SOC 2 audit?</v>
      </c>
      <c r="D27" s="4" t="str">
        <f>VLOOKUP($A27,Questions!$A$3:$L$333,11,0)&amp;""</f>
        <v/>
      </c>
      <c r="E27" s="4" t="str">
        <f>VLOOKUP($A27,Questions!$A$3:$L$333,12,0)&amp;""</f>
        <v>Organization</v>
      </c>
      <c r="F27" s="4" t="str">
        <f>VLOOKUP($A27,'Institution Evaluation'!$A$56:$K$345,3,0)&amp;""</f>
        <v>Yes</v>
      </c>
      <c r="G27" s="4" t="str">
        <f>VLOOKUP($A27,'Institution Evaluation'!$A$56:$K$345,7,0)&amp;""</f>
        <v>Yes</v>
      </c>
      <c r="H27" s="4" t="str">
        <f>VLOOKUP($A27,'Institution Evaluation'!$A$56:$K$345,8,0)&amp;""</f>
        <v/>
      </c>
      <c r="I27" s="4" t="str">
        <f>VLOOKUP($A27,'Institution Evaluation'!$A$56:$K$345,9,0)&amp;""</f>
        <v>Standard Importance</v>
      </c>
      <c r="J27" s="4" t="str">
        <f>VLOOKUP($A27,'Institution Evaluation'!$A$56:$K$345,10,0)&amp;""</f>
        <v/>
      </c>
      <c r="K27" s="4">
        <f>IF($I27='Auto Responses'!$J$11,20,IF($I27='Auto Responses'!$J$13,5,10))</f>
        <v>10</v>
      </c>
      <c r="L27" s="101">
        <f>IF($E27='Auto Responses'!$L$13, 'Auto Responses'!$J$5,IF(AND($D27='Auto Responses'!$J$27,$H27=""),'Auto Responses'!$J$5,IF(AND($D27='Auto Responses'!$J$27,$H27='Auto Responses'!$J$7),1,IF(AND($D27='Auto Responses'!$J$27,$H27='Auto Responses'!$J$8),0,IF(OR(AND($F27=$G27,$H27=""),$H27='Auto Responses'!$J$7),1,0)))))</f>
        <v>1</v>
      </c>
      <c r="M27" s="4" t="str">
        <f>VLOOKUP($A27,'Institution Evaluation'!$A$56:$K$345,11,0)&amp;""</f>
        <v>FALSE</v>
      </c>
      <c r="N27" s="4">
        <f>IF($J27='Auto Responses'!$J$11,1,IF(AND($J27="",$I27='Auto Responses'!$J$11),1,0))</f>
        <v>0</v>
      </c>
      <c r="O27" s="101">
        <f>IF(OR($E27='Auto Responses'!$L$13,$F27='Auto Responses'!$J$5),'Auto Responses'!$J$5,IF($J27="",$K27,IF($J27='Auto Responses'!$J$13,5,IF($J27='Auto Responses'!$J$12,10,IF($J27='Auto Responses'!$J$11,20,0)))))</f>
        <v>10</v>
      </c>
      <c r="P27" s="101">
        <f>IF(OR($O27='Auto Responses'!$J$5,$L27='Auto Responses'!$J$5),'Auto Responses'!$J$5,$O27*$L27)</f>
        <v>10</v>
      </c>
      <c r="Q27" s="101">
        <f t="shared" si="1"/>
        <v>0</v>
      </c>
      <c r="R27" s="101">
        <f t="shared" si="5"/>
        <v>0</v>
      </c>
      <c r="S27" s="101">
        <f t="shared" si="2"/>
        <v>0</v>
      </c>
      <c r="T27" s="101">
        <f t="shared" si="3"/>
        <v>0</v>
      </c>
      <c r="U27" s="101">
        <f t="shared" si="6"/>
        <v>2</v>
      </c>
      <c r="V27" s="101">
        <f t="shared" si="4"/>
        <v>0</v>
      </c>
    </row>
    <row r="28" spans="1:22" ht="57" customHeight="1" x14ac:dyDescent="0.2">
      <c r="A28" s="4" t="str">
        <f>Questions!$A28</f>
        <v>DOCU-04</v>
      </c>
      <c r="B28" s="4" t="str">
        <f t="shared" si="0"/>
        <v>DOCU</v>
      </c>
      <c r="C28" s="4" t="str">
        <f>VLOOKUP($A28,Questions!$A$3:$L$333,2,0)&amp;""</f>
        <v>Do you conform with a specific industry standard security framework (e.g., NIST Cybersecurity Framework, CIS Controls, ISO 27001, etc.)?</v>
      </c>
      <c r="D28" s="4" t="str">
        <f>VLOOKUP($A28,Questions!$A$3:$L$333,11,0)&amp;""</f>
        <v/>
      </c>
      <c r="E28" s="4" t="str">
        <f>VLOOKUP($A28,Questions!$A$3:$L$333,12,0)&amp;""</f>
        <v>Organization</v>
      </c>
      <c r="F28" s="4" t="str">
        <f>VLOOKUP($A28,'Institution Evaluation'!$A$56:$K$345,3,0)&amp;""</f>
        <v>Yes</v>
      </c>
      <c r="G28" s="4" t="str">
        <f>VLOOKUP($A28,'Institution Evaluation'!$A$56:$K$345,7,0)&amp;""</f>
        <v>Yes</v>
      </c>
      <c r="H28" s="4" t="str">
        <f>VLOOKUP($A28,'Institution Evaluation'!$A$56:$K$345,8,0)&amp;""</f>
        <v/>
      </c>
      <c r="I28" s="4" t="str">
        <f>VLOOKUP($A28,'Institution Evaluation'!$A$56:$K$345,9,0)&amp;""</f>
        <v>Standard Importance</v>
      </c>
      <c r="J28" s="4" t="str">
        <f>VLOOKUP($A28,'Institution Evaluation'!$A$56:$K$345,10,0)&amp;""</f>
        <v/>
      </c>
      <c r="K28" s="4">
        <f>IF($I28='Auto Responses'!$J$11,20,IF($I28='Auto Responses'!$J$13,5,10))</f>
        <v>10</v>
      </c>
      <c r="L28" s="101">
        <f>IF($E28='Auto Responses'!$L$13, 'Auto Responses'!$J$5,IF(AND($D28='Auto Responses'!$J$27,$H28=""),'Auto Responses'!$J$5,IF(AND($D28='Auto Responses'!$J$27,$H28='Auto Responses'!$J$7),1,IF(AND($D28='Auto Responses'!$J$27,$H28='Auto Responses'!$J$8),0,IF(OR(AND($F28=$G28,$H28=""),$H28='Auto Responses'!$J$7),1,0)))))</f>
        <v>1</v>
      </c>
      <c r="M28" s="4" t="str">
        <f>VLOOKUP($A28,'Institution Evaluation'!$A$56:$K$345,11,0)&amp;""</f>
        <v>FALSE</v>
      </c>
      <c r="N28" s="4">
        <f>IF($J28='Auto Responses'!$J$11,1,IF(AND($J28="",$I28='Auto Responses'!$J$11),1,0))</f>
        <v>0</v>
      </c>
      <c r="O28" s="101">
        <f>IF(OR($E28='Auto Responses'!$L$13,$F28='Auto Responses'!$J$5),'Auto Responses'!$J$5,IF($J28="",$K28,IF($J28='Auto Responses'!$J$13,5,IF($J28='Auto Responses'!$J$12,10,IF($J28='Auto Responses'!$J$11,20,0)))))</f>
        <v>10</v>
      </c>
      <c r="P28" s="101">
        <f>IF(OR($O28='Auto Responses'!$J$5,$L28='Auto Responses'!$J$5),'Auto Responses'!$J$5,$O28*$L28)</f>
        <v>10</v>
      </c>
      <c r="Q28" s="101">
        <f t="shared" si="1"/>
        <v>0</v>
      </c>
      <c r="R28" s="101">
        <f t="shared" si="5"/>
        <v>0</v>
      </c>
      <c r="S28" s="101">
        <f t="shared" si="2"/>
        <v>0</v>
      </c>
      <c r="T28" s="101">
        <f t="shared" si="3"/>
        <v>0</v>
      </c>
      <c r="U28" s="101">
        <f t="shared" si="6"/>
        <v>2</v>
      </c>
      <c r="V28" s="101">
        <f t="shared" si="4"/>
        <v>0</v>
      </c>
    </row>
    <row r="29" spans="1:22" ht="57" customHeight="1" x14ac:dyDescent="0.2">
      <c r="A29" s="4" t="str">
        <f>Questions!$A29</f>
        <v>DOCU-05</v>
      </c>
      <c r="B29" s="4" t="str">
        <f t="shared" si="0"/>
        <v>DOCU</v>
      </c>
      <c r="C29" s="4" t="str">
        <f>VLOOKUP($A29,Questions!$A$3:$L$333,2,0)&amp;""</f>
        <v>Can you provide overall system and/or application architecture diagrams, including a full description of the data flow for all components of the system?</v>
      </c>
      <c r="D29" s="4" t="str">
        <f>VLOOKUP($A29,Questions!$A$3:$L$333,11,0)&amp;""</f>
        <v/>
      </c>
      <c r="E29" s="4" t="str">
        <f>VLOOKUP($A29,Questions!$A$3:$L$333,12,0)&amp;""</f>
        <v>Organization</v>
      </c>
      <c r="F29" s="4" t="str">
        <f>VLOOKUP($A29,'Institution Evaluation'!$A$56:$K$345,3,0)&amp;""</f>
        <v>Yes</v>
      </c>
      <c r="G29" s="4" t="str">
        <f>VLOOKUP($A29,'Institution Evaluation'!$A$56:$K$345,7,0)&amp;""</f>
        <v>Yes</v>
      </c>
      <c r="H29" s="4" t="str">
        <f>VLOOKUP($A29,'Institution Evaluation'!$A$56:$K$345,8,0)&amp;""</f>
        <v/>
      </c>
      <c r="I29" s="4" t="str">
        <f>VLOOKUP($A29,'Institution Evaluation'!$A$56:$K$345,9,0)&amp;""</f>
        <v>Standard Importance</v>
      </c>
      <c r="J29" s="4" t="str">
        <f>VLOOKUP($A29,'Institution Evaluation'!$A$56:$K$345,10,0)&amp;""</f>
        <v/>
      </c>
      <c r="K29" s="4">
        <f>IF($I29='Auto Responses'!$J$11,20,IF($I29='Auto Responses'!$J$13,5,10))</f>
        <v>10</v>
      </c>
      <c r="L29" s="101">
        <f>IF($E29='Auto Responses'!$L$13, 'Auto Responses'!$J$5,IF(AND($D29='Auto Responses'!$J$27,$H29=""),'Auto Responses'!$J$5,IF(AND($D29='Auto Responses'!$J$27,$H29='Auto Responses'!$J$7),1,IF(AND($D29='Auto Responses'!$J$27,$H29='Auto Responses'!$J$8),0,IF(OR(AND($F29=$G29,$H29=""),$H29='Auto Responses'!$J$7),1,0)))))</f>
        <v>1</v>
      </c>
      <c r="M29" s="4" t="str">
        <f>VLOOKUP($A29,'Institution Evaluation'!$A$56:$K$345,11,0)&amp;""</f>
        <v>FALSE</v>
      </c>
      <c r="N29" s="4">
        <f>IF($J29='Auto Responses'!$J$11,1,IF(AND($J29="",$I29='Auto Responses'!$J$11),1,0))</f>
        <v>0</v>
      </c>
      <c r="O29" s="101">
        <f>IF(OR($E29='Auto Responses'!$L$13,$F29='Auto Responses'!$J$5),'Auto Responses'!$J$5,IF($J29="",$K29,IF($J29='Auto Responses'!$J$13,5,IF($J29='Auto Responses'!$J$12,10,IF($J29='Auto Responses'!$J$11,20,0)))))</f>
        <v>10</v>
      </c>
      <c r="P29" s="101">
        <f>IF(OR($O29='Auto Responses'!$J$5,$L29='Auto Responses'!$J$5),'Auto Responses'!$J$5,$O29*$L29)</f>
        <v>10</v>
      </c>
      <c r="Q29" s="101">
        <f t="shared" si="1"/>
        <v>0</v>
      </c>
      <c r="R29" s="101">
        <f t="shared" si="5"/>
        <v>0</v>
      </c>
      <c r="S29" s="101">
        <f t="shared" si="2"/>
        <v>0</v>
      </c>
      <c r="T29" s="101">
        <f t="shared" si="3"/>
        <v>0</v>
      </c>
      <c r="U29" s="101">
        <f t="shared" si="6"/>
        <v>2</v>
      </c>
      <c r="V29" s="101">
        <f t="shared" si="4"/>
        <v>0</v>
      </c>
    </row>
    <row r="30" spans="1:22" ht="57" customHeight="1" x14ac:dyDescent="0.2">
      <c r="A30" s="4" t="str">
        <f>Questions!$A30</f>
        <v>DOCU-06</v>
      </c>
      <c r="B30" s="4" t="str">
        <f t="shared" si="0"/>
        <v>DOCU</v>
      </c>
      <c r="C30" s="4" t="str">
        <f>VLOOKUP($A30,Questions!$A$3:$L$333,2,0)&amp;""</f>
        <v>Does your organization have a data privacy policy?</v>
      </c>
      <c r="D30" s="4" t="str">
        <f>VLOOKUP($A30,Questions!$A$3:$L$333,11,0)&amp;""</f>
        <v/>
      </c>
      <c r="E30" s="4" t="str">
        <f>VLOOKUP($A30,Questions!$A$3:$L$333,12,0)&amp;""</f>
        <v>Organization</v>
      </c>
      <c r="F30" s="4" t="str">
        <f>VLOOKUP($A30,'Institution Evaluation'!$A$56:$K$345,3,0)&amp;""</f>
        <v>Yes</v>
      </c>
      <c r="G30" s="4" t="str">
        <f>VLOOKUP($A30,'Institution Evaluation'!$A$56:$K$345,7,0)&amp;""</f>
        <v>Yes</v>
      </c>
      <c r="H30" s="4" t="str">
        <f>VLOOKUP($A30,'Institution Evaluation'!$A$56:$K$345,8,0)&amp;""</f>
        <v/>
      </c>
      <c r="I30" s="4" t="str">
        <f>VLOOKUP($A30,'Institution Evaluation'!$A$56:$K$345,9,0)&amp;""</f>
        <v>Standard Importance</v>
      </c>
      <c r="J30" s="4" t="str">
        <f>VLOOKUP($A30,'Institution Evaluation'!$A$56:$K$345,10,0)&amp;""</f>
        <v/>
      </c>
      <c r="K30" s="4">
        <f>IF($I30='Auto Responses'!$J$11,20,IF($I30='Auto Responses'!$J$13,5,10))</f>
        <v>10</v>
      </c>
      <c r="L30" s="101">
        <f>IF($E30='Auto Responses'!$L$13, 'Auto Responses'!$J$5,IF(AND($D30='Auto Responses'!$J$27,$H30=""),'Auto Responses'!$J$5,IF(AND($D30='Auto Responses'!$J$27,$H30='Auto Responses'!$J$7),1,IF(AND($D30='Auto Responses'!$J$27,$H30='Auto Responses'!$J$8),0,IF(OR(AND($F30=$G30,$H30=""),$H30='Auto Responses'!$J$7),1,0)))))</f>
        <v>1</v>
      </c>
      <c r="M30" s="4" t="str">
        <f>VLOOKUP($A30,'Institution Evaluation'!$A$56:$K$345,11,0)&amp;""</f>
        <v>FALSE</v>
      </c>
      <c r="N30" s="4">
        <f>IF($J30='Auto Responses'!$J$11,1,IF(AND($J30="",$I30='Auto Responses'!$J$11),1,0))</f>
        <v>0</v>
      </c>
      <c r="O30" s="101">
        <f>IF(OR($E30='Auto Responses'!$L$13,$F30='Auto Responses'!$J$5),'Auto Responses'!$J$5,IF($J30="",$K30,IF($J30='Auto Responses'!$J$13,5,IF($J30='Auto Responses'!$J$12,10,IF($J30='Auto Responses'!$J$11,20,0)))))</f>
        <v>10</v>
      </c>
      <c r="P30" s="101">
        <f>IF(OR($O30='Auto Responses'!$J$5,$L30='Auto Responses'!$J$5),'Auto Responses'!$J$5,$O30*$L30)</f>
        <v>10</v>
      </c>
      <c r="Q30" s="101">
        <f t="shared" si="1"/>
        <v>0</v>
      </c>
      <c r="R30" s="101">
        <f t="shared" si="5"/>
        <v>0</v>
      </c>
      <c r="S30" s="101">
        <f t="shared" si="2"/>
        <v>0</v>
      </c>
      <c r="T30" s="101">
        <f t="shared" si="3"/>
        <v>0</v>
      </c>
      <c r="U30" s="101">
        <f t="shared" si="6"/>
        <v>2</v>
      </c>
      <c r="V30" s="101">
        <f t="shared" si="4"/>
        <v>0</v>
      </c>
    </row>
    <row r="31" spans="1:22" ht="57" customHeight="1" x14ac:dyDescent="0.2">
      <c r="A31" s="4" t="str">
        <f>Questions!$A31</f>
        <v>DOCU-07</v>
      </c>
      <c r="B31" s="4" t="str">
        <f t="shared" si="0"/>
        <v>DOCU</v>
      </c>
      <c r="C31" s="4" t="str">
        <f>VLOOKUP($A31,Questions!$A$3:$L$333,2,0)&amp;""</f>
        <v>Do you have a documented, and currently implemented, employee onboarding and offboarding policy?</v>
      </c>
      <c r="D31" s="4" t="str">
        <f>VLOOKUP($A31,Questions!$A$3:$L$333,11,0)&amp;""</f>
        <v/>
      </c>
      <c r="E31" s="4" t="str">
        <f>VLOOKUP($A31,Questions!$A$3:$L$333,12,0)&amp;""</f>
        <v>Organization</v>
      </c>
      <c r="F31" s="4" t="str">
        <f>VLOOKUP($A31,'Institution Evaluation'!$A$56:$K$345,3,0)&amp;""</f>
        <v>Yes</v>
      </c>
      <c r="G31" s="4" t="str">
        <f>VLOOKUP($A31,'Institution Evaluation'!$A$56:$K$345,7,0)&amp;""</f>
        <v>Yes</v>
      </c>
      <c r="H31" s="4" t="str">
        <f>VLOOKUP($A31,'Institution Evaluation'!$A$56:$K$345,8,0)&amp;""</f>
        <v/>
      </c>
      <c r="I31" s="4" t="str">
        <f>VLOOKUP($A31,'Institution Evaluation'!$A$56:$K$345,9,0)&amp;""</f>
        <v>Standard Importance</v>
      </c>
      <c r="J31" s="4" t="str">
        <f>VLOOKUP($A31,'Institution Evaluation'!$A$56:$K$345,10,0)&amp;""</f>
        <v/>
      </c>
      <c r="K31" s="4">
        <f>IF($I31='Auto Responses'!$J$11,20,IF($I31='Auto Responses'!$J$13,5,10))</f>
        <v>10</v>
      </c>
      <c r="L31" s="101">
        <f>IF($E31='Auto Responses'!$L$13, 'Auto Responses'!$J$5,IF(AND($D31='Auto Responses'!$J$27,$H31=""),'Auto Responses'!$J$5,IF(AND($D31='Auto Responses'!$J$27,$H31='Auto Responses'!$J$7),1,IF(AND($D31='Auto Responses'!$J$27,$H31='Auto Responses'!$J$8),0,IF(OR(AND($F31=$G31,$H31=""),$H31='Auto Responses'!$J$7),1,0)))))</f>
        <v>1</v>
      </c>
      <c r="M31" s="4" t="str">
        <f>VLOOKUP($A31,'Institution Evaluation'!$A$56:$K$345,11,0)&amp;""</f>
        <v>FALSE</v>
      </c>
      <c r="N31" s="4">
        <f>IF($J31='Auto Responses'!$J$11,1,IF(AND($J31="",$I31='Auto Responses'!$J$11),1,0))</f>
        <v>0</v>
      </c>
      <c r="O31" s="101">
        <f>IF(OR($E31='Auto Responses'!$L$13,$F31='Auto Responses'!$J$5),'Auto Responses'!$J$5,IF($J31="",$K31,IF($J31='Auto Responses'!$J$13,5,IF($J31='Auto Responses'!$J$12,10,IF($J31='Auto Responses'!$J$11,20,0)))))</f>
        <v>10</v>
      </c>
      <c r="P31" s="101">
        <f>IF(OR($O31='Auto Responses'!$J$5,$L31='Auto Responses'!$J$5),'Auto Responses'!$J$5,$O31*$L31)</f>
        <v>10</v>
      </c>
      <c r="Q31" s="101">
        <f t="shared" si="1"/>
        <v>0</v>
      </c>
      <c r="R31" s="101">
        <f t="shared" si="5"/>
        <v>0</v>
      </c>
      <c r="S31" s="101">
        <f t="shared" si="2"/>
        <v>0</v>
      </c>
      <c r="T31" s="101">
        <f t="shared" si="3"/>
        <v>0</v>
      </c>
      <c r="U31" s="101">
        <f t="shared" si="6"/>
        <v>2</v>
      </c>
      <c r="V31" s="101">
        <f t="shared" si="4"/>
        <v>0</v>
      </c>
    </row>
    <row r="32" spans="1:22" ht="57" customHeight="1" x14ac:dyDescent="0.2">
      <c r="A32" s="4" t="str">
        <f>Questions!$A32</f>
        <v>ITAC-01</v>
      </c>
      <c r="B32" s="4" t="str">
        <f t="shared" si="0"/>
        <v>ITAC</v>
      </c>
      <c r="C32" s="4" t="str">
        <f>VLOOKUP($A32,Questions!$A$3:$L$333,2,0)&amp;""</f>
        <v>Solution Provider Accessibility Contact Name</v>
      </c>
      <c r="D32" s="4" t="str">
        <f>VLOOKUP($A32,Questions!$A$3:$L$333,11,0)&amp;""</f>
        <v>NA</v>
      </c>
      <c r="E32" s="4" t="str">
        <f>VLOOKUP($A32,Questions!$A$3:$L$333,12,0)&amp;""</f>
        <v>Not Scored</v>
      </c>
      <c r="F32" s="4" t="str">
        <f>VLOOKUP($A32,'Institution Evaluation'!$A$56:$K$345,3,0)&amp;""</f>
        <v>Alan Heppenstall</v>
      </c>
      <c r="G32" s="4" t="str">
        <f>VLOOKUP($A32,'Institution Evaluation'!$A$56:$K$345,7,0)&amp;""</f>
        <v>Not scored</v>
      </c>
      <c r="H32" s="4" t="str">
        <f>VLOOKUP($A32,'Institution Evaluation'!$A$56:$K$345,8,0)&amp;""</f>
        <v/>
      </c>
      <c r="I32" s="4" t="str">
        <f>VLOOKUP($A32,'Institution Evaluation'!$A$56:$K$345,9,0)&amp;""</f>
        <v/>
      </c>
      <c r="J32" s="4" t="str">
        <f>VLOOKUP($A32,'Institution Evaluation'!$A$56:$K$345,10,0)&amp;""</f>
        <v/>
      </c>
      <c r="K32" s="4">
        <f>IF($I32='Auto Responses'!$J$11,20,IF($I32='Auto Responses'!$J$13,5,10))</f>
        <v>10</v>
      </c>
      <c r="L32" s="101" t="str">
        <f>IF($E32='Auto Responses'!$L$13, 'Auto Responses'!$J$5,IF(AND($D32='Auto Responses'!$J$27,$H32=""),'Auto Responses'!$J$5,IF(AND($D32='Auto Responses'!$J$27,$H32='Auto Responses'!$J$7),1,IF(AND($D32='Auto Responses'!$J$27,$H32='Auto Responses'!$J$8),0,IF(OR(AND($F32=$G32,$H32=""),$H32='Auto Responses'!$J$7),1,0)))))</f>
        <v>N/A</v>
      </c>
      <c r="M32" s="4" t="str">
        <f>VLOOKUP($A32,'Institution Evaluation'!$A$56:$K$345,11,0)&amp;""</f>
        <v>FALSE</v>
      </c>
      <c r="N32" s="4">
        <f>IF($J32='Auto Responses'!$J$11,1,IF(AND($J32="",$I32='Auto Responses'!$J$11),1,0))</f>
        <v>0</v>
      </c>
      <c r="O32" s="101" t="str">
        <f>IF(OR($F$18='Auto Responses'!$J$4,$E32='Auto Responses'!$L$13,$F32='Auto Responses'!$J$5),'Auto Responses'!$J$5,IF($J32="",$K32,IF($J32='Auto Responses'!$J$13,5,IF($J32='Auto Responses'!$J$12,10,IF($J32='Auto Responses'!$J$11,20,0)))))</f>
        <v>N/A</v>
      </c>
      <c r="P32" s="101" t="str">
        <f>IF(OR($O32='Auto Responses'!$J$5,$L32='Auto Responses'!$J$5),'Auto Responses'!$J$5,$O32*$L32)</f>
        <v>N/A</v>
      </c>
      <c r="Q32" s="101">
        <f t="shared" si="1"/>
        <v>0</v>
      </c>
      <c r="R32" s="101">
        <f t="shared" si="5"/>
        <v>0</v>
      </c>
      <c r="S32" s="101">
        <f t="shared" si="2"/>
        <v>0</v>
      </c>
      <c r="T32" s="101">
        <f t="shared" si="3"/>
        <v>0</v>
      </c>
      <c r="U32" s="101">
        <f t="shared" si="6"/>
        <v>2</v>
      </c>
      <c r="V32" s="101">
        <f t="shared" si="4"/>
        <v>0</v>
      </c>
    </row>
    <row r="33" spans="1:22" ht="57" customHeight="1" x14ac:dyDescent="0.2">
      <c r="A33" s="4" t="str">
        <f>Questions!$A33</f>
        <v>ITAC-02</v>
      </c>
      <c r="B33" s="4" t="str">
        <f t="shared" si="0"/>
        <v>ITAC</v>
      </c>
      <c r="C33" s="4" t="str">
        <f>VLOOKUP($A33,Questions!$A$3:$L$333,2,0)&amp;""</f>
        <v>Solution Provider Accessibility Contact Title</v>
      </c>
      <c r="D33" s="4" t="str">
        <f>VLOOKUP($A33,Questions!$A$3:$L$333,11,0)&amp;""</f>
        <v>NA</v>
      </c>
      <c r="E33" s="4" t="str">
        <f>VLOOKUP($A33,Questions!$A$3:$L$333,12,0)&amp;""</f>
        <v>Not Scored</v>
      </c>
      <c r="F33" s="4" t="str">
        <f>VLOOKUP($A33,'Institution Evaluation'!$A$56:$K$345,3,0)&amp;""</f>
        <v>CTO</v>
      </c>
      <c r="G33" s="4" t="str">
        <f>VLOOKUP($A33,'Institution Evaluation'!$A$56:$K$345,7,0)&amp;""</f>
        <v>Not scored</v>
      </c>
      <c r="H33" s="4" t="str">
        <f>VLOOKUP($A33,'Institution Evaluation'!$A$56:$K$345,8,0)&amp;""</f>
        <v/>
      </c>
      <c r="I33" s="4" t="str">
        <f>VLOOKUP($A33,'Institution Evaluation'!$A$56:$K$345,9,0)&amp;""</f>
        <v/>
      </c>
      <c r="J33" s="4" t="str">
        <f>VLOOKUP($A33,'Institution Evaluation'!$A$56:$K$345,10,0)&amp;""</f>
        <v/>
      </c>
      <c r="K33" s="4">
        <f>IF($I33='Auto Responses'!$J$11,20,IF($I33='Auto Responses'!$J$13,5,10))</f>
        <v>10</v>
      </c>
      <c r="L33" s="101" t="str">
        <f>IF($E33='Auto Responses'!$L$13, 'Auto Responses'!$J$5,IF(AND($D33='Auto Responses'!$J$27,$H33=""),'Auto Responses'!$J$5,IF(AND($D33='Auto Responses'!$J$27,$H33='Auto Responses'!$J$7),1,IF(AND($D33='Auto Responses'!$J$27,$H33='Auto Responses'!$J$8),0,IF(OR(AND($F33=$G33,$H33=""),$H33='Auto Responses'!$J$7),1,0)))))</f>
        <v>N/A</v>
      </c>
      <c r="M33" s="4" t="str">
        <f>VLOOKUP($A33,'Institution Evaluation'!$A$56:$K$345,11,0)&amp;""</f>
        <v>FALSE</v>
      </c>
      <c r="N33" s="4">
        <f>IF($J33='Auto Responses'!$J$11,1,IF(AND($J33="",$I33='Auto Responses'!$J$11),1,0))</f>
        <v>0</v>
      </c>
      <c r="O33" s="101" t="str">
        <f>IF(OR($F$18='Auto Responses'!$J$4,$E33='Auto Responses'!$L$13,$F33='Auto Responses'!$J$5),'Auto Responses'!$J$5,IF($J33="",$K33,IF($J33='Auto Responses'!$J$13,5,IF($J33='Auto Responses'!$J$12,10,IF($J33='Auto Responses'!$J$11,20,0)))))</f>
        <v>N/A</v>
      </c>
      <c r="P33" s="101" t="str">
        <f>IF(OR($O33='Auto Responses'!$J$5,$L33='Auto Responses'!$J$5),'Auto Responses'!$J$5,$O33*$L33)</f>
        <v>N/A</v>
      </c>
      <c r="Q33" s="101">
        <f t="shared" si="1"/>
        <v>0</v>
      </c>
      <c r="R33" s="101">
        <f t="shared" si="5"/>
        <v>0</v>
      </c>
      <c r="S33" s="101">
        <f t="shared" si="2"/>
        <v>0</v>
      </c>
      <c r="T33" s="101">
        <f t="shared" si="3"/>
        <v>0</v>
      </c>
      <c r="U33" s="101">
        <f t="shared" si="6"/>
        <v>2</v>
      </c>
      <c r="V33" s="101">
        <f t="shared" si="4"/>
        <v>0</v>
      </c>
    </row>
    <row r="34" spans="1:22" ht="57" customHeight="1" x14ac:dyDescent="0.2">
      <c r="A34" s="4" t="str">
        <f>Questions!$A34</f>
        <v>ITAC-03</v>
      </c>
      <c r="B34" s="4" t="str">
        <f t="shared" si="0"/>
        <v>ITAC</v>
      </c>
      <c r="C34" s="4" t="str">
        <f>VLOOKUP($A34,Questions!$A$3:$L$333,2,0)&amp;""</f>
        <v>Solution Provider Accessibility Contact Email</v>
      </c>
      <c r="D34" s="4" t="str">
        <f>VLOOKUP($A34,Questions!$A$3:$L$333,11,0)&amp;""</f>
        <v>NA</v>
      </c>
      <c r="E34" s="4" t="str">
        <f>VLOOKUP($A34,Questions!$A$3:$L$333,12,0)&amp;""</f>
        <v>Not Scored</v>
      </c>
      <c r="F34" s="4" t="str">
        <f>VLOOKUP($A34,'Institution Evaluation'!$A$56:$K$345,3,0)&amp;""</f>
        <v>alan@accredible.com</v>
      </c>
      <c r="G34" s="4" t="str">
        <f>VLOOKUP($A34,'Institution Evaluation'!$A$56:$K$345,7,0)&amp;""</f>
        <v>Not scored</v>
      </c>
      <c r="H34" s="4" t="str">
        <f>VLOOKUP($A34,'Institution Evaluation'!$A$56:$K$345,8,0)&amp;""</f>
        <v/>
      </c>
      <c r="I34" s="4" t="str">
        <f>VLOOKUP($A34,'Institution Evaluation'!$A$56:$K$345,9,0)&amp;""</f>
        <v/>
      </c>
      <c r="J34" s="4" t="str">
        <f>VLOOKUP($A34,'Institution Evaluation'!$A$56:$K$345,10,0)&amp;""</f>
        <v/>
      </c>
      <c r="K34" s="4">
        <f>IF($I34='Auto Responses'!$J$11,20,IF($I34='Auto Responses'!$J$13,5,10))</f>
        <v>10</v>
      </c>
      <c r="L34" s="101" t="str">
        <f>IF($E34='Auto Responses'!$L$13, 'Auto Responses'!$J$5,IF(AND($D34='Auto Responses'!$J$27,$H34=""),'Auto Responses'!$J$5,IF(AND($D34='Auto Responses'!$J$27,$H34='Auto Responses'!$J$7),1,IF(AND($D34='Auto Responses'!$J$27,$H34='Auto Responses'!$J$8),0,IF(OR(AND($F34=$G34,$H34=""),$H34='Auto Responses'!$J$7),1,0)))))</f>
        <v>N/A</v>
      </c>
      <c r="M34" s="4" t="str">
        <f>VLOOKUP($A34,'Institution Evaluation'!$A$56:$K$345,11,0)&amp;""</f>
        <v>FALSE</v>
      </c>
      <c r="N34" s="4">
        <f>IF($J34='Auto Responses'!$J$11,1,IF(AND($J34="",$I34='Auto Responses'!$J$11),1,0))</f>
        <v>0</v>
      </c>
      <c r="O34" s="101" t="str">
        <f>IF(OR($F$18='Auto Responses'!$J$4,$E34='Auto Responses'!$L$13,$F34='Auto Responses'!$J$5),'Auto Responses'!$J$5,IF($J34="",$K34,IF($J34='Auto Responses'!$J$13,5,IF($J34='Auto Responses'!$J$12,10,IF($J34='Auto Responses'!$J$11,20,0)))))</f>
        <v>N/A</v>
      </c>
      <c r="P34" s="101" t="str">
        <f>IF(OR($O34='Auto Responses'!$J$5,$L34='Auto Responses'!$J$5),'Auto Responses'!$J$5,$O34*$L34)</f>
        <v>N/A</v>
      </c>
      <c r="Q34" s="101">
        <f t="shared" si="1"/>
        <v>0</v>
      </c>
      <c r="R34" s="101">
        <f t="shared" si="5"/>
        <v>0</v>
      </c>
      <c r="S34" s="101">
        <f t="shared" si="2"/>
        <v>0</v>
      </c>
      <c r="T34" s="101">
        <f t="shared" si="3"/>
        <v>0</v>
      </c>
      <c r="U34" s="101">
        <f t="shared" si="6"/>
        <v>2</v>
      </c>
      <c r="V34" s="101">
        <f t="shared" si="4"/>
        <v>0</v>
      </c>
    </row>
    <row r="35" spans="1:22" ht="57" customHeight="1" x14ac:dyDescent="0.2">
      <c r="A35" s="4" t="str">
        <f>Questions!$A35</f>
        <v>ITAC-04</v>
      </c>
      <c r="B35" s="4" t="str">
        <f t="shared" si="0"/>
        <v>ITAC</v>
      </c>
      <c r="C35" s="4" t="str">
        <f>VLOOKUP($A35,Questions!$A$3:$L$333,2,0)&amp;""</f>
        <v>Solution Provider Accessibility Contact Phone Number</v>
      </c>
      <c r="D35" s="4" t="str">
        <f>VLOOKUP($A35,Questions!$A$3:$L$333,11,0)&amp;""</f>
        <v>NA</v>
      </c>
      <c r="E35" s="4" t="str">
        <f>VLOOKUP($A35,Questions!$A$3:$L$333,12,0)&amp;""</f>
        <v>Not Scored</v>
      </c>
      <c r="F35" s="4" t="str">
        <f>VLOOKUP($A35,'Institution Evaluation'!$A$56:$K$345,3,0)&amp;""</f>
        <v>+1 (628) 214-2701</v>
      </c>
      <c r="G35" s="4" t="str">
        <f>VLOOKUP($A35,'Institution Evaluation'!$A$56:$K$345,7,0)&amp;""</f>
        <v>Not scored</v>
      </c>
      <c r="H35" s="4" t="str">
        <f>VLOOKUP($A35,'Institution Evaluation'!$A$56:$K$345,8,0)&amp;""</f>
        <v/>
      </c>
      <c r="I35" s="4" t="str">
        <f>VLOOKUP($A35,'Institution Evaluation'!$A$56:$K$345,9,0)&amp;""</f>
        <v/>
      </c>
      <c r="J35" s="4" t="str">
        <f>VLOOKUP($A35,'Institution Evaluation'!$A$56:$K$345,10,0)&amp;""</f>
        <v/>
      </c>
      <c r="K35" s="4">
        <f>IF($I35='Auto Responses'!$J$11,20,IF($I35='Auto Responses'!$J$13,5,10))</f>
        <v>10</v>
      </c>
      <c r="L35" s="101" t="str">
        <f>IF($E35='Auto Responses'!$L$13, 'Auto Responses'!$J$5,IF(AND($D35='Auto Responses'!$J$27,$H35=""),'Auto Responses'!$J$5,IF(AND($D35='Auto Responses'!$J$27,$H35='Auto Responses'!$J$7),1,IF(AND($D35='Auto Responses'!$J$27,$H35='Auto Responses'!$J$8),0,IF(OR(AND($F35=$G35,$H35=""),$H35='Auto Responses'!$J$7),1,0)))))</f>
        <v>N/A</v>
      </c>
      <c r="M35" s="4" t="str">
        <f>VLOOKUP($A35,'Institution Evaluation'!$A$56:$K$345,11,0)&amp;""</f>
        <v>FALSE</v>
      </c>
      <c r="N35" s="4">
        <f>IF($J35='Auto Responses'!$J$11,1,IF(AND($J35="",$I35='Auto Responses'!$J$11),1,0))</f>
        <v>0</v>
      </c>
      <c r="O35" s="101" t="str">
        <f>IF(OR($F$18='Auto Responses'!$J$4,$E35='Auto Responses'!$L$13,$F35='Auto Responses'!$J$5),'Auto Responses'!$J$5,IF($J35="",$K35,IF($J35='Auto Responses'!$J$13,5,IF($J35='Auto Responses'!$J$12,10,IF($J35='Auto Responses'!$J$11,20,0)))))</f>
        <v>N/A</v>
      </c>
      <c r="P35" s="101" t="str">
        <f>IF(OR($O35='Auto Responses'!$J$5,$L35='Auto Responses'!$J$5),'Auto Responses'!$J$5,$O35*$L35)</f>
        <v>N/A</v>
      </c>
      <c r="Q35" s="101">
        <f t="shared" si="1"/>
        <v>0</v>
      </c>
      <c r="R35" s="101">
        <f t="shared" si="5"/>
        <v>0</v>
      </c>
      <c r="S35" s="101">
        <f t="shared" si="2"/>
        <v>0</v>
      </c>
      <c r="T35" s="101">
        <f t="shared" si="3"/>
        <v>0</v>
      </c>
      <c r="U35" s="101">
        <f t="shared" si="6"/>
        <v>2</v>
      </c>
      <c r="V35" s="101">
        <f t="shared" si="4"/>
        <v>0</v>
      </c>
    </row>
    <row r="36" spans="1:22" ht="57" customHeight="1" x14ac:dyDescent="0.2">
      <c r="A36" s="4" t="str">
        <f>Questions!$A36</f>
        <v>ITAC-05</v>
      </c>
      <c r="B36" s="4" t="str">
        <f t="shared" si="0"/>
        <v>ITAC</v>
      </c>
      <c r="C36" s="4" t="str">
        <f>VLOOKUP($A36,Questions!$A$3:$L$333,2,0)&amp;""</f>
        <v>Web Link to Accessibility Statement or VPAT</v>
      </c>
      <c r="D36" s="4" t="str">
        <f>VLOOKUP($A36,Questions!$A$3:$L$333,11,0)&amp;""</f>
        <v/>
      </c>
      <c r="E36" s="4" t="str">
        <f>VLOOKUP($A36,Questions!$A$3:$L$333,12,0)&amp;""</f>
        <v>Not Scored</v>
      </c>
      <c r="F36" s="4" t="str">
        <f>VLOOKUP($A36,'Institution Evaluation'!$A$56:$K$345,3,0)&amp;""</f>
        <v>https://help.accredible.com/s/article/accessibility</v>
      </c>
      <c r="G36" s="4" t="str">
        <f>VLOOKUP($A36,'Institution Evaluation'!$A$56:$K$345,7,0)&amp;""</f>
        <v>Not scored</v>
      </c>
      <c r="H36" s="4" t="str">
        <f>VLOOKUP($A36,'Institution Evaluation'!$A$56:$K$345,8,0)&amp;""</f>
        <v/>
      </c>
      <c r="I36" s="4" t="str">
        <f>VLOOKUP($A36,'Institution Evaluation'!$A$56:$K$345,9,0)&amp;""</f>
        <v/>
      </c>
      <c r="J36" s="4" t="str">
        <f>VLOOKUP($A36,'Institution Evaluation'!$A$56:$K$345,10,0)&amp;""</f>
        <v/>
      </c>
      <c r="K36" s="4">
        <f>IF($I36='Auto Responses'!$J$11,20,IF($I36='Auto Responses'!$J$13,5,10))</f>
        <v>10</v>
      </c>
      <c r="L36" s="101" t="str">
        <f>IF($E36='Auto Responses'!$L$13, 'Auto Responses'!$J$5,IF(AND($D36='Auto Responses'!$J$27,$H36=""),'Auto Responses'!$J$5,IF(AND($D36='Auto Responses'!$J$27,$H36='Auto Responses'!$J$7),1,IF(AND($D36='Auto Responses'!$J$27,$H36='Auto Responses'!$J$8),0,IF(OR(AND($F36=$G36,$H36=""),$H36='Auto Responses'!$J$7),1,0)))))</f>
        <v>N/A</v>
      </c>
      <c r="M36" s="4" t="str">
        <f>VLOOKUP($A36,'Institution Evaluation'!$A$56:$K$345,11,0)&amp;""</f>
        <v>FALSE</v>
      </c>
      <c r="N36" s="4">
        <f>IF($J36='Auto Responses'!$J$11,1,IF(AND($J36="",$I36='Auto Responses'!$J$11),1,0))</f>
        <v>0</v>
      </c>
      <c r="O36" s="101" t="str">
        <f>IF(OR($F$18='Auto Responses'!$J$4,$E36='Auto Responses'!$L$13,$F36='Auto Responses'!$J$5),'Auto Responses'!$J$5,IF($J36="",$K36,IF($J36='Auto Responses'!$J$13,5,IF($J36='Auto Responses'!$J$12,10,IF($J36='Auto Responses'!$J$11,20,0)))))</f>
        <v>N/A</v>
      </c>
      <c r="P36" s="101" t="str">
        <f>IF(OR($O36='Auto Responses'!$J$5,$L36='Auto Responses'!$J$5),'Auto Responses'!$J$5,$O36*$L36)</f>
        <v>N/A</v>
      </c>
      <c r="Q36" s="101">
        <f t="shared" si="1"/>
        <v>0</v>
      </c>
      <c r="R36" s="101">
        <f t="shared" si="5"/>
        <v>0</v>
      </c>
      <c r="S36" s="101">
        <f t="shared" si="2"/>
        <v>0</v>
      </c>
      <c r="T36" s="101">
        <f t="shared" si="3"/>
        <v>0</v>
      </c>
      <c r="U36" s="101">
        <f t="shared" si="6"/>
        <v>2</v>
      </c>
      <c r="V36" s="101">
        <f t="shared" si="4"/>
        <v>0</v>
      </c>
    </row>
    <row r="37" spans="1:22" ht="57" customHeight="1" x14ac:dyDescent="0.2">
      <c r="A37" s="4" t="str">
        <f>Questions!$A37</f>
        <v>ITAC-06</v>
      </c>
      <c r="B37" s="4" t="str">
        <f t="shared" si="0"/>
        <v>ITAC</v>
      </c>
      <c r="C37" s="4" t="str">
        <f>VLOOKUP($A37,Questions!$A$3:$L$333,2,0)&amp;""</f>
        <v>Has a VPAT or ACR been created or updated for the solution and version under consideration within the past 12 months?*</v>
      </c>
      <c r="D37" s="4" t="str">
        <f>VLOOKUP($A37,Questions!$A$3:$L$333,11,0)&amp;""</f>
        <v/>
      </c>
      <c r="E37" s="4" t="str">
        <f>VLOOKUP($A37,Questions!$A$3:$L$333,12,0)&amp;""</f>
        <v>IT Accessibility</v>
      </c>
      <c r="F37" s="4" t="str">
        <f>VLOOKUP($A37,'Institution Evaluation'!$A$56:$K$345,3,0)&amp;""</f>
        <v>Yes</v>
      </c>
      <c r="G37" s="4" t="str">
        <f>VLOOKUP($A37,'Institution Evaluation'!$A$56:$K$345,7,0)&amp;""</f>
        <v>Yes</v>
      </c>
      <c r="H37" s="4" t="str">
        <f>VLOOKUP($A37,'Institution Evaluation'!$A$56:$K$345,8,0)&amp;""</f>
        <v/>
      </c>
      <c r="I37" s="4" t="str">
        <f>VLOOKUP($A37,'Institution Evaluation'!$A$56:$K$345,9,0)&amp;""</f>
        <v>Critical Importance</v>
      </c>
      <c r="J37" s="4" t="str">
        <f>VLOOKUP($A37,'Institution Evaluation'!$A$56:$K$345,10,0)&amp;""</f>
        <v/>
      </c>
      <c r="K37" s="4">
        <f>IF($I37='Auto Responses'!$J$11,20,IF($I37='Auto Responses'!$J$13,5,10))</f>
        <v>20</v>
      </c>
      <c r="L37" s="101">
        <f>IF($E37='Auto Responses'!$L$13, 'Auto Responses'!$J$5,IF(AND($D37='Auto Responses'!$J$27,$H37=""),'Auto Responses'!$J$5,IF(AND($D37='Auto Responses'!$J$27,$H37='Auto Responses'!$J$7),1,IF(AND($D37='Auto Responses'!$J$27,$H37='Auto Responses'!$J$8),0,IF(OR(AND($F37=$G37,$H37=""),$H37='Auto Responses'!$J$7),1,0)))))</f>
        <v>1</v>
      </c>
      <c r="M37" s="4" t="str">
        <f>VLOOKUP($A37,'Institution Evaluation'!$A$56:$K$345,11,0)&amp;""</f>
        <v>FALSE</v>
      </c>
      <c r="N37" s="4">
        <f>IF($J37='Auto Responses'!$J$11,1,IF(AND($J37="",$I37='Auto Responses'!$J$11),1,0))</f>
        <v>1</v>
      </c>
      <c r="O37" s="101">
        <f>IF(OR($F$18='Auto Responses'!$J$4,$E37='Auto Responses'!$L$13,$F37='Auto Responses'!$J$5),'Auto Responses'!$J$5,IF($J37="",$K37,IF($J37='Auto Responses'!$J$13,5,IF($J37='Auto Responses'!$J$12,10,IF($J37='Auto Responses'!$J$11,20,0)))))</f>
        <v>20</v>
      </c>
      <c r="P37" s="101">
        <f>IF(OR($O37='Auto Responses'!$J$5,$L37='Auto Responses'!$J$5),'Auto Responses'!$J$5,$O37*$L37)</f>
        <v>20</v>
      </c>
      <c r="Q37" s="101">
        <f t="shared" si="1"/>
        <v>0</v>
      </c>
      <c r="R37" s="101">
        <f t="shared" si="5"/>
        <v>0</v>
      </c>
      <c r="S37" s="101">
        <f t="shared" si="2"/>
        <v>0</v>
      </c>
      <c r="T37" s="101">
        <f t="shared" si="3"/>
        <v>1</v>
      </c>
      <c r="U37" s="101">
        <f t="shared" si="6"/>
        <v>3</v>
      </c>
      <c r="V37" s="101">
        <f t="shared" si="4"/>
        <v>3</v>
      </c>
    </row>
    <row r="38" spans="1:22" ht="57" customHeight="1" x14ac:dyDescent="0.2">
      <c r="A38" s="4" t="str">
        <f>Questions!$A38</f>
        <v>ITAC-07</v>
      </c>
      <c r="B38" s="4" t="str">
        <f t="shared" si="0"/>
        <v>ITAC</v>
      </c>
      <c r="C38" s="4" t="str">
        <f>VLOOKUP($A38,Questions!$A$3:$L$333,2,0)&amp;""</f>
        <v>Will your company agree to meet your stated accessibility standard or WCAG 2.1 AA as part of your contractual agreement for the solution?*</v>
      </c>
      <c r="D38" s="4" t="str">
        <f>VLOOKUP($A38,Questions!$A$3:$L$333,11,0)&amp;""</f>
        <v/>
      </c>
      <c r="E38" s="4" t="str">
        <f>VLOOKUP($A38,Questions!$A$3:$L$333,12,0)&amp;""</f>
        <v>IT Accessibility</v>
      </c>
      <c r="F38" s="4" t="str">
        <f>VLOOKUP($A38,'Institution Evaluation'!$A$56:$K$345,3,0)&amp;""</f>
        <v>Yes</v>
      </c>
      <c r="G38" s="4" t="str">
        <f>VLOOKUP($A38,'Institution Evaluation'!$A$56:$K$345,7,0)&amp;""</f>
        <v>Yes</v>
      </c>
      <c r="H38" s="4" t="str">
        <f>VLOOKUP($A38,'Institution Evaluation'!$A$56:$K$345,8,0)&amp;""</f>
        <v/>
      </c>
      <c r="I38" s="4" t="str">
        <f>VLOOKUP($A38,'Institution Evaluation'!$A$56:$K$345,9,0)&amp;""</f>
        <v>Critical Importance</v>
      </c>
      <c r="J38" s="4" t="str">
        <f>VLOOKUP($A38,'Institution Evaluation'!$A$56:$K$345,10,0)&amp;""</f>
        <v/>
      </c>
      <c r="K38" s="4">
        <f>IF($I38='Auto Responses'!$J$11,20,IF($I38='Auto Responses'!$J$13,5,10))</f>
        <v>20</v>
      </c>
      <c r="L38" s="101">
        <f>IF($E38='Auto Responses'!$L$13, 'Auto Responses'!$J$5,IF(AND($D38='Auto Responses'!$J$27,$H38=""),'Auto Responses'!$J$5,IF(AND($D38='Auto Responses'!$J$27,$H38='Auto Responses'!$J$7),1,IF(AND($D38='Auto Responses'!$J$27,$H38='Auto Responses'!$J$8),0,IF(OR(AND($F38=$G38,$H38=""),$H38='Auto Responses'!$J$7),1,0)))))</f>
        <v>1</v>
      </c>
      <c r="M38" s="4" t="str">
        <f>VLOOKUP($A38,'Institution Evaluation'!$A$56:$K$345,11,0)&amp;""</f>
        <v>FALSE</v>
      </c>
      <c r="N38" s="4">
        <f>IF($J38='Auto Responses'!$J$11,1,IF(AND($J38="",$I38='Auto Responses'!$J$11),1,0))</f>
        <v>1</v>
      </c>
      <c r="O38" s="101">
        <f>IF(OR($F$18='Auto Responses'!$J$4,$E38='Auto Responses'!$L$13,$F38='Auto Responses'!$J$5),'Auto Responses'!$J$5,IF($J38="",$K38,IF($J38='Auto Responses'!$J$13,5,IF($J38='Auto Responses'!$J$12,10,IF($J38='Auto Responses'!$J$11,20,0)))))</f>
        <v>20</v>
      </c>
      <c r="P38" s="101">
        <f>IF(OR($O38='Auto Responses'!$J$5,$L38='Auto Responses'!$J$5),'Auto Responses'!$J$5,$O38*$L38)</f>
        <v>20</v>
      </c>
      <c r="Q38" s="101">
        <f t="shared" si="1"/>
        <v>0</v>
      </c>
      <c r="R38" s="101">
        <f t="shared" si="5"/>
        <v>0</v>
      </c>
      <c r="S38" s="101">
        <f t="shared" si="2"/>
        <v>0</v>
      </c>
      <c r="T38" s="101">
        <f t="shared" si="3"/>
        <v>1</v>
      </c>
      <c r="U38" s="101">
        <f t="shared" si="6"/>
        <v>4</v>
      </c>
      <c r="V38" s="101">
        <f t="shared" si="4"/>
        <v>4</v>
      </c>
    </row>
    <row r="39" spans="1:22" ht="57" customHeight="1" x14ac:dyDescent="0.2">
      <c r="A39" s="4" t="str">
        <f>Questions!$A39</f>
        <v>ITAC-08</v>
      </c>
      <c r="B39" s="4" t="str">
        <f t="shared" si="0"/>
        <v>ITAC</v>
      </c>
      <c r="C39" s="4" t="str">
        <f>VLOOKUP($A39,Questions!$A$3:$L$333,2,0)&amp;""</f>
        <v>Does the solution substantially conform to WCAG 2.1 AA?*</v>
      </c>
      <c r="D39" s="4" t="str">
        <f>VLOOKUP($A39,Questions!$A$3:$L$333,11,0)&amp;""</f>
        <v/>
      </c>
      <c r="E39" s="4" t="str">
        <f>VLOOKUP($A39,Questions!$A$3:$L$333,12,0)&amp;""</f>
        <v>IT Accessibility</v>
      </c>
      <c r="F39" s="4" t="str">
        <f>VLOOKUP($A39,'Institution Evaluation'!$A$56:$K$345,3,0)&amp;""</f>
        <v>Yes</v>
      </c>
      <c r="G39" s="4" t="str">
        <f>VLOOKUP($A39,'Institution Evaluation'!$A$56:$K$345,7,0)&amp;""</f>
        <v>Yes</v>
      </c>
      <c r="H39" s="4" t="str">
        <f>VLOOKUP($A39,'Institution Evaluation'!$A$56:$K$345,8,0)&amp;""</f>
        <v/>
      </c>
      <c r="I39" s="4" t="str">
        <f>VLOOKUP($A39,'Institution Evaluation'!$A$56:$K$345,9,0)&amp;""</f>
        <v>Critical Importance</v>
      </c>
      <c r="J39" s="4" t="str">
        <f>VLOOKUP($A39,'Institution Evaluation'!$A$56:$K$345,10,0)&amp;""</f>
        <v/>
      </c>
      <c r="K39" s="4">
        <f>IF($I39='Auto Responses'!$J$11,20,IF($I39='Auto Responses'!$J$13,5,10))</f>
        <v>20</v>
      </c>
      <c r="L39" s="101">
        <f>IF($E39='Auto Responses'!$L$13, 'Auto Responses'!$J$5,IF(AND($D39='Auto Responses'!$J$27,$H39=""),'Auto Responses'!$J$5,IF(AND($D39='Auto Responses'!$J$27,$H39='Auto Responses'!$J$7),1,IF(AND($D39='Auto Responses'!$J$27,$H39='Auto Responses'!$J$8),0,IF(OR(AND($F39=$G39,$H39=""),$H39='Auto Responses'!$J$7),1,0)))))</f>
        <v>1</v>
      </c>
      <c r="M39" s="4" t="str">
        <f>VLOOKUP($A39,'Institution Evaluation'!$A$56:$K$345,11,0)&amp;""</f>
        <v>FALSE</v>
      </c>
      <c r="N39" s="4">
        <f>IF($J39='Auto Responses'!$J$11,1,IF(AND($J39="",$I39='Auto Responses'!$J$11),1,0))</f>
        <v>1</v>
      </c>
      <c r="O39" s="101">
        <f>IF(OR($F$18='Auto Responses'!$J$4,$E39='Auto Responses'!$L$13,$F39='Auto Responses'!$J$5),'Auto Responses'!$J$5,IF($J39="",$K39,IF($J39='Auto Responses'!$J$13,5,IF($J39='Auto Responses'!$J$12,10,IF($J39='Auto Responses'!$J$11,20,0)))))</f>
        <v>20</v>
      </c>
      <c r="P39" s="101">
        <f>IF(OR($O39='Auto Responses'!$J$5,$L39='Auto Responses'!$J$5),'Auto Responses'!$J$5,$O39*$L39)</f>
        <v>20</v>
      </c>
      <c r="Q39" s="101">
        <f t="shared" si="1"/>
        <v>0</v>
      </c>
      <c r="R39" s="101">
        <f t="shared" si="5"/>
        <v>0</v>
      </c>
      <c r="S39" s="101">
        <f t="shared" si="2"/>
        <v>0</v>
      </c>
      <c r="T39" s="101">
        <f t="shared" si="3"/>
        <v>1</v>
      </c>
      <c r="U39" s="101">
        <f t="shared" si="6"/>
        <v>5</v>
      </c>
      <c r="V39" s="101">
        <f t="shared" si="4"/>
        <v>5</v>
      </c>
    </row>
    <row r="40" spans="1:22" ht="57" customHeight="1" x14ac:dyDescent="0.2">
      <c r="A40" s="4" t="str">
        <f>Questions!$A40</f>
        <v>ITAC-09</v>
      </c>
      <c r="B40" s="4" t="str">
        <f t="shared" si="0"/>
        <v>ITAC</v>
      </c>
      <c r="C40" s="4" t="str">
        <f>VLOOKUP($A40,Questions!$A$3:$L$333,2,0)&amp;""</f>
        <v>Do you have a documented and implemented process for reporting and tracking accessibility issues?*</v>
      </c>
      <c r="D40" s="4" t="str">
        <f>VLOOKUP($A40,Questions!$A$3:$L$333,11,0)&amp;""</f>
        <v/>
      </c>
      <c r="E40" s="4" t="str">
        <f>VLOOKUP($A40,Questions!$A$3:$L$333,12,0)&amp;""</f>
        <v>IT Accessibility</v>
      </c>
      <c r="F40" s="4" t="str">
        <f>VLOOKUP($A40,'Institution Evaluation'!$A$56:$K$345,3,0)&amp;""</f>
        <v>Yes</v>
      </c>
      <c r="G40" s="4" t="str">
        <f>VLOOKUP($A40,'Institution Evaluation'!$A$56:$K$345,7,0)&amp;""</f>
        <v>Yes</v>
      </c>
      <c r="H40" s="4" t="str">
        <f>VLOOKUP($A40,'Institution Evaluation'!$A$56:$K$345,8,0)&amp;""</f>
        <v/>
      </c>
      <c r="I40" s="4" t="str">
        <f>VLOOKUP($A40,'Institution Evaluation'!$A$56:$K$345,9,0)&amp;""</f>
        <v>Critical Importance</v>
      </c>
      <c r="J40" s="4" t="str">
        <f>VLOOKUP($A40,'Institution Evaluation'!$A$56:$K$345,10,0)&amp;""</f>
        <v/>
      </c>
      <c r="K40" s="4">
        <f>IF($I40='Auto Responses'!$J$11,20,IF($I40='Auto Responses'!$J$13,5,10))</f>
        <v>20</v>
      </c>
      <c r="L40" s="101">
        <f>IF($E40='Auto Responses'!$L$13, 'Auto Responses'!$J$5,IF(AND($D40='Auto Responses'!$J$27,$H40=""),'Auto Responses'!$J$5,IF(AND($D40='Auto Responses'!$J$27,$H40='Auto Responses'!$J$7),1,IF(AND($D40='Auto Responses'!$J$27,$H40='Auto Responses'!$J$8),0,IF(OR(AND($F40=$G40,$H40=""),$H40='Auto Responses'!$J$7),1,0)))))</f>
        <v>1</v>
      </c>
      <c r="M40" s="4" t="str">
        <f>VLOOKUP($A40,'Institution Evaluation'!$A$56:$K$345,11,0)&amp;""</f>
        <v>FALSE</v>
      </c>
      <c r="N40" s="4">
        <f>IF($J40='Auto Responses'!$J$11,1,IF(AND($J40="",$I40='Auto Responses'!$J$11),1,0))</f>
        <v>1</v>
      </c>
      <c r="O40" s="101">
        <f>IF(OR($F$18='Auto Responses'!$J$4,$E40='Auto Responses'!$L$13,$F40='Auto Responses'!$J$5),'Auto Responses'!$J$5,IF($J40="",$K40,IF($J40='Auto Responses'!$J$13,5,IF($J40='Auto Responses'!$J$12,10,IF($J40='Auto Responses'!$J$11,20,0)))))</f>
        <v>20</v>
      </c>
      <c r="P40" s="101">
        <f>IF(OR($O40='Auto Responses'!$J$5,$L40='Auto Responses'!$J$5),'Auto Responses'!$J$5,$O40*$L40)</f>
        <v>20</v>
      </c>
      <c r="Q40" s="101">
        <f t="shared" si="1"/>
        <v>0</v>
      </c>
      <c r="R40" s="101">
        <f t="shared" si="5"/>
        <v>0</v>
      </c>
      <c r="S40" s="101">
        <f t="shared" si="2"/>
        <v>0</v>
      </c>
      <c r="T40" s="101">
        <f t="shared" si="3"/>
        <v>1</v>
      </c>
      <c r="U40" s="101">
        <f t="shared" si="6"/>
        <v>6</v>
      </c>
      <c r="V40" s="101">
        <f t="shared" si="4"/>
        <v>6</v>
      </c>
    </row>
    <row r="41" spans="1:22" ht="57" customHeight="1" x14ac:dyDescent="0.2">
      <c r="A41" s="4" t="str">
        <f>Questions!$A41</f>
        <v>ITAC-10</v>
      </c>
      <c r="B41" s="4" t="str">
        <f t="shared" si="0"/>
        <v>ITAC</v>
      </c>
      <c r="C41" s="4" t="str">
        <f>VLOOKUP($A41,Questions!$A$3:$L$333,2,0)&amp;""</f>
        <v>Do you have documentation to support the accessibility features of your solution?</v>
      </c>
      <c r="D41" s="4" t="str">
        <f>VLOOKUP($A41,Questions!$A$3:$L$333,11,0)&amp;""</f>
        <v/>
      </c>
      <c r="E41" s="4" t="str">
        <f>VLOOKUP($A41,Questions!$A$3:$L$333,12,0)&amp;""</f>
        <v>IT Accessibility</v>
      </c>
      <c r="F41" s="4" t="str">
        <f>VLOOKUP($A41,'Institution Evaluation'!$A$56:$K$345,3,0)&amp;""</f>
        <v>Yes</v>
      </c>
      <c r="G41" s="4" t="str">
        <f>VLOOKUP($A41,'Institution Evaluation'!$A$56:$K$345,7,0)&amp;""</f>
        <v>Yes</v>
      </c>
      <c r="H41" s="4" t="str">
        <f>VLOOKUP($A41,'Institution Evaluation'!$A$56:$K$345,8,0)&amp;""</f>
        <v/>
      </c>
      <c r="I41" s="4" t="str">
        <f>VLOOKUP($A41,'Institution Evaluation'!$A$56:$K$345,9,0)&amp;""</f>
        <v>Standard Importance</v>
      </c>
      <c r="J41" s="4" t="str">
        <f>VLOOKUP($A41,'Institution Evaluation'!$A$56:$K$345,10,0)&amp;""</f>
        <v/>
      </c>
      <c r="K41" s="4">
        <f>IF($I41='Auto Responses'!$J$11,20,IF($I41='Auto Responses'!$J$13,5,10))</f>
        <v>10</v>
      </c>
      <c r="L41" s="101">
        <f>IF($E41='Auto Responses'!$L$13, 'Auto Responses'!$J$5,IF(AND($D41='Auto Responses'!$J$27,$H41=""),'Auto Responses'!$J$5,IF(AND($D41='Auto Responses'!$J$27,$H41='Auto Responses'!$J$7),1,IF(AND($D41='Auto Responses'!$J$27,$H41='Auto Responses'!$J$8),0,IF(OR(AND($F41=$G41,$H41=""),$H41='Auto Responses'!$J$7),1,0)))))</f>
        <v>1</v>
      </c>
      <c r="M41" s="4" t="str">
        <f>VLOOKUP($A41,'Institution Evaluation'!$A$56:$K$345,11,0)&amp;""</f>
        <v>FALSE</v>
      </c>
      <c r="N41" s="4">
        <f>IF($J41='Auto Responses'!$J$11,1,IF(AND($J41="",$I41='Auto Responses'!$J$11),1,0))</f>
        <v>0</v>
      </c>
      <c r="O41" s="101">
        <f>IF(OR($F$18='Auto Responses'!$J$4,$E41='Auto Responses'!$L$13,$F41='Auto Responses'!$J$5),'Auto Responses'!$J$5,IF($J41="",$K41,IF($J41='Auto Responses'!$J$13,5,IF($J41='Auto Responses'!$J$12,10,IF($J41='Auto Responses'!$J$11,20,0)))))</f>
        <v>10</v>
      </c>
      <c r="P41" s="101">
        <f>IF(OR($O41='Auto Responses'!$J$5,$L41='Auto Responses'!$J$5),'Auto Responses'!$J$5,$O41*$L41)</f>
        <v>10</v>
      </c>
      <c r="Q41" s="101">
        <f t="shared" si="1"/>
        <v>0</v>
      </c>
      <c r="R41" s="101">
        <f t="shared" si="5"/>
        <v>0</v>
      </c>
      <c r="S41" s="101">
        <f t="shared" si="2"/>
        <v>0</v>
      </c>
      <c r="T41" s="101">
        <f t="shared" si="3"/>
        <v>0</v>
      </c>
      <c r="U41" s="101">
        <f t="shared" si="6"/>
        <v>6</v>
      </c>
      <c r="V41" s="101">
        <f t="shared" si="4"/>
        <v>0</v>
      </c>
    </row>
    <row r="42" spans="1:22" ht="57" customHeight="1" x14ac:dyDescent="0.2">
      <c r="A42" s="4" t="str">
        <f>Questions!$A42</f>
        <v>ITAC-11</v>
      </c>
      <c r="B42" s="4" t="str">
        <f t="shared" si="0"/>
        <v>ITAC</v>
      </c>
      <c r="C42" s="4" t="str">
        <f>VLOOKUP($A42,Questions!$A$3:$L$333,2,0)&amp;""</f>
        <v>Has a third-party expert conducted an audit of the most recent version of your solution?</v>
      </c>
      <c r="D42" s="4"/>
      <c r="E42" s="4" t="str">
        <f>VLOOKUP($A42,Questions!$A$3:$L$333,12,0)&amp;""</f>
        <v>IT Accessibility</v>
      </c>
      <c r="F42" s="4" t="str">
        <f>VLOOKUP($A42,'Institution Evaluation'!$A$56:$K$345,3,0)&amp;""</f>
        <v>Yes</v>
      </c>
      <c r="G42" s="4" t="str">
        <f>VLOOKUP($A42,'Institution Evaluation'!$A$56:$K$345,7,0)&amp;""</f>
        <v>Yes</v>
      </c>
      <c r="H42" s="4" t="str">
        <f>VLOOKUP($A42,'Institution Evaluation'!$A$56:$K$345,8,0)&amp;""</f>
        <v/>
      </c>
      <c r="I42" s="4" t="str">
        <f>VLOOKUP($A42,'Institution Evaluation'!$A$56:$K$345,9,0)&amp;""</f>
        <v>Standard Importance</v>
      </c>
      <c r="J42" s="4" t="str">
        <f>VLOOKUP($A42,'Institution Evaluation'!$A$56:$K$345,10,0)&amp;""</f>
        <v/>
      </c>
      <c r="K42" s="4">
        <f>IF($I42='Auto Responses'!$J$11,20,IF($I42='Auto Responses'!$J$13,5,10))</f>
        <v>10</v>
      </c>
      <c r="L42" s="101">
        <f>IF($E42='Auto Responses'!$L$13, 'Auto Responses'!$J$5,IF(AND($D42='Auto Responses'!$J$27,$H42=""),'Auto Responses'!$J$5,IF(AND($D42='Auto Responses'!$J$27,$H42='Auto Responses'!$J$7),1,IF(AND($D42='Auto Responses'!$J$27,$H42='Auto Responses'!$J$8),0,IF(OR(AND($F42=$G42,$H42=""),$H42='Auto Responses'!$J$7),1,0)))))</f>
        <v>1</v>
      </c>
      <c r="M42" s="4" t="str">
        <f>VLOOKUP($A42,'Institution Evaluation'!$A$56:$K$345,11,0)&amp;""</f>
        <v>FALSE</v>
      </c>
      <c r="N42" s="4">
        <f>IF($J42='Auto Responses'!$J$11,1,IF(AND($J42="",$I42='Auto Responses'!$J$11),1,0))</f>
        <v>0</v>
      </c>
      <c r="O42" s="101">
        <f>IF(OR($F$18='Auto Responses'!$J$4,$E42='Auto Responses'!$L$13,$F42='Auto Responses'!$J$5),'Auto Responses'!$J$5,IF($J42="",$K42,IF($J42='Auto Responses'!$J$13,5,IF($J42='Auto Responses'!$J$12,10,IF($J42='Auto Responses'!$J$11,20,0)))))</f>
        <v>10</v>
      </c>
      <c r="P42" s="101">
        <f>IF(OR($O42='Auto Responses'!$J$5,$L42='Auto Responses'!$J$5),'Auto Responses'!$J$5,$O42*$L42)</f>
        <v>10</v>
      </c>
      <c r="Q42" s="101">
        <f t="shared" si="1"/>
        <v>0</v>
      </c>
      <c r="R42" s="101">
        <f t="shared" si="5"/>
        <v>0</v>
      </c>
      <c r="S42" s="101">
        <f t="shared" si="2"/>
        <v>0</v>
      </c>
      <c r="T42" s="101">
        <f t="shared" si="3"/>
        <v>0</v>
      </c>
      <c r="U42" s="101">
        <f t="shared" si="6"/>
        <v>6</v>
      </c>
      <c r="V42" s="101">
        <f t="shared" si="4"/>
        <v>0</v>
      </c>
    </row>
    <row r="43" spans="1:22" ht="57" customHeight="1" x14ac:dyDescent="0.2">
      <c r="A43" s="4" t="str">
        <f>Questions!$A43</f>
        <v>ITAC-12</v>
      </c>
      <c r="B43" s="4" t="str">
        <f t="shared" si="0"/>
        <v>ITAC</v>
      </c>
      <c r="C43" s="4" t="str">
        <f>VLOOKUP($A43,Questions!$A$3:$L$333,2,0)&amp;""</f>
        <v>Do you have a documented and implemented process for verifying accessibility conformance?</v>
      </c>
      <c r="D43" s="4" t="str">
        <f>VLOOKUP($A43,Questions!$A$3:$L$333,11,0)&amp;""</f>
        <v/>
      </c>
      <c r="E43" s="4" t="str">
        <f>VLOOKUP($A43,Questions!$A$3:$L$333,12,0)&amp;""</f>
        <v>IT Accessibility</v>
      </c>
      <c r="F43" s="4" t="str">
        <f>VLOOKUP($A43,'Institution Evaluation'!$A$56:$K$345,3,0)&amp;""</f>
        <v>Yes</v>
      </c>
      <c r="G43" s="4" t="str">
        <f>VLOOKUP($A43,'Institution Evaluation'!$A$56:$K$345,7,0)&amp;""</f>
        <v>Yes</v>
      </c>
      <c r="H43" s="4" t="str">
        <f>VLOOKUP($A43,'Institution Evaluation'!$A$56:$K$345,8,0)&amp;""</f>
        <v/>
      </c>
      <c r="I43" s="4" t="str">
        <f>VLOOKUP($A43,'Institution Evaluation'!$A$56:$K$345,9,0)&amp;""</f>
        <v>Standard Importance</v>
      </c>
      <c r="J43" s="4" t="str">
        <f>VLOOKUP($A43,'Institution Evaluation'!$A$56:$K$345,10,0)&amp;""</f>
        <v/>
      </c>
      <c r="K43" s="4">
        <f>IF($I43='Auto Responses'!$J$11,20,IF($I43='Auto Responses'!$J$13,5,10))</f>
        <v>10</v>
      </c>
      <c r="L43" s="101">
        <f>IF($E43='Auto Responses'!$L$13, 'Auto Responses'!$J$5,IF(AND($D43='Auto Responses'!$J$27,$H43=""),'Auto Responses'!$J$5,IF(AND($D43='Auto Responses'!$J$27,$H43='Auto Responses'!$J$7),1,IF(AND($D43='Auto Responses'!$J$27,$H43='Auto Responses'!$J$8),0,IF(OR(AND($F43=$G43,$H43=""),$H43='Auto Responses'!$J$7),1,0)))))</f>
        <v>1</v>
      </c>
      <c r="M43" s="4" t="str">
        <f>VLOOKUP($A43,'Institution Evaluation'!$A$56:$K$345,11,0)&amp;""</f>
        <v>FALSE</v>
      </c>
      <c r="N43" s="4">
        <f>IF($J43='Auto Responses'!$J$11,1,IF(AND($J43="",$I43='Auto Responses'!$J$11),1,0))</f>
        <v>0</v>
      </c>
      <c r="O43" s="101">
        <f>IF(OR($F$18='Auto Responses'!$J$4,$E43='Auto Responses'!$L$13,$F43='Auto Responses'!$J$5),'Auto Responses'!$J$5,IF($J43="",$K43,IF($J43='Auto Responses'!$J$13,5,IF($J43='Auto Responses'!$J$12,10,IF($J43='Auto Responses'!$J$11,20,0)))))</f>
        <v>10</v>
      </c>
      <c r="P43" s="101">
        <f>IF(OR($O43='Auto Responses'!$J$5,$L43='Auto Responses'!$J$5),'Auto Responses'!$J$5,$O43*$L43)</f>
        <v>10</v>
      </c>
      <c r="Q43" s="101">
        <f t="shared" si="1"/>
        <v>0</v>
      </c>
      <c r="R43" s="101">
        <f t="shared" si="5"/>
        <v>0</v>
      </c>
      <c r="S43" s="101">
        <f t="shared" si="2"/>
        <v>0</v>
      </c>
      <c r="T43" s="101">
        <f t="shared" si="3"/>
        <v>0</v>
      </c>
      <c r="U43" s="101">
        <f t="shared" si="6"/>
        <v>6</v>
      </c>
      <c r="V43" s="101">
        <f t="shared" si="4"/>
        <v>0</v>
      </c>
    </row>
    <row r="44" spans="1:22" ht="57" customHeight="1" x14ac:dyDescent="0.2">
      <c r="A44" s="4" t="str">
        <f>Questions!$A44</f>
        <v>ITAC-13</v>
      </c>
      <c r="B44" s="4" t="str">
        <f t="shared" si="0"/>
        <v>ITAC</v>
      </c>
      <c r="C44" s="4" t="str">
        <f>VLOOKUP($A44,Questions!$A$3:$L$333,2,0)&amp;""</f>
        <v>Have you adopted a technical or legal standard of conformance for the solution?</v>
      </c>
      <c r="D44" s="4" t="str">
        <f>VLOOKUP($A44,Questions!$A$3:$L$333,11,0)&amp;""</f>
        <v/>
      </c>
      <c r="E44" s="4" t="str">
        <f>VLOOKUP($A44,Questions!$A$3:$L$333,12,0)&amp;""</f>
        <v>IT Accessibility</v>
      </c>
      <c r="F44" s="4" t="str">
        <f>VLOOKUP($A44,'Institution Evaluation'!$A$56:$K$345,3,0)&amp;""</f>
        <v>Yes</v>
      </c>
      <c r="G44" s="4" t="str">
        <f>VLOOKUP($A44,'Institution Evaluation'!$A$56:$K$345,7,0)&amp;""</f>
        <v>Yes</v>
      </c>
      <c r="H44" s="4" t="str">
        <f>VLOOKUP($A44,'Institution Evaluation'!$A$56:$K$345,8,0)&amp;""</f>
        <v/>
      </c>
      <c r="I44" s="4" t="str">
        <f>VLOOKUP($A44,'Institution Evaluation'!$A$56:$K$345,9,0)&amp;""</f>
        <v>Standard Importance</v>
      </c>
      <c r="J44" s="4" t="str">
        <f>VLOOKUP($A44,'Institution Evaluation'!$A$56:$K$345,10,0)&amp;""</f>
        <v/>
      </c>
      <c r="K44" s="4">
        <f>IF($I44='Auto Responses'!$J$11,20,IF($I44='Auto Responses'!$J$13,5,10))</f>
        <v>10</v>
      </c>
      <c r="L44" s="101">
        <f>IF($E44='Auto Responses'!$L$13, 'Auto Responses'!$J$5,IF(AND($D44='Auto Responses'!$J$27,$H44=""),'Auto Responses'!$J$5,IF(AND($D44='Auto Responses'!$J$27,$H44='Auto Responses'!$J$7),1,IF(AND($D44='Auto Responses'!$J$27,$H44='Auto Responses'!$J$8),0,IF(OR(AND($F44=$G44,$H44=""),$H44='Auto Responses'!$J$7),1,0)))))</f>
        <v>1</v>
      </c>
      <c r="M44" s="4" t="str">
        <f>VLOOKUP($A44,'Institution Evaluation'!$A$56:$K$345,11,0)&amp;""</f>
        <v>FALSE</v>
      </c>
      <c r="N44" s="4">
        <f>IF($J44='Auto Responses'!$J$11,1,IF(AND($J44="",$I44='Auto Responses'!$J$11),1,0))</f>
        <v>0</v>
      </c>
      <c r="O44" s="101">
        <f>IF(OR($F$18='Auto Responses'!$J$4,$E44='Auto Responses'!$L$13,$F44='Auto Responses'!$J$5),'Auto Responses'!$J$5,IF($J44="",$K44,IF($J44='Auto Responses'!$J$13,5,IF($J44='Auto Responses'!$J$12,10,IF($J44='Auto Responses'!$J$11,20,0)))))</f>
        <v>10</v>
      </c>
      <c r="P44" s="101">
        <f>IF(OR($O44='Auto Responses'!$J$5,$L44='Auto Responses'!$J$5),'Auto Responses'!$J$5,$O44*$L44)</f>
        <v>10</v>
      </c>
      <c r="Q44" s="101">
        <f t="shared" si="1"/>
        <v>0</v>
      </c>
      <c r="R44" s="101">
        <f t="shared" si="5"/>
        <v>0</v>
      </c>
      <c r="S44" s="101">
        <f t="shared" si="2"/>
        <v>0</v>
      </c>
      <c r="T44" s="101">
        <f t="shared" si="3"/>
        <v>0</v>
      </c>
      <c r="U44" s="101">
        <f t="shared" si="6"/>
        <v>6</v>
      </c>
      <c r="V44" s="101">
        <f t="shared" si="4"/>
        <v>0</v>
      </c>
    </row>
    <row r="45" spans="1:22" ht="57" customHeight="1" x14ac:dyDescent="0.2">
      <c r="A45" s="4" t="str">
        <f>Questions!$A45</f>
        <v>ITAC-14</v>
      </c>
      <c r="B45" s="4" t="str">
        <f t="shared" si="0"/>
        <v>ITAC</v>
      </c>
      <c r="C45" s="4" t="str">
        <f>VLOOKUP($A45,Questions!$A$3:$L$333,2,0)&amp;""</f>
        <v>Can you provide a current, detailed accessibility roadmap with delivery timelines?</v>
      </c>
      <c r="D45" s="4" t="str">
        <f>VLOOKUP($A45,Questions!$A$3:$L$333,11,0)&amp;""</f>
        <v/>
      </c>
      <c r="E45" s="4" t="str">
        <f>VLOOKUP($A45,Questions!$A$3:$L$333,12,0)&amp;""</f>
        <v>IT Accessibility</v>
      </c>
      <c r="F45" s="4" t="str">
        <f>VLOOKUP($A45,'Institution Evaluation'!$A$56:$K$345,3,0)&amp;""</f>
        <v>Yes</v>
      </c>
      <c r="G45" s="4" t="str">
        <f>VLOOKUP($A45,'Institution Evaluation'!$A$56:$K$345,7,0)&amp;""</f>
        <v>Yes</v>
      </c>
      <c r="H45" s="4" t="str">
        <f>VLOOKUP($A45,'Institution Evaluation'!$A$56:$K$345,8,0)&amp;""</f>
        <v/>
      </c>
      <c r="I45" s="4" t="str">
        <f>VLOOKUP($A45,'Institution Evaluation'!$A$56:$K$345,9,0)&amp;""</f>
        <v>Standard Importance</v>
      </c>
      <c r="J45" s="4" t="str">
        <f>VLOOKUP($A45,'Institution Evaluation'!$A$56:$K$345,10,0)&amp;""</f>
        <v/>
      </c>
      <c r="K45" s="4">
        <f>IF($I45='Auto Responses'!$J$11,20,IF($I45='Auto Responses'!$J$13,5,10))</f>
        <v>10</v>
      </c>
      <c r="L45" s="101">
        <f>IF($E45='Auto Responses'!$L$13, 'Auto Responses'!$J$5,IF(AND($D45='Auto Responses'!$J$27,$H45=""),'Auto Responses'!$J$5,IF(AND($D45='Auto Responses'!$J$27,$H45='Auto Responses'!$J$7),1,IF(AND($D45='Auto Responses'!$J$27,$H45='Auto Responses'!$J$8),0,IF(OR(AND($F45=$G45,$H45=""),$H45='Auto Responses'!$J$7),1,0)))))</f>
        <v>1</v>
      </c>
      <c r="M45" s="4" t="str">
        <f>VLOOKUP($A45,'Institution Evaluation'!$A$56:$K$345,11,0)&amp;""</f>
        <v>FALSE</v>
      </c>
      <c r="N45" s="4">
        <f>IF($J45='Auto Responses'!$J$11,1,IF(AND($J45="",$I45='Auto Responses'!$J$11),1,0))</f>
        <v>0</v>
      </c>
      <c r="O45" s="101">
        <f>IF(OR($F$18='Auto Responses'!$J$4,$E45='Auto Responses'!$L$13,$F45='Auto Responses'!$J$5),'Auto Responses'!$J$5,IF($J45="",$K45,IF($J45='Auto Responses'!$J$13,5,IF($J45='Auto Responses'!$J$12,10,IF($J45='Auto Responses'!$J$11,20,0)))))</f>
        <v>10</v>
      </c>
      <c r="P45" s="101">
        <f>IF(OR($O45='Auto Responses'!$J$5,$L45='Auto Responses'!$J$5),'Auto Responses'!$J$5,$O45*$L45)</f>
        <v>10</v>
      </c>
      <c r="Q45" s="101">
        <f t="shared" si="1"/>
        <v>0</v>
      </c>
      <c r="R45" s="101">
        <f t="shared" si="5"/>
        <v>0</v>
      </c>
      <c r="S45" s="101">
        <f t="shared" si="2"/>
        <v>0</v>
      </c>
      <c r="T45" s="101">
        <f t="shared" si="3"/>
        <v>0</v>
      </c>
      <c r="U45" s="101">
        <f t="shared" si="6"/>
        <v>6</v>
      </c>
      <c r="V45" s="101">
        <f t="shared" si="4"/>
        <v>0</v>
      </c>
    </row>
    <row r="46" spans="1:22" ht="57" customHeight="1" x14ac:dyDescent="0.2">
      <c r="A46" s="4" t="str">
        <f>Questions!$A46</f>
        <v>ITAC-15</v>
      </c>
      <c r="B46" s="4" t="str">
        <f t="shared" si="0"/>
        <v>ITAC</v>
      </c>
      <c r="C46" s="4" t="str">
        <f>VLOOKUP($A46,Questions!$A$3:$L$333,2,0)&amp;""</f>
        <v>Do you expect your staff to maintain a current skill set in IT accessibility?</v>
      </c>
      <c r="D46" s="4" t="str">
        <f>VLOOKUP($A46,Questions!$A$3:$L$333,11,0)&amp;""</f>
        <v/>
      </c>
      <c r="E46" s="4" t="str">
        <f>VLOOKUP($A46,Questions!$A$3:$L$333,12,0)&amp;""</f>
        <v>IT Accessibility</v>
      </c>
      <c r="F46" s="4" t="str">
        <f>VLOOKUP($A46,'Institution Evaluation'!$A$56:$K$345,3,0)&amp;""</f>
        <v>Yes</v>
      </c>
      <c r="G46" s="4" t="str">
        <f>VLOOKUP($A46,'Institution Evaluation'!$A$56:$K$345,7,0)&amp;""</f>
        <v>Yes</v>
      </c>
      <c r="H46" s="4" t="str">
        <f>VLOOKUP($A46,'Institution Evaluation'!$A$56:$K$345,8,0)&amp;""</f>
        <v/>
      </c>
      <c r="I46" s="4" t="str">
        <f>VLOOKUP($A46,'Institution Evaluation'!$A$56:$K$345,9,0)&amp;""</f>
        <v>Standard Importance</v>
      </c>
      <c r="J46" s="4" t="str">
        <f>VLOOKUP($A46,'Institution Evaluation'!$A$56:$K$345,10,0)&amp;""</f>
        <v/>
      </c>
      <c r="K46" s="4">
        <f>IF($I46='Auto Responses'!$J$11,20,IF($I46='Auto Responses'!$J$13,5,10))</f>
        <v>10</v>
      </c>
      <c r="L46" s="101">
        <f>IF($E46='Auto Responses'!$L$13, 'Auto Responses'!$J$5,IF(AND($D46='Auto Responses'!$J$27,$H46=""),'Auto Responses'!$J$5,IF(AND($D46='Auto Responses'!$J$27,$H46='Auto Responses'!$J$7),1,IF(AND($D46='Auto Responses'!$J$27,$H46='Auto Responses'!$J$8),0,IF(OR(AND($F46=$G46,$H46=""),$H46='Auto Responses'!$J$7),1,0)))))</f>
        <v>1</v>
      </c>
      <c r="M46" s="4" t="str">
        <f>VLOOKUP($A46,'Institution Evaluation'!$A$56:$K$345,11,0)&amp;""</f>
        <v>FALSE</v>
      </c>
      <c r="N46" s="4">
        <f>IF($J46='Auto Responses'!$J$11,1,IF(AND($J46="",$I46='Auto Responses'!$J$11),1,0))</f>
        <v>0</v>
      </c>
      <c r="O46" s="101">
        <f>IF(OR($F$18='Auto Responses'!$J$4,$E46='Auto Responses'!$L$13,$F46='Auto Responses'!$J$5),'Auto Responses'!$J$5,IF($J46="",$K46,IF($J46='Auto Responses'!$J$13,5,IF($J46='Auto Responses'!$J$12,10,IF($J46='Auto Responses'!$J$11,20,0)))))</f>
        <v>10</v>
      </c>
      <c r="P46" s="101">
        <f>IF(OR($O46='Auto Responses'!$J$5,$L46='Auto Responses'!$J$5),'Auto Responses'!$J$5,$O46*$L46)</f>
        <v>10</v>
      </c>
      <c r="Q46" s="101">
        <f t="shared" si="1"/>
        <v>0</v>
      </c>
      <c r="R46" s="101">
        <f t="shared" si="5"/>
        <v>0</v>
      </c>
      <c r="S46" s="101">
        <f t="shared" si="2"/>
        <v>0</v>
      </c>
      <c r="T46" s="101">
        <f t="shared" si="3"/>
        <v>0</v>
      </c>
      <c r="U46" s="101">
        <f t="shared" si="6"/>
        <v>6</v>
      </c>
      <c r="V46" s="101">
        <f t="shared" si="4"/>
        <v>0</v>
      </c>
    </row>
    <row r="47" spans="1:22" ht="57" customHeight="1" x14ac:dyDescent="0.2">
      <c r="A47" s="4" t="str">
        <f>Questions!$A47</f>
        <v>ITAC-16</v>
      </c>
      <c r="B47" s="4" t="str">
        <f t="shared" si="0"/>
        <v>ITAC</v>
      </c>
      <c r="C47" s="4" t="str">
        <f>VLOOKUP($A47,Questions!$A$3:$L$333,2,0)&amp;""</f>
        <v>Do you have documented processes and procedures for implementing accessibility into your development lifecycle?</v>
      </c>
      <c r="D47" s="4" t="str">
        <f>VLOOKUP($A47,Questions!$A$3:$L$333,11,0)&amp;""</f>
        <v/>
      </c>
      <c r="E47" s="4" t="str">
        <f>VLOOKUP($A47,Questions!$A$3:$L$333,12,0)&amp;""</f>
        <v>IT Accessibility</v>
      </c>
      <c r="F47" s="4" t="str">
        <f>VLOOKUP($A47,'Institution Evaluation'!$A$56:$K$345,3,0)&amp;""</f>
        <v>Yes</v>
      </c>
      <c r="G47" s="4" t="str">
        <f>VLOOKUP($A47,'Institution Evaluation'!$A$56:$K$345,7,0)&amp;""</f>
        <v>Yes</v>
      </c>
      <c r="H47" s="4" t="str">
        <f>VLOOKUP($A47,'Institution Evaluation'!$A$56:$K$345,8,0)&amp;""</f>
        <v/>
      </c>
      <c r="I47" s="4" t="str">
        <f>VLOOKUP($A47,'Institution Evaluation'!$A$56:$K$345,9,0)&amp;""</f>
        <v>Standard Importance</v>
      </c>
      <c r="J47" s="4" t="str">
        <f>VLOOKUP($A47,'Institution Evaluation'!$A$56:$K$345,10,0)&amp;""</f>
        <v/>
      </c>
      <c r="K47" s="4">
        <f>IF($I47='Auto Responses'!$J$11,20,IF($I47='Auto Responses'!$J$13,5,10))</f>
        <v>10</v>
      </c>
      <c r="L47" s="101">
        <f>IF($E47='Auto Responses'!$L$13, 'Auto Responses'!$J$5,IF(AND($D47='Auto Responses'!$J$27,$H47=""),'Auto Responses'!$J$5,IF(AND($D47='Auto Responses'!$J$27,$H47='Auto Responses'!$J$7),1,IF(AND($D47='Auto Responses'!$J$27,$H47='Auto Responses'!$J$8),0,IF(OR(AND($F47=$G47,$H47=""),$H47='Auto Responses'!$J$7),1,0)))))</f>
        <v>1</v>
      </c>
      <c r="M47" s="4" t="str">
        <f>VLOOKUP($A47,'Institution Evaluation'!$A$56:$K$345,11,0)&amp;""</f>
        <v>FALSE</v>
      </c>
      <c r="N47" s="4">
        <f>IF($J47='Auto Responses'!$J$11,1,IF(AND($J47="",$I47='Auto Responses'!$J$11),1,0))</f>
        <v>0</v>
      </c>
      <c r="O47" s="101">
        <f>IF(OR($F$18='Auto Responses'!$J$4,$E47='Auto Responses'!$L$13,$F47='Auto Responses'!$J$5),'Auto Responses'!$J$5,IF($J47="",$K47,IF($J47='Auto Responses'!$J$13,5,IF($J47='Auto Responses'!$J$12,10,IF($J47='Auto Responses'!$J$11,20,0)))))</f>
        <v>10</v>
      </c>
      <c r="P47" s="101">
        <f>IF(OR($O47='Auto Responses'!$J$5,$L47='Auto Responses'!$J$5),'Auto Responses'!$J$5,$O47*$L47)</f>
        <v>10</v>
      </c>
      <c r="Q47" s="101">
        <f t="shared" si="1"/>
        <v>0</v>
      </c>
      <c r="R47" s="101">
        <f t="shared" si="5"/>
        <v>0</v>
      </c>
      <c r="S47" s="101">
        <f t="shared" si="2"/>
        <v>0</v>
      </c>
      <c r="T47" s="101">
        <f t="shared" si="3"/>
        <v>0</v>
      </c>
      <c r="U47" s="101">
        <f t="shared" si="6"/>
        <v>6</v>
      </c>
      <c r="V47" s="101">
        <f t="shared" si="4"/>
        <v>0</v>
      </c>
    </row>
    <row r="48" spans="1:22" ht="57" customHeight="1" x14ac:dyDescent="0.2">
      <c r="A48" s="4" t="str">
        <f>Questions!$A48</f>
        <v>ITAC-17</v>
      </c>
      <c r="B48" s="4" t="str">
        <f t="shared" si="0"/>
        <v>ITAC</v>
      </c>
      <c r="C48" s="4" t="str">
        <f>VLOOKUP($A48,Questions!$A$3:$L$333,2,0)&amp;""</f>
        <v>Can all functions of the application or service be performed using only the keyboard?</v>
      </c>
      <c r="D48" s="4" t="str">
        <f>VLOOKUP($A48,Questions!$A$3:$L$333,11,0)&amp;""</f>
        <v/>
      </c>
      <c r="E48" s="4" t="str">
        <f>VLOOKUP($A48,Questions!$A$3:$L$333,12,0)&amp;""</f>
        <v>IT Accessibility</v>
      </c>
      <c r="F48" s="4" t="str">
        <f>VLOOKUP($A48,'Institution Evaluation'!$A$56:$K$345,3,0)&amp;""</f>
        <v>Yes</v>
      </c>
      <c r="G48" s="4" t="str">
        <f>VLOOKUP($A48,'Institution Evaluation'!$A$56:$K$345,7,0)&amp;""</f>
        <v>Yes</v>
      </c>
      <c r="H48" s="4" t="str">
        <f>VLOOKUP($A48,'Institution Evaluation'!$A$56:$K$345,8,0)&amp;""</f>
        <v/>
      </c>
      <c r="I48" s="4" t="str">
        <f>VLOOKUP($A48,'Institution Evaluation'!$A$56:$K$345,9,0)&amp;""</f>
        <v>Standard Importance</v>
      </c>
      <c r="J48" s="4" t="str">
        <f>VLOOKUP($A48,'Institution Evaluation'!$A$56:$K$345,10,0)&amp;""</f>
        <v/>
      </c>
      <c r="K48" s="4">
        <f>IF($I48='Auto Responses'!$J$11,20,IF($I48='Auto Responses'!$J$13,5,10))</f>
        <v>10</v>
      </c>
      <c r="L48" s="101">
        <f>IF($E48='Auto Responses'!$L$13, 'Auto Responses'!$J$5,IF(AND($D48='Auto Responses'!$J$27,$H48=""),'Auto Responses'!$J$5,IF(AND($D48='Auto Responses'!$J$27,$H48='Auto Responses'!$J$7),1,IF(AND($D48='Auto Responses'!$J$27,$H48='Auto Responses'!$J$8),0,IF(OR(AND($F48=$G48,$H48=""),$H48='Auto Responses'!$J$7),1,0)))))</f>
        <v>1</v>
      </c>
      <c r="M48" s="4" t="str">
        <f>VLOOKUP($A48,'Institution Evaluation'!$A$56:$K$345,11,0)&amp;""</f>
        <v>FALSE</v>
      </c>
      <c r="N48" s="4">
        <f>IF($J48='Auto Responses'!$J$11,1,IF(AND($J48="",$I48='Auto Responses'!$J$11),1,0))</f>
        <v>0</v>
      </c>
      <c r="O48" s="101">
        <f>IF(OR($F$18='Auto Responses'!$J$4,$E48='Auto Responses'!$L$13,$F48='Auto Responses'!$J$5),'Auto Responses'!$J$5,IF($J48="",$K48,IF($J48='Auto Responses'!$J$13,5,IF($J48='Auto Responses'!$J$12,10,IF($J48='Auto Responses'!$J$11,20,0)))))</f>
        <v>10</v>
      </c>
      <c r="P48" s="101">
        <f>IF(OR($O48='Auto Responses'!$J$5,$L48='Auto Responses'!$J$5),'Auto Responses'!$J$5,$O48*$L48)</f>
        <v>10</v>
      </c>
      <c r="Q48" s="101">
        <f t="shared" si="1"/>
        <v>0</v>
      </c>
      <c r="R48" s="101">
        <f t="shared" si="5"/>
        <v>0</v>
      </c>
      <c r="S48" s="101">
        <f t="shared" si="2"/>
        <v>0</v>
      </c>
      <c r="T48" s="101">
        <f t="shared" si="3"/>
        <v>0</v>
      </c>
      <c r="U48" s="101">
        <f t="shared" si="6"/>
        <v>6</v>
      </c>
      <c r="V48" s="101">
        <f t="shared" si="4"/>
        <v>0</v>
      </c>
    </row>
    <row r="49" spans="1:22" ht="57" customHeight="1" x14ac:dyDescent="0.2">
      <c r="A49" s="4" t="str">
        <f>Questions!$A49</f>
        <v>ITAC-18</v>
      </c>
      <c r="B49" s="4" t="str">
        <f t="shared" si="0"/>
        <v>ITAC</v>
      </c>
      <c r="C49" s="4" t="str">
        <f>VLOOKUP($A49,Questions!$A$3:$L$333,2,0)&amp;""</f>
        <v>Does your product rely on activating a special "accessibility mode," a "lite version," or using an alternate interface (including “overlay” or AI-based alternates)  for accessibility purposes?</v>
      </c>
      <c r="D49" s="4" t="str">
        <f>VLOOKUP($A49,Questions!$A$3:$L$333,11,0)&amp;""</f>
        <v/>
      </c>
      <c r="E49" s="4" t="str">
        <f>VLOOKUP($A49,Questions!$A$3:$L$333,12,0)&amp;""</f>
        <v>IT Accessibility</v>
      </c>
      <c r="F49" s="4" t="str">
        <f>VLOOKUP($A49,'Institution Evaluation'!$A$56:$K$345,3,0)&amp;""</f>
        <v>No</v>
      </c>
      <c r="G49" s="4" t="str">
        <f>VLOOKUP($A49,'Institution Evaluation'!$A$56:$K$345,7,0)&amp;""</f>
        <v>No</v>
      </c>
      <c r="H49" s="4" t="str">
        <f>VLOOKUP($A49,'Institution Evaluation'!$A$56:$K$345,8,0)&amp;""</f>
        <v/>
      </c>
      <c r="I49" s="4" t="str">
        <f>VLOOKUP($A49,'Institution Evaluation'!$A$56:$K$345,9,0)&amp;""</f>
        <v>Standard Importance</v>
      </c>
      <c r="J49" s="4" t="str">
        <f>VLOOKUP($A49,'Institution Evaluation'!$A$56:$K$345,10,0)&amp;""</f>
        <v/>
      </c>
      <c r="K49" s="4">
        <f>IF($I49='Auto Responses'!$J$11,20,IF($I49='Auto Responses'!$J$13,5,10))</f>
        <v>10</v>
      </c>
      <c r="L49" s="101">
        <f>IF($E49='Auto Responses'!$L$13, 'Auto Responses'!$J$5,IF(AND($D49='Auto Responses'!$J$27,$H49=""),'Auto Responses'!$J$5,IF(AND($D49='Auto Responses'!$J$27,$H49='Auto Responses'!$J$7),1,IF(AND($D49='Auto Responses'!$J$27,$H49='Auto Responses'!$J$8),0,IF(OR(AND($F49=$G49,$H49=""),$H49='Auto Responses'!$J$7),1,0)))))</f>
        <v>1</v>
      </c>
      <c r="M49" s="4" t="str">
        <f>VLOOKUP($A49,'Institution Evaluation'!$A$56:$K$345,11,0)&amp;""</f>
        <v>FALSE</v>
      </c>
      <c r="N49" s="4">
        <f>IF($J49='Auto Responses'!$J$11,1,IF(AND($J49="",$I49='Auto Responses'!$J$11),1,0))</f>
        <v>0</v>
      </c>
      <c r="O49" s="101">
        <f>IF(OR($F$18='Auto Responses'!$J$4,$E49='Auto Responses'!$L$13,$F49='Auto Responses'!$J$5),'Auto Responses'!$J$5,IF($J49="",$K49,IF($J49='Auto Responses'!$J$13,5,IF($J49='Auto Responses'!$J$12,10,IF($J49='Auto Responses'!$J$11,20,0)))))</f>
        <v>10</v>
      </c>
      <c r="P49" s="101">
        <f>IF(OR($O49='Auto Responses'!$J$5,$L49='Auto Responses'!$J$5),'Auto Responses'!$J$5,$O49*$L49)</f>
        <v>10</v>
      </c>
      <c r="Q49" s="101">
        <f t="shared" si="1"/>
        <v>0</v>
      </c>
      <c r="R49" s="101">
        <f t="shared" si="5"/>
        <v>0</v>
      </c>
      <c r="S49" s="101">
        <f t="shared" si="2"/>
        <v>0</v>
      </c>
      <c r="T49" s="101">
        <f t="shared" si="3"/>
        <v>0</v>
      </c>
      <c r="U49" s="101">
        <f t="shared" si="6"/>
        <v>6</v>
      </c>
      <c r="V49" s="101">
        <f t="shared" si="4"/>
        <v>0</v>
      </c>
    </row>
    <row r="50" spans="1:22" ht="57" customHeight="1" x14ac:dyDescent="0.2">
      <c r="A50" s="4" t="str">
        <f>Questions!$A51</f>
        <v>THRD-02</v>
      </c>
      <c r="B50" s="4" t="str">
        <f t="shared" si="0"/>
        <v>THRD</v>
      </c>
      <c r="C50" s="4" t="str">
        <f>VLOOKUP($A50,Questions!$A$3:$L$333,2,0)&amp;""</f>
        <v>Do you have contractual language in place with third parties governing access to institutional data?*</v>
      </c>
      <c r="D50" s="4" t="str">
        <f>VLOOKUP($A50,Questions!$A$3:$L$333,11,0)&amp;""</f>
        <v/>
      </c>
      <c r="E50" s="4" t="str">
        <f>VLOOKUP($A50,Questions!$A$3:$L$333,12,0)&amp;""</f>
        <v>Organization</v>
      </c>
      <c r="F50" s="4" t="str">
        <f>VLOOKUP($A50,'Institution Evaluation'!$A$56:$K$345,3,0)&amp;""</f>
        <v>Yes</v>
      </c>
      <c r="G50" s="4" t="str">
        <f>VLOOKUP($A50,'Institution Evaluation'!$A$56:$K$345,7,0)&amp;""</f>
        <v>Yes</v>
      </c>
      <c r="H50" s="4" t="str">
        <f>VLOOKUP($A50,'Institution Evaluation'!$A$56:$K$345,8,0)&amp;""</f>
        <v/>
      </c>
      <c r="I50" s="4" t="str">
        <f>VLOOKUP($A50,'Institution Evaluation'!$A$56:$K$345,9,0)&amp;""</f>
        <v>Critical Importance</v>
      </c>
      <c r="J50" s="4" t="str">
        <f>VLOOKUP($A50,'Institution Evaluation'!$A$56:$K$345,10,0)&amp;""</f>
        <v/>
      </c>
      <c r="K50" s="4">
        <f>IF($I50='Auto Responses'!$J$11,20,IF($I50='Auto Responses'!$J$13,5,10))</f>
        <v>20</v>
      </c>
      <c r="L50" s="101">
        <f>IF($E50='Auto Responses'!$L$13, 'Auto Responses'!$J$5,IF(AND($D50='Auto Responses'!$J$27,$H50=""),'Auto Responses'!$J$5,IF(AND($D50='Auto Responses'!$J$27,$H50='Auto Responses'!$J$7),1,IF(AND($D50='Auto Responses'!$J$27,$H50='Auto Responses'!$J$8),0,IF(OR(AND($F50=$G50,$H50=""),$H50='Auto Responses'!$J$7),1,0)))))</f>
        <v>1</v>
      </c>
      <c r="M50" s="4" t="str">
        <f>VLOOKUP($A50,'Institution Evaluation'!$A$56:$K$345,11,0)&amp;""</f>
        <v>FALSE</v>
      </c>
      <c r="N50" s="4">
        <f>IF($J50='Auto Responses'!$J$11,1,IF(AND($J50="",$I50='Auto Responses'!$J$11),1,0))</f>
        <v>1</v>
      </c>
      <c r="O50" s="101">
        <f>IF(OR($E50='Auto Responses'!$L$13,$F50='Auto Responses'!$J$5),'Auto Responses'!$J$5,IF($J50="",$K50,IF($J50='Auto Responses'!$J$13,5,IF($J50='Auto Responses'!$J$12,10,IF($J50='Auto Responses'!$J$11,20,0)))))</f>
        <v>20</v>
      </c>
      <c r="P50" s="101">
        <f>IF(OR($O50='Auto Responses'!$J$5,$L50='Auto Responses'!$J$5),'Auto Responses'!$J$5,$O50*$L50)</f>
        <v>20</v>
      </c>
      <c r="Q50" s="101">
        <f t="shared" si="1"/>
        <v>0</v>
      </c>
      <c r="R50" s="101">
        <f t="shared" si="5"/>
        <v>0</v>
      </c>
      <c r="S50" s="101">
        <f t="shared" si="2"/>
        <v>0</v>
      </c>
      <c r="T50" s="101">
        <f t="shared" si="3"/>
        <v>1</v>
      </c>
      <c r="U50" s="101">
        <f t="shared" si="6"/>
        <v>7</v>
      </c>
      <c r="V50" s="101">
        <f t="shared" si="4"/>
        <v>7</v>
      </c>
    </row>
    <row r="51" spans="1:22" ht="57" customHeight="1" x14ac:dyDescent="0.2">
      <c r="A51" s="4" t="str">
        <f>Questions!$A50</f>
        <v>THRD-01</v>
      </c>
      <c r="B51" s="4" t="str">
        <f t="shared" si="0"/>
        <v>THRD</v>
      </c>
      <c r="C51" s="4" t="str">
        <f>VLOOKUP($A51,Questions!$A$3:$L$333,2,0)&amp;""</f>
        <v>Do you perform security assessments of third-party companies with which you share data (e.g., hosting providers, cloud services, PaaS, IaaS, SaaS)?*</v>
      </c>
      <c r="D51" s="4" t="str">
        <f>VLOOKUP($A51,Questions!$A$3:$L$333,11,0)&amp;""</f>
        <v/>
      </c>
      <c r="E51" s="4" t="str">
        <f>VLOOKUP($A51,Questions!$A$3:$L$333,12,0)&amp;""</f>
        <v>Organization</v>
      </c>
      <c r="F51" s="4" t="str">
        <f>VLOOKUP($A51,'Institution Evaluation'!$A$56:$K$345,3,0)&amp;""</f>
        <v>Yes</v>
      </c>
      <c r="G51" s="4" t="str">
        <f>VLOOKUP($A51,'Institution Evaluation'!$A$56:$K$345,7,0)&amp;""</f>
        <v>Yes</v>
      </c>
      <c r="H51" s="4" t="str">
        <f>VLOOKUP($A51,'Institution Evaluation'!$A$56:$K$345,8,0)&amp;""</f>
        <v/>
      </c>
      <c r="I51" s="4" t="str">
        <f>VLOOKUP($A51,'Institution Evaluation'!$A$56:$K$345,9,0)&amp;""</f>
        <v>Critical Importance</v>
      </c>
      <c r="J51" s="4" t="str">
        <f>VLOOKUP($A51,'Institution Evaluation'!$A$56:$K$345,10,0)&amp;""</f>
        <v/>
      </c>
      <c r="K51" s="4">
        <f>IF($I51='Auto Responses'!$J$11,20,IF($I51='Auto Responses'!$J$13,5,10))</f>
        <v>20</v>
      </c>
      <c r="L51" s="101">
        <f>IF($E51='Auto Responses'!$L$13, 'Auto Responses'!$J$5,IF(AND($D51='Auto Responses'!$J$27,$H51=""),'Auto Responses'!$J$5,IF(AND($D51='Auto Responses'!$J$27,$H51='Auto Responses'!$J$7),1,IF(AND($D51='Auto Responses'!$J$27,$H51='Auto Responses'!$J$8),0,IF(OR(AND($F51=$G51,$H51=""),$H51='Auto Responses'!$J$7),1,0)))))</f>
        <v>1</v>
      </c>
      <c r="M51" s="4" t="str">
        <f>VLOOKUP($A51,'Institution Evaluation'!$A$56:$K$345,11,0)&amp;""</f>
        <v>FALSE</v>
      </c>
      <c r="N51" s="4">
        <f>IF($J51='Auto Responses'!$J$11,1,IF(AND($J51="",$I51='Auto Responses'!$J$11),1,0))</f>
        <v>1</v>
      </c>
      <c r="O51" s="101">
        <f>IF(OR($E51='Auto Responses'!$L$13,$F51='Auto Responses'!$J$5),'Auto Responses'!$J$5,IF($J51="",$K51,IF($J51='Auto Responses'!$J$13,5,IF($J51='Auto Responses'!$J$12,10,IF($J51='Auto Responses'!$J$11,20,0)))))</f>
        <v>20</v>
      </c>
      <c r="P51" s="101">
        <f>IF(OR($O51='Auto Responses'!$J$5,$L51='Auto Responses'!$J$5),'Auto Responses'!$J$5,$O51*$L51)</f>
        <v>20</v>
      </c>
      <c r="Q51" s="101">
        <f t="shared" si="1"/>
        <v>0</v>
      </c>
      <c r="R51" s="101">
        <f t="shared" si="5"/>
        <v>0</v>
      </c>
      <c r="S51" s="101">
        <f t="shared" si="2"/>
        <v>0</v>
      </c>
      <c r="T51" s="101">
        <f t="shared" si="3"/>
        <v>1</v>
      </c>
      <c r="U51" s="101">
        <f t="shared" si="6"/>
        <v>8</v>
      </c>
      <c r="V51" s="101">
        <f t="shared" si="4"/>
        <v>8</v>
      </c>
    </row>
    <row r="52" spans="1:22" ht="57" customHeight="1" x14ac:dyDescent="0.2">
      <c r="A52" s="4" t="str">
        <f>Questions!$A52</f>
        <v>THRD-03</v>
      </c>
      <c r="B52" s="4" t="str">
        <f t="shared" si="0"/>
        <v>THRD</v>
      </c>
      <c r="C52" s="4" t="str">
        <f>VLOOKUP($A52,Questions!$A$3:$L$333,2,0)&amp;""</f>
        <v>Do the contracts in place with these third parties address liability in the event of a data breach?*</v>
      </c>
      <c r="D52" s="4" t="str">
        <f>VLOOKUP($A52,Questions!$A$3:$L$333,11,0)&amp;""</f>
        <v/>
      </c>
      <c r="E52" s="4" t="str">
        <f>VLOOKUP($A52,Questions!$A$3:$L$333,12,0)&amp;""</f>
        <v>Organization</v>
      </c>
      <c r="F52" s="4" t="str">
        <f>VLOOKUP($A52,'Institution Evaluation'!$A$56:$K$345,3,0)&amp;""</f>
        <v>Yes</v>
      </c>
      <c r="G52" s="4" t="str">
        <f>VLOOKUP($A52,'Institution Evaluation'!$A$56:$K$345,7,0)&amp;""</f>
        <v>Yes</v>
      </c>
      <c r="H52" s="4" t="str">
        <f>VLOOKUP($A52,'Institution Evaluation'!$A$56:$K$345,8,0)&amp;""</f>
        <v/>
      </c>
      <c r="I52" s="4" t="str">
        <f>VLOOKUP($A52,'Institution Evaluation'!$A$56:$K$345,9,0)&amp;""</f>
        <v>Critical Importance</v>
      </c>
      <c r="J52" s="4" t="str">
        <f>VLOOKUP($A52,'Institution Evaluation'!$A$56:$K$345,10,0)&amp;""</f>
        <v/>
      </c>
      <c r="K52" s="4">
        <f>IF($I52='Auto Responses'!$J$11,20,IF($I52='Auto Responses'!$J$13,5,10))</f>
        <v>20</v>
      </c>
      <c r="L52" s="101">
        <f>IF($E52='Auto Responses'!$L$13, 'Auto Responses'!$J$5,IF(AND($D52='Auto Responses'!$J$27,$H52=""),'Auto Responses'!$J$5,IF(AND($D52='Auto Responses'!$J$27,$H52='Auto Responses'!$J$7),1,IF(AND($D52='Auto Responses'!$J$27,$H52='Auto Responses'!$J$8),0,IF(OR(AND($F52=$G52,$H52=""),$H52='Auto Responses'!$J$7),1,0)))))</f>
        <v>1</v>
      </c>
      <c r="M52" s="4" t="str">
        <f>VLOOKUP($A52,'Institution Evaluation'!$A$56:$K$345,11,0)&amp;""</f>
        <v>FALSE</v>
      </c>
      <c r="N52" s="4">
        <f>IF($J52='Auto Responses'!$J$11,1,IF(AND($J52="",$I52='Auto Responses'!$J$11),1,0))</f>
        <v>1</v>
      </c>
      <c r="O52" s="101">
        <f>IF(OR($E52='Auto Responses'!$L$13,$F52='Auto Responses'!$J$5),'Auto Responses'!$J$5,IF($J52="",$K52,IF($J52='Auto Responses'!$J$13,5,IF($J52='Auto Responses'!$J$12,10,IF($J52='Auto Responses'!$J$11,20,0)))))</f>
        <v>20</v>
      </c>
      <c r="P52" s="101">
        <f>IF(OR($O52='Auto Responses'!$J$5,$L52='Auto Responses'!$J$5),'Auto Responses'!$J$5,$O52*$L52)</f>
        <v>20</v>
      </c>
      <c r="Q52" s="101">
        <f t="shared" si="1"/>
        <v>0</v>
      </c>
      <c r="R52" s="101">
        <f t="shared" si="5"/>
        <v>0</v>
      </c>
      <c r="S52" s="101">
        <f t="shared" si="2"/>
        <v>0</v>
      </c>
      <c r="T52" s="101">
        <f t="shared" si="3"/>
        <v>1</v>
      </c>
      <c r="U52" s="101">
        <f t="shared" si="6"/>
        <v>9</v>
      </c>
      <c r="V52" s="101">
        <f t="shared" si="4"/>
        <v>9</v>
      </c>
    </row>
    <row r="53" spans="1:22" ht="57" customHeight="1" x14ac:dyDescent="0.2">
      <c r="A53" s="4" t="str">
        <f>Questions!$A53</f>
        <v>THRD-04</v>
      </c>
      <c r="B53" s="4" t="str">
        <f t="shared" si="0"/>
        <v>THRD</v>
      </c>
      <c r="C53" s="4" t="str">
        <f>VLOOKUP($A53,Questions!$A$3:$L$333,2,0)&amp;""</f>
        <v>Do you have an implemented third-party management strategy?*</v>
      </c>
      <c r="D53" s="4" t="str">
        <f>VLOOKUP($A53,Questions!$A$3:$L$333,11,0)&amp;""</f>
        <v/>
      </c>
      <c r="E53" s="4" t="str">
        <f>VLOOKUP($A53,Questions!$A$3:$L$333,12,0)&amp;""</f>
        <v>Organization</v>
      </c>
      <c r="F53" s="4" t="str">
        <f>VLOOKUP($A53,'Institution Evaluation'!$A$56:$K$345,3,0)&amp;""</f>
        <v>Yes</v>
      </c>
      <c r="G53" s="4" t="str">
        <f>VLOOKUP($A53,'Institution Evaluation'!$A$56:$K$345,7,0)&amp;""</f>
        <v>Yes</v>
      </c>
      <c r="H53" s="4" t="str">
        <f>VLOOKUP($A53,'Institution Evaluation'!$A$56:$K$345,8,0)&amp;""</f>
        <v/>
      </c>
      <c r="I53" s="4" t="str">
        <f>VLOOKUP($A53,'Institution Evaluation'!$A$56:$K$345,9,0)&amp;""</f>
        <v>Critical Importance</v>
      </c>
      <c r="J53" s="4" t="str">
        <f>VLOOKUP($A53,'Institution Evaluation'!$A$56:$K$345,10,0)&amp;""</f>
        <v/>
      </c>
      <c r="K53" s="4">
        <f>IF($I53='Auto Responses'!$J$11,20,IF($I53='Auto Responses'!$J$13,5,10))</f>
        <v>20</v>
      </c>
      <c r="L53" s="101">
        <f>IF($E53='Auto Responses'!$L$13, 'Auto Responses'!$J$5,IF(AND($D53='Auto Responses'!$J$27,$H53=""),'Auto Responses'!$J$5,IF(AND($D53='Auto Responses'!$J$27,$H53='Auto Responses'!$J$7),1,IF(AND($D53='Auto Responses'!$J$27,$H53='Auto Responses'!$J$8),0,IF(OR(AND($F53=$G53,$H53=""),$H53='Auto Responses'!$J$7),1,0)))))</f>
        <v>1</v>
      </c>
      <c r="M53" s="4" t="str">
        <f>VLOOKUP($A53,'Institution Evaluation'!$A$56:$K$345,11,0)&amp;""</f>
        <v>FALSE</v>
      </c>
      <c r="N53" s="4">
        <f>IF($J53='Auto Responses'!$J$11,1,IF(AND($J53="",$I53='Auto Responses'!$J$11),1,0))</f>
        <v>1</v>
      </c>
      <c r="O53" s="101">
        <f>IF(OR($E53='Auto Responses'!$L$13,$F53='Auto Responses'!$J$5),'Auto Responses'!$J$5,IF($J53="",$K53,IF($J53='Auto Responses'!$J$13,5,IF($J53='Auto Responses'!$J$12,10,IF($J53='Auto Responses'!$J$11,20,0)))))</f>
        <v>20</v>
      </c>
      <c r="P53" s="101">
        <f>IF(OR($O53='Auto Responses'!$J$5,$L53='Auto Responses'!$J$5),'Auto Responses'!$J$5,$O53*$L53)</f>
        <v>20</v>
      </c>
      <c r="Q53" s="101">
        <f t="shared" si="1"/>
        <v>0</v>
      </c>
      <c r="R53" s="101">
        <f t="shared" si="5"/>
        <v>0</v>
      </c>
      <c r="S53" s="101">
        <f t="shared" si="2"/>
        <v>0</v>
      </c>
      <c r="T53" s="101">
        <f t="shared" si="3"/>
        <v>1</v>
      </c>
      <c r="U53" s="101">
        <f t="shared" si="6"/>
        <v>10</v>
      </c>
      <c r="V53" s="101">
        <f t="shared" si="4"/>
        <v>10</v>
      </c>
    </row>
    <row r="54" spans="1:22" ht="57" customHeight="1" x14ac:dyDescent="0.2">
      <c r="A54" s="4" t="str">
        <f>Questions!$A54</f>
        <v>THRD-05</v>
      </c>
      <c r="B54" s="4" t="str">
        <f t="shared" si="0"/>
        <v>THRD</v>
      </c>
      <c r="C54" s="4" t="str">
        <f>VLOOKUP($A54,Questions!$A$3:$L$333,2,0)&amp;""</f>
        <v>Do you have a process and implemented procedures for managing your hardware supply chain (e.g., telecommunications equipment, export licensing, computing devices)?</v>
      </c>
      <c r="D54" s="4" t="str">
        <f>VLOOKUP($A54,Questions!$A$3:$L$333,11,0)&amp;""</f>
        <v/>
      </c>
      <c r="E54" s="4" t="str">
        <f>VLOOKUP($A54,Questions!$A$3:$L$333,12,0)&amp;""</f>
        <v>Organization</v>
      </c>
      <c r="F54" s="4" t="str">
        <f>VLOOKUP($A54,'Institution Evaluation'!$A$56:$K$345,3,0)&amp;""</f>
        <v>Yes</v>
      </c>
      <c r="G54" s="4" t="str">
        <f>VLOOKUP($A54,'Institution Evaluation'!$A$56:$K$345,7,0)&amp;""</f>
        <v>Yes</v>
      </c>
      <c r="H54" s="4" t="str">
        <f>VLOOKUP($A54,'Institution Evaluation'!$A$56:$K$345,8,0)&amp;""</f>
        <v/>
      </c>
      <c r="I54" s="4" t="str">
        <f>VLOOKUP($A54,'Institution Evaluation'!$A$56:$K$345,9,0)&amp;""</f>
        <v>Standard Importance</v>
      </c>
      <c r="J54" s="4" t="str">
        <f>VLOOKUP($A54,'Institution Evaluation'!$A$56:$K$345,10,0)&amp;""</f>
        <v/>
      </c>
      <c r="K54" s="4">
        <f>IF($I54='Auto Responses'!$J$11,20,IF($I54='Auto Responses'!$J$13,5,10))</f>
        <v>10</v>
      </c>
      <c r="L54" s="101">
        <f>IF($E54='Auto Responses'!$L$13, 'Auto Responses'!$J$5,IF(AND($D54='Auto Responses'!$J$27,$H54=""),'Auto Responses'!$J$5,IF(AND($D54='Auto Responses'!$J$27,$H54='Auto Responses'!$J$7),1,IF(AND($D54='Auto Responses'!$J$27,$H54='Auto Responses'!$J$8),0,IF(OR(AND($F54=$G54,$H54=""),$H54='Auto Responses'!$J$7),1,0)))))</f>
        <v>1</v>
      </c>
      <c r="M54" s="4" t="str">
        <f>VLOOKUP($A54,'Institution Evaluation'!$A$56:$K$345,11,0)&amp;""</f>
        <v>FALSE</v>
      </c>
      <c r="N54" s="4">
        <f>IF($J54='Auto Responses'!$J$11,1,IF(AND($J54="",$I54='Auto Responses'!$J$11),1,0))</f>
        <v>0</v>
      </c>
      <c r="O54" s="101">
        <f>IF(OR($E54='Auto Responses'!$L$13,$F54='Auto Responses'!$J$5),'Auto Responses'!$J$5,IF($J54="",$K54,IF($J54='Auto Responses'!$J$13,5,IF($J54='Auto Responses'!$J$12,10,IF($J54='Auto Responses'!$J$11,20,0)))))</f>
        <v>10</v>
      </c>
      <c r="P54" s="101">
        <f>IF(OR($O54='Auto Responses'!$J$5,$L54='Auto Responses'!$J$5),'Auto Responses'!$J$5,$O54*$L54)</f>
        <v>10</v>
      </c>
      <c r="Q54" s="101">
        <f t="shared" si="1"/>
        <v>0</v>
      </c>
      <c r="R54" s="101">
        <f t="shared" si="5"/>
        <v>0</v>
      </c>
      <c r="S54" s="101">
        <f t="shared" si="2"/>
        <v>0</v>
      </c>
      <c r="T54" s="101">
        <f t="shared" si="3"/>
        <v>0</v>
      </c>
      <c r="U54" s="101">
        <f t="shared" si="6"/>
        <v>10</v>
      </c>
      <c r="V54" s="101">
        <f t="shared" si="4"/>
        <v>0</v>
      </c>
    </row>
    <row r="55" spans="1:22" ht="57" customHeight="1" x14ac:dyDescent="0.2">
      <c r="A55" s="4" t="str">
        <f>Questions!$A55</f>
        <v>CONS-01</v>
      </c>
      <c r="B55" s="4" t="str">
        <f t="shared" si="0"/>
        <v>CONS</v>
      </c>
      <c r="C55" s="4" t="str">
        <f>VLOOKUP($A55,Questions!$A$3:$L$333,2,0)&amp;""</f>
        <v>Will the consultant require access to the institution's network resources?*</v>
      </c>
      <c r="D55" s="4" t="str">
        <f>VLOOKUP($A55,Questions!$A$3:$L$333,11,0)&amp;""</f>
        <v/>
      </c>
      <c r="E55" s="4" t="str">
        <f>VLOOKUP($A55,Questions!$A$3:$L$333,12,0)&amp;""</f>
        <v>Case-Specific</v>
      </c>
      <c r="F55" s="4" t="str">
        <f>VLOOKUP($A55,'Institution Evaluation'!$A$56:$K$345,3,0)&amp;""</f>
        <v>N/A</v>
      </c>
      <c r="G55" s="4" t="str">
        <f>VLOOKUP($A55,'Institution Evaluation'!$A$56:$K$345,7,0)&amp;""</f>
        <v>No</v>
      </c>
      <c r="H55" s="4" t="str">
        <f>VLOOKUP($A55,'Institution Evaluation'!$A$56:$K$345,8,0)&amp;""</f>
        <v/>
      </c>
      <c r="I55" s="4" t="str">
        <f>VLOOKUP($A55,'Institution Evaluation'!$A$56:$K$345,9,0)&amp;""</f>
        <v>Critical Importance</v>
      </c>
      <c r="J55" s="4" t="str">
        <f>VLOOKUP($A55,'Institution Evaluation'!$A$56:$K$345,10,0)&amp;""</f>
        <v/>
      </c>
      <c r="K55" s="4">
        <f>IF($I55='Auto Responses'!$J$11,20,IF($I55='Auto Responses'!$J$13,5,10))</f>
        <v>20</v>
      </c>
      <c r="L55" s="101">
        <f>IF($E55='Auto Responses'!$L$13, 'Auto Responses'!$J$5,IF(AND($D55='Auto Responses'!$J$27,$H55=""),'Auto Responses'!$J$5,IF(AND($D55='Auto Responses'!$J$27,$H55='Auto Responses'!$J$7),1,IF(AND($D55='Auto Responses'!$J$27,$H55='Auto Responses'!$J$8),0,IF(OR(AND($F55=$G55,$H55=""),$H55='Auto Responses'!$J$7),1,0)))))</f>
        <v>0</v>
      </c>
      <c r="M55" s="4" t="str">
        <f>VLOOKUP($A55,'Institution Evaluation'!$A$56:$K$345,11,0)&amp;""</f>
        <v>FALSE</v>
      </c>
      <c r="N55" s="4">
        <f>IF($J55='Auto Responses'!$J$11,1,IF(AND($J55="",$I55='Auto Responses'!$J$11),1,0))</f>
        <v>1</v>
      </c>
      <c r="O55" s="101" t="str">
        <f>IF(OR($F$19='Auto Responses'!$J$4,$E55='Auto Responses'!$L$13,$F55='Auto Responses'!$J$5),'Auto Responses'!$J$5,IF($J55="",$K55,IF($J55='Auto Responses'!$J$13,5,IF($J55='Auto Responses'!$J$12,10,IF($J55='Auto Responses'!$J$11,20,0)))))</f>
        <v>N/A</v>
      </c>
      <c r="P55" s="101" t="str">
        <f>IF(OR($O55='Auto Responses'!$J$5,$L55='Auto Responses'!$J$5),'Auto Responses'!$J$5,$O55*$L55)</f>
        <v>N/A</v>
      </c>
      <c r="Q55" s="101">
        <f t="shared" si="1"/>
        <v>0</v>
      </c>
      <c r="R55" s="101">
        <f t="shared" si="5"/>
        <v>0</v>
      </c>
      <c r="S55" s="101">
        <f t="shared" si="2"/>
        <v>0</v>
      </c>
      <c r="T55" s="101">
        <f t="shared" si="3"/>
        <v>1</v>
      </c>
      <c r="U55" s="101">
        <f t="shared" si="6"/>
        <v>11</v>
      </c>
      <c r="V55" s="101">
        <f t="shared" si="4"/>
        <v>11</v>
      </c>
    </row>
    <row r="56" spans="1:22" ht="57" customHeight="1" x14ac:dyDescent="0.2">
      <c r="A56" s="4" t="str">
        <f>Questions!$A56</f>
        <v>CONS-02</v>
      </c>
      <c r="B56" s="4" t="str">
        <f t="shared" si="0"/>
        <v>CONS</v>
      </c>
      <c r="C56" s="4" t="str">
        <f>VLOOKUP($A56,Questions!$A$3:$L$333,2,0)&amp;""</f>
        <v>Has the consultant received training on (sensitive, HIPAA, PCI, etc.) data handling?*</v>
      </c>
      <c r="D56" s="4" t="str">
        <f>VLOOKUP($A56,Questions!$A$3:$L$333,11,0)&amp;""</f>
        <v/>
      </c>
      <c r="E56" s="4" t="str">
        <f>VLOOKUP($A56,Questions!$A$3:$L$333,12,0)&amp;""</f>
        <v>Case-Specific</v>
      </c>
      <c r="F56" s="4" t="str">
        <f>VLOOKUP($A56,'Institution Evaluation'!$A$56:$K$345,3,0)&amp;""</f>
        <v>N/A</v>
      </c>
      <c r="G56" s="4" t="str">
        <f>VLOOKUP($A56,'Institution Evaluation'!$A$56:$K$345,7,0)&amp;""</f>
        <v>Yes</v>
      </c>
      <c r="H56" s="4" t="str">
        <f>VLOOKUP($A56,'Institution Evaluation'!$A$56:$K$345,8,0)&amp;""</f>
        <v/>
      </c>
      <c r="I56" s="4" t="str">
        <f>VLOOKUP($A56,'Institution Evaluation'!$A$56:$K$345,9,0)&amp;""</f>
        <v>Critical Importance</v>
      </c>
      <c r="J56" s="4" t="str">
        <f>VLOOKUP($A56,'Institution Evaluation'!$A$56:$K$345,10,0)&amp;""</f>
        <v/>
      </c>
      <c r="K56" s="4">
        <f>IF($I56='Auto Responses'!$J$11,20,IF($I56='Auto Responses'!$J$13,5,10))</f>
        <v>20</v>
      </c>
      <c r="L56" s="101">
        <f>IF($E56='Auto Responses'!$L$13, 'Auto Responses'!$J$5,IF(AND($D56='Auto Responses'!$J$27,$H56=""),'Auto Responses'!$J$5,IF(AND($D56='Auto Responses'!$J$27,$H56='Auto Responses'!$J$7),1,IF(AND($D56='Auto Responses'!$J$27,$H56='Auto Responses'!$J$8),0,IF(OR(AND($F56=$G56,$H56=""),$H56='Auto Responses'!$J$7),1,0)))))</f>
        <v>0</v>
      </c>
      <c r="M56" s="4" t="str">
        <f>VLOOKUP($A56,'Institution Evaluation'!$A$56:$K$345,11,0)&amp;""</f>
        <v>FALSE</v>
      </c>
      <c r="N56" s="4">
        <f>IF($J56='Auto Responses'!$J$11,1,IF(AND($J56="",$I56='Auto Responses'!$J$11),1,0))</f>
        <v>1</v>
      </c>
      <c r="O56" s="101" t="str">
        <f>IF(OR($F$19='Auto Responses'!$J$4,$E56='Auto Responses'!$L$13,$F56='Auto Responses'!$J$5),'Auto Responses'!$J$5,IF($J56="",$K56,IF($J56='Auto Responses'!$J$13,5,IF($J56='Auto Responses'!$J$12,10,IF($J56='Auto Responses'!$J$11,20,0)))))</f>
        <v>N/A</v>
      </c>
      <c r="P56" s="101" t="str">
        <f>IF(OR($O56='Auto Responses'!$J$5,$L56='Auto Responses'!$J$5),'Auto Responses'!$J$5,$O56*$L56)</f>
        <v>N/A</v>
      </c>
      <c r="Q56" s="101">
        <f t="shared" si="1"/>
        <v>0</v>
      </c>
      <c r="R56" s="101">
        <f t="shared" si="5"/>
        <v>0</v>
      </c>
      <c r="S56" s="101">
        <f t="shared" si="2"/>
        <v>0</v>
      </c>
      <c r="T56" s="101">
        <f t="shared" si="3"/>
        <v>1</v>
      </c>
      <c r="U56" s="101">
        <f t="shared" si="6"/>
        <v>12</v>
      </c>
      <c r="V56" s="101">
        <f t="shared" si="4"/>
        <v>12</v>
      </c>
    </row>
    <row r="57" spans="1:22" ht="57" customHeight="1" x14ac:dyDescent="0.2">
      <c r="A57" s="4" t="str">
        <f>Questions!$A57</f>
        <v>CONS-03</v>
      </c>
      <c r="B57" s="4" t="str">
        <f t="shared" si="0"/>
        <v>CONS</v>
      </c>
      <c r="C57" s="4" t="str">
        <f>VLOOKUP($A57,Questions!$A$3:$L$333,2,0)&amp;""</f>
        <v>Is the data encrypted (at rest) while in the consultant's possession?*</v>
      </c>
      <c r="D57" s="4" t="str">
        <f>VLOOKUP($A57,Questions!$A$3:$L$333,11,0)&amp;""</f>
        <v/>
      </c>
      <c r="E57" s="4" t="str">
        <f>VLOOKUP($A57,Questions!$A$3:$L$333,12,0)&amp;""</f>
        <v>Case-Specific</v>
      </c>
      <c r="F57" s="4" t="str">
        <f>VLOOKUP($A57,'Institution Evaluation'!$A$56:$K$345,3,0)&amp;""</f>
        <v>N/A</v>
      </c>
      <c r="G57" s="4" t="str">
        <f>VLOOKUP($A57,'Institution Evaluation'!$A$56:$K$345,7,0)&amp;""</f>
        <v>Yes</v>
      </c>
      <c r="H57" s="4" t="str">
        <f>VLOOKUP($A57,'Institution Evaluation'!$A$56:$K$345,8,0)&amp;""</f>
        <v/>
      </c>
      <c r="I57" s="4" t="str">
        <f>VLOOKUP($A57,'Institution Evaluation'!$A$56:$K$345,9,0)&amp;""</f>
        <v>Critical Importance</v>
      </c>
      <c r="J57" s="4" t="str">
        <f>VLOOKUP($A57,'Institution Evaluation'!$A$56:$K$345,10,0)&amp;""</f>
        <v/>
      </c>
      <c r="K57" s="4">
        <f>IF($I57='Auto Responses'!$J$11,20,IF($I57='Auto Responses'!$J$13,5,10))</f>
        <v>20</v>
      </c>
      <c r="L57" s="101">
        <f>IF($E57='Auto Responses'!$L$13, 'Auto Responses'!$J$5,IF(AND($D57='Auto Responses'!$J$27,$H57=""),'Auto Responses'!$J$5,IF(AND($D57='Auto Responses'!$J$27,$H57='Auto Responses'!$J$7),1,IF(AND($D57='Auto Responses'!$J$27,$H57='Auto Responses'!$J$8),0,IF(OR(AND($F57=$G57,$H57=""),$H57='Auto Responses'!$J$7),1,0)))))</f>
        <v>0</v>
      </c>
      <c r="M57" s="4" t="str">
        <f>VLOOKUP($A57,'Institution Evaluation'!$A$56:$K$345,11,0)&amp;""</f>
        <v>FALSE</v>
      </c>
      <c r="N57" s="4">
        <f>IF($J57='Auto Responses'!$J$11,1,IF(AND($J57="",$I57='Auto Responses'!$J$11),1,0))</f>
        <v>1</v>
      </c>
      <c r="O57" s="101" t="str">
        <f>IF(OR($F$19='Auto Responses'!$J$4,$E57='Auto Responses'!$L$13,$F57='Auto Responses'!$J$5),'Auto Responses'!$J$5,IF($J57="",$K57,IF($J57='Auto Responses'!$J$13,5,IF($J57='Auto Responses'!$J$12,10,IF($J57='Auto Responses'!$J$11,20,0)))))</f>
        <v>N/A</v>
      </c>
      <c r="P57" s="101" t="str">
        <f>IF(OR($O57='Auto Responses'!$J$5,$L57='Auto Responses'!$J$5),'Auto Responses'!$J$5,$O57*$L57)</f>
        <v>N/A</v>
      </c>
      <c r="Q57" s="101">
        <f t="shared" si="1"/>
        <v>0</v>
      </c>
      <c r="R57" s="101">
        <f t="shared" si="5"/>
        <v>0</v>
      </c>
      <c r="S57" s="101">
        <f t="shared" si="2"/>
        <v>0</v>
      </c>
      <c r="T57" s="101">
        <f t="shared" si="3"/>
        <v>1</v>
      </c>
      <c r="U57" s="101">
        <f t="shared" si="6"/>
        <v>13</v>
      </c>
      <c r="V57" s="101">
        <f t="shared" si="4"/>
        <v>13</v>
      </c>
    </row>
    <row r="58" spans="1:22" ht="57" customHeight="1" x14ac:dyDescent="0.2">
      <c r="A58" s="4" t="str">
        <f>Questions!$A58</f>
        <v>CONS-04</v>
      </c>
      <c r="B58" s="4" t="str">
        <f t="shared" si="0"/>
        <v>CONS</v>
      </c>
      <c r="C58" s="4" t="str">
        <f>VLOOKUP($A58,Questions!$A$3:$L$333,2,0)&amp;""</f>
        <v>Can access be restricted based on source IP address?*</v>
      </c>
      <c r="D58" s="4" t="str">
        <f>VLOOKUP($A58,Questions!$A$3:$L$333,11,0)&amp;""</f>
        <v/>
      </c>
      <c r="E58" s="4" t="str">
        <f>VLOOKUP($A58,Questions!$A$3:$L$333,12,0)&amp;""</f>
        <v>Case-Specific</v>
      </c>
      <c r="F58" s="4" t="str">
        <f>VLOOKUP($A58,'Institution Evaluation'!$A$56:$K$345,3,0)&amp;""</f>
        <v>N/A</v>
      </c>
      <c r="G58" s="4" t="str">
        <f>VLOOKUP($A58,'Institution Evaluation'!$A$56:$K$345,7,0)&amp;""</f>
        <v>Yes</v>
      </c>
      <c r="H58" s="4" t="str">
        <f>VLOOKUP($A58,'Institution Evaluation'!$A$56:$K$345,8,0)&amp;""</f>
        <v/>
      </c>
      <c r="I58" s="4" t="str">
        <f>VLOOKUP($A58,'Institution Evaluation'!$A$56:$K$345,9,0)&amp;""</f>
        <v>Critical Importance</v>
      </c>
      <c r="J58" s="4" t="str">
        <f>VLOOKUP($A58,'Institution Evaluation'!$A$56:$K$345,10,0)&amp;""</f>
        <v/>
      </c>
      <c r="K58" s="4">
        <f>IF($I58='Auto Responses'!$J$11,20,IF($I58='Auto Responses'!$J$13,5,10))</f>
        <v>20</v>
      </c>
      <c r="L58" s="101">
        <f>IF($E58='Auto Responses'!$L$13, 'Auto Responses'!$J$5,IF(AND($D58='Auto Responses'!$J$27,$H58=""),'Auto Responses'!$J$5,IF(AND($D58='Auto Responses'!$J$27,$H58='Auto Responses'!$J$7),1,IF(AND($D58='Auto Responses'!$J$27,$H58='Auto Responses'!$J$8),0,IF(OR(AND($F58=$G58,$H58=""),$H58='Auto Responses'!$J$7),1,0)))))</f>
        <v>0</v>
      </c>
      <c r="M58" s="4" t="str">
        <f>VLOOKUP($A58,'Institution Evaluation'!$A$56:$K$345,11,0)&amp;""</f>
        <v>FALSE</v>
      </c>
      <c r="N58" s="4">
        <f>IF($J58='Auto Responses'!$J$11,1,IF(AND($J58="",$I58='Auto Responses'!$J$11),1,0))</f>
        <v>1</v>
      </c>
      <c r="O58" s="101" t="str">
        <f>IF(OR($F$19='Auto Responses'!$J$4,$E58='Auto Responses'!$L$13,$F58='Auto Responses'!$J$5),'Auto Responses'!$J$5,IF($J58="",$K58,IF($J58='Auto Responses'!$J$13,5,IF($J58='Auto Responses'!$J$12,10,IF($J58='Auto Responses'!$J$11,20,0)))))</f>
        <v>N/A</v>
      </c>
      <c r="P58" s="101" t="str">
        <f>IF(OR($O58='Auto Responses'!$J$5,$L58='Auto Responses'!$J$5),'Auto Responses'!$J$5,$O58*$L58)</f>
        <v>N/A</v>
      </c>
      <c r="Q58" s="101">
        <f t="shared" si="1"/>
        <v>0</v>
      </c>
      <c r="R58" s="101">
        <f t="shared" si="5"/>
        <v>0</v>
      </c>
      <c r="S58" s="101">
        <f t="shared" si="2"/>
        <v>0</v>
      </c>
      <c r="T58" s="101">
        <f t="shared" si="3"/>
        <v>1</v>
      </c>
      <c r="U58" s="101">
        <f t="shared" si="6"/>
        <v>14</v>
      </c>
      <c r="V58" s="101">
        <f t="shared" si="4"/>
        <v>14</v>
      </c>
    </row>
    <row r="59" spans="1:22" ht="57" customHeight="1" x14ac:dyDescent="0.2">
      <c r="A59" s="4" t="str">
        <f>Questions!$A59</f>
        <v>CONS-05</v>
      </c>
      <c r="B59" s="4" t="str">
        <f t="shared" si="0"/>
        <v>CONS</v>
      </c>
      <c r="C59" s="4" t="str">
        <f>VLOOKUP($A59,Questions!$A$3:$L$333,2,0)&amp;""</f>
        <v>Will the consulting take place on-premises?</v>
      </c>
      <c r="D59" s="4" t="str">
        <f>VLOOKUP($A59,Questions!$A$3:$L$333,11,0)&amp;""</f>
        <v/>
      </c>
      <c r="E59" s="4" t="str">
        <f>VLOOKUP($A59,Questions!$A$3:$L$333,12,0)&amp;""</f>
        <v>Case-Specific</v>
      </c>
      <c r="F59" s="4" t="str">
        <f>VLOOKUP($A59,'Institution Evaluation'!$A$56:$K$345,3,0)&amp;""</f>
        <v>N/A</v>
      </c>
      <c r="G59" s="4" t="str">
        <f>VLOOKUP($A59,'Institution Evaluation'!$A$56:$K$345,7,0)&amp;""</f>
        <v>No</v>
      </c>
      <c r="H59" s="4" t="str">
        <f>VLOOKUP($A59,'Institution Evaluation'!$A$56:$K$345,8,0)&amp;""</f>
        <v/>
      </c>
      <c r="I59" s="4" t="str">
        <f>VLOOKUP($A59,'Institution Evaluation'!$A$56:$K$345,9,0)&amp;""</f>
        <v>Standard Importance</v>
      </c>
      <c r="J59" s="4" t="str">
        <f>VLOOKUP($A59,'Institution Evaluation'!$A$56:$K$345,10,0)&amp;""</f>
        <v/>
      </c>
      <c r="K59" s="4">
        <f>IF($I59='Auto Responses'!$J$11,20,IF($I59='Auto Responses'!$J$13,5,10))</f>
        <v>10</v>
      </c>
      <c r="L59" s="101">
        <f>IF($E59='Auto Responses'!$L$13, 'Auto Responses'!$J$5,IF(AND($D59='Auto Responses'!$J$27,$H59=""),'Auto Responses'!$J$5,IF(AND($D59='Auto Responses'!$J$27,$H59='Auto Responses'!$J$7),1,IF(AND($D59='Auto Responses'!$J$27,$H59='Auto Responses'!$J$8),0,IF(OR(AND($F59=$G59,$H59=""),$H59='Auto Responses'!$J$7),1,0)))))</f>
        <v>0</v>
      </c>
      <c r="M59" s="4" t="str">
        <f>VLOOKUP($A59,'Institution Evaluation'!$A$56:$K$345,11,0)&amp;""</f>
        <v>FALSE</v>
      </c>
      <c r="N59" s="4">
        <f>IF($J59='Auto Responses'!$J$11,1,IF(AND($J59="",$I59='Auto Responses'!$J$11),1,0))</f>
        <v>0</v>
      </c>
      <c r="O59" s="101" t="str">
        <f>IF(OR($F$19='Auto Responses'!$J$4,$E59='Auto Responses'!$L$13,$F59='Auto Responses'!$J$5),'Auto Responses'!$J$5,IF($J59="",$K59,IF($J59='Auto Responses'!$J$13,5,IF($J59='Auto Responses'!$J$12,10,IF($J59='Auto Responses'!$J$11,20,0)))))</f>
        <v>N/A</v>
      </c>
      <c r="P59" s="101" t="str">
        <f>IF(OR($O59='Auto Responses'!$J$5,$L59='Auto Responses'!$J$5),'Auto Responses'!$J$5,$O59*$L59)</f>
        <v>N/A</v>
      </c>
      <c r="Q59" s="101">
        <f t="shared" si="1"/>
        <v>0</v>
      </c>
      <c r="R59" s="101">
        <f t="shared" si="5"/>
        <v>0</v>
      </c>
      <c r="S59" s="101">
        <f t="shared" si="2"/>
        <v>0</v>
      </c>
      <c r="T59" s="101">
        <f t="shared" si="3"/>
        <v>0</v>
      </c>
      <c r="U59" s="101">
        <f t="shared" si="6"/>
        <v>14</v>
      </c>
      <c r="V59" s="101">
        <f t="shared" si="4"/>
        <v>0</v>
      </c>
    </row>
    <row r="60" spans="1:22" ht="57" customHeight="1" x14ac:dyDescent="0.2">
      <c r="A60" s="4" t="str">
        <f>Questions!$A60</f>
        <v>CONS-06</v>
      </c>
      <c r="B60" s="4" t="str">
        <f t="shared" si="0"/>
        <v>CONS</v>
      </c>
      <c r="C60" s="4" t="str">
        <f>VLOOKUP($A60,Questions!$A$3:$L$333,2,0)&amp;""</f>
        <v>Will the consultant require access to hardware in the institution's data centers?</v>
      </c>
      <c r="D60" s="4" t="str">
        <f>VLOOKUP($A60,Questions!$A$3:$L$333,11,0)&amp;""</f>
        <v/>
      </c>
      <c r="E60" s="4" t="str">
        <f>VLOOKUP($A60,Questions!$A$3:$L$333,12,0)&amp;""</f>
        <v>Case-Specific</v>
      </c>
      <c r="F60" s="4" t="str">
        <f>VLOOKUP($A60,'Institution Evaluation'!$A$56:$K$345,3,0)&amp;""</f>
        <v>N/A</v>
      </c>
      <c r="G60" s="4" t="str">
        <f>VLOOKUP($A60,'Institution Evaluation'!$A$56:$K$345,7,0)&amp;""</f>
        <v>No</v>
      </c>
      <c r="H60" s="4" t="str">
        <f>VLOOKUP($A60,'Institution Evaluation'!$A$56:$K$345,8,0)&amp;""</f>
        <v/>
      </c>
      <c r="I60" s="4" t="str">
        <f>VLOOKUP($A60,'Institution Evaluation'!$A$56:$K$345,9,0)&amp;""</f>
        <v>Standard Importance</v>
      </c>
      <c r="J60" s="4" t="str">
        <f>VLOOKUP($A60,'Institution Evaluation'!$A$56:$K$345,10,0)&amp;""</f>
        <v/>
      </c>
      <c r="K60" s="4">
        <f>IF($I60='Auto Responses'!$J$11,20,IF($I60='Auto Responses'!$J$13,5,10))</f>
        <v>10</v>
      </c>
      <c r="L60" s="101">
        <f>IF($E60='Auto Responses'!$L$13, 'Auto Responses'!$J$5,IF(AND($D60='Auto Responses'!$J$27,$H60=""),'Auto Responses'!$J$5,IF(AND($D60='Auto Responses'!$J$27,$H60='Auto Responses'!$J$7),1,IF(AND($D60='Auto Responses'!$J$27,$H60='Auto Responses'!$J$8),0,IF(OR(AND($F60=$G60,$H60=""),$H60='Auto Responses'!$J$7),1,0)))))</f>
        <v>0</v>
      </c>
      <c r="M60" s="4" t="str">
        <f>VLOOKUP($A60,'Institution Evaluation'!$A$56:$K$345,11,0)&amp;""</f>
        <v>FALSE</v>
      </c>
      <c r="N60" s="4">
        <f>IF($J60='Auto Responses'!$J$11,1,IF(AND($J60="",$I60='Auto Responses'!$J$11),1,0))</f>
        <v>0</v>
      </c>
      <c r="O60" s="101" t="str">
        <f>IF(OR($F$19='Auto Responses'!$J$4,$E60='Auto Responses'!$L$13,$F60='Auto Responses'!$J$5),'Auto Responses'!$J$5,IF($J60="",$K60,IF($J60='Auto Responses'!$J$13,5,IF($J60='Auto Responses'!$J$12,10,IF($J60='Auto Responses'!$J$11,20,0)))))</f>
        <v>N/A</v>
      </c>
      <c r="P60" s="101" t="str">
        <f>IF(OR($O60='Auto Responses'!$J$5,$L60='Auto Responses'!$J$5),'Auto Responses'!$J$5,$O60*$L60)</f>
        <v>N/A</v>
      </c>
      <c r="Q60" s="101">
        <f t="shared" si="1"/>
        <v>0</v>
      </c>
      <c r="R60" s="101">
        <f t="shared" si="5"/>
        <v>0</v>
      </c>
      <c r="S60" s="101">
        <f t="shared" si="2"/>
        <v>0</v>
      </c>
      <c r="T60" s="101">
        <f t="shared" si="3"/>
        <v>0</v>
      </c>
      <c r="U60" s="101">
        <f t="shared" si="6"/>
        <v>14</v>
      </c>
      <c r="V60" s="101">
        <f t="shared" si="4"/>
        <v>0</v>
      </c>
    </row>
    <row r="61" spans="1:22" ht="57" customHeight="1" x14ac:dyDescent="0.2">
      <c r="A61" s="4" t="str">
        <f>Questions!$A61</f>
        <v>CONS-07</v>
      </c>
      <c r="B61" s="4" t="str">
        <f t="shared" si="0"/>
        <v>CONS</v>
      </c>
      <c r="C61" s="4" t="str">
        <f>VLOOKUP($A61,Questions!$A$3:$L$333,2,0)&amp;""</f>
        <v>Will the consultant require an account within the institution's domain (@*.edu)?</v>
      </c>
      <c r="D61" s="4" t="str">
        <f>VLOOKUP($A61,Questions!$A$3:$L$333,11,0)&amp;""</f>
        <v/>
      </c>
      <c r="E61" s="4" t="str">
        <f>VLOOKUP($A61,Questions!$A$3:$L$333,12,0)&amp;""</f>
        <v>Case-Specific</v>
      </c>
      <c r="F61" s="4" t="str">
        <f>VLOOKUP($A61,'Institution Evaluation'!$A$56:$K$345,3,0)&amp;""</f>
        <v>N/A</v>
      </c>
      <c r="G61" s="4" t="str">
        <f>VLOOKUP($A61,'Institution Evaluation'!$A$56:$K$345,7,0)&amp;""</f>
        <v>No</v>
      </c>
      <c r="H61" s="4" t="str">
        <f>VLOOKUP($A61,'Institution Evaluation'!$A$56:$K$345,8,0)&amp;""</f>
        <v/>
      </c>
      <c r="I61" s="4" t="str">
        <f>VLOOKUP($A61,'Institution Evaluation'!$A$56:$K$345,9,0)&amp;""</f>
        <v>Standard Importance</v>
      </c>
      <c r="J61" s="4" t="str">
        <f>VLOOKUP($A61,'Institution Evaluation'!$A$56:$K$345,10,0)&amp;""</f>
        <v/>
      </c>
      <c r="K61" s="4">
        <f>IF($I61='Auto Responses'!$J$11,20,IF($I61='Auto Responses'!$J$13,5,10))</f>
        <v>10</v>
      </c>
      <c r="L61" s="101">
        <f>IF($E61='Auto Responses'!$L$13, 'Auto Responses'!$J$5,IF(AND($D61='Auto Responses'!$J$27,$H61=""),'Auto Responses'!$J$5,IF(AND($D61='Auto Responses'!$J$27,$H61='Auto Responses'!$J$7),1,IF(AND($D61='Auto Responses'!$J$27,$H61='Auto Responses'!$J$8),0,IF(OR(AND($F61=$G61,$H61=""),$H61='Auto Responses'!$J$7),1,0)))))</f>
        <v>0</v>
      </c>
      <c r="M61" s="4" t="str">
        <f>VLOOKUP($A61,'Institution Evaluation'!$A$56:$K$345,11,0)&amp;""</f>
        <v>FALSE</v>
      </c>
      <c r="N61" s="4">
        <f>IF($J61='Auto Responses'!$J$11,1,IF(AND($J61="",$I61='Auto Responses'!$J$11),1,0))</f>
        <v>0</v>
      </c>
      <c r="O61" s="101" t="str">
        <f>IF(OR($F$19='Auto Responses'!$J$4,$E61='Auto Responses'!$L$13,$F61='Auto Responses'!$J$5),'Auto Responses'!$J$5,IF($J61="",$K61,IF($J61='Auto Responses'!$J$13,5,IF($J61='Auto Responses'!$J$12,10,IF($J61='Auto Responses'!$J$11,20,0)))))</f>
        <v>N/A</v>
      </c>
      <c r="P61" s="101" t="str">
        <f>IF(OR($O61='Auto Responses'!$J$5,$L61='Auto Responses'!$J$5),'Auto Responses'!$J$5,$O61*$L61)</f>
        <v>N/A</v>
      </c>
      <c r="Q61" s="101">
        <f t="shared" si="1"/>
        <v>0</v>
      </c>
      <c r="R61" s="101">
        <f t="shared" si="5"/>
        <v>0</v>
      </c>
      <c r="S61" s="101">
        <f t="shared" si="2"/>
        <v>0</v>
      </c>
      <c r="T61" s="101">
        <f t="shared" si="3"/>
        <v>0</v>
      </c>
      <c r="U61" s="101">
        <f t="shared" si="6"/>
        <v>14</v>
      </c>
      <c r="V61" s="101">
        <f t="shared" si="4"/>
        <v>0</v>
      </c>
    </row>
    <row r="62" spans="1:22" ht="57" customHeight="1" x14ac:dyDescent="0.2">
      <c r="A62" s="4" t="str">
        <f>Questions!$A62</f>
        <v>CONS-08</v>
      </c>
      <c r="B62" s="4" t="str">
        <f t="shared" si="0"/>
        <v>CONS</v>
      </c>
      <c r="C62" s="4" t="str">
        <f>VLOOKUP($A62,Questions!$A$3:$L$333,2,0)&amp;""</f>
        <v>Will any data be transferred to the consultant's possession?</v>
      </c>
      <c r="D62" s="4" t="str">
        <f>VLOOKUP($A62,Questions!$A$3:$L$333,11,0)&amp;""</f>
        <v/>
      </c>
      <c r="E62" s="4" t="str">
        <f>VLOOKUP($A62,Questions!$A$3:$L$333,12,0)&amp;""</f>
        <v>Case-Specific</v>
      </c>
      <c r="F62" s="4" t="str">
        <f>VLOOKUP($A62,'Institution Evaluation'!$A$56:$K$345,3,0)&amp;""</f>
        <v>N/A</v>
      </c>
      <c r="G62" s="4" t="str">
        <f>VLOOKUP($A62,'Institution Evaluation'!$A$56:$K$345,7,0)&amp;""</f>
        <v>No</v>
      </c>
      <c r="H62" s="4" t="str">
        <f>VLOOKUP($A62,'Institution Evaluation'!$A$56:$K$345,8,0)&amp;""</f>
        <v/>
      </c>
      <c r="I62" s="4" t="str">
        <f>VLOOKUP($A62,'Institution Evaluation'!$A$56:$K$345,9,0)&amp;""</f>
        <v>Standard Importance</v>
      </c>
      <c r="J62" s="4" t="str">
        <f>VLOOKUP($A62,'Institution Evaluation'!$A$56:$K$345,10,0)&amp;""</f>
        <v/>
      </c>
      <c r="K62" s="4">
        <f>IF($I62='Auto Responses'!$J$11,20,IF($I62='Auto Responses'!$J$13,5,10))</f>
        <v>10</v>
      </c>
      <c r="L62" s="101">
        <f>IF($E62='Auto Responses'!$L$13, 'Auto Responses'!$J$5,IF(AND($D62='Auto Responses'!$J$27,$H62=""),'Auto Responses'!$J$5,IF(AND($D62='Auto Responses'!$J$27,$H62='Auto Responses'!$J$7),1,IF(AND($D62='Auto Responses'!$J$27,$H62='Auto Responses'!$J$8),0,IF(OR(AND($F62=$G62,$H62=""),$H62='Auto Responses'!$J$7),1,0)))))</f>
        <v>0</v>
      </c>
      <c r="M62" s="4" t="str">
        <f>VLOOKUP($A62,'Institution Evaluation'!$A$56:$K$345,11,0)&amp;""</f>
        <v>FALSE</v>
      </c>
      <c r="N62" s="4">
        <f>IF($J62='Auto Responses'!$J$11,1,IF(AND($J62="",$I62='Auto Responses'!$J$11),1,0))</f>
        <v>0</v>
      </c>
      <c r="O62" s="101" t="str">
        <f>IF(OR($F$19='Auto Responses'!$J$4,$E62='Auto Responses'!$L$13,$F62='Auto Responses'!$J$5),'Auto Responses'!$J$5,IF($J62="",$K62,IF($J62='Auto Responses'!$J$13,5,IF($J62='Auto Responses'!$J$12,10,IF($J62='Auto Responses'!$J$11,20,0)))))</f>
        <v>N/A</v>
      </c>
      <c r="P62" s="101" t="str">
        <f>IF(OR($O62='Auto Responses'!$J$5,$L62='Auto Responses'!$J$5),'Auto Responses'!$J$5,$O62*$L62)</f>
        <v>N/A</v>
      </c>
      <c r="Q62" s="101">
        <f t="shared" si="1"/>
        <v>0</v>
      </c>
      <c r="R62" s="101">
        <f t="shared" si="5"/>
        <v>0</v>
      </c>
      <c r="S62" s="101">
        <f t="shared" si="2"/>
        <v>0</v>
      </c>
      <c r="T62" s="101">
        <f t="shared" si="3"/>
        <v>0</v>
      </c>
      <c r="U62" s="101">
        <f t="shared" si="6"/>
        <v>14</v>
      </c>
      <c r="V62" s="101">
        <f t="shared" si="4"/>
        <v>0</v>
      </c>
    </row>
    <row r="63" spans="1:22" ht="57" customHeight="1" x14ac:dyDescent="0.2">
      <c r="A63" s="4" t="str">
        <f>Questions!$A63</f>
        <v>CONS-09</v>
      </c>
      <c r="B63" s="4" t="str">
        <f t="shared" si="0"/>
        <v>CONS</v>
      </c>
      <c r="C63" s="4" t="str">
        <f>VLOOKUP($A63,Questions!$A$3:$L$333,2,0)&amp;""</f>
        <v>Will the consultant need remote access to the institution's network or systems?</v>
      </c>
      <c r="D63" s="4" t="str">
        <f>VLOOKUP($A63,Questions!$A$3:$L$333,11,0)&amp;""</f>
        <v/>
      </c>
      <c r="E63" s="4" t="str">
        <f>VLOOKUP($A63,Questions!$A$3:$L$333,12,0)&amp;""</f>
        <v>Case-Specific</v>
      </c>
      <c r="F63" s="4" t="str">
        <f>VLOOKUP($A63,'Institution Evaluation'!$A$56:$K$345,3,0)&amp;""</f>
        <v>N/A</v>
      </c>
      <c r="G63" s="4" t="str">
        <f>VLOOKUP($A63,'Institution Evaluation'!$A$56:$K$345,7,0)&amp;""</f>
        <v>No</v>
      </c>
      <c r="H63" s="4" t="str">
        <f>VLOOKUP($A63,'Institution Evaluation'!$A$56:$K$345,8,0)&amp;""</f>
        <v/>
      </c>
      <c r="I63" s="4" t="str">
        <f>VLOOKUP($A63,'Institution Evaluation'!$A$56:$K$345,9,0)&amp;""</f>
        <v>Standard Importance</v>
      </c>
      <c r="J63" s="4" t="str">
        <f>VLOOKUP($A63,'Institution Evaluation'!$A$56:$K$345,10,0)&amp;""</f>
        <v/>
      </c>
      <c r="K63" s="4">
        <f>IF($I63='Auto Responses'!$J$11,20,IF($I63='Auto Responses'!$J$13,5,10))</f>
        <v>10</v>
      </c>
      <c r="L63" s="101">
        <f>IF($E63='Auto Responses'!$L$13, 'Auto Responses'!$J$5,IF(AND($D63='Auto Responses'!$J$27,$H63=""),'Auto Responses'!$J$5,IF(AND($D63='Auto Responses'!$J$27,$H63='Auto Responses'!$J$7),1,IF(AND($D63='Auto Responses'!$J$27,$H63='Auto Responses'!$J$8),0,IF(OR(AND($F63=$G63,$H63=""),$H63='Auto Responses'!$J$7),1,0)))))</f>
        <v>0</v>
      </c>
      <c r="M63" s="4" t="str">
        <f>VLOOKUP($A63,'Institution Evaluation'!$A$56:$K$345,11,0)&amp;""</f>
        <v>FALSE</v>
      </c>
      <c r="N63" s="4">
        <f>IF($J63='Auto Responses'!$J$11,1,IF(AND($J63="",$I63='Auto Responses'!$J$11),1,0))</f>
        <v>0</v>
      </c>
      <c r="O63" s="101" t="str">
        <f>IF(OR($F$19='Auto Responses'!$J$4,$E63='Auto Responses'!$L$13,$F63='Auto Responses'!$J$5),'Auto Responses'!$J$5,IF($J63="",$K63,IF($J63='Auto Responses'!$J$13,5,IF($J63='Auto Responses'!$J$12,10,IF($J63='Auto Responses'!$J$11,20,0)))))</f>
        <v>N/A</v>
      </c>
      <c r="P63" s="101" t="str">
        <f>IF(OR($O63='Auto Responses'!$J$5,$L63='Auto Responses'!$J$5),'Auto Responses'!$J$5,$O63*$L63)</f>
        <v>N/A</v>
      </c>
      <c r="Q63" s="101">
        <f t="shared" si="1"/>
        <v>0</v>
      </c>
      <c r="R63" s="101">
        <f t="shared" si="5"/>
        <v>0</v>
      </c>
      <c r="S63" s="101">
        <f t="shared" si="2"/>
        <v>0</v>
      </c>
      <c r="T63" s="101">
        <f t="shared" si="3"/>
        <v>0</v>
      </c>
      <c r="U63" s="101">
        <f t="shared" si="6"/>
        <v>14</v>
      </c>
      <c r="V63" s="101">
        <f t="shared" si="4"/>
        <v>0</v>
      </c>
    </row>
    <row r="64" spans="1:22" ht="57" customHeight="1" x14ac:dyDescent="0.2">
      <c r="A64" s="4" t="str">
        <f>Questions!$A64</f>
        <v>APPL-01</v>
      </c>
      <c r="B64" s="4" t="str">
        <f t="shared" si="0"/>
        <v>APPL</v>
      </c>
      <c r="C64" s="4" t="str">
        <f>VLOOKUP($A64,Questions!$A$3:$L$333,2,0)&amp;""</f>
        <v>Are access controls for institutional accounts based on structured rules, such as role-based access control (RBAC), attribute-based access control (ABAC), or policy-based access control (PBAC)?*</v>
      </c>
      <c r="D64" s="4" t="str">
        <f>VLOOKUP($A64,Questions!$A$3:$L$333,11,0)&amp;""</f>
        <v/>
      </c>
      <c r="E64" s="4" t="str">
        <f>VLOOKUP($A64,Questions!$A$3:$L$333,12,0)&amp;""</f>
        <v>Infrastructure</v>
      </c>
      <c r="F64" s="4" t="str">
        <f>VLOOKUP($A64,'Institution Evaluation'!$A$56:$K$345,3,0)&amp;""</f>
        <v>Yes</v>
      </c>
      <c r="G64" s="4" t="str">
        <f>VLOOKUP($A64,'Institution Evaluation'!$A$56:$K$345,7,0)&amp;""</f>
        <v>Yes</v>
      </c>
      <c r="H64" s="4" t="str">
        <f>VLOOKUP($A64,'Institution Evaluation'!$A$56:$K$345,8,0)&amp;""</f>
        <v/>
      </c>
      <c r="I64" s="4" t="str">
        <f>VLOOKUP($A64,'Institution Evaluation'!$A$56:$K$345,9,0)&amp;""</f>
        <v>Critical Importance</v>
      </c>
      <c r="J64" s="4" t="str">
        <f>VLOOKUP($A64,'Institution Evaluation'!$A$56:$K$345,10,0)&amp;""</f>
        <v/>
      </c>
      <c r="K64" s="4">
        <f>IF($I64='Auto Responses'!$J$11,20,IF($I64='Auto Responses'!$J$13,5,10))</f>
        <v>20</v>
      </c>
      <c r="L64" s="101">
        <f>IF($E64='Auto Responses'!$L$13, 'Auto Responses'!$J$5,IF(AND($D64='Auto Responses'!$J$27,$H64=""),'Auto Responses'!$J$5,IF(AND($D64='Auto Responses'!$J$27,$H64='Auto Responses'!$J$7),1,IF(AND($D64='Auto Responses'!$J$27,$H64='Auto Responses'!$J$8),0,IF(OR(AND($F64=$G64,$H64=""),$H64='Auto Responses'!$J$7),1,0)))))</f>
        <v>1</v>
      </c>
      <c r="M64" s="4" t="str">
        <f>VLOOKUP($A64,'Institution Evaluation'!$A$56:$K$345,11,0)&amp;""</f>
        <v>FALSE</v>
      </c>
      <c r="N64" s="4">
        <f>IF($J64='Auto Responses'!$J$11,1,IF(AND($J64="",$I64='Auto Responses'!$J$11),1,0))</f>
        <v>1</v>
      </c>
      <c r="O64" s="101">
        <f>IF(OR($F$17='Auto Responses'!$J$4,$E64='Auto Responses'!$L$13,$F64='Auto Responses'!$J$5),'Auto Responses'!$J$5,IF($J64="",$K64,IF($J64='Auto Responses'!$J$13,5,IF($J64='Auto Responses'!$J$12,10,IF($J64='Auto Responses'!$J$11,20,0)))))</f>
        <v>20</v>
      </c>
      <c r="P64" s="101">
        <f>IF(OR($O64='Auto Responses'!$J$5,$L64='Auto Responses'!$J$5),'Auto Responses'!$J$5,$O64*$L64)</f>
        <v>20</v>
      </c>
      <c r="Q64" s="101">
        <f t="shared" si="1"/>
        <v>0</v>
      </c>
      <c r="R64" s="101">
        <f t="shared" si="5"/>
        <v>0</v>
      </c>
      <c r="S64" s="101">
        <f t="shared" si="2"/>
        <v>0</v>
      </c>
      <c r="T64" s="101">
        <f t="shared" si="3"/>
        <v>1</v>
      </c>
      <c r="U64" s="101">
        <f t="shared" si="6"/>
        <v>15</v>
      </c>
      <c r="V64" s="101">
        <f t="shared" si="4"/>
        <v>15</v>
      </c>
    </row>
    <row r="65" spans="1:22" ht="57" customHeight="1" x14ac:dyDescent="0.2">
      <c r="A65" s="4" t="str">
        <f>Questions!$A65</f>
        <v>APPL-02</v>
      </c>
      <c r="B65" s="4" t="str">
        <f t="shared" si="0"/>
        <v>APPL</v>
      </c>
      <c r="C65" s="4" t="str">
        <f>VLOOKUP($A65,Questions!$A$3:$L$333,2,0)&amp;""</f>
        <v>Are you using a web application firewall (WAF)?*</v>
      </c>
      <c r="D65" s="4" t="str">
        <f>VLOOKUP($A65,Questions!$A$3:$L$333,11,0)&amp;""</f>
        <v/>
      </c>
      <c r="E65" s="4" t="str">
        <f>VLOOKUP($A65,Questions!$A$3:$L$333,12,0)&amp;""</f>
        <v>Infrastructure</v>
      </c>
      <c r="F65" s="4" t="str">
        <f>VLOOKUP($A65,'Institution Evaluation'!$A$56:$K$345,3,0)&amp;""</f>
        <v>Yes</v>
      </c>
      <c r="G65" s="4" t="str">
        <f>VLOOKUP($A65,'Institution Evaluation'!$A$56:$K$345,7,0)&amp;""</f>
        <v>Yes</v>
      </c>
      <c r="H65" s="4" t="str">
        <f>VLOOKUP($A65,'Institution Evaluation'!$A$56:$K$345,8,0)&amp;""</f>
        <v/>
      </c>
      <c r="I65" s="4" t="str">
        <f>VLOOKUP($A65,'Institution Evaluation'!$A$56:$K$345,9,0)&amp;""</f>
        <v>Critical Importance</v>
      </c>
      <c r="J65" s="4" t="str">
        <f>VLOOKUP($A65,'Institution Evaluation'!$A$56:$K$345,10,0)&amp;""</f>
        <v/>
      </c>
      <c r="K65" s="4">
        <f>IF($I65='Auto Responses'!$J$11,20,IF($I65='Auto Responses'!$J$13,5,10))</f>
        <v>20</v>
      </c>
      <c r="L65" s="101">
        <f>IF($E65='Auto Responses'!$L$13, 'Auto Responses'!$J$5,IF(AND($D65='Auto Responses'!$J$27,$H65=""),'Auto Responses'!$J$5,IF(AND($D65='Auto Responses'!$J$27,$H65='Auto Responses'!$J$7),1,IF(AND($D65='Auto Responses'!$J$27,$H65='Auto Responses'!$J$8),0,IF(OR(AND($F65=$G65,$H65=""),$H65='Auto Responses'!$J$7),1,0)))))</f>
        <v>1</v>
      </c>
      <c r="M65" s="4" t="str">
        <f>VLOOKUP($A65,'Institution Evaluation'!$A$56:$K$345,11,0)&amp;""</f>
        <v>FALSE</v>
      </c>
      <c r="N65" s="4">
        <f>IF($J65='Auto Responses'!$J$11,1,IF(AND($J65="",$I65='Auto Responses'!$J$11),1,0))</f>
        <v>1</v>
      </c>
      <c r="O65" s="101">
        <f>IF(OR($F$17='Auto Responses'!$J$4,$E65='Auto Responses'!$L$13,$F65='Auto Responses'!$J$5),'Auto Responses'!$J$5,IF($J65="",$K65,IF($J65='Auto Responses'!$J$13,5,IF($J65='Auto Responses'!$J$12,10,IF($J65='Auto Responses'!$J$11,20,0)))))</f>
        <v>20</v>
      </c>
      <c r="P65" s="101">
        <f>IF(OR($O65='Auto Responses'!$J$5,$L65='Auto Responses'!$J$5),'Auto Responses'!$J$5,$O65*$L65)</f>
        <v>20</v>
      </c>
      <c r="Q65" s="101">
        <f t="shared" si="1"/>
        <v>0</v>
      </c>
      <c r="R65" s="101">
        <f t="shared" si="5"/>
        <v>0</v>
      </c>
      <c r="S65" s="101">
        <f t="shared" si="2"/>
        <v>0</v>
      </c>
      <c r="T65" s="101">
        <f t="shared" si="3"/>
        <v>1</v>
      </c>
      <c r="U65" s="101">
        <f t="shared" si="6"/>
        <v>16</v>
      </c>
      <c r="V65" s="101">
        <f t="shared" si="4"/>
        <v>16</v>
      </c>
    </row>
    <row r="66" spans="1:22" ht="57" customHeight="1" x14ac:dyDescent="0.2">
      <c r="A66" s="4" t="str">
        <f>Questions!$A66</f>
        <v>APPL-03</v>
      </c>
      <c r="B66" s="4" t="str">
        <f t="shared" si="0"/>
        <v>APPL</v>
      </c>
      <c r="C66" s="4" t="str">
        <f>VLOOKUP($A66,Questions!$A$3:$L$333,2,0)&amp;""</f>
        <v>Are only currently supported operating system(s), software, and libraries leveraged by the system(s)/application(s) that will have access to institution's data?*</v>
      </c>
      <c r="D66" s="4" t="str">
        <f>VLOOKUP($A66,Questions!$A$3:$L$333,11,0)&amp;""</f>
        <v/>
      </c>
      <c r="E66" s="4" t="str">
        <f>VLOOKUP($A66,Questions!$A$3:$L$333,12,0)&amp;""</f>
        <v>Infrastructure</v>
      </c>
      <c r="F66" s="4" t="str">
        <f>VLOOKUP($A66,'Institution Evaluation'!$A$56:$K$345,3,0)&amp;""</f>
        <v>Yes</v>
      </c>
      <c r="G66" s="4" t="str">
        <f>VLOOKUP($A66,'Institution Evaluation'!$A$56:$K$345,7,0)&amp;""</f>
        <v>Yes</v>
      </c>
      <c r="H66" s="4" t="str">
        <f>VLOOKUP($A66,'Institution Evaluation'!$A$56:$K$345,8,0)&amp;""</f>
        <v/>
      </c>
      <c r="I66" s="4" t="str">
        <f>VLOOKUP($A66,'Institution Evaluation'!$A$56:$K$345,9,0)&amp;""</f>
        <v>Critical Importance</v>
      </c>
      <c r="J66" s="4" t="str">
        <f>VLOOKUP($A66,'Institution Evaluation'!$A$56:$K$345,10,0)&amp;""</f>
        <v/>
      </c>
      <c r="K66" s="4">
        <f>IF($I66='Auto Responses'!$J$11,20,IF($I66='Auto Responses'!$J$13,5,10))</f>
        <v>20</v>
      </c>
      <c r="L66" s="101">
        <f>IF($E66='Auto Responses'!$L$13, 'Auto Responses'!$J$5,IF(AND($D66='Auto Responses'!$J$27,$H66=""),'Auto Responses'!$J$5,IF(AND($D66='Auto Responses'!$J$27,$H66='Auto Responses'!$J$7),1,IF(AND($D66='Auto Responses'!$J$27,$H66='Auto Responses'!$J$8),0,IF(OR(AND($F66=$G66,$H66=""),$H66='Auto Responses'!$J$7),1,0)))))</f>
        <v>1</v>
      </c>
      <c r="M66" s="4" t="str">
        <f>VLOOKUP($A66,'Institution Evaluation'!$A$56:$K$345,11,0)&amp;""</f>
        <v>FALSE</v>
      </c>
      <c r="N66" s="4">
        <f>IF($J66='Auto Responses'!$J$11,1,IF(AND($J66="",$I66='Auto Responses'!$J$11),1,0))</f>
        <v>1</v>
      </c>
      <c r="O66" s="101">
        <f>IF(OR($F$17='Auto Responses'!$J$4,$E66='Auto Responses'!$L$13,$F66='Auto Responses'!$J$5),'Auto Responses'!$J$5,IF($J66="",$K66,IF($J66='Auto Responses'!$J$13,5,IF($J66='Auto Responses'!$J$12,10,IF($J66='Auto Responses'!$J$11,20,0)))))</f>
        <v>20</v>
      </c>
      <c r="P66" s="101">
        <f>IF(OR($O66='Auto Responses'!$J$5,$L66='Auto Responses'!$J$5),'Auto Responses'!$J$5,$O66*$L66)</f>
        <v>20</v>
      </c>
      <c r="Q66" s="101">
        <f t="shared" si="1"/>
        <v>0</v>
      </c>
      <c r="R66" s="101">
        <f t="shared" si="5"/>
        <v>0</v>
      </c>
      <c r="S66" s="101">
        <f t="shared" si="2"/>
        <v>0</v>
      </c>
      <c r="T66" s="101">
        <f t="shared" si="3"/>
        <v>1</v>
      </c>
      <c r="U66" s="101">
        <f t="shared" si="6"/>
        <v>17</v>
      </c>
      <c r="V66" s="101">
        <f t="shared" si="4"/>
        <v>17</v>
      </c>
    </row>
    <row r="67" spans="1:22" ht="57" customHeight="1" x14ac:dyDescent="0.2">
      <c r="A67" s="4" t="str">
        <f>Questions!$A67</f>
        <v>APPL-04</v>
      </c>
      <c r="B67" s="4" t="str">
        <f t="shared" ref="B67:B130" si="7">LEFT(A67,4)</f>
        <v>APPL</v>
      </c>
      <c r="C67" s="4" t="str">
        <f>VLOOKUP($A67,Questions!$A$3:$L$333,2,0)&amp;""</f>
        <v>Does your application require access to location or GPS data?*</v>
      </c>
      <c r="D67" s="4" t="str">
        <f>VLOOKUP($A67,Questions!$A$3:$L$333,11,0)&amp;""</f>
        <v/>
      </c>
      <c r="E67" s="4" t="str">
        <f>VLOOKUP($A67,Questions!$A$3:$L$333,12,0)&amp;""</f>
        <v>Infrastructure</v>
      </c>
      <c r="F67" s="4" t="str">
        <f>VLOOKUP($A67,'Institution Evaluation'!$A$56:$K$345,3,0)&amp;""</f>
        <v>No</v>
      </c>
      <c r="G67" s="4" t="str">
        <f>VLOOKUP($A67,'Institution Evaluation'!$A$56:$K$345,7,0)&amp;""</f>
        <v>No</v>
      </c>
      <c r="H67" s="4" t="str">
        <f>VLOOKUP($A67,'Institution Evaluation'!$A$56:$K$345,8,0)&amp;""</f>
        <v/>
      </c>
      <c r="I67" s="4" t="str">
        <f>VLOOKUP($A67,'Institution Evaluation'!$A$56:$K$345,9,0)&amp;""</f>
        <v>Critical Importance</v>
      </c>
      <c r="J67" s="4" t="str">
        <f>VLOOKUP($A67,'Institution Evaluation'!$A$56:$K$345,10,0)&amp;""</f>
        <v/>
      </c>
      <c r="K67" s="4">
        <f>IF($I67='Auto Responses'!$J$11,20,IF($I67='Auto Responses'!$J$13,5,10))</f>
        <v>20</v>
      </c>
      <c r="L67" s="101">
        <f>IF($E67='Auto Responses'!$L$13, 'Auto Responses'!$J$5,IF(AND($D67='Auto Responses'!$J$27,$H67=""),'Auto Responses'!$J$5,IF(AND($D67='Auto Responses'!$J$27,$H67='Auto Responses'!$J$7),1,IF(AND($D67='Auto Responses'!$J$27,$H67='Auto Responses'!$J$8),0,IF(OR(AND($F67=$G67,$H67=""),$H67='Auto Responses'!$J$7),1,0)))))</f>
        <v>1</v>
      </c>
      <c r="M67" s="4" t="str">
        <f>VLOOKUP($A67,'Institution Evaluation'!$A$56:$K$345,11,0)&amp;""</f>
        <v>FALSE</v>
      </c>
      <c r="N67" s="4">
        <f>IF($J67='Auto Responses'!$J$11,1,IF(AND($J67="",$I67='Auto Responses'!$J$11),1,0))</f>
        <v>1</v>
      </c>
      <c r="O67" s="101">
        <f>IF(OR($F$17='Auto Responses'!$J$4,$E67='Auto Responses'!$L$13,$F67='Auto Responses'!$J$5),'Auto Responses'!$J$5,IF($J67="",$K67,IF($J67='Auto Responses'!$J$13,5,IF($J67='Auto Responses'!$J$12,10,IF($J67='Auto Responses'!$J$11,20,0)))))</f>
        <v>20</v>
      </c>
      <c r="P67" s="101">
        <f>IF(OR($O67='Auto Responses'!$J$5,$L67='Auto Responses'!$J$5),'Auto Responses'!$J$5,$O67*$L67)</f>
        <v>20</v>
      </c>
      <c r="Q67" s="101">
        <f t="shared" ref="Q67:Q130" si="8">IF(M67="TRUE",1,0)</f>
        <v>0</v>
      </c>
      <c r="R67" s="101">
        <f t="shared" si="5"/>
        <v>0</v>
      </c>
      <c r="S67" s="101">
        <f t="shared" ref="S67:S130" si="9">IF(Q67=0,0,R67)</f>
        <v>0</v>
      </c>
      <c r="T67" s="101">
        <f t="shared" ref="T67:T130" si="10">IF(N67=1,1,0)</f>
        <v>1</v>
      </c>
      <c r="U67" s="101">
        <f t="shared" si="6"/>
        <v>18</v>
      </c>
      <c r="V67" s="101">
        <f t="shared" ref="V67:V130" si="11">IF(T67=0,0,U67)</f>
        <v>18</v>
      </c>
    </row>
    <row r="68" spans="1:22" ht="57" customHeight="1" x14ac:dyDescent="0.2">
      <c r="A68" s="4" t="str">
        <f>Questions!$A68</f>
        <v>APPL-05</v>
      </c>
      <c r="B68" s="4" t="str">
        <f t="shared" si="7"/>
        <v>APPL</v>
      </c>
      <c r="C68" s="4" t="str">
        <f>VLOOKUP($A68,Questions!$A$3:$L$333,2,0)&amp;""</f>
        <v>Does your application provide separation of duties between security administration, system administration, and standard user functions?*</v>
      </c>
      <c r="D68" s="4" t="str">
        <f>VLOOKUP($A68,Questions!$A$3:$L$333,11,0)&amp;""</f>
        <v/>
      </c>
      <c r="E68" s="4" t="str">
        <f>VLOOKUP($A68,Questions!$A$3:$L$333,12,0)&amp;""</f>
        <v>Infrastructure</v>
      </c>
      <c r="F68" s="4" t="str">
        <f>VLOOKUP($A68,'Institution Evaluation'!$A$56:$K$345,3,0)&amp;""</f>
        <v>Yes</v>
      </c>
      <c r="G68" s="4" t="str">
        <f>VLOOKUP($A68,'Institution Evaluation'!$A$56:$K$345,7,0)&amp;""</f>
        <v>Yes</v>
      </c>
      <c r="H68" s="4" t="str">
        <f>VLOOKUP($A68,'Institution Evaluation'!$A$56:$K$345,8,0)&amp;""</f>
        <v/>
      </c>
      <c r="I68" s="4" t="str">
        <f>VLOOKUP($A68,'Institution Evaluation'!$A$56:$K$345,9,0)&amp;""</f>
        <v>Critical Importance</v>
      </c>
      <c r="J68" s="4" t="str">
        <f>VLOOKUP($A68,'Institution Evaluation'!$A$56:$K$345,10,0)&amp;""</f>
        <v/>
      </c>
      <c r="K68" s="4">
        <f>IF($I68='Auto Responses'!$J$11,20,IF($I68='Auto Responses'!$J$13,5,10))</f>
        <v>20</v>
      </c>
      <c r="L68" s="101">
        <f>IF($E68='Auto Responses'!$L$13, 'Auto Responses'!$J$5,IF(AND($D68='Auto Responses'!$J$27,$H68=""),'Auto Responses'!$J$5,IF(AND($D68='Auto Responses'!$J$27,$H68='Auto Responses'!$J$7),1,IF(AND($D68='Auto Responses'!$J$27,$H68='Auto Responses'!$J$8),0,IF(OR(AND($F68=$G68,$H68=""),$H68='Auto Responses'!$J$7),1,0)))))</f>
        <v>1</v>
      </c>
      <c r="M68" s="4" t="str">
        <f>VLOOKUP($A68,'Institution Evaluation'!$A$56:$K$345,11,0)&amp;""</f>
        <v>FALSE</v>
      </c>
      <c r="N68" s="4">
        <f>IF($J68='Auto Responses'!$J$11,1,IF(AND($J68="",$I68='Auto Responses'!$J$11),1,0))</f>
        <v>1</v>
      </c>
      <c r="O68" s="101">
        <f>IF(OR($F$17='Auto Responses'!$J$4,$E68='Auto Responses'!$L$13,$F68='Auto Responses'!$J$5),'Auto Responses'!$J$5,IF($J68="",$K68,IF($J68='Auto Responses'!$J$13,5,IF($J68='Auto Responses'!$J$12,10,IF($J68='Auto Responses'!$J$11,20,0)))))</f>
        <v>20</v>
      </c>
      <c r="P68" s="101">
        <f>IF(OR($O68='Auto Responses'!$J$5,$L68='Auto Responses'!$J$5),'Auto Responses'!$J$5,$O68*$L68)</f>
        <v>20</v>
      </c>
      <c r="Q68" s="101">
        <f t="shared" si="8"/>
        <v>0</v>
      </c>
      <c r="R68" s="101">
        <f t="shared" ref="R68:R131" si="12">R67+Q68</f>
        <v>0</v>
      </c>
      <c r="S68" s="101">
        <f t="shared" si="9"/>
        <v>0</v>
      </c>
      <c r="T68" s="101">
        <f t="shared" si="10"/>
        <v>1</v>
      </c>
      <c r="U68" s="101">
        <f t="shared" ref="U68:U131" si="13">U67+T68</f>
        <v>19</v>
      </c>
      <c r="V68" s="101">
        <f t="shared" si="11"/>
        <v>19</v>
      </c>
    </row>
    <row r="69" spans="1:22" ht="57" customHeight="1" x14ac:dyDescent="0.2">
      <c r="A69" s="4" t="str">
        <f>Questions!$A69</f>
        <v>APPL-06</v>
      </c>
      <c r="B69" s="4" t="str">
        <f t="shared" si="7"/>
        <v>APPL</v>
      </c>
      <c r="C69" s="4" t="str">
        <f>VLOOKUP($A69,Questions!$A$3:$L$333,2,0)&amp;""</f>
        <v>Do you subject your code to static code analysis and/or static application security testing prior to release?*</v>
      </c>
      <c r="D69" s="4" t="str">
        <f>VLOOKUP($A69,Questions!$A$3:$L$333,11,0)&amp;""</f>
        <v/>
      </c>
      <c r="E69" s="4" t="str">
        <f>VLOOKUP($A69,Questions!$A$3:$L$333,12,0)&amp;""</f>
        <v>Infrastructure</v>
      </c>
      <c r="F69" s="4" t="str">
        <f>VLOOKUP($A69,'Institution Evaluation'!$A$56:$K$345,3,0)&amp;""</f>
        <v>Yes</v>
      </c>
      <c r="G69" s="4" t="str">
        <f>VLOOKUP($A69,'Institution Evaluation'!$A$56:$K$345,7,0)&amp;""</f>
        <v>Yes</v>
      </c>
      <c r="H69" s="4" t="str">
        <f>VLOOKUP($A69,'Institution Evaluation'!$A$56:$K$345,8,0)&amp;""</f>
        <v/>
      </c>
      <c r="I69" s="4" t="str">
        <f>VLOOKUP($A69,'Institution Evaluation'!$A$56:$K$345,9,0)&amp;""</f>
        <v>Critical Importance</v>
      </c>
      <c r="J69" s="4" t="str">
        <f>VLOOKUP($A69,'Institution Evaluation'!$A$56:$K$345,10,0)&amp;""</f>
        <v/>
      </c>
      <c r="K69" s="4">
        <f>IF($I69='Auto Responses'!$J$11,20,IF($I69='Auto Responses'!$J$13,5,10))</f>
        <v>20</v>
      </c>
      <c r="L69" s="101">
        <f>IF($E69='Auto Responses'!$L$13, 'Auto Responses'!$J$5,IF(AND($D69='Auto Responses'!$J$27,$H69=""),'Auto Responses'!$J$5,IF(AND($D69='Auto Responses'!$J$27,$H69='Auto Responses'!$J$7),1,IF(AND($D69='Auto Responses'!$J$27,$H69='Auto Responses'!$J$8),0,IF(OR(AND($F69=$G69,$H69=""),$H69='Auto Responses'!$J$7),1,0)))))</f>
        <v>1</v>
      </c>
      <c r="M69" s="4" t="str">
        <f>VLOOKUP($A69,'Institution Evaluation'!$A$56:$K$345,11,0)&amp;""</f>
        <v>FALSE</v>
      </c>
      <c r="N69" s="4">
        <f>IF($J69='Auto Responses'!$J$11,1,IF(AND($J69="",$I69='Auto Responses'!$J$11),1,0))</f>
        <v>1</v>
      </c>
      <c r="O69" s="101">
        <f>IF(OR($F$17='Auto Responses'!$J$4,$E69='Auto Responses'!$L$13,$F69='Auto Responses'!$J$5),'Auto Responses'!$J$5,IF($J69="",$K69,IF($J69='Auto Responses'!$J$13,5,IF($J69='Auto Responses'!$J$12,10,IF($J69='Auto Responses'!$J$11,20,0)))))</f>
        <v>20</v>
      </c>
      <c r="P69" s="101">
        <f>IF(OR($O69='Auto Responses'!$J$5,$L69='Auto Responses'!$J$5),'Auto Responses'!$J$5,$O69*$L69)</f>
        <v>20</v>
      </c>
      <c r="Q69" s="101">
        <f t="shared" si="8"/>
        <v>0</v>
      </c>
      <c r="R69" s="101">
        <f t="shared" si="12"/>
        <v>0</v>
      </c>
      <c r="S69" s="101">
        <f t="shared" si="9"/>
        <v>0</v>
      </c>
      <c r="T69" s="101">
        <f t="shared" si="10"/>
        <v>1</v>
      </c>
      <c r="U69" s="101">
        <f t="shared" si="13"/>
        <v>20</v>
      </c>
      <c r="V69" s="101">
        <f t="shared" si="11"/>
        <v>20</v>
      </c>
    </row>
    <row r="70" spans="1:22" ht="57" customHeight="1" x14ac:dyDescent="0.2">
      <c r="A70" s="4" t="str">
        <f>Questions!$A70</f>
        <v>APPL-07</v>
      </c>
      <c r="B70" s="4" t="str">
        <f t="shared" si="7"/>
        <v>APPL</v>
      </c>
      <c r="C70" s="4" t="str">
        <f>VLOOKUP($A70,Questions!$A$3:$L$333,2,0)&amp;""</f>
        <v>Do you have software testing processes (dynamic or static) that are established and followed?*</v>
      </c>
      <c r="D70" s="4" t="str">
        <f>VLOOKUP($A70,Questions!$A$3:$L$333,11,0)&amp;""</f>
        <v/>
      </c>
      <c r="E70" s="4" t="str">
        <f>VLOOKUP($A70,Questions!$A$3:$L$333,12,0)&amp;""</f>
        <v>Infrastructure</v>
      </c>
      <c r="F70" s="4" t="str">
        <f>VLOOKUP($A70,'Institution Evaluation'!$A$56:$K$345,3,0)&amp;""</f>
        <v>Yes</v>
      </c>
      <c r="G70" s="4" t="str">
        <f>VLOOKUP($A70,'Institution Evaluation'!$A$56:$K$345,7,0)&amp;""</f>
        <v>Yes</v>
      </c>
      <c r="H70" s="4" t="str">
        <f>VLOOKUP($A70,'Institution Evaluation'!$A$56:$K$345,8,0)&amp;""</f>
        <v/>
      </c>
      <c r="I70" s="4" t="str">
        <f>VLOOKUP($A70,'Institution Evaluation'!$A$56:$K$345,9,0)&amp;""</f>
        <v>Critical Importance</v>
      </c>
      <c r="J70" s="4" t="str">
        <f>VLOOKUP($A70,'Institution Evaluation'!$A$56:$K$345,10,0)&amp;""</f>
        <v/>
      </c>
      <c r="K70" s="4">
        <f>IF($I70='Auto Responses'!$J$11,20,IF($I70='Auto Responses'!$J$13,5,10))</f>
        <v>20</v>
      </c>
      <c r="L70" s="101">
        <f>IF($E70='Auto Responses'!$L$13, 'Auto Responses'!$J$5,IF(AND($D70='Auto Responses'!$J$27,$H70=""),'Auto Responses'!$J$5,IF(AND($D70='Auto Responses'!$J$27,$H70='Auto Responses'!$J$7),1,IF(AND($D70='Auto Responses'!$J$27,$H70='Auto Responses'!$J$8),0,IF(OR(AND($F70=$G70,$H70=""),$H70='Auto Responses'!$J$7),1,0)))))</f>
        <v>1</v>
      </c>
      <c r="M70" s="4" t="str">
        <f>VLOOKUP($A70,'Institution Evaluation'!$A$56:$K$345,11,0)&amp;""</f>
        <v>FALSE</v>
      </c>
      <c r="N70" s="4">
        <f>IF($J70='Auto Responses'!$J$11,1,IF(AND($J70="",$I70='Auto Responses'!$J$11),1,0))</f>
        <v>1</v>
      </c>
      <c r="O70" s="101">
        <f>IF(OR($F$17='Auto Responses'!$J$4,$E70='Auto Responses'!$L$13,$F70='Auto Responses'!$J$5),'Auto Responses'!$J$5,IF($J70="",$K70,IF($J70='Auto Responses'!$J$13,5,IF($J70='Auto Responses'!$J$12,10,IF($J70='Auto Responses'!$J$11,20,0)))))</f>
        <v>20</v>
      </c>
      <c r="P70" s="101">
        <f>IF(OR($O70='Auto Responses'!$J$5,$L70='Auto Responses'!$J$5),'Auto Responses'!$J$5,$O70*$L70)</f>
        <v>20</v>
      </c>
      <c r="Q70" s="101">
        <f t="shared" si="8"/>
        <v>0</v>
      </c>
      <c r="R70" s="101">
        <f t="shared" si="12"/>
        <v>0</v>
      </c>
      <c r="S70" s="101">
        <f t="shared" si="9"/>
        <v>0</v>
      </c>
      <c r="T70" s="101">
        <f t="shared" si="10"/>
        <v>1</v>
      </c>
      <c r="U70" s="101">
        <f t="shared" si="13"/>
        <v>21</v>
      </c>
      <c r="V70" s="101">
        <f t="shared" si="11"/>
        <v>21</v>
      </c>
    </row>
    <row r="71" spans="1:22" ht="57" customHeight="1" x14ac:dyDescent="0.2">
      <c r="A71" s="4" t="str">
        <f>Questions!$A71</f>
        <v>APPL-08</v>
      </c>
      <c r="B71" s="4" t="str">
        <f t="shared" si="7"/>
        <v>APPL</v>
      </c>
      <c r="C71" s="4" t="str">
        <f>VLOOKUP($A71,Questions!$A$3:$L$333,2,0)&amp;""</f>
        <v>Are access controls for staff within your organization based on structured rules, such as RBAC, ABAC, or PBAC?</v>
      </c>
      <c r="D71" s="4" t="str">
        <f>VLOOKUP($A71,Questions!$A$3:$L$333,11,0)&amp;""</f>
        <v/>
      </c>
      <c r="E71" s="4" t="str">
        <f>VLOOKUP($A71,Questions!$A$3:$L$333,12,0)&amp;""</f>
        <v>Infrastructure</v>
      </c>
      <c r="F71" s="4" t="str">
        <f>VLOOKUP($A71,'Institution Evaluation'!$A$56:$K$345,3,0)&amp;""</f>
        <v>Yes</v>
      </c>
      <c r="G71" s="4" t="str">
        <f>VLOOKUP($A71,'Institution Evaluation'!$A$56:$K$345,7,0)&amp;""</f>
        <v>Yes</v>
      </c>
      <c r="H71" s="4" t="str">
        <f>VLOOKUP($A71,'Institution Evaluation'!$A$56:$K$345,8,0)&amp;""</f>
        <v/>
      </c>
      <c r="I71" s="4" t="str">
        <f>VLOOKUP($A71,'Institution Evaluation'!$A$56:$K$345,9,0)&amp;""</f>
        <v>Standard Importance</v>
      </c>
      <c r="J71" s="4" t="str">
        <f>VLOOKUP($A71,'Institution Evaluation'!$A$56:$K$345,10,0)&amp;""</f>
        <v/>
      </c>
      <c r="K71" s="4">
        <f>IF($I71='Auto Responses'!$J$11,20,IF($I71='Auto Responses'!$J$13,5,10))</f>
        <v>10</v>
      </c>
      <c r="L71" s="101">
        <f>IF($E71='Auto Responses'!$L$13, 'Auto Responses'!$J$5,IF(AND($D71='Auto Responses'!$J$27,$H71=""),'Auto Responses'!$J$5,IF(AND($D71='Auto Responses'!$J$27,$H71='Auto Responses'!$J$7),1,IF(AND($D71='Auto Responses'!$J$27,$H71='Auto Responses'!$J$8),0,IF(OR(AND($F71=$G71,$H71=""),$H71='Auto Responses'!$J$7),1,0)))))</f>
        <v>1</v>
      </c>
      <c r="M71" s="4" t="str">
        <f>VLOOKUP($A71,'Institution Evaluation'!$A$56:$K$345,11,0)&amp;""</f>
        <v>FALSE</v>
      </c>
      <c r="N71" s="4">
        <f>IF($J71='Auto Responses'!$J$11,1,IF(AND($J71="",$I71='Auto Responses'!$J$11),1,0))</f>
        <v>0</v>
      </c>
      <c r="O71" s="101">
        <f>IF(OR($F$17='Auto Responses'!$J$4,$E71='Auto Responses'!$L$13,$F71='Auto Responses'!$J$5),'Auto Responses'!$J$5,IF($J71="",$K71,IF($J71='Auto Responses'!$J$13,5,IF($J71='Auto Responses'!$J$12,10,IF($J71='Auto Responses'!$J$11,20,0)))))</f>
        <v>10</v>
      </c>
      <c r="P71" s="101">
        <f>IF(OR($O71='Auto Responses'!$J$5,$L71='Auto Responses'!$J$5),'Auto Responses'!$J$5,$O71*$L71)</f>
        <v>10</v>
      </c>
      <c r="Q71" s="101">
        <f t="shared" si="8"/>
        <v>0</v>
      </c>
      <c r="R71" s="101">
        <f t="shared" si="12"/>
        <v>0</v>
      </c>
      <c r="S71" s="101">
        <f t="shared" si="9"/>
        <v>0</v>
      </c>
      <c r="T71" s="101">
        <f t="shared" si="10"/>
        <v>0</v>
      </c>
      <c r="U71" s="101">
        <f t="shared" si="13"/>
        <v>21</v>
      </c>
      <c r="V71" s="101">
        <f t="shared" si="11"/>
        <v>0</v>
      </c>
    </row>
    <row r="72" spans="1:22" ht="57" customHeight="1" x14ac:dyDescent="0.2">
      <c r="A72" s="4" t="str">
        <f>Questions!$A72</f>
        <v>APPL-09</v>
      </c>
      <c r="B72" s="4" t="str">
        <f t="shared" si="7"/>
        <v>APPL</v>
      </c>
      <c r="C72" s="4" t="str">
        <f>VLOOKUP($A72,Questions!$A$3:$L$333,2,0)&amp;""</f>
        <v>Does the system provide data input validation and error messages?</v>
      </c>
      <c r="D72" s="4" t="str">
        <f>VLOOKUP($A72,Questions!$A$3:$L$333,11,0)&amp;""</f>
        <v/>
      </c>
      <c r="E72" s="4" t="str">
        <f>VLOOKUP($A72,Questions!$A$3:$L$333,12,0)&amp;""</f>
        <v>Infrastructure</v>
      </c>
      <c r="F72" s="4" t="str">
        <f>VLOOKUP($A72,'Institution Evaluation'!$A$56:$K$345,3,0)&amp;""</f>
        <v>Yes</v>
      </c>
      <c r="G72" s="4" t="str">
        <f>VLOOKUP($A72,'Institution Evaluation'!$A$56:$K$345,7,0)&amp;""</f>
        <v>Yes</v>
      </c>
      <c r="H72" s="4" t="str">
        <f>VLOOKUP($A72,'Institution Evaluation'!$A$56:$K$345,8,0)&amp;""</f>
        <v/>
      </c>
      <c r="I72" s="4" t="str">
        <f>VLOOKUP($A72,'Institution Evaluation'!$A$56:$K$345,9,0)&amp;""</f>
        <v>Standard Importance</v>
      </c>
      <c r="J72" s="4" t="str">
        <f>VLOOKUP($A72,'Institution Evaluation'!$A$56:$K$345,10,0)&amp;""</f>
        <v/>
      </c>
      <c r="K72" s="4">
        <f>IF($I72='Auto Responses'!$J$11,20,IF($I72='Auto Responses'!$J$13,5,10))</f>
        <v>10</v>
      </c>
      <c r="L72" s="101">
        <f>IF($E72='Auto Responses'!$L$13, 'Auto Responses'!$J$5,IF(AND($D72='Auto Responses'!$J$27,$H72=""),'Auto Responses'!$J$5,IF(AND($D72='Auto Responses'!$J$27,$H72='Auto Responses'!$J$7),1,IF(AND($D72='Auto Responses'!$J$27,$H72='Auto Responses'!$J$8),0,IF(OR(AND($F72=$G72,$H72=""),$H72='Auto Responses'!$J$7),1,0)))))</f>
        <v>1</v>
      </c>
      <c r="M72" s="4" t="str">
        <f>VLOOKUP($A72,'Institution Evaluation'!$A$56:$K$345,11,0)&amp;""</f>
        <v>FALSE</v>
      </c>
      <c r="N72" s="4">
        <f>IF($J72='Auto Responses'!$J$11,1,IF(AND($J72="",$I72='Auto Responses'!$J$11),1,0))</f>
        <v>0</v>
      </c>
      <c r="O72" s="101">
        <f>IF(OR($F$17='Auto Responses'!$J$4,$E72='Auto Responses'!$L$13,$F72='Auto Responses'!$J$5),'Auto Responses'!$J$5,IF($J72="",$K72,IF($J72='Auto Responses'!$J$13,5,IF($J72='Auto Responses'!$J$12,10,IF($J72='Auto Responses'!$J$11,20,0)))))</f>
        <v>10</v>
      </c>
      <c r="P72" s="101">
        <f>IF(OR($O72='Auto Responses'!$J$5,$L72='Auto Responses'!$J$5),'Auto Responses'!$J$5,$O72*$L72)</f>
        <v>10</v>
      </c>
      <c r="Q72" s="101">
        <f t="shared" si="8"/>
        <v>0</v>
      </c>
      <c r="R72" s="101">
        <f t="shared" si="12"/>
        <v>0</v>
      </c>
      <c r="S72" s="101">
        <f t="shared" si="9"/>
        <v>0</v>
      </c>
      <c r="T72" s="101">
        <f t="shared" si="10"/>
        <v>0</v>
      </c>
      <c r="U72" s="101">
        <f t="shared" si="13"/>
        <v>21</v>
      </c>
      <c r="V72" s="101">
        <f t="shared" si="11"/>
        <v>0</v>
      </c>
    </row>
    <row r="73" spans="1:22" ht="57" customHeight="1" x14ac:dyDescent="0.2">
      <c r="A73" s="4" t="str">
        <f>Questions!$A73</f>
        <v>APPL-10</v>
      </c>
      <c r="B73" s="4" t="str">
        <f t="shared" si="7"/>
        <v>APPL</v>
      </c>
      <c r="C73" s="4" t="str">
        <f>VLOOKUP($A73,Questions!$A$3:$L$333,2,0)&amp;""</f>
        <v>Do you have a process and implemented procedures for managing your software supply chain (e.g., libraries, repositories, frameworks, etc.)?</v>
      </c>
      <c r="D73" s="4" t="str">
        <f>VLOOKUP($A73,Questions!$A$3:$L$333,11,0)&amp;""</f>
        <v/>
      </c>
      <c r="E73" s="4" t="str">
        <f>VLOOKUP($A73,Questions!$A$3:$L$333,12,0)&amp;""</f>
        <v>Infrastructure</v>
      </c>
      <c r="F73" s="4" t="str">
        <f>VLOOKUP($A73,'Institution Evaluation'!$A$56:$K$345,3,0)&amp;""</f>
        <v>Yes</v>
      </c>
      <c r="G73" s="4" t="str">
        <f>VLOOKUP($A73,'Institution Evaluation'!$A$56:$K$345,7,0)&amp;""</f>
        <v>Yes</v>
      </c>
      <c r="H73" s="4" t="str">
        <f>VLOOKUP($A73,'Institution Evaluation'!$A$56:$K$345,8,0)&amp;""</f>
        <v/>
      </c>
      <c r="I73" s="4" t="str">
        <f>VLOOKUP($A73,'Institution Evaluation'!$A$56:$K$345,9,0)&amp;""</f>
        <v>Standard Importance</v>
      </c>
      <c r="J73" s="4" t="str">
        <f>VLOOKUP($A73,'Institution Evaluation'!$A$56:$K$345,10,0)&amp;""</f>
        <v/>
      </c>
      <c r="K73" s="4">
        <f>IF($I73='Auto Responses'!$J$11,20,IF($I73='Auto Responses'!$J$13,5,10))</f>
        <v>10</v>
      </c>
      <c r="L73" s="101">
        <f>IF($E73='Auto Responses'!$L$13, 'Auto Responses'!$J$5,IF(AND($D73='Auto Responses'!$J$27,$H73=""),'Auto Responses'!$J$5,IF(AND($D73='Auto Responses'!$J$27,$H73='Auto Responses'!$J$7),1,IF(AND($D73='Auto Responses'!$J$27,$H73='Auto Responses'!$J$8),0,IF(OR(AND($F73=$G73,$H73=""),$H73='Auto Responses'!$J$7),1,0)))))</f>
        <v>1</v>
      </c>
      <c r="M73" s="4" t="str">
        <f>VLOOKUP($A73,'Institution Evaluation'!$A$56:$K$345,11,0)&amp;""</f>
        <v>FALSE</v>
      </c>
      <c r="N73" s="4">
        <f>IF($J73='Auto Responses'!$J$11,1,IF(AND($J73="",$I73='Auto Responses'!$J$11),1,0))</f>
        <v>0</v>
      </c>
      <c r="O73" s="101">
        <f>IF(OR($F$17='Auto Responses'!$J$4,$E73='Auto Responses'!$L$13,$F73='Auto Responses'!$J$5),'Auto Responses'!$J$5,IF($J73="",$K73,IF($J73='Auto Responses'!$J$13,5,IF($J73='Auto Responses'!$J$12,10,IF($J73='Auto Responses'!$J$11,20,0)))))</f>
        <v>10</v>
      </c>
      <c r="P73" s="101">
        <f>IF(OR($O73='Auto Responses'!$J$5,$L73='Auto Responses'!$J$5),'Auto Responses'!$J$5,$O73*$L73)</f>
        <v>10</v>
      </c>
      <c r="Q73" s="101">
        <f t="shared" si="8"/>
        <v>0</v>
      </c>
      <c r="R73" s="101">
        <f t="shared" si="12"/>
        <v>0</v>
      </c>
      <c r="S73" s="101">
        <f t="shared" si="9"/>
        <v>0</v>
      </c>
      <c r="T73" s="101">
        <f t="shared" si="10"/>
        <v>0</v>
      </c>
      <c r="U73" s="101">
        <f t="shared" si="13"/>
        <v>21</v>
      </c>
      <c r="V73" s="101">
        <f t="shared" si="11"/>
        <v>0</v>
      </c>
    </row>
    <row r="74" spans="1:22" ht="57" customHeight="1" x14ac:dyDescent="0.2">
      <c r="A74" s="4" t="str">
        <f>Questions!$A74</f>
        <v>APPL-11</v>
      </c>
      <c r="B74" s="4" t="str">
        <f t="shared" si="7"/>
        <v>APPL</v>
      </c>
      <c r="C74" s="4" t="str">
        <f>VLOOKUP($A74,Questions!$A$3:$L$333,2,0)&amp;""</f>
        <v>Have your developers been trained in secure coding techniques?</v>
      </c>
      <c r="D74" s="4" t="str">
        <f>VLOOKUP($A74,Questions!$A$3:$L$333,11,0)&amp;""</f>
        <v/>
      </c>
      <c r="E74" s="4" t="str">
        <f>VLOOKUP($A74,Questions!$A$3:$L$333,12,0)&amp;""</f>
        <v>Infrastructure</v>
      </c>
      <c r="F74" s="4" t="str">
        <f>VLOOKUP($A74,'Institution Evaluation'!$A$56:$K$345,3,0)&amp;""</f>
        <v>Yes</v>
      </c>
      <c r="G74" s="4" t="str">
        <f>VLOOKUP($A74,'Institution Evaluation'!$A$56:$K$345,7,0)&amp;""</f>
        <v>Yes</v>
      </c>
      <c r="H74" s="4" t="str">
        <f>VLOOKUP($A74,'Institution Evaluation'!$A$56:$K$345,8,0)&amp;""</f>
        <v/>
      </c>
      <c r="I74" s="4" t="str">
        <f>VLOOKUP($A74,'Institution Evaluation'!$A$56:$K$345,9,0)&amp;""</f>
        <v>Standard Importance</v>
      </c>
      <c r="J74" s="4" t="str">
        <f>VLOOKUP($A74,'Institution Evaluation'!$A$56:$K$345,10,0)&amp;""</f>
        <v/>
      </c>
      <c r="K74" s="4">
        <f>IF($I74='Auto Responses'!$J$11,20,IF($I74='Auto Responses'!$J$13,5,10))</f>
        <v>10</v>
      </c>
      <c r="L74" s="101">
        <f>IF($E74='Auto Responses'!$L$13, 'Auto Responses'!$J$5,IF(AND($D74='Auto Responses'!$J$27,$H74=""),'Auto Responses'!$J$5,IF(AND($D74='Auto Responses'!$J$27,$H74='Auto Responses'!$J$7),1,IF(AND($D74='Auto Responses'!$J$27,$H74='Auto Responses'!$J$8),0,IF(OR(AND($F74=$G74,$H74=""),$H74='Auto Responses'!$J$7),1,0)))))</f>
        <v>1</v>
      </c>
      <c r="M74" s="4" t="str">
        <f>VLOOKUP($A74,'Institution Evaluation'!$A$56:$K$345,11,0)&amp;""</f>
        <v>FALSE</v>
      </c>
      <c r="N74" s="4">
        <f>IF($J74='Auto Responses'!$J$11,1,IF(AND($J74="",$I74='Auto Responses'!$J$11),1,0))</f>
        <v>0</v>
      </c>
      <c r="O74" s="101">
        <f>IF(OR($F$17='Auto Responses'!$J$4,$E74='Auto Responses'!$L$13,$F74='Auto Responses'!$J$5),'Auto Responses'!$J$5,IF($J74="",$K74,IF($J74='Auto Responses'!$J$13,5,IF($J74='Auto Responses'!$J$12,10,IF($J74='Auto Responses'!$J$11,20,0)))))</f>
        <v>10</v>
      </c>
      <c r="P74" s="101">
        <f>IF(OR($O74='Auto Responses'!$J$5,$L74='Auto Responses'!$J$5),'Auto Responses'!$J$5,$O74*$L74)</f>
        <v>10</v>
      </c>
      <c r="Q74" s="101">
        <f t="shared" si="8"/>
        <v>0</v>
      </c>
      <c r="R74" s="101">
        <f t="shared" si="12"/>
        <v>0</v>
      </c>
      <c r="S74" s="101">
        <f t="shared" si="9"/>
        <v>0</v>
      </c>
      <c r="T74" s="101">
        <f t="shared" si="10"/>
        <v>0</v>
      </c>
      <c r="U74" s="101">
        <f t="shared" si="13"/>
        <v>21</v>
      </c>
      <c r="V74" s="101">
        <f t="shared" si="11"/>
        <v>0</v>
      </c>
    </row>
    <row r="75" spans="1:22" ht="57" customHeight="1" x14ac:dyDescent="0.2">
      <c r="A75" s="4" t="str">
        <f>Questions!$A75</f>
        <v>APPL-12</v>
      </c>
      <c r="B75" s="4" t="str">
        <f t="shared" si="7"/>
        <v>APPL</v>
      </c>
      <c r="C75" s="4" t="str">
        <f>VLOOKUP($A75,Questions!$A$3:$L$333,2,0)&amp;""</f>
        <v>Was your application developed using secure coding techniques?</v>
      </c>
      <c r="D75" s="4" t="str">
        <f>VLOOKUP($A75,Questions!$A$3:$L$333,11,0)&amp;""</f>
        <v/>
      </c>
      <c r="E75" s="4" t="str">
        <f>VLOOKUP($A75,Questions!$A$3:$L$333,12,0)&amp;""</f>
        <v>Infrastructure</v>
      </c>
      <c r="F75" s="4" t="str">
        <f>VLOOKUP($A75,'Institution Evaluation'!$A$56:$K$345,3,0)&amp;""</f>
        <v>Yes</v>
      </c>
      <c r="G75" s="4" t="str">
        <f>VLOOKUP($A75,'Institution Evaluation'!$A$56:$K$345,7,0)&amp;""</f>
        <v>Yes</v>
      </c>
      <c r="H75" s="4" t="str">
        <f>VLOOKUP($A75,'Institution Evaluation'!$A$56:$K$345,8,0)&amp;""</f>
        <v/>
      </c>
      <c r="I75" s="4" t="str">
        <f>VLOOKUP($A75,'Institution Evaluation'!$A$56:$K$345,9,0)&amp;""</f>
        <v>Standard Importance</v>
      </c>
      <c r="J75" s="4" t="str">
        <f>VLOOKUP($A75,'Institution Evaluation'!$A$56:$K$345,10,0)&amp;""</f>
        <v/>
      </c>
      <c r="K75" s="4">
        <f>IF($I75='Auto Responses'!$J$11,20,IF($I75='Auto Responses'!$J$13,5,10))</f>
        <v>10</v>
      </c>
      <c r="L75" s="101">
        <f>IF($E75='Auto Responses'!$L$13, 'Auto Responses'!$J$5,IF(AND($D75='Auto Responses'!$J$27,$H75=""),'Auto Responses'!$J$5,IF(AND($D75='Auto Responses'!$J$27,$H75='Auto Responses'!$J$7),1,IF(AND($D75='Auto Responses'!$J$27,$H75='Auto Responses'!$J$8),0,IF(OR(AND($F75=$G75,$H75=""),$H75='Auto Responses'!$J$7),1,0)))))</f>
        <v>1</v>
      </c>
      <c r="M75" s="4" t="str">
        <f>VLOOKUP($A75,'Institution Evaluation'!$A$56:$K$345,11,0)&amp;""</f>
        <v>FALSE</v>
      </c>
      <c r="N75" s="4">
        <f>IF($J75='Auto Responses'!$J$11,1,IF(AND($J75="",$I75='Auto Responses'!$J$11),1,0))</f>
        <v>0</v>
      </c>
      <c r="O75" s="101">
        <f>IF(OR($F$17='Auto Responses'!$J$4,$E75='Auto Responses'!$L$13,$F75='Auto Responses'!$J$5),'Auto Responses'!$J$5,IF($J75="",$K75,IF($J75='Auto Responses'!$J$13,5,IF($J75='Auto Responses'!$J$12,10,IF($J75='Auto Responses'!$J$11,20,0)))))</f>
        <v>10</v>
      </c>
      <c r="P75" s="101">
        <f>IF(OR($O75='Auto Responses'!$J$5,$L75='Auto Responses'!$J$5),'Auto Responses'!$J$5,$O75*$L75)</f>
        <v>10</v>
      </c>
      <c r="Q75" s="101">
        <f t="shared" si="8"/>
        <v>0</v>
      </c>
      <c r="R75" s="101">
        <f t="shared" si="12"/>
        <v>0</v>
      </c>
      <c r="S75" s="101">
        <f t="shared" si="9"/>
        <v>0</v>
      </c>
      <c r="T75" s="101">
        <f t="shared" si="10"/>
        <v>0</v>
      </c>
      <c r="U75" s="101">
        <f t="shared" si="13"/>
        <v>21</v>
      </c>
      <c r="V75" s="101">
        <f t="shared" si="11"/>
        <v>0</v>
      </c>
    </row>
    <row r="76" spans="1:22" ht="57" customHeight="1" x14ac:dyDescent="0.2">
      <c r="A76" s="4" t="str">
        <f>Questions!$A76</f>
        <v>APPL-13</v>
      </c>
      <c r="B76" s="4" t="str">
        <f t="shared" si="7"/>
        <v>APPL</v>
      </c>
      <c r="C76" s="4" t="str">
        <f>VLOOKUP($A76,Questions!$A$3:$L$333,2,0)&amp;""</f>
        <v>If mobile, is the application available from a trusted source (e.g., App Store, Google Play Store)?</v>
      </c>
      <c r="D76" s="4" t="str">
        <f>VLOOKUP($A76,Questions!$A$3:$L$333,11,0)&amp;""</f>
        <v/>
      </c>
      <c r="E76" s="4" t="str">
        <f>VLOOKUP($A76,Questions!$A$3:$L$333,12,0)&amp;""</f>
        <v>Infrastructure</v>
      </c>
      <c r="F76" s="4" t="str">
        <f>VLOOKUP($A76,'Institution Evaluation'!$A$56:$K$345,3,0)&amp;""</f>
        <v>N/A</v>
      </c>
      <c r="G76" s="4" t="str">
        <f>VLOOKUP($A76,'Institution Evaluation'!$A$56:$K$345,7,0)&amp;""</f>
        <v>Yes</v>
      </c>
      <c r="H76" s="4" t="str">
        <f>VLOOKUP($A76,'Institution Evaluation'!$A$56:$K$345,8,0)&amp;""</f>
        <v/>
      </c>
      <c r="I76" s="4" t="str">
        <f>VLOOKUP($A76,'Institution Evaluation'!$A$56:$K$345,9,0)&amp;""</f>
        <v>Minor Importance</v>
      </c>
      <c r="J76" s="4" t="str">
        <f>VLOOKUP($A76,'Institution Evaluation'!$A$56:$K$345,10,0)&amp;""</f>
        <v/>
      </c>
      <c r="K76" s="4">
        <f>IF($I76='Auto Responses'!$J$11,20,IF($I76='Auto Responses'!$J$13,5,10))</f>
        <v>5</v>
      </c>
      <c r="L76" s="101">
        <f>IF($E76='Auto Responses'!$L$13, 'Auto Responses'!$J$5,IF(AND($D76='Auto Responses'!$J$27,$H76=""),'Auto Responses'!$J$5,IF(AND($D76='Auto Responses'!$J$27,$H76='Auto Responses'!$J$7),1,IF(AND($D76='Auto Responses'!$J$27,$H76='Auto Responses'!$J$8),0,IF(OR(AND($F76=$G76,$H76=""),$H76='Auto Responses'!$J$7),1,0)))))</f>
        <v>0</v>
      </c>
      <c r="M76" s="4" t="str">
        <f>VLOOKUP($A76,'Institution Evaluation'!$A$56:$K$345,11,0)&amp;""</f>
        <v>FALSE</v>
      </c>
      <c r="N76" s="4">
        <f>IF($J76='Auto Responses'!$J$11,1,IF(AND($J76="",$I76='Auto Responses'!$J$11),1,0))</f>
        <v>0</v>
      </c>
      <c r="O76" s="101" t="str">
        <f>IF(OR($F$17='Auto Responses'!$J$4,$E76='Auto Responses'!$L$13,$F76='Auto Responses'!$J$5),'Auto Responses'!$J$5,IF($J76="",$K76,IF($J76='Auto Responses'!$J$13,5,IF($J76='Auto Responses'!$J$12,10,IF($J76='Auto Responses'!$J$11,20,0)))))</f>
        <v>N/A</v>
      </c>
      <c r="P76" s="101" t="str">
        <f>IF(OR($O76='Auto Responses'!$J$5,$L76='Auto Responses'!$J$5),'Auto Responses'!$J$5,$O76*$L76)</f>
        <v>N/A</v>
      </c>
      <c r="Q76" s="101">
        <f t="shared" si="8"/>
        <v>0</v>
      </c>
      <c r="R76" s="101">
        <f t="shared" si="12"/>
        <v>0</v>
      </c>
      <c r="S76" s="101">
        <f t="shared" si="9"/>
        <v>0</v>
      </c>
      <c r="T76" s="101">
        <f t="shared" si="10"/>
        <v>0</v>
      </c>
      <c r="U76" s="101">
        <f t="shared" si="13"/>
        <v>21</v>
      </c>
      <c r="V76" s="101">
        <f t="shared" si="11"/>
        <v>0</v>
      </c>
    </row>
    <row r="77" spans="1:22" ht="57" customHeight="1" x14ac:dyDescent="0.2">
      <c r="A77" s="4" t="str">
        <f>Questions!$A77</f>
        <v>APPL-14</v>
      </c>
      <c r="B77" s="4" t="str">
        <f t="shared" si="7"/>
        <v>APPL</v>
      </c>
      <c r="C77" s="4" t="str">
        <f>VLOOKUP($A77,Questions!$A$3:$L$333,2,0)&amp;""</f>
        <v>Do you have a fully implemented policy or procedure that details how your employees obtain administrator access to institutional instance of the application?</v>
      </c>
      <c r="D77" s="4" t="str">
        <f>VLOOKUP($A77,Questions!$A$3:$L$333,11,0)&amp;""</f>
        <v/>
      </c>
      <c r="E77" s="4" t="str">
        <f>VLOOKUP($A77,Questions!$A$3:$L$333,12,0)&amp;""</f>
        <v>Infrastructure</v>
      </c>
      <c r="F77" s="4" t="str">
        <f>VLOOKUP($A77,'Institution Evaluation'!$A$56:$K$345,3,0)&amp;""</f>
        <v>Yes</v>
      </c>
      <c r="G77" s="4" t="str">
        <f>VLOOKUP($A77,'Institution Evaluation'!$A$56:$K$345,7,0)&amp;""</f>
        <v>Yes</v>
      </c>
      <c r="H77" s="4" t="str">
        <f>VLOOKUP($A77,'Institution Evaluation'!$A$56:$K$345,8,0)&amp;""</f>
        <v/>
      </c>
      <c r="I77" s="4" t="str">
        <f>VLOOKUP($A77,'Institution Evaluation'!$A$56:$K$345,9,0)&amp;""</f>
        <v>Minor Importance</v>
      </c>
      <c r="J77" s="4" t="str">
        <f>VLOOKUP($A77,'Institution Evaluation'!$A$56:$K$345,10,0)&amp;""</f>
        <v/>
      </c>
      <c r="K77" s="4">
        <f>IF($I77='Auto Responses'!$J$11,20,IF($I77='Auto Responses'!$J$13,5,10))</f>
        <v>5</v>
      </c>
      <c r="L77" s="101">
        <f>IF($E77='Auto Responses'!$L$13, 'Auto Responses'!$J$5,IF(AND($D77='Auto Responses'!$J$27,$H77=""),'Auto Responses'!$J$5,IF(AND($D77='Auto Responses'!$J$27,$H77='Auto Responses'!$J$7),1,IF(AND($D77='Auto Responses'!$J$27,$H77='Auto Responses'!$J$8),0,IF(OR(AND($F77=$G77,$H77=""),$H77='Auto Responses'!$J$7),1,0)))))</f>
        <v>1</v>
      </c>
      <c r="M77" s="4" t="str">
        <f>VLOOKUP($A77,'Institution Evaluation'!$A$56:$K$345,11,0)&amp;""</f>
        <v>FALSE</v>
      </c>
      <c r="N77" s="4">
        <f>IF($J77='Auto Responses'!$J$11,1,IF(AND($J77="",$I77='Auto Responses'!$J$11),1,0))</f>
        <v>0</v>
      </c>
      <c r="O77" s="101">
        <f>IF(OR($F$17='Auto Responses'!$J$4,$E77='Auto Responses'!$L$13,$F77='Auto Responses'!$J$5),'Auto Responses'!$J$5,IF($J77="",$K77,IF($J77='Auto Responses'!$J$13,5,IF($J77='Auto Responses'!$J$12,10,IF($J77='Auto Responses'!$J$11,20,0)))))</f>
        <v>5</v>
      </c>
      <c r="P77" s="101">
        <f>IF(OR($O77='Auto Responses'!$J$5,$L77='Auto Responses'!$J$5),'Auto Responses'!$J$5,$O77*$L77)</f>
        <v>5</v>
      </c>
      <c r="Q77" s="101">
        <f t="shared" si="8"/>
        <v>0</v>
      </c>
      <c r="R77" s="101">
        <f t="shared" si="12"/>
        <v>0</v>
      </c>
      <c r="S77" s="101">
        <f t="shared" si="9"/>
        <v>0</v>
      </c>
      <c r="T77" s="101">
        <f t="shared" si="10"/>
        <v>0</v>
      </c>
      <c r="U77" s="101">
        <f t="shared" si="13"/>
        <v>21</v>
      </c>
      <c r="V77" s="101">
        <f t="shared" si="11"/>
        <v>0</v>
      </c>
    </row>
    <row r="78" spans="1:22" ht="57" customHeight="1" x14ac:dyDescent="0.2">
      <c r="A78" s="4" t="str">
        <f>Questions!$A78</f>
        <v>AAAI-01</v>
      </c>
      <c r="B78" s="4" t="str">
        <f t="shared" si="7"/>
        <v>AAAI</v>
      </c>
      <c r="C78" s="4" t="str">
        <f>VLOOKUP($A78,Questions!$A$3:$L$333,2,0)&amp;""</f>
        <v>Does your solution support single sign-on (SSO) protocols for user and administrator authentication?*</v>
      </c>
      <c r="D78" s="4" t="str">
        <f>VLOOKUP($A78,Questions!$A$3:$L$333,11,0)&amp;""</f>
        <v/>
      </c>
      <c r="E78" s="4" t="str">
        <f>VLOOKUP($A78,Questions!$A$3:$L$333,12,0)&amp;""</f>
        <v>Product</v>
      </c>
      <c r="F78" s="4" t="str">
        <f>VLOOKUP($A78,'Institution Evaluation'!$A$56:$K$345,3,0)&amp;""</f>
        <v>Yes</v>
      </c>
      <c r="G78" s="4" t="str">
        <f>VLOOKUP($A78,'Institution Evaluation'!$A$56:$K$345,7,0)&amp;""</f>
        <v>Yes</v>
      </c>
      <c r="H78" s="4" t="str">
        <f>VLOOKUP($A78,'Institution Evaluation'!$A$56:$K$345,8,0)&amp;""</f>
        <v/>
      </c>
      <c r="I78" s="4" t="str">
        <f>VLOOKUP($A78,'Institution Evaluation'!$A$56:$K$345,9,0)&amp;""</f>
        <v>Critical Importance</v>
      </c>
      <c r="J78" s="4" t="str">
        <f>VLOOKUP($A78,'Institution Evaluation'!$A$56:$K$345,10,0)&amp;""</f>
        <v/>
      </c>
      <c r="K78" s="4">
        <f>IF($I78='Auto Responses'!$J$11,20,IF($I78='Auto Responses'!$J$13,5,10))</f>
        <v>20</v>
      </c>
      <c r="L78" s="101">
        <f>IF($E78='Auto Responses'!$L$13, 'Auto Responses'!$J$5,IF(AND($D78='Auto Responses'!$J$27,$H78=""),'Auto Responses'!$J$5,IF(AND($D78='Auto Responses'!$J$27,$H78='Auto Responses'!$J$7),1,IF(AND($D78='Auto Responses'!$J$27,$H78='Auto Responses'!$J$8),0,IF(OR(AND($F78=$G78,$H78=""),$H78='Auto Responses'!$J$7),1,0)))))</f>
        <v>1</v>
      </c>
      <c r="M78" s="4" t="str">
        <f>VLOOKUP($A78,'Institution Evaluation'!$A$56:$K$345,11,0)&amp;""</f>
        <v>FALSE</v>
      </c>
      <c r="N78" s="4">
        <f>IF($J78='Auto Responses'!$J$11,1,IF(AND($J78="",$I78='Auto Responses'!$J$11),1,0))</f>
        <v>1</v>
      </c>
      <c r="O78" s="101">
        <f>IF(OR($F$17='Auto Responses'!$J$4,$E78='Auto Responses'!$L$13,$F78='Auto Responses'!$J$5),'Auto Responses'!$J$5,IF($J78="",$K78,IF($J78='Auto Responses'!$J$13,5,IF($J78='Auto Responses'!$J$12,10,IF($J78='Auto Responses'!$J$11,20,0)))))</f>
        <v>20</v>
      </c>
      <c r="P78" s="101">
        <f>IF(OR($O78='Auto Responses'!$J$5,$L78='Auto Responses'!$J$5),'Auto Responses'!$J$5,$O78*$L78)</f>
        <v>20</v>
      </c>
      <c r="Q78" s="101">
        <f t="shared" si="8"/>
        <v>0</v>
      </c>
      <c r="R78" s="101">
        <f t="shared" si="12"/>
        <v>0</v>
      </c>
      <c r="S78" s="101">
        <f t="shared" si="9"/>
        <v>0</v>
      </c>
      <c r="T78" s="101">
        <f t="shared" si="10"/>
        <v>1</v>
      </c>
      <c r="U78" s="101">
        <f t="shared" si="13"/>
        <v>22</v>
      </c>
      <c r="V78" s="101">
        <f t="shared" si="11"/>
        <v>22</v>
      </c>
    </row>
    <row r="79" spans="1:22" ht="57" customHeight="1" x14ac:dyDescent="0.2">
      <c r="A79" s="4" t="str">
        <f>Questions!$A79</f>
        <v>AAAI-02</v>
      </c>
      <c r="B79" s="4" t="str">
        <f t="shared" si="7"/>
        <v>AAAI</v>
      </c>
      <c r="C79" s="4" t="str">
        <f>VLOOKUP($A79,Questions!$A$3:$L$333,2,0)&amp;""</f>
        <v>For customers not using SSO, does your solution support local authentication protocols for user and administrator authentication?*</v>
      </c>
      <c r="D79" s="4" t="str">
        <f>VLOOKUP($A79,Questions!$A$3:$L$333,11,0)&amp;""</f>
        <v/>
      </c>
      <c r="E79" s="4" t="str">
        <f>VLOOKUP($A79,Questions!$A$3:$L$333,12,0)&amp;""</f>
        <v>Product</v>
      </c>
      <c r="F79" s="4" t="str">
        <f>VLOOKUP($A79,'Institution Evaluation'!$A$56:$K$345,3,0)&amp;""</f>
        <v>Yes</v>
      </c>
      <c r="G79" s="4" t="str">
        <f>VLOOKUP($A79,'Institution Evaluation'!$A$56:$K$345,7,0)&amp;""</f>
        <v>Yes</v>
      </c>
      <c r="H79" s="4" t="str">
        <f>VLOOKUP($A79,'Institution Evaluation'!$A$56:$K$345,8,0)&amp;""</f>
        <v/>
      </c>
      <c r="I79" s="4" t="str">
        <f>VLOOKUP($A79,'Institution Evaluation'!$A$56:$K$345,9,0)&amp;""</f>
        <v>Critical Importance</v>
      </c>
      <c r="J79" s="4" t="str">
        <f>VLOOKUP($A79,'Institution Evaluation'!$A$56:$K$345,10,0)&amp;""</f>
        <v/>
      </c>
      <c r="K79" s="4">
        <f>IF($I79='Auto Responses'!$J$11,20,IF($I79='Auto Responses'!$J$13,5,10))</f>
        <v>20</v>
      </c>
      <c r="L79" s="101">
        <f>IF($E79='Auto Responses'!$L$13, 'Auto Responses'!$J$5,IF(AND($D79='Auto Responses'!$J$27,$H79=""),'Auto Responses'!$J$5,IF(AND($D79='Auto Responses'!$J$27,$H79='Auto Responses'!$J$7),1,IF(AND($D79='Auto Responses'!$J$27,$H79='Auto Responses'!$J$8),0,IF(OR(AND($F79=$G79,$H79=""),$H79='Auto Responses'!$J$7),1,0)))))</f>
        <v>1</v>
      </c>
      <c r="M79" s="4" t="str">
        <f>VLOOKUP($A79,'Institution Evaluation'!$A$56:$K$345,11,0)&amp;""</f>
        <v>FALSE</v>
      </c>
      <c r="N79" s="4">
        <f>IF($J79='Auto Responses'!$J$11,1,IF(AND($J79="",$I79='Auto Responses'!$J$11),1,0))</f>
        <v>1</v>
      </c>
      <c r="O79" s="101">
        <f>IF(OR($F$17='Auto Responses'!$J$4,$E79='Auto Responses'!$L$13,$F79='Auto Responses'!$J$5),'Auto Responses'!$J$5,IF($J79="",$K79,IF($J79='Auto Responses'!$J$13,5,IF($J79='Auto Responses'!$J$12,10,IF($J79='Auto Responses'!$J$11,20,0)))))</f>
        <v>20</v>
      </c>
      <c r="P79" s="101">
        <f>IF(OR($O79='Auto Responses'!$J$5,$L79='Auto Responses'!$J$5),'Auto Responses'!$J$5,$O79*$L79)</f>
        <v>20</v>
      </c>
      <c r="Q79" s="101">
        <f t="shared" si="8"/>
        <v>0</v>
      </c>
      <c r="R79" s="101">
        <f t="shared" si="12"/>
        <v>0</v>
      </c>
      <c r="S79" s="101">
        <f t="shared" si="9"/>
        <v>0</v>
      </c>
      <c r="T79" s="101">
        <f t="shared" si="10"/>
        <v>1</v>
      </c>
      <c r="U79" s="101">
        <f t="shared" si="13"/>
        <v>23</v>
      </c>
      <c r="V79" s="101">
        <f t="shared" si="11"/>
        <v>23</v>
      </c>
    </row>
    <row r="80" spans="1:22" ht="57" customHeight="1" x14ac:dyDescent="0.2">
      <c r="A80" s="4" t="str">
        <f>Questions!$A80</f>
        <v>AAAI-03</v>
      </c>
      <c r="B80" s="4" t="str">
        <f t="shared" si="7"/>
        <v>AAAI</v>
      </c>
      <c r="C80" s="4" t="str">
        <f>VLOOKUP($A80,Questions!$A$3:$L$333,2,0)&amp;""</f>
        <v>For customers not using SSO, can you enforce password/passphrase complexity requirements (provided by the institution)?*</v>
      </c>
      <c r="D80" s="4" t="str">
        <f>VLOOKUP($A80,Questions!$A$3:$L$333,11,0)&amp;""</f>
        <v/>
      </c>
      <c r="E80" s="4" t="str">
        <f>VLOOKUP($A80,Questions!$A$3:$L$333,12,0)&amp;""</f>
        <v>Product</v>
      </c>
      <c r="F80" s="4" t="str">
        <f>VLOOKUP($A80,'Institution Evaluation'!$A$56:$K$345,3,0)&amp;""</f>
        <v>Yes</v>
      </c>
      <c r="G80" s="4" t="str">
        <f>VLOOKUP($A80,'Institution Evaluation'!$A$56:$K$345,7,0)&amp;""</f>
        <v>Yes</v>
      </c>
      <c r="H80" s="4" t="str">
        <f>VLOOKUP($A80,'Institution Evaluation'!$A$56:$K$345,8,0)&amp;""</f>
        <v/>
      </c>
      <c r="I80" s="4" t="str">
        <f>VLOOKUP($A80,'Institution Evaluation'!$A$56:$K$345,9,0)&amp;""</f>
        <v>Critical Importance</v>
      </c>
      <c r="J80" s="4" t="str">
        <f>VLOOKUP($A80,'Institution Evaluation'!$A$56:$K$345,10,0)&amp;""</f>
        <v/>
      </c>
      <c r="K80" s="4">
        <f>IF($I80='Auto Responses'!$J$11,20,IF($I80='Auto Responses'!$J$13,5,10))</f>
        <v>20</v>
      </c>
      <c r="L80" s="101">
        <f>IF($E80='Auto Responses'!$L$13, 'Auto Responses'!$J$5,IF(AND($D80='Auto Responses'!$J$27,$H80=""),'Auto Responses'!$J$5,IF(AND($D80='Auto Responses'!$J$27,$H80='Auto Responses'!$J$7),1,IF(AND($D80='Auto Responses'!$J$27,$H80='Auto Responses'!$J$8),0,IF(OR(AND($F80=$G80,$H80=""),$H80='Auto Responses'!$J$7),1,0)))))</f>
        <v>1</v>
      </c>
      <c r="M80" s="4" t="str">
        <f>VLOOKUP($A80,'Institution Evaluation'!$A$56:$K$345,11,0)&amp;""</f>
        <v>FALSE</v>
      </c>
      <c r="N80" s="4">
        <f>IF($J80='Auto Responses'!$J$11,1,IF(AND($J80="",$I80='Auto Responses'!$J$11),1,0))</f>
        <v>1</v>
      </c>
      <c r="O80" s="101">
        <f>IF(OR($F$17='Auto Responses'!$J$4,$E80='Auto Responses'!$L$13,$F80='Auto Responses'!$J$5),'Auto Responses'!$J$5,IF($J80="",$K80,IF($J80='Auto Responses'!$J$13,5,IF($J80='Auto Responses'!$J$12,10,IF($J80='Auto Responses'!$J$11,20,0)))))</f>
        <v>20</v>
      </c>
      <c r="P80" s="101">
        <f>IF(OR($O80='Auto Responses'!$J$5,$L80='Auto Responses'!$J$5),'Auto Responses'!$J$5,$O80*$L80)</f>
        <v>20</v>
      </c>
      <c r="Q80" s="101">
        <f t="shared" si="8"/>
        <v>0</v>
      </c>
      <c r="R80" s="101">
        <f t="shared" si="12"/>
        <v>0</v>
      </c>
      <c r="S80" s="101">
        <f t="shared" si="9"/>
        <v>0</v>
      </c>
      <c r="T80" s="101">
        <f t="shared" si="10"/>
        <v>1</v>
      </c>
      <c r="U80" s="101">
        <f t="shared" si="13"/>
        <v>24</v>
      </c>
      <c r="V80" s="101">
        <f t="shared" si="11"/>
        <v>24</v>
      </c>
    </row>
    <row r="81" spans="1:22" ht="57" customHeight="1" x14ac:dyDescent="0.2">
      <c r="A81" s="4" t="str">
        <f>Questions!$A81</f>
        <v>AAAI-04</v>
      </c>
      <c r="B81" s="4" t="str">
        <f t="shared" si="7"/>
        <v>AAAI</v>
      </c>
      <c r="C81" s="4" t="str">
        <f>VLOOKUP($A81,Questions!$A$3:$L$333,2,0)&amp;""</f>
        <v>For customers not using SSO, does the system have password complexity or length limitations and/or restrictions?*</v>
      </c>
      <c r="D81" s="4" t="str">
        <f>VLOOKUP($A81,Questions!$A$3:$L$333,11,0)&amp;""</f>
        <v/>
      </c>
      <c r="E81" s="4" t="str">
        <f>VLOOKUP($A81,Questions!$A$3:$L$333,12,0)&amp;""</f>
        <v>Product</v>
      </c>
      <c r="F81" s="4" t="str">
        <f>VLOOKUP($A81,'Institution Evaluation'!$A$56:$K$345,3,0)&amp;""</f>
        <v>Yes</v>
      </c>
      <c r="G81" s="4" t="str">
        <f>VLOOKUP($A81,'Institution Evaluation'!$A$56:$K$345,7,0)&amp;""</f>
        <v>No</v>
      </c>
      <c r="H81" s="4" t="str">
        <f>VLOOKUP($A81,'Institution Evaluation'!$A$56:$K$345,8,0)&amp;""</f>
        <v/>
      </c>
      <c r="I81" s="4" t="str">
        <f>VLOOKUP($A81,'Institution Evaluation'!$A$56:$K$345,9,0)&amp;""</f>
        <v>Critical Importance</v>
      </c>
      <c r="J81" s="4" t="str">
        <f>VLOOKUP($A81,'Institution Evaluation'!$A$56:$K$345,10,0)&amp;""</f>
        <v/>
      </c>
      <c r="K81" s="4">
        <f>IF($I81='Auto Responses'!$J$11,20,IF($I81='Auto Responses'!$J$13,5,10))</f>
        <v>20</v>
      </c>
      <c r="L81" s="101">
        <f>IF($E81='Auto Responses'!$L$13, 'Auto Responses'!$J$5,IF(AND($D81='Auto Responses'!$J$27,$H81=""),'Auto Responses'!$J$5,IF(AND($D81='Auto Responses'!$J$27,$H81='Auto Responses'!$J$7),1,IF(AND($D81='Auto Responses'!$J$27,$H81='Auto Responses'!$J$8),0,IF(OR(AND($F81=$G81,$H81=""),$H81='Auto Responses'!$J$7),1,0)))))</f>
        <v>0</v>
      </c>
      <c r="M81" s="4" t="str">
        <f>VLOOKUP($A81,'Institution Evaluation'!$A$56:$K$345,11,0)&amp;""</f>
        <v>FALSE</v>
      </c>
      <c r="N81" s="4">
        <f>IF($J81='Auto Responses'!$J$11,1,IF(AND($J81="",$I81='Auto Responses'!$J$11),1,0))</f>
        <v>1</v>
      </c>
      <c r="O81" s="101">
        <f>IF(OR($F$17='Auto Responses'!$J$4,$E81='Auto Responses'!$L$13,$F81='Auto Responses'!$J$5),'Auto Responses'!$J$5,IF($J81="",$K81,IF($J81='Auto Responses'!$J$13,5,IF($J81='Auto Responses'!$J$12,10,IF($J81='Auto Responses'!$J$11,20,0)))))</f>
        <v>20</v>
      </c>
      <c r="P81" s="101">
        <f>IF(OR($O81='Auto Responses'!$J$5,$L81='Auto Responses'!$J$5),'Auto Responses'!$J$5,$O81*$L81)</f>
        <v>0</v>
      </c>
      <c r="Q81" s="101">
        <f t="shared" si="8"/>
        <v>0</v>
      </c>
      <c r="R81" s="101">
        <f t="shared" si="12"/>
        <v>0</v>
      </c>
      <c r="S81" s="101">
        <f t="shared" si="9"/>
        <v>0</v>
      </c>
      <c r="T81" s="101">
        <f t="shared" si="10"/>
        <v>1</v>
      </c>
      <c r="U81" s="101">
        <f t="shared" si="13"/>
        <v>25</v>
      </c>
      <c r="V81" s="101">
        <f t="shared" si="11"/>
        <v>25</v>
      </c>
    </row>
    <row r="82" spans="1:22" ht="57" customHeight="1" x14ac:dyDescent="0.2">
      <c r="A82" s="4" t="str">
        <f>Questions!$A82</f>
        <v>AAAI-05</v>
      </c>
      <c r="B82" s="4" t="str">
        <f t="shared" si="7"/>
        <v>AAAI</v>
      </c>
      <c r="C82" s="4" t="str">
        <f>VLOOKUP($A82,Questions!$A$3:$L$333,2,0)&amp;""</f>
        <v>For customers not using SSO, do you have documented password/passphrase reset procedures that are currently implemented in the system and/or customer support?*</v>
      </c>
      <c r="D82" s="4" t="str">
        <f>VLOOKUP($A82,Questions!$A$3:$L$333,11,0)&amp;""</f>
        <v/>
      </c>
      <c r="E82" s="4" t="str">
        <f>VLOOKUP($A82,Questions!$A$3:$L$333,12,0)&amp;""</f>
        <v>Product</v>
      </c>
      <c r="F82" s="4" t="str">
        <f>VLOOKUP($A82,'Institution Evaluation'!$A$56:$K$345,3,0)&amp;""</f>
        <v>Yes</v>
      </c>
      <c r="G82" s="4" t="str">
        <f>VLOOKUP($A82,'Institution Evaluation'!$A$56:$K$345,7,0)&amp;""</f>
        <v>Yes</v>
      </c>
      <c r="H82" s="4" t="str">
        <f>VLOOKUP($A82,'Institution Evaluation'!$A$56:$K$345,8,0)&amp;""</f>
        <v/>
      </c>
      <c r="I82" s="4" t="str">
        <f>VLOOKUP($A82,'Institution Evaluation'!$A$56:$K$345,9,0)&amp;""</f>
        <v>Critical Importance</v>
      </c>
      <c r="J82" s="4" t="str">
        <f>VLOOKUP($A82,'Institution Evaluation'!$A$56:$K$345,10,0)&amp;""</f>
        <v/>
      </c>
      <c r="K82" s="4">
        <f>IF($I82='Auto Responses'!$J$11,20,IF($I82='Auto Responses'!$J$13,5,10))</f>
        <v>20</v>
      </c>
      <c r="L82" s="101">
        <f>IF($E82='Auto Responses'!$L$13, 'Auto Responses'!$J$5,IF(AND($D82='Auto Responses'!$J$27,$H82=""),'Auto Responses'!$J$5,IF(AND($D82='Auto Responses'!$J$27,$H82='Auto Responses'!$J$7),1,IF(AND($D82='Auto Responses'!$J$27,$H82='Auto Responses'!$J$8),0,IF(OR(AND($F82=$G82,$H82=""),$H82='Auto Responses'!$J$7),1,0)))))</f>
        <v>1</v>
      </c>
      <c r="M82" s="4" t="str">
        <f>VLOOKUP($A82,'Institution Evaluation'!$A$56:$K$345,11,0)&amp;""</f>
        <v>FALSE</v>
      </c>
      <c r="N82" s="4">
        <f>IF($J82='Auto Responses'!$J$11,1,IF(AND($J82="",$I82='Auto Responses'!$J$11),1,0))</f>
        <v>1</v>
      </c>
      <c r="O82" s="101">
        <f>IF(OR($F$17='Auto Responses'!$J$4,$E82='Auto Responses'!$L$13,$F82='Auto Responses'!$J$5),'Auto Responses'!$J$5,IF($J82="",$K82,IF($J82='Auto Responses'!$J$13,5,IF($J82='Auto Responses'!$J$12,10,IF($J82='Auto Responses'!$J$11,20,0)))))</f>
        <v>20</v>
      </c>
      <c r="P82" s="101">
        <f>IF(OR($O82='Auto Responses'!$J$5,$L82='Auto Responses'!$J$5),'Auto Responses'!$J$5,$O82*$L82)</f>
        <v>20</v>
      </c>
      <c r="Q82" s="101">
        <f t="shared" si="8"/>
        <v>0</v>
      </c>
      <c r="R82" s="101">
        <f t="shared" si="12"/>
        <v>0</v>
      </c>
      <c r="S82" s="101">
        <f t="shared" si="9"/>
        <v>0</v>
      </c>
      <c r="T82" s="101">
        <f t="shared" si="10"/>
        <v>1</v>
      </c>
      <c r="U82" s="101">
        <f t="shared" si="13"/>
        <v>26</v>
      </c>
      <c r="V82" s="101">
        <f t="shared" si="11"/>
        <v>26</v>
      </c>
    </row>
    <row r="83" spans="1:22" ht="57" customHeight="1" x14ac:dyDescent="0.2">
      <c r="A83" s="4" t="str">
        <f>Questions!$A83</f>
        <v>AAAI-06</v>
      </c>
      <c r="B83" s="4" t="str">
        <f t="shared" si="7"/>
        <v>AAAI</v>
      </c>
      <c r="C83" s="4" t="str">
        <f>VLOOKUP($A83,Questions!$A$3:$L$333,2,0)&amp;""</f>
        <v>Does your organization participate in InCommon or another eduGAIN-affiliated trust federation?*</v>
      </c>
      <c r="D83" s="4" t="str">
        <f>VLOOKUP($A83,Questions!$A$3:$L$333,11,0)&amp;""</f>
        <v/>
      </c>
      <c r="E83" s="4" t="str">
        <f>VLOOKUP($A83,Questions!$A$3:$L$333,12,0)&amp;""</f>
        <v>Product</v>
      </c>
      <c r="F83" s="4" t="str">
        <f>VLOOKUP($A83,'Institution Evaluation'!$A$56:$K$345,3,0)&amp;""</f>
        <v>No</v>
      </c>
      <c r="G83" s="4" t="str">
        <f>VLOOKUP($A83,'Institution Evaluation'!$A$56:$K$345,7,0)&amp;""</f>
        <v>Yes</v>
      </c>
      <c r="H83" s="4" t="str">
        <f>VLOOKUP($A83,'Institution Evaluation'!$A$56:$K$345,8,0)&amp;""</f>
        <v/>
      </c>
      <c r="I83" s="4" t="str">
        <f>VLOOKUP($A83,'Institution Evaluation'!$A$56:$K$345,9,0)&amp;""</f>
        <v>Critical Importance</v>
      </c>
      <c r="J83" s="4" t="str">
        <f>VLOOKUP($A83,'Institution Evaluation'!$A$56:$K$345,10,0)&amp;""</f>
        <v/>
      </c>
      <c r="K83" s="4">
        <f>IF($I83='Auto Responses'!$J$11,20,IF($I83='Auto Responses'!$J$13,5,10))</f>
        <v>20</v>
      </c>
      <c r="L83" s="101">
        <f>IF($E83='Auto Responses'!$L$13, 'Auto Responses'!$J$5,IF(AND($D83='Auto Responses'!$J$27,$H83=""),'Auto Responses'!$J$5,IF(AND($D83='Auto Responses'!$J$27,$H83='Auto Responses'!$J$7),1,IF(AND($D83='Auto Responses'!$J$27,$H83='Auto Responses'!$J$8),0,IF(OR(AND($F83=$G83,$H83=""),$H83='Auto Responses'!$J$7),1,0)))))</f>
        <v>0</v>
      </c>
      <c r="M83" s="4" t="str">
        <f>VLOOKUP($A83,'Institution Evaluation'!$A$56:$K$345,11,0)&amp;""</f>
        <v>FALSE</v>
      </c>
      <c r="N83" s="4">
        <f>IF($J83='Auto Responses'!$J$11,1,IF(AND($J83="",$I83='Auto Responses'!$J$11),1,0))</f>
        <v>1</v>
      </c>
      <c r="O83" s="101">
        <f>IF(OR($F$17='Auto Responses'!$J$4,$E83='Auto Responses'!$L$13,$F83='Auto Responses'!$J$5),'Auto Responses'!$J$5,IF($J83="",$K83,IF($J83='Auto Responses'!$J$13,5,IF($J83='Auto Responses'!$J$12,10,IF($J83='Auto Responses'!$J$11,20,0)))))</f>
        <v>20</v>
      </c>
      <c r="P83" s="101">
        <f>IF(OR($O83='Auto Responses'!$J$5,$L83='Auto Responses'!$J$5),'Auto Responses'!$J$5,$O83*$L83)</f>
        <v>0</v>
      </c>
      <c r="Q83" s="101">
        <f t="shared" si="8"/>
        <v>0</v>
      </c>
      <c r="R83" s="101">
        <f t="shared" si="12"/>
        <v>0</v>
      </c>
      <c r="S83" s="101">
        <f t="shared" si="9"/>
        <v>0</v>
      </c>
      <c r="T83" s="101">
        <f t="shared" si="10"/>
        <v>1</v>
      </c>
      <c r="U83" s="101">
        <f t="shared" si="13"/>
        <v>27</v>
      </c>
      <c r="V83" s="101">
        <f t="shared" si="11"/>
        <v>27</v>
      </c>
    </row>
    <row r="84" spans="1:22" ht="57" customHeight="1" x14ac:dyDescent="0.2">
      <c r="A84" s="4" t="str">
        <f>Questions!$A84</f>
        <v>AAAI-07</v>
      </c>
      <c r="B84" s="4" t="str">
        <f t="shared" si="7"/>
        <v>AAAI</v>
      </c>
      <c r="C84" s="4" t="str">
        <f>VLOOKUP($A84,Questions!$A$3:$L$333,2,0)&amp;""</f>
        <v>Are there any passwords/passphrases hard-coded into your systems or solutions?*</v>
      </c>
      <c r="D84" s="4" t="str">
        <f>VLOOKUP($A84,Questions!$A$3:$L$333,11,0)&amp;""</f>
        <v/>
      </c>
      <c r="E84" s="4" t="str">
        <f>VLOOKUP($A84,Questions!$A$3:$L$333,12,0)&amp;""</f>
        <v>Product</v>
      </c>
      <c r="F84" s="4" t="str">
        <f>VLOOKUP($A84,'Institution Evaluation'!$A$56:$K$345,3,0)&amp;""</f>
        <v>No</v>
      </c>
      <c r="G84" s="4" t="str">
        <f>VLOOKUP($A84,'Institution Evaluation'!$A$56:$K$345,7,0)&amp;""</f>
        <v>No</v>
      </c>
      <c r="H84" s="4" t="str">
        <f>VLOOKUP($A84,'Institution Evaluation'!$A$56:$K$345,8,0)&amp;""</f>
        <v/>
      </c>
      <c r="I84" s="4" t="str">
        <f>VLOOKUP($A84,'Institution Evaluation'!$A$56:$K$345,9,0)&amp;""</f>
        <v>Critical Importance</v>
      </c>
      <c r="J84" s="4" t="str">
        <f>VLOOKUP($A84,'Institution Evaluation'!$A$56:$K$345,10,0)&amp;""</f>
        <v/>
      </c>
      <c r="K84" s="4">
        <f>IF($I84='Auto Responses'!$J$11,20,IF($I84='Auto Responses'!$J$13,5,10))</f>
        <v>20</v>
      </c>
      <c r="L84" s="101">
        <f>IF($E84='Auto Responses'!$L$13, 'Auto Responses'!$J$5,IF(AND($D84='Auto Responses'!$J$27,$H84=""),'Auto Responses'!$J$5,IF(AND($D84='Auto Responses'!$J$27,$H84='Auto Responses'!$J$7),1,IF(AND($D84='Auto Responses'!$J$27,$H84='Auto Responses'!$J$8),0,IF(OR(AND($F84=$G84,$H84=""),$H84='Auto Responses'!$J$7),1,0)))))</f>
        <v>1</v>
      </c>
      <c r="M84" s="4" t="str">
        <f>VLOOKUP($A84,'Institution Evaluation'!$A$56:$K$345,11,0)&amp;""</f>
        <v>FALSE</v>
      </c>
      <c r="N84" s="4">
        <f>IF($J84='Auto Responses'!$J$11,1,IF(AND($J84="",$I84='Auto Responses'!$J$11),1,0))</f>
        <v>1</v>
      </c>
      <c r="O84" s="101">
        <f>IF(OR($F$17='Auto Responses'!$J$4,$E84='Auto Responses'!$L$13,$F84='Auto Responses'!$J$5),'Auto Responses'!$J$5,IF($J84="",$K84,IF($J84='Auto Responses'!$J$13,5,IF($J84='Auto Responses'!$J$12,10,IF($J84='Auto Responses'!$J$11,20,0)))))</f>
        <v>20</v>
      </c>
      <c r="P84" s="101">
        <f>IF(OR($O84='Auto Responses'!$J$5,$L84='Auto Responses'!$J$5),'Auto Responses'!$J$5,$O84*$L84)</f>
        <v>20</v>
      </c>
      <c r="Q84" s="101">
        <f t="shared" si="8"/>
        <v>0</v>
      </c>
      <c r="R84" s="101">
        <f t="shared" si="12"/>
        <v>0</v>
      </c>
      <c r="S84" s="101">
        <f t="shared" si="9"/>
        <v>0</v>
      </c>
      <c r="T84" s="101">
        <f t="shared" si="10"/>
        <v>1</v>
      </c>
      <c r="U84" s="101">
        <f t="shared" si="13"/>
        <v>28</v>
      </c>
      <c r="V84" s="101">
        <f t="shared" si="11"/>
        <v>28</v>
      </c>
    </row>
    <row r="85" spans="1:22" ht="57" customHeight="1" x14ac:dyDescent="0.2">
      <c r="A85" s="4" t="str">
        <f>Questions!$A85</f>
        <v>AAAI-08</v>
      </c>
      <c r="B85" s="4" t="str">
        <f t="shared" si="7"/>
        <v>AAAI</v>
      </c>
      <c r="C85" s="4" t="str">
        <f>VLOOKUP($A85,Questions!$A$3:$L$333,2,0)&amp;""</f>
        <v>Are you storing any passwords in plaintext?*</v>
      </c>
      <c r="D85" s="4" t="str">
        <f>VLOOKUP($A85,Questions!$A$3:$L$333,11,0)&amp;""</f>
        <v/>
      </c>
      <c r="E85" s="4" t="str">
        <f>VLOOKUP($A85,Questions!$A$3:$L$333,12,0)&amp;""</f>
        <v>Product</v>
      </c>
      <c r="F85" s="4" t="str">
        <f>VLOOKUP($A85,'Institution Evaluation'!$A$56:$K$345,3,0)&amp;""</f>
        <v>No</v>
      </c>
      <c r="G85" s="4" t="str">
        <f>VLOOKUP($A85,'Institution Evaluation'!$A$56:$K$345,7,0)&amp;""</f>
        <v>No</v>
      </c>
      <c r="H85" s="4" t="str">
        <f>VLOOKUP($A85,'Institution Evaluation'!$A$56:$K$345,8,0)&amp;""</f>
        <v/>
      </c>
      <c r="I85" s="4" t="str">
        <f>VLOOKUP($A85,'Institution Evaluation'!$A$56:$K$345,9,0)&amp;""</f>
        <v>Critical Importance</v>
      </c>
      <c r="J85" s="4" t="str">
        <f>VLOOKUP($A85,'Institution Evaluation'!$A$56:$K$345,10,0)&amp;""</f>
        <v/>
      </c>
      <c r="K85" s="4">
        <f>IF($I85='Auto Responses'!$J$11,20,IF($I85='Auto Responses'!$J$13,5,10))</f>
        <v>20</v>
      </c>
      <c r="L85" s="101">
        <f>IF($E85='Auto Responses'!$L$13, 'Auto Responses'!$J$5,IF(AND($D85='Auto Responses'!$J$27,$H85=""),'Auto Responses'!$J$5,IF(AND($D85='Auto Responses'!$J$27,$H85='Auto Responses'!$J$7),1,IF(AND($D85='Auto Responses'!$J$27,$H85='Auto Responses'!$J$8),0,IF(OR(AND($F85=$G85,$H85=""),$H85='Auto Responses'!$J$7),1,0)))))</f>
        <v>1</v>
      </c>
      <c r="M85" s="4" t="str">
        <f>VLOOKUP($A85,'Institution Evaluation'!$A$56:$K$345,11,0)&amp;""</f>
        <v>FALSE</v>
      </c>
      <c r="N85" s="4">
        <f>IF($J85='Auto Responses'!$J$11,1,IF(AND($J85="",$I85='Auto Responses'!$J$11),1,0))</f>
        <v>1</v>
      </c>
      <c r="O85" s="101">
        <f>IF(OR($F$17='Auto Responses'!$J$4,$E85='Auto Responses'!$L$13,$F85='Auto Responses'!$J$5),'Auto Responses'!$J$5,IF($J85="",$K85,IF($J85='Auto Responses'!$J$13,5,IF($J85='Auto Responses'!$J$12,10,IF($J85='Auto Responses'!$J$11,20,0)))))</f>
        <v>20</v>
      </c>
      <c r="P85" s="101">
        <f>IF(OR($O85='Auto Responses'!$J$5,$L85='Auto Responses'!$J$5),'Auto Responses'!$J$5,$O85*$L85)</f>
        <v>20</v>
      </c>
      <c r="Q85" s="101">
        <f t="shared" si="8"/>
        <v>0</v>
      </c>
      <c r="R85" s="101">
        <f t="shared" si="12"/>
        <v>0</v>
      </c>
      <c r="S85" s="101">
        <f t="shared" si="9"/>
        <v>0</v>
      </c>
      <c r="T85" s="101">
        <f t="shared" si="10"/>
        <v>1</v>
      </c>
      <c r="U85" s="101">
        <f t="shared" si="13"/>
        <v>29</v>
      </c>
      <c r="V85" s="101">
        <f t="shared" si="11"/>
        <v>29</v>
      </c>
    </row>
    <row r="86" spans="1:22" ht="57" customHeight="1" x14ac:dyDescent="0.2">
      <c r="A86" s="4" t="str">
        <f>Questions!$A86</f>
        <v>AAAI-09</v>
      </c>
      <c r="B86" s="4" t="str">
        <f t="shared" si="7"/>
        <v>AAAI</v>
      </c>
      <c r="C86" s="4" t="str">
        <f>VLOOKUP($A86,Questions!$A$3:$L$333,2,0)&amp;""</f>
        <v>Are audit logs available that include AT LEAST all of the following: login, logout, actions performed, and source IP address?*</v>
      </c>
      <c r="D86" s="4" t="str">
        <f>VLOOKUP($A86,Questions!$A$3:$L$333,11,0)&amp;""</f>
        <v/>
      </c>
      <c r="E86" s="4" t="str">
        <f>VLOOKUP($A86,Questions!$A$3:$L$333,12,0)&amp;""</f>
        <v>Product</v>
      </c>
      <c r="F86" s="4" t="str">
        <f>VLOOKUP($A86,'Institution Evaluation'!$A$56:$K$345,3,0)&amp;""</f>
        <v>Yes</v>
      </c>
      <c r="G86" s="4" t="str">
        <f>VLOOKUP($A86,'Institution Evaluation'!$A$56:$K$345,7,0)&amp;""</f>
        <v>Yes</v>
      </c>
      <c r="H86" s="4" t="str">
        <f>VLOOKUP($A86,'Institution Evaluation'!$A$56:$K$345,8,0)&amp;""</f>
        <v/>
      </c>
      <c r="I86" s="4" t="str">
        <f>VLOOKUP($A86,'Institution Evaluation'!$A$56:$K$345,9,0)&amp;""</f>
        <v>Critical Importance</v>
      </c>
      <c r="J86" s="4" t="str">
        <f>VLOOKUP($A86,'Institution Evaluation'!$A$56:$K$345,10,0)&amp;""</f>
        <v/>
      </c>
      <c r="K86" s="4">
        <f>IF($I86='Auto Responses'!$J$11,20,IF($I86='Auto Responses'!$J$13,5,10))</f>
        <v>20</v>
      </c>
      <c r="L86" s="101">
        <f>IF($E86='Auto Responses'!$L$13, 'Auto Responses'!$J$5,IF(AND($D86='Auto Responses'!$J$27,$H86=""),'Auto Responses'!$J$5,IF(AND($D86='Auto Responses'!$J$27,$H86='Auto Responses'!$J$7),1,IF(AND($D86='Auto Responses'!$J$27,$H86='Auto Responses'!$J$8),0,IF(OR(AND($F86=$G86,$H86=""),$H86='Auto Responses'!$J$7),1,0)))))</f>
        <v>1</v>
      </c>
      <c r="M86" s="4" t="str">
        <f>VLOOKUP($A86,'Institution Evaluation'!$A$56:$K$345,11,0)&amp;""</f>
        <v>FALSE</v>
      </c>
      <c r="N86" s="4">
        <f>IF($J86='Auto Responses'!$J$11,1,IF(AND($J86="",$I86='Auto Responses'!$J$11),1,0))</f>
        <v>1</v>
      </c>
      <c r="O86" s="101">
        <f>IF(OR($F$17='Auto Responses'!$J$4,$E86='Auto Responses'!$L$13,$F86='Auto Responses'!$J$5),'Auto Responses'!$J$5,IF($J86="",$K86,IF($J86='Auto Responses'!$J$13,5,IF($J86='Auto Responses'!$J$12,10,IF($J86='Auto Responses'!$J$11,20,0)))))</f>
        <v>20</v>
      </c>
      <c r="P86" s="101">
        <f>IF(OR($O86='Auto Responses'!$J$5,$L86='Auto Responses'!$J$5),'Auto Responses'!$J$5,$O86*$L86)</f>
        <v>20</v>
      </c>
      <c r="Q86" s="101">
        <f t="shared" si="8"/>
        <v>0</v>
      </c>
      <c r="R86" s="101">
        <f t="shared" si="12"/>
        <v>0</v>
      </c>
      <c r="S86" s="101">
        <f t="shared" si="9"/>
        <v>0</v>
      </c>
      <c r="T86" s="101">
        <f t="shared" si="10"/>
        <v>1</v>
      </c>
      <c r="U86" s="101">
        <f t="shared" si="13"/>
        <v>30</v>
      </c>
      <c r="V86" s="101">
        <f t="shared" si="11"/>
        <v>30</v>
      </c>
    </row>
    <row r="87" spans="1:22" ht="114" customHeight="1" x14ac:dyDescent="0.2">
      <c r="A87" s="4" t="str">
        <f>Questions!$A87</f>
        <v>AAAI-10</v>
      </c>
      <c r="B87" s="4" t="str">
        <f t="shared" si="7"/>
        <v>AAAI</v>
      </c>
      <c r="C87" s="4" t="str">
        <f>VLOOKUP($A87,Questions!$A$3:$L$333,2,0)&amp;""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D87" s="4" t="str">
        <f>VLOOKUP($A87,Questions!$A$3:$L$333,11,0)&amp;""</f>
        <v/>
      </c>
      <c r="E87" s="4" t="str">
        <f>VLOOKUP($A87,Questions!$A$3:$L$333,12,0)&amp;""</f>
        <v>Not scored</v>
      </c>
      <c r="F87" s="4" t="str">
        <f>VLOOKUP($A87,'Institution Evaluation'!$A$56:$K$345,3,0)&amp;""</f>
        <v>Yes</v>
      </c>
      <c r="G87" s="4" t="str">
        <f>VLOOKUP($A87,'Institution Evaluation'!$A$56:$K$345,7,0)&amp;""</f>
        <v>Not scored</v>
      </c>
      <c r="H87" s="4" t="str">
        <f>VLOOKUP($A87,'Institution Evaluation'!$A$56:$K$345,8,0)&amp;""</f>
        <v/>
      </c>
      <c r="I87" s="4" t="str">
        <f>VLOOKUP($A87,'Institution Evaluation'!$A$56:$K$345,9,0)&amp;""</f>
        <v/>
      </c>
      <c r="J87" s="4" t="str">
        <f>VLOOKUP($A87,'Institution Evaluation'!$A$56:$K$345,10,0)&amp;""</f>
        <v/>
      </c>
      <c r="K87" s="4">
        <f>IF($I87='Auto Responses'!$J$11,20,IF($I87='Auto Responses'!$J$13,5,10))</f>
        <v>10</v>
      </c>
      <c r="L87" s="101" t="str">
        <f>IF($E87='Auto Responses'!$L$13, 'Auto Responses'!$J$5,IF(AND($D87='Auto Responses'!$J$27,$H87=""),'Auto Responses'!$J$5,IF(AND($D87='Auto Responses'!$J$27,$H87='Auto Responses'!$J$7),1,IF(AND($D87='Auto Responses'!$J$27,$H87='Auto Responses'!$J$8),0,IF(OR(AND($F87=$G87,$H87=""),$H87='Auto Responses'!$J$7),1,0)))))</f>
        <v>N/A</v>
      </c>
      <c r="M87" s="4" t="str">
        <f>VLOOKUP($A87,'Institution Evaluation'!$A$56:$K$345,11,0)&amp;""</f>
        <v>FALSE</v>
      </c>
      <c r="N87" s="4">
        <f>IF($J87='Auto Responses'!$J$11,1,IF(AND($J87="",$I87='Auto Responses'!$J$11),1,0))</f>
        <v>0</v>
      </c>
      <c r="O87" s="101" t="str">
        <f>IF(OR($F$17='Auto Responses'!$J$4,$E87='Auto Responses'!$L$13,$F87='Auto Responses'!$J$5),'Auto Responses'!$J$5,IF($J87="",$K87,IF($J87='Auto Responses'!$J$13,5,IF($J87='Auto Responses'!$J$12,10,IF($J87='Auto Responses'!$J$11,20,0)))))</f>
        <v>N/A</v>
      </c>
      <c r="P87" s="101" t="str">
        <f>IF(OR($O87='Auto Responses'!$J$5,$L87='Auto Responses'!$J$5),'Auto Responses'!$J$5,$O87*$L87)</f>
        <v>N/A</v>
      </c>
      <c r="Q87" s="101">
        <f t="shared" si="8"/>
        <v>0</v>
      </c>
      <c r="R87" s="101">
        <f t="shared" si="12"/>
        <v>0</v>
      </c>
      <c r="S87" s="101">
        <f t="shared" si="9"/>
        <v>0</v>
      </c>
      <c r="T87" s="101">
        <f t="shared" si="10"/>
        <v>0</v>
      </c>
      <c r="U87" s="101">
        <f t="shared" si="13"/>
        <v>30</v>
      </c>
      <c r="V87" s="101">
        <f t="shared" si="11"/>
        <v>0</v>
      </c>
    </row>
    <row r="88" spans="1:22" ht="57" customHeight="1" x14ac:dyDescent="0.2">
      <c r="A88" s="4" t="str">
        <f>Questions!$A88</f>
        <v>AAAI-11</v>
      </c>
      <c r="B88" s="4" t="str">
        <f t="shared" si="7"/>
        <v>AAAI</v>
      </c>
      <c r="C88" s="4" t="str">
        <f>VLOOKUP($A88,Questions!$A$3:$L$333,2,0)&amp;""</f>
        <v>Can you provide the institution documentation regarding the retention period for those logs, how logs are protected, and whether they are accessible to the customer (and if so, how)?*</v>
      </c>
      <c r="D88" s="4" t="str">
        <f>VLOOKUP($A88,Questions!$A$3:$L$333,11,0)&amp;""</f>
        <v/>
      </c>
      <c r="E88" s="4" t="str">
        <f>VLOOKUP($A88,Questions!$A$3:$L$333,12,0)&amp;""</f>
        <v>Product</v>
      </c>
      <c r="F88" s="4" t="str">
        <f>VLOOKUP($A88,'Institution Evaluation'!$A$56:$K$345,3,0)&amp;""</f>
        <v>Yes</v>
      </c>
      <c r="G88" s="4" t="str">
        <f>VLOOKUP($A88,'Institution Evaluation'!$A$56:$K$345,7,0)&amp;""</f>
        <v>Yes</v>
      </c>
      <c r="H88" s="4" t="str">
        <f>VLOOKUP($A88,'Institution Evaluation'!$A$56:$K$345,8,0)&amp;""</f>
        <v/>
      </c>
      <c r="I88" s="4" t="str">
        <f>VLOOKUP($A88,'Institution Evaluation'!$A$56:$K$345,9,0)&amp;""</f>
        <v>Critical Importance</v>
      </c>
      <c r="J88" s="4" t="str">
        <f>VLOOKUP($A88,'Institution Evaluation'!$A$56:$K$345,10,0)&amp;""</f>
        <v/>
      </c>
      <c r="K88" s="4">
        <f>IF($I88='Auto Responses'!$J$11,20,IF($I88='Auto Responses'!$J$13,5,10))</f>
        <v>20</v>
      </c>
      <c r="L88" s="101">
        <f>IF($E88='Auto Responses'!$L$13, 'Auto Responses'!$J$5,IF(AND($D88='Auto Responses'!$J$27,$H88=""),'Auto Responses'!$J$5,IF(AND($D88='Auto Responses'!$J$27,$H88='Auto Responses'!$J$7),1,IF(AND($D88='Auto Responses'!$J$27,$H88='Auto Responses'!$J$8),0,IF(OR(AND($F88=$G88,$H88=""),$H88='Auto Responses'!$J$7),1,0)))))</f>
        <v>1</v>
      </c>
      <c r="M88" s="4" t="str">
        <f>VLOOKUP($A88,'Institution Evaluation'!$A$56:$K$345,11,0)&amp;""</f>
        <v>FALSE</v>
      </c>
      <c r="N88" s="4">
        <f>IF($J88='Auto Responses'!$J$11,1,IF(AND($J88="",$I88='Auto Responses'!$J$11),1,0))</f>
        <v>1</v>
      </c>
      <c r="O88" s="101">
        <f>IF(OR($F$17='Auto Responses'!$J$4,$E88='Auto Responses'!$L$13,$F88='Auto Responses'!$J$5),'Auto Responses'!$J$5,IF($J88="",$K88,IF($J88='Auto Responses'!$J$13,5,IF($J88='Auto Responses'!$J$12,10,IF($J88='Auto Responses'!$J$11,20,0)))))</f>
        <v>20</v>
      </c>
      <c r="P88" s="101">
        <f>IF(OR($O88='Auto Responses'!$J$5,$L88='Auto Responses'!$J$5),'Auto Responses'!$J$5,$O88*$L88)</f>
        <v>20</v>
      </c>
      <c r="Q88" s="101">
        <f t="shared" si="8"/>
        <v>0</v>
      </c>
      <c r="R88" s="101">
        <f t="shared" si="12"/>
        <v>0</v>
      </c>
      <c r="S88" s="101">
        <f t="shared" si="9"/>
        <v>0</v>
      </c>
      <c r="T88" s="101">
        <f t="shared" si="10"/>
        <v>1</v>
      </c>
      <c r="U88" s="101">
        <f t="shared" si="13"/>
        <v>31</v>
      </c>
      <c r="V88" s="101">
        <f t="shared" si="11"/>
        <v>31</v>
      </c>
    </row>
    <row r="89" spans="1:22" ht="57" customHeight="1" x14ac:dyDescent="0.2">
      <c r="A89" s="4" t="str">
        <f>Questions!$A89</f>
        <v>AAAI-12</v>
      </c>
      <c r="B89" s="4" t="str">
        <f t="shared" si="7"/>
        <v>AAAI</v>
      </c>
      <c r="C89" s="4" t="str">
        <f>VLOOKUP($A89,Questions!$A$3:$L$333,2,0)&amp;""</f>
        <v>For customers not using SSO, does your application support integration with other authentication and authorization systems?</v>
      </c>
      <c r="D89" s="4" t="str">
        <f>VLOOKUP($A89,Questions!$A$3:$L$333,11,0)&amp;""</f>
        <v/>
      </c>
      <c r="E89" s="4" t="str">
        <f>VLOOKUP($A89,Questions!$A$3:$L$333,12,0)&amp;""</f>
        <v>Product</v>
      </c>
      <c r="F89" s="4" t="str">
        <f>VLOOKUP($A89,'Institution Evaluation'!$A$56:$K$345,3,0)&amp;""</f>
        <v>Yes</v>
      </c>
      <c r="G89" s="4" t="str">
        <f>VLOOKUP($A89,'Institution Evaluation'!$A$56:$K$345,7,0)&amp;""</f>
        <v>Yes</v>
      </c>
      <c r="H89" s="4" t="str">
        <f>VLOOKUP($A89,'Institution Evaluation'!$A$56:$K$345,8,0)&amp;""</f>
        <v/>
      </c>
      <c r="I89" s="4" t="str">
        <f>VLOOKUP($A89,'Institution Evaluation'!$A$56:$K$345,9,0)&amp;""</f>
        <v>Standard Importance</v>
      </c>
      <c r="J89" s="4" t="str">
        <f>VLOOKUP($A89,'Institution Evaluation'!$A$56:$K$345,10,0)&amp;""</f>
        <v/>
      </c>
      <c r="K89" s="4">
        <f>IF($I89='Auto Responses'!$J$11,20,IF($I89='Auto Responses'!$J$13,5,10))</f>
        <v>10</v>
      </c>
      <c r="L89" s="101">
        <f>IF($E89='Auto Responses'!$L$13, 'Auto Responses'!$J$5,IF(AND($D89='Auto Responses'!$J$27,$H89=""),'Auto Responses'!$J$5,IF(AND($D89='Auto Responses'!$J$27,$H89='Auto Responses'!$J$7),1,IF(AND($D89='Auto Responses'!$J$27,$H89='Auto Responses'!$J$8),0,IF(OR(AND($F89=$G89,$H89=""),$H89='Auto Responses'!$J$7),1,0)))))</f>
        <v>1</v>
      </c>
      <c r="M89" s="4" t="str">
        <f>VLOOKUP($A89,'Institution Evaluation'!$A$56:$K$345,11,0)&amp;""</f>
        <v>FALSE</v>
      </c>
      <c r="N89" s="4">
        <f>IF($J89='Auto Responses'!$J$11,1,IF(AND($J89="",$I89='Auto Responses'!$J$11),1,0))</f>
        <v>0</v>
      </c>
      <c r="O89" s="101">
        <f>IF(OR($F$17='Auto Responses'!$J$4,$E89='Auto Responses'!$L$13,$F89='Auto Responses'!$J$5),'Auto Responses'!$J$5,IF($J89="",$K89,IF($J89='Auto Responses'!$J$13,5,IF($J89='Auto Responses'!$J$12,10,IF($J89='Auto Responses'!$J$11,20,0)))))</f>
        <v>10</v>
      </c>
      <c r="P89" s="101">
        <f>IF(OR($O89='Auto Responses'!$J$5,$L89='Auto Responses'!$J$5),'Auto Responses'!$J$5,$O89*$L89)</f>
        <v>10</v>
      </c>
      <c r="Q89" s="101">
        <f t="shared" si="8"/>
        <v>0</v>
      </c>
      <c r="R89" s="101">
        <f t="shared" si="12"/>
        <v>0</v>
      </c>
      <c r="S89" s="101">
        <f t="shared" si="9"/>
        <v>0</v>
      </c>
      <c r="T89" s="101">
        <f t="shared" si="10"/>
        <v>0</v>
      </c>
      <c r="U89" s="101">
        <f t="shared" si="13"/>
        <v>31</v>
      </c>
      <c r="V89" s="101">
        <f t="shared" si="11"/>
        <v>0</v>
      </c>
    </row>
    <row r="90" spans="1:22" ht="57" customHeight="1" x14ac:dyDescent="0.2">
      <c r="A90" s="4" t="str">
        <f>Questions!$A90</f>
        <v>AAAI-13</v>
      </c>
      <c r="B90" s="4" t="str">
        <f t="shared" si="7"/>
        <v>AAAI</v>
      </c>
      <c r="C90" s="4" t="str">
        <f>VLOOKUP($A90,Questions!$A$3:$L$333,2,0)&amp;""</f>
        <v>Do you allow the customer to specify attribute mappings for any needed information beyond a user identifier? (e.g., Reference eduPerson, ePPA/ePPN/ePE)</v>
      </c>
      <c r="D90" s="4" t="str">
        <f>VLOOKUP($A90,Questions!$A$3:$L$333,11,0)&amp;""</f>
        <v/>
      </c>
      <c r="E90" s="4" t="str">
        <f>VLOOKUP($A90,Questions!$A$3:$L$333,12,0)&amp;""</f>
        <v>Product</v>
      </c>
      <c r="F90" s="4" t="str">
        <f>VLOOKUP($A90,'Institution Evaluation'!$A$56:$K$345,3,0)&amp;""</f>
        <v>Yes</v>
      </c>
      <c r="G90" s="4" t="str">
        <f>VLOOKUP($A90,'Institution Evaluation'!$A$56:$K$345,7,0)&amp;""</f>
        <v>Yes</v>
      </c>
      <c r="H90" s="4" t="str">
        <f>VLOOKUP($A90,'Institution Evaluation'!$A$56:$K$345,8,0)&amp;""</f>
        <v/>
      </c>
      <c r="I90" s="4" t="str">
        <f>VLOOKUP($A90,'Institution Evaluation'!$A$56:$K$345,9,0)&amp;""</f>
        <v>Standard Importance</v>
      </c>
      <c r="J90" s="4" t="str">
        <f>VLOOKUP($A90,'Institution Evaluation'!$A$56:$K$345,10,0)&amp;""</f>
        <v/>
      </c>
      <c r="K90" s="4">
        <f>IF($I90='Auto Responses'!$J$11,20,IF($I90='Auto Responses'!$J$13,5,10))</f>
        <v>10</v>
      </c>
      <c r="L90" s="101">
        <f>IF($E90='Auto Responses'!$L$13, 'Auto Responses'!$J$5,IF(AND($D90='Auto Responses'!$J$27,$H90=""),'Auto Responses'!$J$5,IF(AND($D90='Auto Responses'!$J$27,$H90='Auto Responses'!$J$7),1,IF(AND($D90='Auto Responses'!$J$27,$H90='Auto Responses'!$J$8),0,IF(OR(AND($F90=$G90,$H90=""),$H90='Auto Responses'!$J$7),1,0)))))</f>
        <v>1</v>
      </c>
      <c r="M90" s="4" t="str">
        <f>VLOOKUP($A90,'Institution Evaluation'!$A$56:$K$345,11,0)&amp;""</f>
        <v>FALSE</v>
      </c>
      <c r="N90" s="4">
        <f>IF($J90='Auto Responses'!$J$11,1,IF(AND($J90="",$I90='Auto Responses'!$J$11),1,0))</f>
        <v>0</v>
      </c>
      <c r="O90" s="101">
        <f>IF(OR($F$17='Auto Responses'!$J$4,$E90='Auto Responses'!$L$13,$F90='Auto Responses'!$J$5),'Auto Responses'!$J$5,IF($J90="",$K90,IF($J90='Auto Responses'!$J$13,5,IF($J90='Auto Responses'!$J$12,10,IF($J90='Auto Responses'!$J$11,20,0)))))</f>
        <v>10</v>
      </c>
      <c r="P90" s="101">
        <f>IF(OR($O90='Auto Responses'!$J$5,$L90='Auto Responses'!$J$5),'Auto Responses'!$J$5,$O90*$L90)</f>
        <v>10</v>
      </c>
      <c r="Q90" s="101">
        <f t="shared" si="8"/>
        <v>0</v>
      </c>
      <c r="R90" s="101">
        <f t="shared" si="12"/>
        <v>0</v>
      </c>
      <c r="S90" s="101">
        <f t="shared" si="9"/>
        <v>0</v>
      </c>
      <c r="T90" s="101">
        <f t="shared" si="10"/>
        <v>0</v>
      </c>
      <c r="U90" s="101">
        <f t="shared" si="13"/>
        <v>31</v>
      </c>
      <c r="V90" s="101">
        <f t="shared" si="11"/>
        <v>0</v>
      </c>
    </row>
    <row r="91" spans="1:22" ht="57" customHeight="1" x14ac:dyDescent="0.2">
      <c r="A91" s="4" t="str">
        <f>Questions!$A91</f>
        <v>AAAI-14</v>
      </c>
      <c r="B91" s="4" t="str">
        <f t="shared" si="7"/>
        <v>AAAI</v>
      </c>
      <c r="C91" s="4" t="str">
        <f>VLOOKUP($A91,Questions!$A$3:$L$333,2,0)&amp;""</f>
        <v>For customers not using SSO, does your application support directory integration for user accounts?</v>
      </c>
      <c r="D91" s="4" t="str">
        <f>VLOOKUP($A91,Questions!$A$3:$L$333,11,0)&amp;""</f>
        <v/>
      </c>
      <c r="E91" s="4" t="str">
        <f>VLOOKUP($A91,Questions!$A$3:$L$333,12,0)&amp;""</f>
        <v>Product</v>
      </c>
      <c r="F91" s="4" t="str">
        <f>VLOOKUP($A91,'Institution Evaluation'!$A$56:$K$345,3,0)&amp;""</f>
        <v>Yes</v>
      </c>
      <c r="G91" s="4" t="str">
        <f>VLOOKUP($A91,'Institution Evaluation'!$A$56:$K$345,7,0)&amp;""</f>
        <v>Yes</v>
      </c>
      <c r="H91" s="4" t="str">
        <f>VLOOKUP($A91,'Institution Evaluation'!$A$56:$K$345,8,0)&amp;""</f>
        <v/>
      </c>
      <c r="I91" s="4" t="str">
        <f>VLOOKUP($A91,'Institution Evaluation'!$A$56:$K$345,9,0)&amp;""</f>
        <v>Standard Importance</v>
      </c>
      <c r="J91" s="4" t="str">
        <f>VLOOKUP($A91,'Institution Evaluation'!$A$56:$K$345,10,0)&amp;""</f>
        <v/>
      </c>
      <c r="K91" s="4">
        <f>IF($I91='Auto Responses'!$J$11,20,IF($I91='Auto Responses'!$J$13,5,10))</f>
        <v>10</v>
      </c>
      <c r="L91" s="101">
        <f>IF($E91='Auto Responses'!$L$13, 'Auto Responses'!$J$5,IF(AND($D91='Auto Responses'!$J$27,$H91=""),'Auto Responses'!$J$5,IF(AND($D91='Auto Responses'!$J$27,$H91='Auto Responses'!$J$7),1,IF(AND($D91='Auto Responses'!$J$27,$H91='Auto Responses'!$J$8),0,IF(OR(AND($F91=$G91,$H91=""),$H91='Auto Responses'!$J$7),1,0)))))</f>
        <v>1</v>
      </c>
      <c r="M91" s="4" t="str">
        <f>VLOOKUP($A91,'Institution Evaluation'!$A$56:$K$345,11,0)&amp;""</f>
        <v>FALSE</v>
      </c>
      <c r="N91" s="4">
        <f>IF($J91='Auto Responses'!$J$11,1,IF(AND($J91="",$I91='Auto Responses'!$J$11),1,0))</f>
        <v>0</v>
      </c>
      <c r="O91" s="101">
        <f>IF(OR($F$17='Auto Responses'!$J$4,$E91='Auto Responses'!$L$13,$F91='Auto Responses'!$J$5),'Auto Responses'!$J$5,IF($J91="",$K91,IF($J91='Auto Responses'!$J$13,5,IF($J91='Auto Responses'!$J$12,10,IF($J91='Auto Responses'!$J$11,20,0)))))</f>
        <v>10</v>
      </c>
      <c r="P91" s="101">
        <f>IF(OR($O91='Auto Responses'!$J$5,$L91='Auto Responses'!$J$5),'Auto Responses'!$J$5,$O91*$L91)</f>
        <v>10</v>
      </c>
      <c r="Q91" s="101">
        <f t="shared" si="8"/>
        <v>0</v>
      </c>
      <c r="R91" s="101">
        <f t="shared" si="12"/>
        <v>0</v>
      </c>
      <c r="S91" s="101">
        <f t="shared" si="9"/>
        <v>0</v>
      </c>
      <c r="T91" s="101">
        <f t="shared" si="10"/>
        <v>0</v>
      </c>
      <c r="U91" s="101">
        <f t="shared" si="13"/>
        <v>31</v>
      </c>
      <c r="V91" s="101">
        <f t="shared" si="11"/>
        <v>0</v>
      </c>
    </row>
    <row r="92" spans="1:22" ht="57" customHeight="1" x14ac:dyDescent="0.2">
      <c r="A92" s="4" t="str">
        <f>Questions!$A92</f>
        <v>AAAI-15</v>
      </c>
      <c r="B92" s="4" t="str">
        <f t="shared" si="7"/>
        <v>AAAI</v>
      </c>
      <c r="C92" s="4" t="str">
        <f>VLOOKUP($A92,Questions!$A$3:$L$333,2,0)&amp;""</f>
        <v>Does your solution support any of the following web SSO standards: SAML2 (with redirect flow), OIDC, CAS, or other?</v>
      </c>
      <c r="D92" s="4" t="str">
        <f>VLOOKUP($A92,Questions!$A$3:$L$333,11,0)&amp;""</f>
        <v/>
      </c>
      <c r="E92" s="4" t="str">
        <f>VLOOKUP($A92,Questions!$A$3:$L$333,12,0)&amp;""</f>
        <v>Product</v>
      </c>
      <c r="F92" s="4" t="str">
        <f>VLOOKUP($A92,'Institution Evaluation'!$A$56:$K$345,3,0)&amp;""</f>
        <v>Yes</v>
      </c>
      <c r="G92" s="4" t="str">
        <f>VLOOKUP($A92,'Institution Evaluation'!$A$56:$K$345,7,0)&amp;""</f>
        <v>Yes</v>
      </c>
      <c r="H92" s="4" t="str">
        <f>VLOOKUP($A92,'Institution Evaluation'!$A$56:$K$345,8,0)&amp;""</f>
        <v/>
      </c>
      <c r="I92" s="4" t="str">
        <f>VLOOKUP($A92,'Institution Evaluation'!$A$56:$K$345,9,0)&amp;""</f>
        <v>Minor Importance</v>
      </c>
      <c r="J92" s="4" t="str">
        <f>VLOOKUP($A92,'Institution Evaluation'!$A$56:$K$345,10,0)&amp;""</f>
        <v/>
      </c>
      <c r="K92" s="4">
        <f>IF($I92='Auto Responses'!$J$11,20,IF($I92='Auto Responses'!$J$13,5,10))</f>
        <v>5</v>
      </c>
      <c r="L92" s="101">
        <f>IF($E92='Auto Responses'!$L$13, 'Auto Responses'!$J$5,IF(AND($D92='Auto Responses'!$J$27,$H92=""),'Auto Responses'!$J$5,IF(AND($D92='Auto Responses'!$J$27,$H92='Auto Responses'!$J$7),1,IF(AND($D92='Auto Responses'!$J$27,$H92='Auto Responses'!$J$8),0,IF(OR(AND($F92=$G92,$H92=""),$H92='Auto Responses'!$J$7),1,0)))))</f>
        <v>1</v>
      </c>
      <c r="M92" s="4" t="str">
        <f>VLOOKUP($A92,'Institution Evaluation'!$A$56:$K$345,11,0)&amp;""</f>
        <v>FALSE</v>
      </c>
      <c r="N92" s="4">
        <f>IF($J92='Auto Responses'!$J$11,1,IF(AND($J92="",$I92='Auto Responses'!$J$11),1,0))</f>
        <v>0</v>
      </c>
      <c r="O92" s="101">
        <f>IF(OR($F$17='Auto Responses'!$J$4,$E92='Auto Responses'!$L$13,$F92='Auto Responses'!$J$5),'Auto Responses'!$J$5,IF($J92="",$K92,IF($J92='Auto Responses'!$J$13,5,IF($J92='Auto Responses'!$J$12,10,IF($J92='Auto Responses'!$J$11,20,0)))))</f>
        <v>5</v>
      </c>
      <c r="P92" s="101">
        <f>IF(OR($O92='Auto Responses'!$J$5,$L92='Auto Responses'!$J$5),'Auto Responses'!$J$5,$O92*$L92)</f>
        <v>5</v>
      </c>
      <c r="Q92" s="101">
        <f t="shared" si="8"/>
        <v>0</v>
      </c>
      <c r="R92" s="101">
        <f t="shared" si="12"/>
        <v>0</v>
      </c>
      <c r="S92" s="101">
        <f t="shared" si="9"/>
        <v>0</v>
      </c>
      <c r="T92" s="101">
        <f t="shared" si="10"/>
        <v>0</v>
      </c>
      <c r="U92" s="101">
        <f t="shared" si="13"/>
        <v>31</v>
      </c>
      <c r="V92" s="101">
        <f t="shared" si="11"/>
        <v>0</v>
      </c>
    </row>
    <row r="93" spans="1:22" ht="57" customHeight="1" x14ac:dyDescent="0.2">
      <c r="A93" s="4" t="str">
        <f>Questions!$A93</f>
        <v>AAAI-16</v>
      </c>
      <c r="B93" s="4" t="str">
        <f t="shared" si="7"/>
        <v>AAAI</v>
      </c>
      <c r="C93" s="4" t="str">
        <f>VLOOKUP($A93,Questions!$A$3:$L$333,2,0)&amp;""</f>
        <v>Do you support differentiation between email address and user identifier?</v>
      </c>
      <c r="D93" s="4" t="str">
        <f>VLOOKUP($A93,Questions!$A$3:$L$333,11,0)&amp;""</f>
        <v/>
      </c>
      <c r="E93" s="4" t="str">
        <f>VLOOKUP($A93,Questions!$A$3:$L$333,12,0)&amp;""</f>
        <v>Product</v>
      </c>
      <c r="F93" s="4" t="str">
        <f>VLOOKUP($A93,'Institution Evaluation'!$A$56:$K$345,3,0)&amp;""</f>
        <v>Yes</v>
      </c>
      <c r="G93" s="4" t="str">
        <f>VLOOKUP($A93,'Institution Evaluation'!$A$56:$K$345,7,0)&amp;""</f>
        <v>Yes</v>
      </c>
      <c r="H93" s="4" t="str">
        <f>VLOOKUP($A93,'Institution Evaluation'!$A$56:$K$345,8,0)&amp;""</f>
        <v/>
      </c>
      <c r="I93" s="4" t="str">
        <f>VLOOKUP($A93,'Institution Evaluation'!$A$56:$K$345,9,0)&amp;""</f>
        <v>Minor Importance</v>
      </c>
      <c r="J93" s="4" t="str">
        <f>VLOOKUP($A93,'Institution Evaluation'!$A$56:$K$345,10,0)&amp;""</f>
        <v/>
      </c>
      <c r="K93" s="4">
        <f>IF($I93='Auto Responses'!$J$11,20,IF($I93='Auto Responses'!$J$13,5,10))</f>
        <v>5</v>
      </c>
      <c r="L93" s="101">
        <f>IF($E93='Auto Responses'!$L$13, 'Auto Responses'!$J$5,IF(AND($D93='Auto Responses'!$J$27,$H93=""),'Auto Responses'!$J$5,IF(AND($D93='Auto Responses'!$J$27,$H93='Auto Responses'!$J$7),1,IF(AND($D93='Auto Responses'!$J$27,$H93='Auto Responses'!$J$8),0,IF(OR(AND($F93=$G93,$H93=""),$H93='Auto Responses'!$J$7),1,0)))))</f>
        <v>1</v>
      </c>
      <c r="M93" s="4" t="str">
        <f>VLOOKUP($A93,'Institution Evaluation'!$A$56:$K$345,11,0)&amp;""</f>
        <v>FALSE</v>
      </c>
      <c r="N93" s="4">
        <f>IF($J93='Auto Responses'!$J$11,1,IF(AND($J93="",$I93='Auto Responses'!$J$11),1,0))</f>
        <v>0</v>
      </c>
      <c r="O93" s="101">
        <f>IF(OR($F$17='Auto Responses'!$J$4,$E93='Auto Responses'!$L$13,$F93='Auto Responses'!$J$5),'Auto Responses'!$J$5,IF($J93="",$K93,IF($J93='Auto Responses'!$J$13,5,IF($J93='Auto Responses'!$J$12,10,IF($J93='Auto Responses'!$J$11,20,0)))))</f>
        <v>5</v>
      </c>
      <c r="P93" s="101">
        <f>IF(OR($O93='Auto Responses'!$J$5,$L93='Auto Responses'!$J$5),'Auto Responses'!$J$5,$O93*$L93)</f>
        <v>5</v>
      </c>
      <c r="Q93" s="101">
        <f t="shared" si="8"/>
        <v>0</v>
      </c>
      <c r="R93" s="101">
        <f t="shared" si="12"/>
        <v>0</v>
      </c>
      <c r="S93" s="101">
        <f t="shared" si="9"/>
        <v>0</v>
      </c>
      <c r="T93" s="101">
        <f t="shared" si="10"/>
        <v>0</v>
      </c>
      <c r="U93" s="101">
        <f t="shared" si="13"/>
        <v>31</v>
      </c>
      <c r="V93" s="101">
        <f t="shared" si="11"/>
        <v>0</v>
      </c>
    </row>
    <row r="94" spans="1:22" ht="57" customHeight="1" x14ac:dyDescent="0.2">
      <c r="A94" s="4" t="str">
        <f>Questions!$A94</f>
        <v>AAAI-17</v>
      </c>
      <c r="B94" s="4" t="str">
        <f t="shared" si="7"/>
        <v>AAAI</v>
      </c>
      <c r="C94" s="4" t="str">
        <f>VLOOKUP($A94,Questions!$A$3:$L$333,2,0)&amp;""</f>
        <v>For customers not using SSO, does your application and/or user frontend/portal support multifactor authentication (e.g., Duo, Google Authenticator, OTP, etc.)?</v>
      </c>
      <c r="D94" s="4" t="str">
        <f>VLOOKUP($A94,Questions!$A$3:$L$333,11,0)&amp;""</f>
        <v/>
      </c>
      <c r="E94" s="4" t="str">
        <f>VLOOKUP($A94,Questions!$A$3:$L$333,12,0)&amp;""</f>
        <v>Product</v>
      </c>
      <c r="F94" s="4" t="str">
        <f>VLOOKUP($A94,'Institution Evaluation'!$A$56:$K$345,3,0)&amp;""</f>
        <v>Yes</v>
      </c>
      <c r="G94" s="4" t="str">
        <f>VLOOKUP($A94,'Institution Evaluation'!$A$56:$K$345,7,0)&amp;""</f>
        <v>Yes</v>
      </c>
      <c r="H94" s="4" t="str">
        <f>VLOOKUP($A94,'Institution Evaluation'!$A$56:$K$345,8,0)&amp;""</f>
        <v/>
      </c>
      <c r="I94" s="4" t="str">
        <f>VLOOKUP($A94,'Institution Evaluation'!$A$56:$K$345,9,0)&amp;""</f>
        <v>Minor Importance</v>
      </c>
      <c r="J94" s="4" t="str">
        <f>VLOOKUP($A94,'Institution Evaluation'!$A$56:$K$345,10,0)&amp;""</f>
        <v/>
      </c>
      <c r="K94" s="4">
        <f>IF($I94='Auto Responses'!$J$11,20,IF($I94='Auto Responses'!$J$13,5,10))</f>
        <v>5</v>
      </c>
      <c r="L94" s="101">
        <f>IF($E94='Auto Responses'!$L$13, 'Auto Responses'!$J$5,IF(AND($D94='Auto Responses'!$J$27,$H94=""),'Auto Responses'!$J$5,IF(AND($D94='Auto Responses'!$J$27,$H94='Auto Responses'!$J$7),1,IF(AND($D94='Auto Responses'!$J$27,$H94='Auto Responses'!$J$8),0,IF(OR(AND($F94=$G94,$H94=""),$H94='Auto Responses'!$J$7),1,0)))))</f>
        <v>1</v>
      </c>
      <c r="M94" s="4" t="str">
        <f>VLOOKUP($A94,'Institution Evaluation'!$A$56:$K$345,11,0)&amp;""</f>
        <v>FALSE</v>
      </c>
      <c r="N94" s="4">
        <f>IF($J94='Auto Responses'!$J$11,1,IF(AND($J94="",$I94='Auto Responses'!$J$11),1,0))</f>
        <v>0</v>
      </c>
      <c r="O94" s="101">
        <f>IF(OR($F$17='Auto Responses'!$J$4,$E94='Auto Responses'!$L$13,$F94='Auto Responses'!$J$5),'Auto Responses'!$J$5,IF($J94="",$K94,IF($J94='Auto Responses'!$J$13,5,IF($J94='Auto Responses'!$J$12,10,IF($J94='Auto Responses'!$J$11,20,0)))))</f>
        <v>5</v>
      </c>
      <c r="P94" s="101">
        <f>IF(OR($O94='Auto Responses'!$J$5,$L94='Auto Responses'!$J$5),'Auto Responses'!$J$5,$O94*$L94)</f>
        <v>5</v>
      </c>
      <c r="Q94" s="101">
        <f t="shared" si="8"/>
        <v>0</v>
      </c>
      <c r="R94" s="101">
        <f t="shared" si="12"/>
        <v>0</v>
      </c>
      <c r="S94" s="101">
        <f t="shared" si="9"/>
        <v>0</v>
      </c>
      <c r="T94" s="101">
        <f t="shared" si="10"/>
        <v>0</v>
      </c>
      <c r="U94" s="101">
        <f t="shared" si="13"/>
        <v>31</v>
      </c>
      <c r="V94" s="101">
        <f t="shared" si="11"/>
        <v>0</v>
      </c>
    </row>
    <row r="95" spans="1:22" ht="57" customHeight="1" x14ac:dyDescent="0.2">
      <c r="A95" s="4" t="str">
        <f>Questions!$A95</f>
        <v>AAAI-18</v>
      </c>
      <c r="B95" s="4" t="str">
        <f t="shared" si="7"/>
        <v>AAAI</v>
      </c>
      <c r="C95" s="4" t="str">
        <f>VLOOKUP($A95,Questions!$A$3:$L$333,2,0)&amp;""</f>
        <v>Does your application automatically lock the session or log out an account after a period of inactivity?</v>
      </c>
      <c r="D95" s="4" t="str">
        <f>VLOOKUP($A95,Questions!$A$3:$L$333,11,0)&amp;""</f>
        <v/>
      </c>
      <c r="E95" s="4" t="str">
        <f>VLOOKUP($A95,Questions!$A$3:$L$333,12,0)&amp;""</f>
        <v>Product</v>
      </c>
      <c r="F95" s="4" t="str">
        <f>VLOOKUP($A95,'Institution Evaluation'!$A$56:$K$345,3,0)&amp;""</f>
        <v>Yes</v>
      </c>
      <c r="G95" s="4" t="str">
        <f>VLOOKUP($A95,'Institution Evaluation'!$A$56:$K$345,7,0)&amp;""</f>
        <v>Yes</v>
      </c>
      <c r="H95" s="4" t="str">
        <f>VLOOKUP($A95,'Institution Evaluation'!$A$56:$K$345,8,0)&amp;""</f>
        <v/>
      </c>
      <c r="I95" s="4" t="str">
        <f>VLOOKUP($A95,'Institution Evaluation'!$A$56:$K$345,9,0)&amp;""</f>
        <v>Minor Importance</v>
      </c>
      <c r="J95" s="4" t="str">
        <f>VLOOKUP($A95,'Institution Evaluation'!$A$56:$K$345,10,0)&amp;""</f>
        <v/>
      </c>
      <c r="K95" s="4">
        <f>IF($I95='Auto Responses'!$J$11,20,IF($I95='Auto Responses'!$J$13,5,10))</f>
        <v>5</v>
      </c>
      <c r="L95" s="101">
        <f>IF($E95='Auto Responses'!$L$13, 'Auto Responses'!$J$5,IF(AND($D95='Auto Responses'!$J$27,$H95=""),'Auto Responses'!$J$5,IF(AND($D95='Auto Responses'!$J$27,$H95='Auto Responses'!$J$7),1,IF(AND($D95='Auto Responses'!$J$27,$H95='Auto Responses'!$J$8),0,IF(OR(AND($F95=$G95,$H95=""),$H95='Auto Responses'!$J$7),1,0)))))</f>
        <v>1</v>
      </c>
      <c r="M95" s="4" t="str">
        <f>VLOOKUP($A95,'Institution Evaluation'!$A$56:$K$345,11,0)&amp;""</f>
        <v>FALSE</v>
      </c>
      <c r="N95" s="4">
        <f>IF($J95='Auto Responses'!$J$11,1,IF(AND($J95="",$I95='Auto Responses'!$J$11),1,0))</f>
        <v>0</v>
      </c>
      <c r="O95" s="101">
        <f>IF(OR($F$17='Auto Responses'!$J$4,$E95='Auto Responses'!$L$13,$F95='Auto Responses'!$J$5),'Auto Responses'!$J$5,IF($J95="",$K95,IF($J95='Auto Responses'!$J$13,5,IF($J95='Auto Responses'!$J$12,10,IF($J95='Auto Responses'!$J$11,20,0)))))</f>
        <v>5</v>
      </c>
      <c r="P95" s="101">
        <f>IF(OR($O95='Auto Responses'!$J$5,$L95='Auto Responses'!$J$5),'Auto Responses'!$J$5,$O95*$L95)</f>
        <v>5</v>
      </c>
      <c r="Q95" s="101">
        <f t="shared" si="8"/>
        <v>0</v>
      </c>
      <c r="R95" s="101">
        <f t="shared" si="12"/>
        <v>0</v>
      </c>
      <c r="S95" s="101">
        <f t="shared" si="9"/>
        <v>0</v>
      </c>
      <c r="T95" s="101">
        <f t="shared" si="10"/>
        <v>0</v>
      </c>
      <c r="U95" s="101">
        <f t="shared" si="13"/>
        <v>31</v>
      </c>
      <c r="V95" s="101">
        <f t="shared" si="11"/>
        <v>0</v>
      </c>
    </row>
    <row r="96" spans="1:22" ht="57" customHeight="1" x14ac:dyDescent="0.2">
      <c r="A96" s="4" t="str">
        <f>Questions!$A96</f>
        <v>CHNG-01</v>
      </c>
      <c r="B96" s="4" t="str">
        <f t="shared" si="7"/>
        <v>CHNG</v>
      </c>
      <c r="C96" s="4" t="str">
        <f>VLOOKUP($A96,Questions!$A$3:$L$333,2,0)&amp;""</f>
        <v>Will the institution be notified of major changes to your environment that could impact the institution's security posture?*</v>
      </c>
      <c r="D96" s="4" t="str">
        <f>VLOOKUP($A96,Questions!$A$3:$L$333,11,0)&amp;""</f>
        <v/>
      </c>
      <c r="E96" s="4" t="str">
        <f>VLOOKUP($A96,Questions!$A$3:$L$333,12,0)&amp;""</f>
        <v>Organization</v>
      </c>
      <c r="F96" s="4" t="str">
        <f>VLOOKUP($A96,'Institution Evaluation'!$A$56:$K$345,3,0)&amp;""</f>
        <v>Yes</v>
      </c>
      <c r="G96" s="4" t="str">
        <f>VLOOKUP($A96,'Institution Evaluation'!$A$56:$K$345,7,0)&amp;""</f>
        <v>Yes</v>
      </c>
      <c r="H96" s="4" t="str">
        <f>VLOOKUP($A96,'Institution Evaluation'!$A$56:$K$345,8,0)&amp;""</f>
        <v/>
      </c>
      <c r="I96" s="4" t="str">
        <f>VLOOKUP($A96,'Institution Evaluation'!$A$56:$K$345,9,0)&amp;""</f>
        <v>Critical Importance</v>
      </c>
      <c r="J96" s="4" t="str">
        <f>VLOOKUP($A96,'Institution Evaluation'!$A$56:$K$345,10,0)&amp;""</f>
        <v/>
      </c>
      <c r="K96" s="4">
        <f>IF($I96='Auto Responses'!$J$11,20,IF($I96='Auto Responses'!$J$13,5,10))</f>
        <v>20</v>
      </c>
      <c r="L96" s="101">
        <f>IF($E96='Auto Responses'!$L$13, 'Auto Responses'!$J$5,IF(AND($D96='Auto Responses'!$J$27,$H96=""),'Auto Responses'!$J$5,IF(AND($D96='Auto Responses'!$J$27,$H96='Auto Responses'!$J$7),1,IF(AND($D96='Auto Responses'!$J$27,$H96='Auto Responses'!$J$8),0,IF(OR(AND($F96=$G96,$H96=""),$H96='Auto Responses'!$J$7),1,0)))))</f>
        <v>1</v>
      </c>
      <c r="M96" s="4" t="str">
        <f>VLOOKUP($A96,'Institution Evaluation'!$A$56:$K$345,11,0)&amp;""</f>
        <v>FALSE</v>
      </c>
      <c r="N96" s="4">
        <f>IF($J96='Auto Responses'!$J$11,1,IF(AND($J96="",$I96='Auto Responses'!$J$11),1,0))</f>
        <v>1</v>
      </c>
      <c r="O96" s="101">
        <f>IF(OR($E96='Auto Responses'!$L$13,$F96='Auto Responses'!$J$5),'Auto Responses'!$J$5,IF($J96="",$K96,IF($J96='Auto Responses'!$J$13,5,IF($J96='Auto Responses'!$J$12,10,IF($J96='Auto Responses'!$J$11,20,0)))))</f>
        <v>20</v>
      </c>
      <c r="P96" s="101">
        <f>IF(OR($O96='Auto Responses'!$J$5,$L96='Auto Responses'!$J$5),'Auto Responses'!$J$5,$O96*$L96)</f>
        <v>20</v>
      </c>
      <c r="Q96" s="101">
        <f t="shared" si="8"/>
        <v>0</v>
      </c>
      <c r="R96" s="101">
        <f t="shared" si="12"/>
        <v>0</v>
      </c>
      <c r="S96" s="101">
        <f t="shared" si="9"/>
        <v>0</v>
      </c>
      <c r="T96" s="101">
        <f t="shared" si="10"/>
        <v>1</v>
      </c>
      <c r="U96" s="101">
        <f t="shared" si="13"/>
        <v>32</v>
      </c>
      <c r="V96" s="101">
        <f t="shared" si="11"/>
        <v>32</v>
      </c>
    </row>
    <row r="97" spans="1:22" ht="57" customHeight="1" x14ac:dyDescent="0.2">
      <c r="A97" s="4" t="str">
        <f>Questions!$A97</f>
        <v>CHNG-02</v>
      </c>
      <c r="B97" s="4" t="str">
        <f t="shared" si="7"/>
        <v>CHNG</v>
      </c>
      <c r="C97" s="4" t="str">
        <f>VLOOKUP($A97,Questions!$A$3:$L$333,2,0)&amp;""</f>
        <v>Does the system support client customizations from one release to another?*</v>
      </c>
      <c r="D97" s="4" t="str">
        <f>VLOOKUP($A97,Questions!$A$3:$L$333,11,0)&amp;""</f>
        <v/>
      </c>
      <c r="E97" s="4" t="str">
        <f>VLOOKUP($A97,Questions!$A$3:$L$333,12,0)&amp;""</f>
        <v>Organization</v>
      </c>
      <c r="F97" s="4" t="str">
        <f>VLOOKUP($A97,'Institution Evaluation'!$A$56:$K$345,3,0)&amp;""</f>
        <v>Yes</v>
      </c>
      <c r="G97" s="4" t="str">
        <f>VLOOKUP($A97,'Institution Evaluation'!$A$56:$K$345,7,0)&amp;""</f>
        <v>Yes</v>
      </c>
      <c r="H97" s="4" t="str">
        <f>VLOOKUP($A97,'Institution Evaluation'!$A$56:$K$345,8,0)&amp;""</f>
        <v/>
      </c>
      <c r="I97" s="4" t="str">
        <f>VLOOKUP($A97,'Institution Evaluation'!$A$56:$K$345,9,0)&amp;""</f>
        <v>Critical Importance</v>
      </c>
      <c r="J97" s="4" t="str">
        <f>VLOOKUP($A97,'Institution Evaluation'!$A$56:$K$345,10,0)&amp;""</f>
        <v/>
      </c>
      <c r="K97" s="4">
        <f>IF($I97='Auto Responses'!$J$11,20,IF($I97='Auto Responses'!$J$13,5,10))</f>
        <v>20</v>
      </c>
      <c r="L97" s="101">
        <f>IF($E97='Auto Responses'!$L$13, 'Auto Responses'!$J$5,IF(AND($D97='Auto Responses'!$J$27,$H97=""),'Auto Responses'!$J$5,IF(AND($D97='Auto Responses'!$J$27,$H97='Auto Responses'!$J$7),1,IF(AND($D97='Auto Responses'!$J$27,$H97='Auto Responses'!$J$8),0,IF(OR(AND($F97=$G97,$H97=""),$H97='Auto Responses'!$J$7),1,0)))))</f>
        <v>1</v>
      </c>
      <c r="M97" s="4" t="str">
        <f>VLOOKUP($A97,'Institution Evaluation'!$A$56:$K$345,11,0)&amp;""</f>
        <v>FALSE</v>
      </c>
      <c r="N97" s="4">
        <f>IF($J97='Auto Responses'!$J$11,1,IF(AND($J97="",$I97='Auto Responses'!$J$11),1,0))</f>
        <v>1</v>
      </c>
      <c r="O97" s="101">
        <f>IF(OR($E97='Auto Responses'!$L$13,$F97='Auto Responses'!$J$5),'Auto Responses'!$J$5,IF($J97="",$K97,IF($J97='Auto Responses'!$J$13,5,IF($J97='Auto Responses'!$J$12,10,IF($J97='Auto Responses'!$J$11,20,0)))))</f>
        <v>20</v>
      </c>
      <c r="P97" s="101">
        <f>IF(OR($O97='Auto Responses'!$J$5,$L97='Auto Responses'!$J$5),'Auto Responses'!$J$5,$O97*$L97)</f>
        <v>20</v>
      </c>
      <c r="Q97" s="101">
        <f t="shared" si="8"/>
        <v>0</v>
      </c>
      <c r="R97" s="101">
        <f t="shared" si="12"/>
        <v>0</v>
      </c>
      <c r="S97" s="101">
        <f t="shared" si="9"/>
        <v>0</v>
      </c>
      <c r="T97" s="101">
        <f t="shared" si="10"/>
        <v>1</v>
      </c>
      <c r="U97" s="101">
        <f t="shared" si="13"/>
        <v>33</v>
      </c>
      <c r="V97" s="101">
        <f t="shared" si="11"/>
        <v>33</v>
      </c>
    </row>
    <row r="98" spans="1:22" ht="57" customHeight="1" x14ac:dyDescent="0.2">
      <c r="A98" s="4" t="str">
        <f>Questions!$A98</f>
        <v>CHNG-03</v>
      </c>
      <c r="B98" s="4" t="str">
        <f t="shared" si="7"/>
        <v>CHNG</v>
      </c>
      <c r="C98" s="4" t="str">
        <f>VLOOKUP($A98,Questions!$A$3:$L$333,2,0)&amp;""</f>
        <v>Do you have an implemented system configuration management process (e.g., secure "gold" images, etc.)?*</v>
      </c>
      <c r="D98" s="4" t="str">
        <f>VLOOKUP($A98,Questions!$A$3:$L$333,11,0)&amp;""</f>
        <v/>
      </c>
      <c r="E98" s="4" t="str">
        <f>VLOOKUP($A98,Questions!$A$3:$L$333,12,0)&amp;""</f>
        <v>Organization</v>
      </c>
      <c r="F98" s="4" t="str">
        <f>VLOOKUP($A98,'Institution Evaluation'!$A$56:$K$345,3,0)&amp;""</f>
        <v>Yes</v>
      </c>
      <c r="G98" s="4" t="str">
        <f>VLOOKUP($A98,'Institution Evaluation'!$A$56:$K$345,7,0)&amp;""</f>
        <v>Yes</v>
      </c>
      <c r="H98" s="4" t="str">
        <f>VLOOKUP($A98,'Institution Evaluation'!$A$56:$K$345,8,0)&amp;""</f>
        <v/>
      </c>
      <c r="I98" s="4" t="str">
        <f>VLOOKUP($A98,'Institution Evaluation'!$A$56:$K$345,9,0)&amp;""</f>
        <v>Critical Importance</v>
      </c>
      <c r="J98" s="4" t="str">
        <f>VLOOKUP($A98,'Institution Evaluation'!$A$56:$K$345,10,0)&amp;""</f>
        <v/>
      </c>
      <c r="K98" s="4">
        <f>IF($I98='Auto Responses'!$J$11,20,IF($I98='Auto Responses'!$J$13,5,10))</f>
        <v>20</v>
      </c>
      <c r="L98" s="101">
        <f>IF($E98='Auto Responses'!$L$13, 'Auto Responses'!$J$5,IF(AND($D98='Auto Responses'!$J$27,$H98=""),'Auto Responses'!$J$5,IF(AND($D98='Auto Responses'!$J$27,$H98='Auto Responses'!$J$7),1,IF(AND($D98='Auto Responses'!$J$27,$H98='Auto Responses'!$J$8),0,IF(OR(AND($F98=$G98,$H98=""),$H98='Auto Responses'!$J$7),1,0)))))</f>
        <v>1</v>
      </c>
      <c r="M98" s="4" t="str">
        <f>VLOOKUP($A98,'Institution Evaluation'!$A$56:$K$345,11,0)&amp;""</f>
        <v>FALSE</v>
      </c>
      <c r="N98" s="4">
        <f>IF($J98='Auto Responses'!$J$11,1,IF(AND($J98="",$I98='Auto Responses'!$J$11),1,0))</f>
        <v>1</v>
      </c>
      <c r="O98" s="101">
        <f>IF(OR($E98='Auto Responses'!$L$13,$F98='Auto Responses'!$J$5),'Auto Responses'!$J$5,IF($J98="",$K98,IF($J98='Auto Responses'!$J$13,5,IF($J98='Auto Responses'!$J$12,10,IF($J98='Auto Responses'!$J$11,20,0)))))</f>
        <v>20</v>
      </c>
      <c r="P98" s="101">
        <f>IF(OR($O98='Auto Responses'!$J$5,$L98='Auto Responses'!$J$5),'Auto Responses'!$J$5,$O98*$L98)</f>
        <v>20</v>
      </c>
      <c r="Q98" s="101">
        <f t="shared" si="8"/>
        <v>0</v>
      </c>
      <c r="R98" s="101">
        <f t="shared" si="12"/>
        <v>0</v>
      </c>
      <c r="S98" s="101">
        <f t="shared" si="9"/>
        <v>0</v>
      </c>
      <c r="T98" s="101">
        <f t="shared" si="10"/>
        <v>1</v>
      </c>
      <c r="U98" s="101">
        <f t="shared" si="13"/>
        <v>34</v>
      </c>
      <c r="V98" s="101">
        <f t="shared" si="11"/>
        <v>34</v>
      </c>
    </row>
    <row r="99" spans="1:22" ht="57" customHeight="1" x14ac:dyDescent="0.2">
      <c r="A99" s="4" t="str">
        <f>Questions!$A99</f>
        <v>CHNG-04</v>
      </c>
      <c r="B99" s="4" t="str">
        <f t="shared" si="7"/>
        <v>CHNG</v>
      </c>
      <c r="C99" s="4" t="str">
        <f>VLOOKUP($A99,Questions!$A$3:$L$333,2,0)&amp;""</f>
        <v>Do you have a documented change management process?</v>
      </c>
      <c r="D99" s="4" t="str">
        <f>VLOOKUP($A99,Questions!$A$3:$L$333,11,0)&amp;""</f>
        <v/>
      </c>
      <c r="E99" s="4" t="str">
        <f>VLOOKUP($A99,Questions!$A$3:$L$333,12,0)&amp;""</f>
        <v>Organization</v>
      </c>
      <c r="F99" s="4" t="str">
        <f>VLOOKUP($A99,'Institution Evaluation'!$A$56:$K$345,3,0)&amp;""</f>
        <v>Yes</v>
      </c>
      <c r="G99" s="4" t="str">
        <f>VLOOKUP($A99,'Institution Evaluation'!$A$56:$K$345,7,0)&amp;""</f>
        <v>Yes</v>
      </c>
      <c r="H99" s="4" t="str">
        <f>VLOOKUP($A99,'Institution Evaluation'!$A$56:$K$345,8,0)&amp;""</f>
        <v/>
      </c>
      <c r="I99" s="4" t="str">
        <f>VLOOKUP($A99,'Institution Evaluation'!$A$56:$K$345,9,0)&amp;""</f>
        <v>Standard Importance</v>
      </c>
      <c r="J99" s="4" t="str">
        <f>VLOOKUP($A99,'Institution Evaluation'!$A$56:$K$345,10,0)&amp;""</f>
        <v/>
      </c>
      <c r="K99" s="4">
        <f>IF($I99='Auto Responses'!$J$11,20,IF($I99='Auto Responses'!$J$13,5,10))</f>
        <v>10</v>
      </c>
      <c r="L99" s="101">
        <f>IF($E99='Auto Responses'!$L$13, 'Auto Responses'!$J$5,IF(AND($D99='Auto Responses'!$J$27,$H99=""),'Auto Responses'!$J$5,IF(AND($D99='Auto Responses'!$J$27,$H99='Auto Responses'!$J$7),1,IF(AND($D99='Auto Responses'!$J$27,$H99='Auto Responses'!$J$8),0,IF(OR(AND($F99=$G99,$H99=""),$H99='Auto Responses'!$J$7),1,0)))))</f>
        <v>1</v>
      </c>
      <c r="M99" s="4" t="str">
        <f>VLOOKUP($A99,'Institution Evaluation'!$A$56:$K$345,11,0)&amp;""</f>
        <v>FALSE</v>
      </c>
      <c r="N99" s="4">
        <f>IF($J99='Auto Responses'!$J$11,1,IF(AND($J99="",$I99='Auto Responses'!$J$11),1,0))</f>
        <v>0</v>
      </c>
      <c r="O99" s="101">
        <f>IF(OR($E99='Auto Responses'!$L$13,$F99='Auto Responses'!$J$5),'Auto Responses'!$J$5,IF($J99="",$K99,IF($J99='Auto Responses'!$J$13,5,IF($J99='Auto Responses'!$J$12,10,IF($J99='Auto Responses'!$J$11,20,0)))))</f>
        <v>10</v>
      </c>
      <c r="P99" s="101">
        <f>IF(OR($O99='Auto Responses'!$J$5,$L99='Auto Responses'!$J$5),'Auto Responses'!$J$5,$O99*$L99)</f>
        <v>10</v>
      </c>
      <c r="Q99" s="101">
        <f t="shared" si="8"/>
        <v>0</v>
      </c>
      <c r="R99" s="101">
        <f t="shared" si="12"/>
        <v>0</v>
      </c>
      <c r="S99" s="101">
        <f t="shared" si="9"/>
        <v>0</v>
      </c>
      <c r="T99" s="101">
        <f t="shared" si="10"/>
        <v>0</v>
      </c>
      <c r="U99" s="101">
        <f t="shared" si="13"/>
        <v>34</v>
      </c>
      <c r="V99" s="101">
        <f t="shared" si="11"/>
        <v>0</v>
      </c>
    </row>
    <row r="100" spans="1:22" ht="57" customHeight="1" x14ac:dyDescent="0.2">
      <c r="A100" s="4" t="str">
        <f>Questions!$A100</f>
        <v>CHNG-05</v>
      </c>
      <c r="B100" s="4" t="str">
        <f t="shared" si="7"/>
        <v>CHNG</v>
      </c>
      <c r="C100" s="4" t="str">
        <f>VLOOKUP($A100,Questions!$A$3:$L$333,2,0)&amp;""</f>
        <v>Does your change management process minimally include authorization, impact analysis, testing, and validation before moving changes to production?</v>
      </c>
      <c r="D100" s="4" t="str">
        <f>VLOOKUP($A100,Questions!$A$3:$L$333,11,0)&amp;""</f>
        <v/>
      </c>
      <c r="E100" s="4" t="str">
        <f>VLOOKUP($A100,Questions!$A$3:$L$333,12,0)&amp;""</f>
        <v>Organization</v>
      </c>
      <c r="F100" s="4" t="str">
        <f>VLOOKUP($A100,'Institution Evaluation'!$A$56:$K$345,3,0)&amp;""</f>
        <v>Yes</v>
      </c>
      <c r="G100" s="4" t="str">
        <f>VLOOKUP($A100,'Institution Evaluation'!$A$56:$K$345,7,0)&amp;""</f>
        <v>Yes</v>
      </c>
      <c r="H100" s="4" t="str">
        <f>VLOOKUP($A100,'Institution Evaluation'!$A$56:$K$345,8,0)&amp;""</f>
        <v/>
      </c>
      <c r="I100" s="4" t="str">
        <f>VLOOKUP($A100,'Institution Evaluation'!$A$56:$K$345,9,0)&amp;""</f>
        <v>Standard Importance</v>
      </c>
      <c r="J100" s="4" t="str">
        <f>VLOOKUP($A100,'Institution Evaluation'!$A$56:$K$345,10,0)&amp;""</f>
        <v/>
      </c>
      <c r="K100" s="4">
        <f>IF($I100='Auto Responses'!$J$11,20,IF($I100='Auto Responses'!$J$13,5,10))</f>
        <v>10</v>
      </c>
      <c r="L100" s="101">
        <f>IF($E100='Auto Responses'!$L$13, 'Auto Responses'!$J$5,IF(AND($D100='Auto Responses'!$J$27,$H100=""),'Auto Responses'!$J$5,IF(AND($D100='Auto Responses'!$J$27,$H100='Auto Responses'!$J$7),1,IF(AND($D100='Auto Responses'!$J$27,$H100='Auto Responses'!$J$8),0,IF(OR(AND($F100=$G100,$H100=""),$H100='Auto Responses'!$J$7),1,0)))))</f>
        <v>1</v>
      </c>
      <c r="M100" s="4" t="str">
        <f>VLOOKUP($A100,'Institution Evaluation'!$A$56:$K$345,11,0)&amp;""</f>
        <v>FALSE</v>
      </c>
      <c r="N100" s="4">
        <f>IF($J100='Auto Responses'!$J$11,1,IF(AND($J100="",$I100='Auto Responses'!$J$11),1,0))</f>
        <v>0</v>
      </c>
      <c r="O100" s="101">
        <f>IF(OR($E100='Auto Responses'!$L$13,$F100='Auto Responses'!$J$5),'Auto Responses'!$J$5,IF($J100="",$K100,IF($J100='Auto Responses'!$J$13,5,IF($J100='Auto Responses'!$J$12,10,IF($J100='Auto Responses'!$J$11,20,0)))))</f>
        <v>10</v>
      </c>
      <c r="P100" s="101">
        <f>IF(OR($O100='Auto Responses'!$J$5,$L100='Auto Responses'!$J$5),'Auto Responses'!$J$5,$O100*$L100)</f>
        <v>10</v>
      </c>
      <c r="Q100" s="101">
        <f t="shared" si="8"/>
        <v>0</v>
      </c>
      <c r="R100" s="101">
        <f t="shared" si="12"/>
        <v>0</v>
      </c>
      <c r="S100" s="101">
        <f t="shared" si="9"/>
        <v>0</v>
      </c>
      <c r="T100" s="101">
        <f t="shared" si="10"/>
        <v>0</v>
      </c>
      <c r="U100" s="101">
        <f t="shared" si="13"/>
        <v>34</v>
      </c>
      <c r="V100" s="101">
        <f t="shared" si="11"/>
        <v>0</v>
      </c>
    </row>
    <row r="101" spans="1:22" ht="57" customHeight="1" x14ac:dyDescent="0.2">
      <c r="A101" s="4" t="str">
        <f>Questions!$A101</f>
        <v>CHNG-06</v>
      </c>
      <c r="B101" s="4" t="str">
        <f t="shared" si="7"/>
        <v>CHNG</v>
      </c>
      <c r="C101" s="4" t="str">
        <f>VLOOKUP($A101,Questions!$A$3:$L$333,2,0)&amp;""</f>
        <v>Does your change management process verify that all required third-party libraries and dependencies are still supported with each major change?</v>
      </c>
      <c r="D101" s="4" t="str">
        <f>VLOOKUP($A101,Questions!$A$3:$L$333,11,0)&amp;""</f>
        <v/>
      </c>
      <c r="E101" s="4" t="str">
        <f>VLOOKUP($A101,Questions!$A$3:$L$333,12,0)&amp;""</f>
        <v>Organization</v>
      </c>
      <c r="F101" s="4" t="str">
        <f>VLOOKUP($A101,'Institution Evaluation'!$A$56:$K$345,3,0)&amp;""</f>
        <v>Yes</v>
      </c>
      <c r="G101" s="4" t="str">
        <f>VLOOKUP($A101,'Institution Evaluation'!$A$56:$K$345,7,0)&amp;""</f>
        <v>Yes</v>
      </c>
      <c r="H101" s="4" t="str">
        <f>VLOOKUP($A101,'Institution Evaluation'!$A$56:$K$345,8,0)&amp;""</f>
        <v/>
      </c>
      <c r="I101" s="4" t="str">
        <f>VLOOKUP($A101,'Institution Evaluation'!$A$56:$K$345,9,0)&amp;""</f>
        <v>Standard Importance</v>
      </c>
      <c r="J101" s="4" t="str">
        <f>VLOOKUP($A101,'Institution Evaluation'!$A$56:$K$345,10,0)&amp;""</f>
        <v/>
      </c>
      <c r="K101" s="4">
        <f>IF($I101='Auto Responses'!$J$11,20,IF($I101='Auto Responses'!$J$13,5,10))</f>
        <v>10</v>
      </c>
      <c r="L101" s="101">
        <f>IF($E101='Auto Responses'!$L$13, 'Auto Responses'!$J$5,IF(AND($D101='Auto Responses'!$J$27,$H101=""),'Auto Responses'!$J$5,IF(AND($D101='Auto Responses'!$J$27,$H101='Auto Responses'!$J$7),1,IF(AND($D101='Auto Responses'!$J$27,$H101='Auto Responses'!$J$8),0,IF(OR(AND($F101=$G101,$H101=""),$H101='Auto Responses'!$J$7),1,0)))))</f>
        <v>1</v>
      </c>
      <c r="M101" s="4" t="str">
        <f>VLOOKUP($A101,'Institution Evaluation'!$A$56:$K$345,11,0)&amp;""</f>
        <v>FALSE</v>
      </c>
      <c r="N101" s="4">
        <f>IF($J101='Auto Responses'!$J$11,1,IF(AND($J101="",$I101='Auto Responses'!$J$11),1,0))</f>
        <v>0</v>
      </c>
      <c r="O101" s="101">
        <f>IF(OR($E101='Auto Responses'!$L$13,$F101='Auto Responses'!$J$5),'Auto Responses'!$J$5,IF($J101="",$K101,IF($J101='Auto Responses'!$J$13,5,IF($J101='Auto Responses'!$J$12,10,IF($J101='Auto Responses'!$J$11,20,0)))))</f>
        <v>10</v>
      </c>
      <c r="P101" s="101">
        <f>IF(OR($O101='Auto Responses'!$J$5,$L101='Auto Responses'!$J$5),'Auto Responses'!$J$5,$O101*$L101)</f>
        <v>10</v>
      </c>
      <c r="Q101" s="101">
        <f t="shared" si="8"/>
        <v>0</v>
      </c>
      <c r="R101" s="101">
        <f t="shared" si="12"/>
        <v>0</v>
      </c>
      <c r="S101" s="101">
        <f t="shared" si="9"/>
        <v>0</v>
      </c>
      <c r="T101" s="101">
        <f t="shared" si="10"/>
        <v>0</v>
      </c>
      <c r="U101" s="101">
        <f t="shared" si="13"/>
        <v>34</v>
      </c>
      <c r="V101" s="101">
        <f t="shared" si="11"/>
        <v>0</v>
      </c>
    </row>
    <row r="102" spans="1:22" ht="57" customHeight="1" x14ac:dyDescent="0.2">
      <c r="A102" s="4" t="str">
        <f>Questions!$A102</f>
        <v>CHNG-07</v>
      </c>
      <c r="B102" s="4" t="str">
        <f t="shared" si="7"/>
        <v>CHNG</v>
      </c>
      <c r="C102" s="4" t="str">
        <f>VLOOKUP($A102,Questions!$A$3:$L$333,2,0)&amp;""</f>
        <v>Do you have policy and procedure, currently implemented, managing how critical patches are applied to all systems and applications?</v>
      </c>
      <c r="D102" s="4" t="str">
        <f>VLOOKUP($A102,Questions!$A$3:$L$333,11,0)&amp;""</f>
        <v/>
      </c>
      <c r="E102" s="4" t="str">
        <f>VLOOKUP($A102,Questions!$A$3:$L$333,12,0)&amp;""</f>
        <v>Organization</v>
      </c>
      <c r="F102" s="4" t="str">
        <f>VLOOKUP($A102,'Institution Evaluation'!$A$56:$K$345,3,0)&amp;""</f>
        <v>Yes</v>
      </c>
      <c r="G102" s="4" t="str">
        <f>VLOOKUP($A102,'Institution Evaluation'!$A$56:$K$345,7,0)&amp;""</f>
        <v>Yes</v>
      </c>
      <c r="H102" s="4" t="str">
        <f>VLOOKUP($A102,'Institution Evaluation'!$A$56:$K$345,8,0)&amp;""</f>
        <v/>
      </c>
      <c r="I102" s="4" t="str">
        <f>VLOOKUP($A102,'Institution Evaluation'!$A$56:$K$345,9,0)&amp;""</f>
        <v>Standard Importance</v>
      </c>
      <c r="J102" s="4" t="str">
        <f>VLOOKUP($A102,'Institution Evaluation'!$A$56:$K$345,10,0)&amp;""</f>
        <v/>
      </c>
      <c r="K102" s="4">
        <f>IF($I102='Auto Responses'!$J$11,20,IF($I102='Auto Responses'!$J$13,5,10))</f>
        <v>10</v>
      </c>
      <c r="L102" s="101">
        <f>IF($E102='Auto Responses'!$L$13, 'Auto Responses'!$J$5,IF(AND($D102='Auto Responses'!$J$27,$H102=""),'Auto Responses'!$J$5,IF(AND($D102='Auto Responses'!$J$27,$H102='Auto Responses'!$J$7),1,IF(AND($D102='Auto Responses'!$J$27,$H102='Auto Responses'!$J$8),0,IF(OR(AND($F102=$G102,$H102=""),$H102='Auto Responses'!$J$7),1,0)))))</f>
        <v>1</v>
      </c>
      <c r="M102" s="4" t="str">
        <f>VLOOKUP($A102,'Institution Evaluation'!$A$56:$K$345,11,0)&amp;""</f>
        <v>FALSE</v>
      </c>
      <c r="N102" s="4">
        <f>IF($J102='Auto Responses'!$J$11,1,IF(AND($J102="",$I102='Auto Responses'!$J$11),1,0))</f>
        <v>0</v>
      </c>
      <c r="O102" s="101">
        <f>IF(OR($E102='Auto Responses'!$L$13,$F102='Auto Responses'!$J$5),'Auto Responses'!$J$5,IF($J102="",$K102,IF($J102='Auto Responses'!$J$13,5,IF($J102='Auto Responses'!$J$12,10,IF($J102='Auto Responses'!$J$11,20,0)))))</f>
        <v>10</v>
      </c>
      <c r="P102" s="101">
        <f>IF(OR($O102='Auto Responses'!$J$5,$L102='Auto Responses'!$J$5),'Auto Responses'!$J$5,$O102*$L102)</f>
        <v>10</v>
      </c>
      <c r="Q102" s="101">
        <f t="shared" si="8"/>
        <v>0</v>
      </c>
      <c r="R102" s="101">
        <f t="shared" si="12"/>
        <v>0</v>
      </c>
      <c r="S102" s="101">
        <f t="shared" si="9"/>
        <v>0</v>
      </c>
      <c r="T102" s="101">
        <f t="shared" si="10"/>
        <v>0</v>
      </c>
      <c r="U102" s="101">
        <f t="shared" si="13"/>
        <v>34</v>
      </c>
      <c r="V102" s="101">
        <f t="shared" si="11"/>
        <v>0</v>
      </c>
    </row>
    <row r="103" spans="1:22" ht="57" customHeight="1" x14ac:dyDescent="0.2">
      <c r="A103" s="4" t="str">
        <f>Questions!$A103</f>
        <v>CHNG-08</v>
      </c>
      <c r="B103" s="4" t="str">
        <f t="shared" si="7"/>
        <v>CHNG</v>
      </c>
      <c r="C103" s="4" t="str">
        <f>VLOOKUP($A103,Questions!$A$3:$L$333,2,0)&amp;""</f>
        <v>Have you implemented policies and procedures that guide how security risks are mitigated until patches can be applied?</v>
      </c>
      <c r="D103" s="4" t="str">
        <f>VLOOKUP($A103,Questions!$A$3:$L$333,11,0)&amp;""</f>
        <v/>
      </c>
      <c r="E103" s="4" t="str">
        <f>VLOOKUP($A103,Questions!$A$3:$L$333,12,0)&amp;""</f>
        <v>Organization</v>
      </c>
      <c r="F103" s="4" t="str">
        <f>VLOOKUP($A103,'Institution Evaluation'!$A$56:$K$345,3,0)&amp;""</f>
        <v>Yes</v>
      </c>
      <c r="G103" s="4" t="str">
        <f>VLOOKUP($A103,'Institution Evaluation'!$A$56:$K$345,7,0)&amp;""</f>
        <v>Yes</v>
      </c>
      <c r="H103" s="4" t="str">
        <f>VLOOKUP($A103,'Institution Evaluation'!$A$56:$K$345,8,0)&amp;""</f>
        <v/>
      </c>
      <c r="I103" s="4" t="str">
        <f>VLOOKUP($A103,'Institution Evaluation'!$A$56:$K$345,9,0)&amp;""</f>
        <v>Standard Importance</v>
      </c>
      <c r="J103" s="4" t="str">
        <f>VLOOKUP($A103,'Institution Evaluation'!$A$56:$K$345,10,0)&amp;""</f>
        <v/>
      </c>
      <c r="K103" s="4">
        <f>IF($I103='Auto Responses'!$J$11,20,IF($I103='Auto Responses'!$J$13,5,10))</f>
        <v>10</v>
      </c>
      <c r="L103" s="101">
        <f>IF($E103='Auto Responses'!$L$13, 'Auto Responses'!$J$5,IF(AND($D103='Auto Responses'!$J$27,$H103=""),'Auto Responses'!$J$5,IF(AND($D103='Auto Responses'!$J$27,$H103='Auto Responses'!$J$7),1,IF(AND($D103='Auto Responses'!$J$27,$H103='Auto Responses'!$J$8),0,IF(OR(AND($F103=$G103,$H103=""),$H103='Auto Responses'!$J$7),1,0)))))</f>
        <v>1</v>
      </c>
      <c r="M103" s="4" t="str">
        <f>VLOOKUP($A103,'Institution Evaluation'!$A$56:$K$345,11,0)&amp;""</f>
        <v>FALSE</v>
      </c>
      <c r="N103" s="4">
        <f>IF($J103='Auto Responses'!$J$11,1,IF(AND($J103="",$I103='Auto Responses'!$J$11),1,0))</f>
        <v>0</v>
      </c>
      <c r="O103" s="101">
        <f>IF(OR($E103='Auto Responses'!$L$13,$F103='Auto Responses'!$J$5),'Auto Responses'!$J$5,IF($J103="",$K103,IF($J103='Auto Responses'!$J$13,5,IF($J103='Auto Responses'!$J$12,10,IF($J103='Auto Responses'!$J$11,20,0)))))</f>
        <v>10</v>
      </c>
      <c r="P103" s="101">
        <f>IF(OR($O103='Auto Responses'!$J$5,$L103='Auto Responses'!$J$5),'Auto Responses'!$J$5,$O103*$L103)</f>
        <v>10</v>
      </c>
      <c r="Q103" s="101">
        <f t="shared" si="8"/>
        <v>0</v>
      </c>
      <c r="R103" s="101">
        <f t="shared" si="12"/>
        <v>0</v>
      </c>
      <c r="S103" s="101">
        <f t="shared" si="9"/>
        <v>0</v>
      </c>
      <c r="T103" s="101">
        <f t="shared" si="10"/>
        <v>0</v>
      </c>
      <c r="U103" s="101">
        <f t="shared" si="13"/>
        <v>34</v>
      </c>
      <c r="V103" s="101">
        <f t="shared" si="11"/>
        <v>0</v>
      </c>
    </row>
    <row r="104" spans="1:22" ht="57" customHeight="1" x14ac:dyDescent="0.2">
      <c r="A104" s="4" t="str">
        <f>Questions!$A104</f>
        <v>CHNG-09</v>
      </c>
      <c r="B104" s="4" t="str">
        <f t="shared" si="7"/>
        <v>CHNG</v>
      </c>
      <c r="C104" s="4" t="str">
        <f>VLOOKUP($A104,Questions!$A$3:$L$333,2,0)&amp;""</f>
        <v>Do clients have the option to not participate in or postpone an upgrade to a new release?</v>
      </c>
      <c r="D104" s="4" t="str">
        <f>VLOOKUP($A104,Questions!$A$3:$L$333,11,0)&amp;""</f>
        <v/>
      </c>
      <c r="E104" s="4" t="str">
        <f>VLOOKUP($A104,Questions!$A$3:$L$333,12,0)&amp;""</f>
        <v>Organization</v>
      </c>
      <c r="F104" s="4" t="str">
        <f>VLOOKUP($A104,'Institution Evaluation'!$A$56:$K$345,3,0)&amp;""</f>
        <v>No</v>
      </c>
      <c r="G104" s="4" t="str">
        <f>VLOOKUP($A104,'Institution Evaluation'!$A$56:$K$345,7,0)&amp;""</f>
        <v>Yes</v>
      </c>
      <c r="H104" s="4" t="str">
        <f>VLOOKUP($A104,'Institution Evaluation'!$A$56:$K$345,8,0)&amp;""</f>
        <v/>
      </c>
      <c r="I104" s="4" t="str">
        <f>VLOOKUP($A104,'Institution Evaluation'!$A$56:$K$345,9,0)&amp;""</f>
        <v>Minor Importance</v>
      </c>
      <c r="J104" s="4" t="str">
        <f>VLOOKUP($A104,'Institution Evaluation'!$A$56:$K$345,10,0)&amp;""</f>
        <v/>
      </c>
      <c r="K104" s="4">
        <f>IF($I104='Auto Responses'!$J$11,20,IF($I104='Auto Responses'!$J$13,5,10))</f>
        <v>5</v>
      </c>
      <c r="L104" s="101">
        <f>IF($E104='Auto Responses'!$L$13, 'Auto Responses'!$J$5,IF(AND($D104='Auto Responses'!$J$27,$H104=""),'Auto Responses'!$J$5,IF(AND($D104='Auto Responses'!$J$27,$H104='Auto Responses'!$J$7),1,IF(AND($D104='Auto Responses'!$J$27,$H104='Auto Responses'!$J$8),0,IF(OR(AND($F104=$G104,$H104=""),$H104='Auto Responses'!$J$7),1,0)))))</f>
        <v>0</v>
      </c>
      <c r="M104" s="4" t="str">
        <f>VLOOKUP($A104,'Institution Evaluation'!$A$56:$K$345,11,0)&amp;""</f>
        <v>FALSE</v>
      </c>
      <c r="N104" s="4">
        <f>IF($J104='Auto Responses'!$J$11,1,IF(AND($J104="",$I104='Auto Responses'!$J$11),1,0))</f>
        <v>0</v>
      </c>
      <c r="O104" s="101">
        <f>IF(OR($E104='Auto Responses'!$L$13,$F104='Auto Responses'!$J$5),'Auto Responses'!$J$5,IF($J104="",$K104,IF($J104='Auto Responses'!$J$13,5,IF($J104='Auto Responses'!$J$12,10,IF($J104='Auto Responses'!$J$11,20,0)))))</f>
        <v>5</v>
      </c>
      <c r="P104" s="101">
        <f>IF(OR($O104='Auto Responses'!$J$5,$L104='Auto Responses'!$J$5),'Auto Responses'!$J$5,$O104*$L104)</f>
        <v>0</v>
      </c>
      <c r="Q104" s="101">
        <f t="shared" si="8"/>
        <v>0</v>
      </c>
      <c r="R104" s="101">
        <f t="shared" si="12"/>
        <v>0</v>
      </c>
      <c r="S104" s="101">
        <f t="shared" si="9"/>
        <v>0</v>
      </c>
      <c r="T104" s="101">
        <f t="shared" si="10"/>
        <v>0</v>
      </c>
      <c r="U104" s="101">
        <f t="shared" si="13"/>
        <v>34</v>
      </c>
      <c r="V104" s="101">
        <f t="shared" si="11"/>
        <v>0</v>
      </c>
    </row>
    <row r="105" spans="1:22" ht="57" customHeight="1" x14ac:dyDescent="0.2">
      <c r="A105" s="4" t="str">
        <f>Questions!$A105</f>
        <v>CHNG-10</v>
      </c>
      <c r="B105" s="4" t="str">
        <f t="shared" si="7"/>
        <v>CHNG</v>
      </c>
      <c r="C105" s="4" t="str">
        <f>VLOOKUP($A105,Questions!$A$3:$L$333,2,0)&amp;""</f>
        <v>Do you have a fully implemented solution support strategy that defines how many concurrent versions you support?</v>
      </c>
      <c r="D105" s="4" t="str">
        <f>VLOOKUP($A105,Questions!$A$3:$L$333,11,0)&amp;""</f>
        <v/>
      </c>
      <c r="E105" s="4" t="str">
        <f>VLOOKUP($A105,Questions!$A$3:$L$333,12,0)&amp;""</f>
        <v>Organization</v>
      </c>
      <c r="F105" s="4" t="str">
        <f>VLOOKUP($A105,'Institution Evaluation'!$A$56:$K$345,3,0)&amp;""</f>
        <v>Yes</v>
      </c>
      <c r="G105" s="4" t="str">
        <f>VLOOKUP($A105,'Institution Evaluation'!$A$56:$K$345,7,0)&amp;""</f>
        <v>Yes</v>
      </c>
      <c r="H105" s="4" t="str">
        <f>VLOOKUP($A105,'Institution Evaluation'!$A$56:$K$345,8,0)&amp;""</f>
        <v/>
      </c>
      <c r="I105" s="4" t="str">
        <f>VLOOKUP($A105,'Institution Evaluation'!$A$56:$K$345,9,0)&amp;""</f>
        <v>Minor Importance</v>
      </c>
      <c r="J105" s="4" t="str">
        <f>VLOOKUP($A105,'Institution Evaluation'!$A$56:$K$345,10,0)&amp;""</f>
        <v/>
      </c>
      <c r="K105" s="4">
        <f>IF($I105='Auto Responses'!$J$11,20,IF($I105='Auto Responses'!$J$13,5,10))</f>
        <v>5</v>
      </c>
      <c r="L105" s="101">
        <f>IF($E105='Auto Responses'!$L$13, 'Auto Responses'!$J$5,IF(AND($D105='Auto Responses'!$J$27,$H105=""),'Auto Responses'!$J$5,IF(AND($D105='Auto Responses'!$J$27,$H105='Auto Responses'!$J$7),1,IF(AND($D105='Auto Responses'!$J$27,$H105='Auto Responses'!$J$8),0,IF(OR(AND($F105=$G105,$H105=""),$H105='Auto Responses'!$J$7),1,0)))))</f>
        <v>1</v>
      </c>
      <c r="M105" s="4" t="str">
        <f>VLOOKUP($A105,'Institution Evaluation'!$A$56:$K$345,11,0)&amp;""</f>
        <v>FALSE</v>
      </c>
      <c r="N105" s="4">
        <f>IF($J105='Auto Responses'!$J$11,1,IF(AND($J105="",$I105='Auto Responses'!$J$11),1,0))</f>
        <v>0</v>
      </c>
      <c r="O105" s="101">
        <f>IF(OR($E105='Auto Responses'!$L$13,$F105='Auto Responses'!$J$5),'Auto Responses'!$J$5,IF($J105="",$K105,IF($J105='Auto Responses'!$J$13,5,IF($J105='Auto Responses'!$J$12,10,IF($J105='Auto Responses'!$J$11,20,0)))))</f>
        <v>5</v>
      </c>
      <c r="P105" s="101">
        <f>IF(OR($O105='Auto Responses'!$J$5,$L105='Auto Responses'!$J$5),'Auto Responses'!$J$5,$O105*$L105)</f>
        <v>5</v>
      </c>
      <c r="Q105" s="101">
        <f t="shared" si="8"/>
        <v>0</v>
      </c>
      <c r="R105" s="101">
        <f t="shared" si="12"/>
        <v>0</v>
      </c>
      <c r="S105" s="101">
        <f t="shared" si="9"/>
        <v>0</v>
      </c>
      <c r="T105" s="101">
        <f t="shared" si="10"/>
        <v>0</v>
      </c>
      <c r="U105" s="101">
        <f t="shared" si="13"/>
        <v>34</v>
      </c>
      <c r="V105" s="101">
        <f t="shared" si="11"/>
        <v>0</v>
      </c>
    </row>
    <row r="106" spans="1:22" ht="57" customHeight="1" x14ac:dyDescent="0.2">
      <c r="A106" s="4" t="str">
        <f>Questions!$A106</f>
        <v>CHNG-11</v>
      </c>
      <c r="B106" s="4" t="str">
        <f t="shared" si="7"/>
        <v>CHNG</v>
      </c>
      <c r="C106" s="4" t="str">
        <f>VLOOKUP($A106,Questions!$A$3:$L$333,2,0)&amp;""</f>
        <v>Do you have a release schedule for product updates?</v>
      </c>
      <c r="D106" s="4" t="str">
        <f>VLOOKUP($A106,Questions!$A$3:$L$333,11,0)&amp;""</f>
        <v/>
      </c>
      <c r="E106" s="4" t="str">
        <f>VLOOKUP($A106,Questions!$A$3:$L$333,12,0)&amp;""</f>
        <v>Organization</v>
      </c>
      <c r="F106" s="4" t="str">
        <f>VLOOKUP($A106,'Institution Evaluation'!$A$56:$K$345,3,0)&amp;""</f>
        <v>Yes</v>
      </c>
      <c r="G106" s="4" t="str">
        <f>VLOOKUP($A106,'Institution Evaluation'!$A$56:$K$345,7,0)&amp;""</f>
        <v>Yes</v>
      </c>
      <c r="H106" s="4" t="str">
        <f>VLOOKUP($A106,'Institution Evaluation'!$A$56:$K$345,8,0)&amp;""</f>
        <v/>
      </c>
      <c r="I106" s="4" t="str">
        <f>VLOOKUP($A106,'Institution Evaluation'!$A$56:$K$345,9,0)&amp;""</f>
        <v>Minor Importance</v>
      </c>
      <c r="J106" s="4" t="str">
        <f>VLOOKUP($A106,'Institution Evaluation'!$A$56:$K$345,10,0)&amp;""</f>
        <v/>
      </c>
      <c r="K106" s="4">
        <f>IF($I106='Auto Responses'!$J$11,20,IF($I106='Auto Responses'!$J$13,5,10))</f>
        <v>5</v>
      </c>
      <c r="L106" s="101">
        <f>IF($E106='Auto Responses'!$L$13, 'Auto Responses'!$J$5,IF(AND($D106='Auto Responses'!$J$27,$H106=""),'Auto Responses'!$J$5,IF(AND($D106='Auto Responses'!$J$27,$H106='Auto Responses'!$J$7),1,IF(AND($D106='Auto Responses'!$J$27,$H106='Auto Responses'!$J$8),0,IF(OR(AND($F106=$G106,$H106=""),$H106='Auto Responses'!$J$7),1,0)))))</f>
        <v>1</v>
      </c>
      <c r="M106" s="4" t="str">
        <f>VLOOKUP($A106,'Institution Evaluation'!$A$56:$K$345,11,0)&amp;""</f>
        <v>FALSE</v>
      </c>
      <c r="N106" s="4">
        <f>IF($J106='Auto Responses'!$J$11,1,IF(AND($J106="",$I106='Auto Responses'!$J$11),1,0))</f>
        <v>0</v>
      </c>
      <c r="O106" s="101">
        <f>IF(OR($E106='Auto Responses'!$L$13,$F106='Auto Responses'!$J$5),'Auto Responses'!$J$5,IF($J106="",$K106,IF($J106='Auto Responses'!$J$13,5,IF($J106='Auto Responses'!$J$12,10,IF($J106='Auto Responses'!$J$11,20,0)))))</f>
        <v>5</v>
      </c>
      <c r="P106" s="101">
        <f>IF(OR($O106='Auto Responses'!$J$5,$L106='Auto Responses'!$J$5),'Auto Responses'!$J$5,$O106*$L106)</f>
        <v>5</v>
      </c>
      <c r="Q106" s="101">
        <f t="shared" si="8"/>
        <v>0</v>
      </c>
      <c r="R106" s="101">
        <f t="shared" si="12"/>
        <v>0</v>
      </c>
      <c r="S106" s="101">
        <f t="shared" si="9"/>
        <v>0</v>
      </c>
      <c r="T106" s="101">
        <f t="shared" si="10"/>
        <v>0</v>
      </c>
      <c r="U106" s="101">
        <f t="shared" si="13"/>
        <v>34</v>
      </c>
      <c r="V106" s="101">
        <f t="shared" si="11"/>
        <v>0</v>
      </c>
    </row>
    <row r="107" spans="1:22" ht="57" customHeight="1" x14ac:dyDescent="0.2">
      <c r="A107" s="4" t="str">
        <f>Questions!$A107</f>
        <v>CHNG-12</v>
      </c>
      <c r="B107" s="4" t="str">
        <f t="shared" si="7"/>
        <v>CHNG</v>
      </c>
      <c r="C107" s="4" t="str">
        <f>VLOOKUP($A107,Questions!$A$3:$L$333,2,0)&amp;""</f>
        <v>Do you have a technology roadmap, for at least the next two years, for enhancements and bug fixes for the solution being assessed?</v>
      </c>
      <c r="D107" s="4" t="str">
        <f>VLOOKUP($A107,Questions!$A$3:$L$333,11,0)&amp;""</f>
        <v/>
      </c>
      <c r="E107" s="4" t="str">
        <f>VLOOKUP($A107,Questions!$A$3:$L$333,12,0)&amp;""</f>
        <v>Organization</v>
      </c>
      <c r="F107" s="4" t="str">
        <f>VLOOKUP($A107,'Institution Evaluation'!$A$56:$K$345,3,0)&amp;""</f>
        <v>Yes</v>
      </c>
      <c r="G107" s="4" t="str">
        <f>VLOOKUP($A107,'Institution Evaluation'!$A$56:$K$345,7,0)&amp;""</f>
        <v>Yes</v>
      </c>
      <c r="H107" s="4" t="str">
        <f>VLOOKUP($A107,'Institution Evaluation'!$A$56:$K$345,8,0)&amp;""</f>
        <v/>
      </c>
      <c r="I107" s="4" t="str">
        <f>VLOOKUP($A107,'Institution Evaluation'!$A$56:$K$345,9,0)&amp;""</f>
        <v>Minor Importance</v>
      </c>
      <c r="J107" s="4" t="str">
        <f>VLOOKUP($A107,'Institution Evaluation'!$A$56:$K$345,10,0)&amp;""</f>
        <v/>
      </c>
      <c r="K107" s="4">
        <f>IF($I107='Auto Responses'!$J$11,20,IF($I107='Auto Responses'!$J$13,5,10))</f>
        <v>5</v>
      </c>
      <c r="L107" s="101">
        <f>IF($E107='Auto Responses'!$L$13, 'Auto Responses'!$J$5,IF(AND($D107='Auto Responses'!$J$27,$H107=""),'Auto Responses'!$J$5,IF(AND($D107='Auto Responses'!$J$27,$H107='Auto Responses'!$J$7),1,IF(AND($D107='Auto Responses'!$J$27,$H107='Auto Responses'!$J$8),0,IF(OR(AND($F107=$G107,$H107=""),$H107='Auto Responses'!$J$7),1,0)))))</f>
        <v>1</v>
      </c>
      <c r="M107" s="4" t="str">
        <f>VLOOKUP($A107,'Institution Evaluation'!$A$56:$K$345,11,0)&amp;""</f>
        <v>FALSE</v>
      </c>
      <c r="N107" s="4">
        <f>IF($J107='Auto Responses'!$J$11,1,IF(AND($J107="",$I107='Auto Responses'!$J$11),1,0))</f>
        <v>0</v>
      </c>
      <c r="O107" s="101">
        <f>IF(OR($E107='Auto Responses'!$L$13,$F107='Auto Responses'!$J$5),'Auto Responses'!$J$5,IF($J107="",$K107,IF($J107='Auto Responses'!$J$13,5,IF($J107='Auto Responses'!$J$12,10,IF($J107='Auto Responses'!$J$11,20,0)))))</f>
        <v>5</v>
      </c>
      <c r="P107" s="101">
        <f>IF(OR($O107='Auto Responses'!$J$5,$L107='Auto Responses'!$J$5),'Auto Responses'!$J$5,$O107*$L107)</f>
        <v>5</v>
      </c>
      <c r="Q107" s="101">
        <f t="shared" si="8"/>
        <v>0</v>
      </c>
      <c r="R107" s="101">
        <f t="shared" si="12"/>
        <v>0</v>
      </c>
      <c r="S107" s="101">
        <f t="shared" si="9"/>
        <v>0</v>
      </c>
      <c r="T107" s="101">
        <f t="shared" si="10"/>
        <v>0</v>
      </c>
      <c r="U107" s="101">
        <f t="shared" si="13"/>
        <v>34</v>
      </c>
      <c r="V107" s="101">
        <f t="shared" si="11"/>
        <v>0</v>
      </c>
    </row>
    <row r="108" spans="1:22" ht="57" customHeight="1" x14ac:dyDescent="0.2">
      <c r="A108" s="4" t="str">
        <f>Questions!$A108</f>
        <v>CHNG-13</v>
      </c>
      <c r="B108" s="4" t="str">
        <f t="shared" si="7"/>
        <v>CHNG</v>
      </c>
      <c r="C108" s="4" t="str">
        <f>VLOOKUP($A108,Questions!$A$3:$L$333,2,0)&amp;""</f>
        <v>Can solution updates be completed without institutional involvement (i.e., technically or organizationally)?</v>
      </c>
      <c r="D108" s="4" t="str">
        <f>VLOOKUP($A108,Questions!$A$3:$L$333,11,0)&amp;""</f>
        <v/>
      </c>
      <c r="E108" s="4" t="str">
        <f>VLOOKUP($A108,Questions!$A$3:$L$333,12,0)&amp;""</f>
        <v>Organization</v>
      </c>
      <c r="F108" s="4" t="str">
        <f>VLOOKUP($A108,'Institution Evaluation'!$A$56:$K$345,3,0)&amp;""</f>
        <v>Yes</v>
      </c>
      <c r="G108" s="4" t="str">
        <f>VLOOKUP($A108,'Institution Evaluation'!$A$56:$K$345,7,0)&amp;""</f>
        <v>Yes</v>
      </c>
      <c r="H108" s="4" t="str">
        <f>VLOOKUP($A108,'Institution Evaluation'!$A$56:$K$345,8,0)&amp;""</f>
        <v/>
      </c>
      <c r="I108" s="4" t="str">
        <f>VLOOKUP($A108,'Institution Evaluation'!$A$56:$K$345,9,0)&amp;""</f>
        <v>Minor Importance</v>
      </c>
      <c r="J108" s="4" t="str">
        <f>VLOOKUP($A108,'Institution Evaluation'!$A$56:$K$345,10,0)&amp;""</f>
        <v/>
      </c>
      <c r="K108" s="4">
        <f>IF($I108='Auto Responses'!$J$11,20,IF($I108='Auto Responses'!$J$13,5,10))</f>
        <v>5</v>
      </c>
      <c r="L108" s="101">
        <f>IF($E108='Auto Responses'!$L$13, 'Auto Responses'!$J$5,IF(AND($D108='Auto Responses'!$J$27,$H108=""),'Auto Responses'!$J$5,IF(AND($D108='Auto Responses'!$J$27,$H108='Auto Responses'!$J$7),1,IF(AND($D108='Auto Responses'!$J$27,$H108='Auto Responses'!$J$8),0,IF(OR(AND($F108=$G108,$H108=""),$H108='Auto Responses'!$J$7),1,0)))))</f>
        <v>1</v>
      </c>
      <c r="M108" s="4" t="str">
        <f>VLOOKUP($A108,'Institution Evaluation'!$A$56:$K$345,11,0)&amp;""</f>
        <v>FALSE</v>
      </c>
      <c r="N108" s="4">
        <f>IF($J108='Auto Responses'!$J$11,1,IF(AND($J108="",$I108='Auto Responses'!$J$11),1,0))</f>
        <v>0</v>
      </c>
      <c r="O108" s="101">
        <f>IF(OR($E108='Auto Responses'!$L$13,$F108='Auto Responses'!$J$5),'Auto Responses'!$J$5,IF($J108="",$K108,IF($J108='Auto Responses'!$J$13,5,IF($J108='Auto Responses'!$J$12,10,IF($J108='Auto Responses'!$J$11,20,0)))))</f>
        <v>5</v>
      </c>
      <c r="P108" s="101">
        <f>IF(OR($O108='Auto Responses'!$J$5,$L108='Auto Responses'!$J$5),'Auto Responses'!$J$5,$O108*$L108)</f>
        <v>5</v>
      </c>
      <c r="Q108" s="101">
        <f t="shared" si="8"/>
        <v>0</v>
      </c>
      <c r="R108" s="101">
        <f t="shared" si="12"/>
        <v>0</v>
      </c>
      <c r="S108" s="101">
        <f t="shared" si="9"/>
        <v>0</v>
      </c>
      <c r="T108" s="101">
        <f t="shared" si="10"/>
        <v>0</v>
      </c>
      <c r="U108" s="101">
        <f t="shared" si="13"/>
        <v>34</v>
      </c>
      <c r="V108" s="101">
        <f t="shared" si="11"/>
        <v>0</v>
      </c>
    </row>
    <row r="109" spans="1:22" ht="57" customHeight="1" x14ac:dyDescent="0.2">
      <c r="A109" s="4" t="str">
        <f>Questions!$A109</f>
        <v>CHNG-14</v>
      </c>
      <c r="B109" s="4" t="str">
        <f t="shared" si="7"/>
        <v>CHNG</v>
      </c>
      <c r="C109" s="4" t="str">
        <f>VLOOKUP($A109,Questions!$A$3:$L$333,2,0)&amp;""</f>
        <v>Are upgrades or system changes installed during off-peak hours or in a manner that does not impact the customer?</v>
      </c>
      <c r="D109" s="4" t="str">
        <f>VLOOKUP($A109,Questions!$A$3:$L$333,11,0)&amp;""</f>
        <v/>
      </c>
      <c r="E109" s="4" t="str">
        <f>VLOOKUP($A109,Questions!$A$3:$L$333,12,0)&amp;""</f>
        <v>Organization</v>
      </c>
      <c r="F109" s="4" t="str">
        <f>VLOOKUP($A109,'Institution Evaluation'!$A$56:$K$345,3,0)&amp;""</f>
        <v>Yes</v>
      </c>
      <c r="G109" s="4" t="str">
        <f>VLOOKUP($A109,'Institution Evaluation'!$A$56:$K$345,7,0)&amp;""</f>
        <v>Yes</v>
      </c>
      <c r="H109" s="4" t="str">
        <f>VLOOKUP($A109,'Institution Evaluation'!$A$56:$K$345,8,0)&amp;""</f>
        <v/>
      </c>
      <c r="I109" s="4" t="str">
        <f>VLOOKUP($A109,'Institution Evaluation'!$A$56:$K$345,9,0)&amp;""</f>
        <v>Minor Importance</v>
      </c>
      <c r="J109" s="4" t="str">
        <f>VLOOKUP($A109,'Institution Evaluation'!$A$56:$K$345,10,0)&amp;""</f>
        <v/>
      </c>
      <c r="K109" s="4">
        <f>IF($I109='Auto Responses'!$J$11,20,IF($I109='Auto Responses'!$J$13,5,10))</f>
        <v>5</v>
      </c>
      <c r="L109" s="101">
        <f>IF($E109='Auto Responses'!$L$13, 'Auto Responses'!$J$5,IF(AND($D109='Auto Responses'!$J$27,$H109=""),'Auto Responses'!$J$5,IF(AND($D109='Auto Responses'!$J$27,$H109='Auto Responses'!$J$7),1,IF(AND($D109='Auto Responses'!$J$27,$H109='Auto Responses'!$J$8),0,IF(OR(AND($F109=$G109,$H109=""),$H109='Auto Responses'!$J$7),1,0)))))</f>
        <v>1</v>
      </c>
      <c r="M109" s="4" t="str">
        <f>VLOOKUP($A109,'Institution Evaluation'!$A$56:$K$345,11,0)&amp;""</f>
        <v>FALSE</v>
      </c>
      <c r="N109" s="4">
        <f>IF($J109='Auto Responses'!$J$11,1,IF(AND($J109="",$I109='Auto Responses'!$J$11),1,0))</f>
        <v>0</v>
      </c>
      <c r="O109" s="101">
        <f>IF(OR($E109='Auto Responses'!$L$13,$F109='Auto Responses'!$J$5),'Auto Responses'!$J$5,IF($J109="",$K109,IF($J109='Auto Responses'!$J$13,5,IF($J109='Auto Responses'!$J$12,10,IF($J109='Auto Responses'!$J$11,20,0)))))</f>
        <v>5</v>
      </c>
      <c r="P109" s="101">
        <f>IF(OR($O109='Auto Responses'!$J$5,$L109='Auto Responses'!$J$5),'Auto Responses'!$J$5,$O109*$L109)</f>
        <v>5</v>
      </c>
      <c r="Q109" s="101">
        <f t="shared" si="8"/>
        <v>0</v>
      </c>
      <c r="R109" s="101">
        <f t="shared" si="12"/>
        <v>0</v>
      </c>
      <c r="S109" s="101">
        <f t="shared" si="9"/>
        <v>0</v>
      </c>
      <c r="T109" s="101">
        <f t="shared" si="10"/>
        <v>0</v>
      </c>
      <c r="U109" s="101">
        <f t="shared" si="13"/>
        <v>34</v>
      </c>
      <c r="V109" s="101">
        <f t="shared" si="11"/>
        <v>0</v>
      </c>
    </row>
    <row r="110" spans="1:22" ht="57" customHeight="1" x14ac:dyDescent="0.2">
      <c r="A110" s="4" t="str">
        <f>Questions!$A110</f>
        <v>CHNG-15</v>
      </c>
      <c r="B110" s="4" t="str">
        <f t="shared" si="7"/>
        <v>CHNG</v>
      </c>
      <c r="C110" s="4" t="str">
        <f>VLOOKUP($A110,Questions!$A$3:$L$333,2,0)&amp;""</f>
        <v>Do procedures exist to provide that emergency changes are documented and authorized (including after-the-fact approval)?</v>
      </c>
      <c r="D110" s="4" t="str">
        <f>VLOOKUP($A110,Questions!$A$3:$L$333,11,0)&amp;""</f>
        <v/>
      </c>
      <c r="E110" s="4" t="str">
        <f>VLOOKUP($A110,Questions!$A$3:$L$333,12,0)&amp;""</f>
        <v>Organization</v>
      </c>
      <c r="F110" s="4" t="str">
        <f>VLOOKUP($A110,'Institution Evaluation'!$A$56:$K$345,3,0)&amp;""</f>
        <v>Yes</v>
      </c>
      <c r="G110" s="4" t="str">
        <f>VLOOKUP($A110,'Institution Evaluation'!$A$56:$K$345,7,0)&amp;""</f>
        <v>Yes</v>
      </c>
      <c r="H110" s="4" t="str">
        <f>VLOOKUP($A110,'Institution Evaluation'!$A$56:$K$345,8,0)&amp;""</f>
        <v/>
      </c>
      <c r="I110" s="4" t="str">
        <f>VLOOKUP($A110,'Institution Evaluation'!$A$56:$K$345,9,0)&amp;""</f>
        <v>Minor Importance</v>
      </c>
      <c r="J110" s="4" t="str">
        <f>VLOOKUP($A110,'Institution Evaluation'!$A$56:$K$345,10,0)&amp;""</f>
        <v/>
      </c>
      <c r="K110" s="4">
        <f>IF($I110='Auto Responses'!$J$11,20,IF($I110='Auto Responses'!$J$13,5,10))</f>
        <v>5</v>
      </c>
      <c r="L110" s="101">
        <f>IF($E110='Auto Responses'!$L$13, 'Auto Responses'!$J$5,IF(AND($D110='Auto Responses'!$J$27,$H110=""),'Auto Responses'!$J$5,IF(AND($D110='Auto Responses'!$J$27,$H110='Auto Responses'!$J$7),1,IF(AND($D110='Auto Responses'!$J$27,$H110='Auto Responses'!$J$8),0,IF(OR(AND($F110=$G110,$H110=""),$H110='Auto Responses'!$J$7),1,0)))))</f>
        <v>1</v>
      </c>
      <c r="M110" s="4" t="str">
        <f>VLOOKUP($A110,'Institution Evaluation'!$A$56:$K$345,11,0)&amp;""</f>
        <v>FALSE</v>
      </c>
      <c r="N110" s="4">
        <f>IF($J110='Auto Responses'!$J$11,1,IF(AND($J110="",$I110='Auto Responses'!$J$11),1,0))</f>
        <v>0</v>
      </c>
      <c r="O110" s="101">
        <f>IF(OR($E110='Auto Responses'!$L$13,$F110='Auto Responses'!$J$5),'Auto Responses'!$J$5,IF($J110="",$K110,IF($J110='Auto Responses'!$J$13,5,IF($J110='Auto Responses'!$J$12,10,IF($J110='Auto Responses'!$J$11,20,0)))))</f>
        <v>5</v>
      </c>
      <c r="P110" s="101">
        <f>IF(OR($O110='Auto Responses'!$J$5,$L110='Auto Responses'!$J$5),'Auto Responses'!$J$5,$O110*$L110)</f>
        <v>5</v>
      </c>
      <c r="Q110" s="101">
        <f t="shared" si="8"/>
        <v>0</v>
      </c>
      <c r="R110" s="101">
        <f t="shared" si="12"/>
        <v>0</v>
      </c>
      <c r="S110" s="101">
        <f t="shared" si="9"/>
        <v>0</v>
      </c>
      <c r="T110" s="101">
        <f t="shared" si="10"/>
        <v>0</v>
      </c>
      <c r="U110" s="101">
        <f t="shared" si="13"/>
        <v>34</v>
      </c>
      <c r="V110" s="101">
        <f t="shared" si="11"/>
        <v>0</v>
      </c>
    </row>
    <row r="111" spans="1:22" ht="57" customHeight="1" x14ac:dyDescent="0.2">
      <c r="A111" s="4" t="str">
        <f>Questions!$A111</f>
        <v>CHNG-16</v>
      </c>
      <c r="B111" s="4" t="str">
        <f t="shared" si="7"/>
        <v>CHNG</v>
      </c>
      <c r="C111" s="4" t="str">
        <f>VLOOKUP($A111,Questions!$A$3:$L$333,2,0)&amp;""</f>
        <v>Do you have a systems management and configuration strategy that encompasses servers, appliances, cloud services, applications, and mobile devices (company and employee owned)?</v>
      </c>
      <c r="D111" s="4" t="str">
        <f>VLOOKUP($A111,Questions!$A$3:$L$333,11,0)&amp;""</f>
        <v/>
      </c>
      <c r="E111" s="4" t="str">
        <f>VLOOKUP($A111,Questions!$A$3:$L$333,12,0)&amp;""</f>
        <v>Organization</v>
      </c>
      <c r="F111" s="4" t="str">
        <f>VLOOKUP($A111,'Institution Evaluation'!$A$56:$K$345,3,0)&amp;""</f>
        <v>Yes</v>
      </c>
      <c r="G111" s="4" t="str">
        <f>VLOOKUP($A111,'Institution Evaluation'!$A$56:$K$345,7,0)&amp;""</f>
        <v>Yes</v>
      </c>
      <c r="H111" s="4" t="str">
        <f>VLOOKUP($A111,'Institution Evaluation'!$A$56:$K$345,8,0)&amp;""</f>
        <v/>
      </c>
      <c r="I111" s="4" t="str">
        <f>VLOOKUP($A111,'Institution Evaluation'!$A$56:$K$345,9,0)&amp;""</f>
        <v>Minor Importance</v>
      </c>
      <c r="J111" s="4" t="str">
        <f>VLOOKUP($A111,'Institution Evaluation'!$A$56:$K$345,10,0)&amp;""</f>
        <v/>
      </c>
      <c r="K111" s="4">
        <f>IF($I111='Auto Responses'!$J$11,20,IF($I111='Auto Responses'!$J$13,5,10))</f>
        <v>5</v>
      </c>
      <c r="L111" s="101">
        <f>IF($E111='Auto Responses'!$L$13, 'Auto Responses'!$J$5,IF(AND($D111='Auto Responses'!$J$27,$H111=""),'Auto Responses'!$J$5,IF(AND($D111='Auto Responses'!$J$27,$H111='Auto Responses'!$J$7),1,IF(AND($D111='Auto Responses'!$J$27,$H111='Auto Responses'!$J$8),0,IF(OR(AND($F111=$G111,$H111=""),$H111='Auto Responses'!$J$7),1,0)))))</f>
        <v>1</v>
      </c>
      <c r="M111" s="4" t="str">
        <f>VLOOKUP($A111,'Institution Evaluation'!$A$56:$K$345,11,0)&amp;""</f>
        <v>FALSE</v>
      </c>
      <c r="N111" s="4">
        <f>IF($J111='Auto Responses'!$J$11,1,IF(AND($J111="",$I111='Auto Responses'!$J$11),1,0))</f>
        <v>0</v>
      </c>
      <c r="O111" s="101">
        <f>IF(OR($E111='Auto Responses'!$L$13,$F111='Auto Responses'!$J$5),'Auto Responses'!$J$5,IF($J111="",$K111,IF($J111='Auto Responses'!$J$13,5,IF($J111='Auto Responses'!$J$12,10,IF($J111='Auto Responses'!$J$11,20,0)))))</f>
        <v>5</v>
      </c>
      <c r="P111" s="101">
        <f>IF(OR($O111='Auto Responses'!$J$5,$L111='Auto Responses'!$J$5),'Auto Responses'!$J$5,$O111*$L111)</f>
        <v>5</v>
      </c>
      <c r="Q111" s="101">
        <f t="shared" si="8"/>
        <v>0</v>
      </c>
      <c r="R111" s="101">
        <f t="shared" si="12"/>
        <v>0</v>
      </c>
      <c r="S111" s="101">
        <f t="shared" si="9"/>
        <v>0</v>
      </c>
      <c r="T111" s="101">
        <f t="shared" si="10"/>
        <v>0</v>
      </c>
      <c r="U111" s="101">
        <f t="shared" si="13"/>
        <v>34</v>
      </c>
      <c r="V111" s="101">
        <f t="shared" si="11"/>
        <v>0</v>
      </c>
    </row>
    <row r="112" spans="1:22" ht="57" customHeight="1" x14ac:dyDescent="0.2">
      <c r="A112" s="4" t="str">
        <f>Questions!$A112</f>
        <v>DATA-01</v>
      </c>
      <c r="B112" s="4" t="str">
        <f t="shared" si="7"/>
        <v>DATA</v>
      </c>
      <c r="C112" s="4" t="str">
        <f>VLOOKUP($A112,Questions!$A$3:$L$333,2,0)&amp;""</f>
        <v>Will the institution's data be stored on any devices (database servers, file servers, SAN, NAS, etc.) configured with non-RFC 1918/4193 (i.e., publicly routable) IP addresses?*</v>
      </c>
      <c r="D112" s="4" t="str">
        <f>VLOOKUP($A112,Questions!$A$3:$L$333,11,0)&amp;""</f>
        <v/>
      </c>
      <c r="E112" s="4" t="str">
        <f>VLOOKUP($A112,Questions!$A$3:$L$333,12,0)&amp;""</f>
        <v>Product</v>
      </c>
      <c r="F112" s="4" t="str">
        <f>VLOOKUP($A112,'Institution Evaluation'!$A$56:$K$345,3,0)&amp;""</f>
        <v>No</v>
      </c>
      <c r="G112" s="4" t="str">
        <f>VLOOKUP($A112,'Institution Evaluation'!$A$56:$K$345,7,0)&amp;""</f>
        <v>No</v>
      </c>
      <c r="H112" s="4" t="str">
        <f>VLOOKUP($A112,'Institution Evaluation'!$A$56:$K$345,8,0)&amp;""</f>
        <v/>
      </c>
      <c r="I112" s="4" t="str">
        <f>VLOOKUP($A112,'Institution Evaluation'!$A$56:$K$345,9,0)&amp;""</f>
        <v>Critical Importance</v>
      </c>
      <c r="J112" s="4" t="str">
        <f>VLOOKUP($A112,'Institution Evaluation'!$A$56:$K$345,10,0)&amp;""</f>
        <v/>
      </c>
      <c r="K112" s="4">
        <f>IF($I112='Auto Responses'!$J$11,20,IF($I112='Auto Responses'!$J$13,5,10))</f>
        <v>20</v>
      </c>
      <c r="L112" s="101">
        <f>IF($E112='Auto Responses'!$L$13, 'Auto Responses'!$J$5,IF(AND($D112='Auto Responses'!$J$27,$H112=""),'Auto Responses'!$J$5,IF(AND($D112='Auto Responses'!$J$27,$H112='Auto Responses'!$J$7),1,IF(AND($D112='Auto Responses'!$J$27,$H112='Auto Responses'!$J$8),0,IF(OR(AND($F112=$G112,$H112=""),$H112='Auto Responses'!$J$7),1,0)))))</f>
        <v>1</v>
      </c>
      <c r="M112" s="4" t="str">
        <f>VLOOKUP($A112,'Institution Evaluation'!$A$56:$K$345,11,0)&amp;""</f>
        <v>FALSE</v>
      </c>
      <c r="N112" s="4">
        <f>IF($J112='Auto Responses'!$J$11,1,IF(AND($J112="",$I112='Auto Responses'!$J$11),1,0))</f>
        <v>1</v>
      </c>
      <c r="O112" s="101">
        <f>IF(OR($F$17='Auto Responses'!$J$4,$E112='Auto Responses'!$L$13,$F112='Auto Responses'!$J$5),'Auto Responses'!$J$5,IF($J112="",$K112,IF($J112='Auto Responses'!$J$13,5,IF($J112='Auto Responses'!$J$12,10,IF($J112='Auto Responses'!$J$11,20,0)))))</f>
        <v>20</v>
      </c>
      <c r="P112" s="101">
        <f>IF(OR($O112='Auto Responses'!$J$5,$L112='Auto Responses'!$J$5),'Auto Responses'!$J$5,$O112*$L112)</f>
        <v>20</v>
      </c>
      <c r="Q112" s="101">
        <f t="shared" si="8"/>
        <v>0</v>
      </c>
      <c r="R112" s="101">
        <f t="shared" si="12"/>
        <v>0</v>
      </c>
      <c r="S112" s="101">
        <f t="shared" si="9"/>
        <v>0</v>
      </c>
      <c r="T112" s="101">
        <f t="shared" si="10"/>
        <v>1</v>
      </c>
      <c r="U112" s="101">
        <f t="shared" si="13"/>
        <v>35</v>
      </c>
      <c r="V112" s="101">
        <f t="shared" si="11"/>
        <v>35</v>
      </c>
    </row>
    <row r="113" spans="1:22" ht="57" customHeight="1" x14ac:dyDescent="0.2">
      <c r="A113" s="4" t="str">
        <f>Questions!$A113</f>
        <v>DATA-02</v>
      </c>
      <c r="B113" s="4" t="str">
        <f t="shared" si="7"/>
        <v>DATA</v>
      </c>
      <c r="C113" s="4" t="str">
        <f>VLOOKUP($A113,Questions!$A$3:$L$333,2,0)&amp;""</f>
        <v>Is the transport of sensitive data encrypted using security protocols/algorithms (e.g., system-to-client)?*</v>
      </c>
      <c r="D113" s="4" t="str">
        <f>VLOOKUP($A113,Questions!$A$3:$L$333,11,0)&amp;""</f>
        <v/>
      </c>
      <c r="E113" s="4" t="str">
        <f>VLOOKUP($A113,Questions!$A$3:$L$333,12,0)&amp;""</f>
        <v>Product</v>
      </c>
      <c r="F113" s="4" t="str">
        <f>VLOOKUP($A113,'Institution Evaluation'!$A$56:$K$345,3,0)&amp;""</f>
        <v>Yes</v>
      </c>
      <c r="G113" s="4" t="str">
        <f>VLOOKUP($A113,'Institution Evaluation'!$A$56:$K$345,7,0)&amp;""</f>
        <v>Yes</v>
      </c>
      <c r="H113" s="4" t="str">
        <f>VLOOKUP($A113,'Institution Evaluation'!$A$56:$K$345,8,0)&amp;""</f>
        <v/>
      </c>
      <c r="I113" s="4" t="str">
        <f>VLOOKUP($A113,'Institution Evaluation'!$A$56:$K$345,9,0)&amp;""</f>
        <v>Critical Importance</v>
      </c>
      <c r="J113" s="4" t="str">
        <f>VLOOKUP($A113,'Institution Evaluation'!$A$56:$K$345,10,0)&amp;""</f>
        <v/>
      </c>
      <c r="K113" s="4">
        <f>IF($I113='Auto Responses'!$J$11,20,IF($I113='Auto Responses'!$J$13,5,10))</f>
        <v>20</v>
      </c>
      <c r="L113" s="101">
        <f>IF($E113='Auto Responses'!$L$13, 'Auto Responses'!$J$5,IF(AND($D113='Auto Responses'!$J$27,$H113=""),'Auto Responses'!$J$5,IF(AND($D113='Auto Responses'!$J$27,$H113='Auto Responses'!$J$7),1,IF(AND($D113='Auto Responses'!$J$27,$H113='Auto Responses'!$J$8),0,IF(OR(AND($F113=$G113,$H113=""),$H113='Auto Responses'!$J$7),1,0)))))</f>
        <v>1</v>
      </c>
      <c r="M113" s="4" t="str">
        <f>VLOOKUP($A113,'Institution Evaluation'!$A$56:$K$345,11,0)&amp;""</f>
        <v>FALSE</v>
      </c>
      <c r="N113" s="4">
        <f>IF($J113='Auto Responses'!$J$11,1,IF(AND($J113="",$I113='Auto Responses'!$J$11),1,0))</f>
        <v>1</v>
      </c>
      <c r="O113" s="101">
        <f>IF(OR($F$17='Auto Responses'!$J$4,$E113='Auto Responses'!$L$13,$F113='Auto Responses'!$J$5),'Auto Responses'!$J$5,IF($J113="",$K113,IF($J113='Auto Responses'!$J$13,5,IF($J113='Auto Responses'!$J$12,10,IF($J113='Auto Responses'!$J$11,20,0)))))</f>
        <v>20</v>
      </c>
      <c r="P113" s="101">
        <f>IF(OR($O113='Auto Responses'!$J$5,$L113='Auto Responses'!$J$5),'Auto Responses'!$J$5,$O113*$L113)</f>
        <v>20</v>
      </c>
      <c r="Q113" s="101">
        <f t="shared" si="8"/>
        <v>0</v>
      </c>
      <c r="R113" s="101">
        <f t="shared" si="12"/>
        <v>0</v>
      </c>
      <c r="S113" s="101">
        <f t="shared" si="9"/>
        <v>0</v>
      </c>
      <c r="T113" s="101">
        <f t="shared" si="10"/>
        <v>1</v>
      </c>
      <c r="U113" s="101">
        <f t="shared" si="13"/>
        <v>36</v>
      </c>
      <c r="V113" s="101">
        <f t="shared" si="11"/>
        <v>36</v>
      </c>
    </row>
    <row r="114" spans="1:22" ht="57" customHeight="1" x14ac:dyDescent="0.2">
      <c r="A114" s="4" t="str">
        <f>Questions!$A114</f>
        <v>DATA-03</v>
      </c>
      <c r="B114" s="4" t="str">
        <f t="shared" si="7"/>
        <v>DATA</v>
      </c>
      <c r="C114" s="4" t="str">
        <f>VLOOKUP($A114,Questions!$A$3:$L$333,2,0)&amp;""</f>
        <v>Is the storage of sensitive data encrypted using security protocols/algorithms (e.g., disk encryption, at-rest, files, and within a running database)?*</v>
      </c>
      <c r="D114" s="4" t="str">
        <f>VLOOKUP($A114,Questions!$A$3:$L$333,11,0)&amp;""</f>
        <v/>
      </c>
      <c r="E114" s="4" t="str">
        <f>VLOOKUP($A114,Questions!$A$3:$L$333,12,0)&amp;""</f>
        <v>Product</v>
      </c>
      <c r="F114" s="4" t="str">
        <f>VLOOKUP($A114,'Institution Evaluation'!$A$56:$K$345,3,0)&amp;""</f>
        <v>Yes</v>
      </c>
      <c r="G114" s="4" t="str">
        <f>VLOOKUP($A114,'Institution Evaluation'!$A$56:$K$345,7,0)&amp;""</f>
        <v>Yes</v>
      </c>
      <c r="H114" s="4" t="str">
        <f>VLOOKUP($A114,'Institution Evaluation'!$A$56:$K$345,8,0)&amp;""</f>
        <v/>
      </c>
      <c r="I114" s="4" t="str">
        <f>VLOOKUP($A114,'Institution Evaluation'!$A$56:$K$345,9,0)&amp;""</f>
        <v>Critical Importance</v>
      </c>
      <c r="J114" s="4" t="str">
        <f>VLOOKUP($A114,'Institution Evaluation'!$A$56:$K$345,10,0)&amp;""</f>
        <v/>
      </c>
      <c r="K114" s="4">
        <f>IF($I114='Auto Responses'!$J$11,20,IF($I114='Auto Responses'!$J$13,5,10))</f>
        <v>20</v>
      </c>
      <c r="L114" s="101">
        <f>IF($E114='Auto Responses'!$L$13, 'Auto Responses'!$J$5,IF(AND($D114='Auto Responses'!$J$27,$H114=""),'Auto Responses'!$J$5,IF(AND($D114='Auto Responses'!$J$27,$H114='Auto Responses'!$J$7),1,IF(AND($D114='Auto Responses'!$J$27,$H114='Auto Responses'!$J$8),0,IF(OR(AND($F114=$G114,$H114=""),$H114='Auto Responses'!$J$7),1,0)))))</f>
        <v>1</v>
      </c>
      <c r="M114" s="4" t="str">
        <f>VLOOKUP($A114,'Institution Evaluation'!$A$56:$K$345,11,0)&amp;""</f>
        <v>FALSE</v>
      </c>
      <c r="N114" s="4">
        <f>IF($J114='Auto Responses'!$J$11,1,IF(AND($J114="",$I114='Auto Responses'!$J$11),1,0))</f>
        <v>1</v>
      </c>
      <c r="O114" s="101">
        <f>IF(OR($F$17='Auto Responses'!$J$4,$E114='Auto Responses'!$L$13,$F114='Auto Responses'!$J$5),'Auto Responses'!$J$5,IF($J114="",$K114,IF($J114='Auto Responses'!$J$13,5,IF($J114='Auto Responses'!$J$12,10,IF($J114='Auto Responses'!$J$11,20,0)))))</f>
        <v>20</v>
      </c>
      <c r="P114" s="101">
        <f>IF(OR($O114='Auto Responses'!$J$5,$L114='Auto Responses'!$J$5),'Auto Responses'!$J$5,$O114*$L114)</f>
        <v>20</v>
      </c>
      <c r="Q114" s="101">
        <f t="shared" si="8"/>
        <v>0</v>
      </c>
      <c r="R114" s="101">
        <f t="shared" si="12"/>
        <v>0</v>
      </c>
      <c r="S114" s="101">
        <f t="shared" si="9"/>
        <v>0</v>
      </c>
      <c r="T114" s="101">
        <f t="shared" si="10"/>
        <v>1</v>
      </c>
      <c r="U114" s="101">
        <f t="shared" si="13"/>
        <v>37</v>
      </c>
      <c r="V114" s="101">
        <f t="shared" si="11"/>
        <v>37</v>
      </c>
    </row>
    <row r="115" spans="1:22" ht="57" customHeight="1" x14ac:dyDescent="0.2">
      <c r="A115" s="4" t="str">
        <f>Questions!$A115</f>
        <v>DATA-04</v>
      </c>
      <c r="B115" s="4" t="str">
        <f t="shared" si="7"/>
        <v>DATA</v>
      </c>
      <c r="C115" s="4" t="str">
        <f>VLOOKUP($A115,Questions!$A$3:$L$333,2,0)&amp;""</f>
        <v>Do all cryptographic modules in use in your solution conform to the Federal Information Processing Standards (FIPS PUB 140-2 or 140-3)?*</v>
      </c>
      <c r="D115" s="4" t="str">
        <f>VLOOKUP($A115,Questions!$A$3:$L$333,11,0)&amp;""</f>
        <v/>
      </c>
      <c r="E115" s="4" t="str">
        <f>VLOOKUP($A115,Questions!$A$3:$L$333,12,0)&amp;""</f>
        <v>Product</v>
      </c>
      <c r="F115" s="4" t="str">
        <f>VLOOKUP($A115,'Institution Evaluation'!$A$56:$K$345,3,0)&amp;""</f>
        <v>No</v>
      </c>
      <c r="G115" s="4" t="str">
        <f>VLOOKUP($A115,'Institution Evaluation'!$A$56:$K$345,7,0)&amp;""</f>
        <v>Yes</v>
      </c>
      <c r="H115" s="4" t="str">
        <f>VLOOKUP($A115,'Institution Evaluation'!$A$56:$K$345,8,0)&amp;""</f>
        <v/>
      </c>
      <c r="I115" s="4" t="str">
        <f>VLOOKUP($A115,'Institution Evaluation'!$A$56:$K$345,9,0)&amp;""</f>
        <v>Critical Importance</v>
      </c>
      <c r="J115" s="4" t="str">
        <f>VLOOKUP($A115,'Institution Evaluation'!$A$56:$K$345,10,0)&amp;""</f>
        <v/>
      </c>
      <c r="K115" s="4">
        <f>IF($I115='Auto Responses'!$J$11,20,IF($I115='Auto Responses'!$J$13,5,10))</f>
        <v>20</v>
      </c>
      <c r="L115" s="101">
        <f>IF($E115='Auto Responses'!$L$13, 'Auto Responses'!$J$5,IF(AND($D115='Auto Responses'!$J$27,$H115=""),'Auto Responses'!$J$5,IF(AND($D115='Auto Responses'!$J$27,$H115='Auto Responses'!$J$7),1,IF(AND($D115='Auto Responses'!$J$27,$H115='Auto Responses'!$J$8),0,IF(OR(AND($F115=$G115,$H115=""),$H115='Auto Responses'!$J$7),1,0)))))</f>
        <v>0</v>
      </c>
      <c r="M115" s="4" t="str">
        <f>VLOOKUP($A115,'Institution Evaluation'!$A$56:$K$345,11,0)&amp;""</f>
        <v>FALSE</v>
      </c>
      <c r="N115" s="4">
        <f>IF($J115='Auto Responses'!$J$11,1,IF(AND($J115="",$I115='Auto Responses'!$J$11),1,0))</f>
        <v>1</v>
      </c>
      <c r="O115" s="101">
        <f>IF(OR($F$17='Auto Responses'!$J$4,$E115='Auto Responses'!$L$13,$F115='Auto Responses'!$J$5),'Auto Responses'!$J$5,IF($J115="",$K115,IF($J115='Auto Responses'!$J$13,5,IF($J115='Auto Responses'!$J$12,10,IF($J115='Auto Responses'!$J$11,20,0)))))</f>
        <v>20</v>
      </c>
      <c r="P115" s="101">
        <f>IF(OR($O115='Auto Responses'!$J$5,$L115='Auto Responses'!$J$5),'Auto Responses'!$J$5,$O115*$L115)</f>
        <v>0</v>
      </c>
      <c r="Q115" s="101">
        <f t="shared" si="8"/>
        <v>0</v>
      </c>
      <c r="R115" s="101">
        <f t="shared" si="12"/>
        <v>0</v>
      </c>
      <c r="S115" s="101">
        <f t="shared" si="9"/>
        <v>0</v>
      </c>
      <c r="T115" s="101">
        <f t="shared" si="10"/>
        <v>1</v>
      </c>
      <c r="U115" s="101">
        <f t="shared" si="13"/>
        <v>38</v>
      </c>
      <c r="V115" s="101">
        <f t="shared" si="11"/>
        <v>38</v>
      </c>
    </row>
    <row r="116" spans="1:22" ht="57" customHeight="1" x14ac:dyDescent="0.2">
      <c r="A116" s="4" t="str">
        <f>Questions!$A116</f>
        <v>DATA-05</v>
      </c>
      <c r="B116" s="4" t="str">
        <f t="shared" si="7"/>
        <v>DATA</v>
      </c>
      <c r="C116" s="4" t="str">
        <f>VLOOKUP($A116,Questions!$A$3:$L$333,2,0)&amp;""</f>
        <v>Will the institution's data be available within the system for a period of time at the completion of this contract?*</v>
      </c>
      <c r="D116" s="4" t="str">
        <f>VLOOKUP($A116,Questions!$A$3:$L$333,11,0)&amp;""</f>
        <v/>
      </c>
      <c r="E116" s="4" t="str">
        <f>VLOOKUP($A116,Questions!$A$3:$L$333,12,0)&amp;""</f>
        <v>Product</v>
      </c>
      <c r="F116" s="4" t="str">
        <f>VLOOKUP($A116,'Institution Evaluation'!$A$56:$K$345,3,0)&amp;""</f>
        <v>Yes</v>
      </c>
      <c r="G116" s="4" t="str">
        <f>VLOOKUP($A116,'Institution Evaluation'!$A$56:$K$345,7,0)&amp;""</f>
        <v>Yes</v>
      </c>
      <c r="H116" s="4" t="str">
        <f>VLOOKUP($A116,'Institution Evaluation'!$A$56:$K$345,8,0)&amp;""</f>
        <v/>
      </c>
      <c r="I116" s="4" t="str">
        <f>VLOOKUP($A116,'Institution Evaluation'!$A$56:$K$345,9,0)&amp;""</f>
        <v>Critical Importance</v>
      </c>
      <c r="J116" s="4" t="str">
        <f>VLOOKUP($A116,'Institution Evaluation'!$A$56:$K$345,10,0)&amp;""</f>
        <v/>
      </c>
      <c r="K116" s="4">
        <f>IF($I116='Auto Responses'!$J$11,20,IF($I116='Auto Responses'!$J$13,5,10))</f>
        <v>20</v>
      </c>
      <c r="L116" s="101">
        <f>IF($E116='Auto Responses'!$L$13, 'Auto Responses'!$J$5,IF(AND($D116='Auto Responses'!$J$27,$H116=""),'Auto Responses'!$J$5,IF(AND($D116='Auto Responses'!$J$27,$H116='Auto Responses'!$J$7),1,IF(AND($D116='Auto Responses'!$J$27,$H116='Auto Responses'!$J$8),0,IF(OR(AND($F116=$G116,$H116=""),$H116='Auto Responses'!$J$7),1,0)))))</f>
        <v>1</v>
      </c>
      <c r="M116" s="4" t="str">
        <f>VLOOKUP($A116,'Institution Evaluation'!$A$56:$K$345,11,0)&amp;""</f>
        <v>FALSE</v>
      </c>
      <c r="N116" s="4">
        <f>IF($J116='Auto Responses'!$J$11,1,IF(AND($J116="",$I116='Auto Responses'!$J$11),1,0))</f>
        <v>1</v>
      </c>
      <c r="O116" s="101">
        <f>IF(OR($F$17='Auto Responses'!$J$4,$E116='Auto Responses'!$L$13,$F116='Auto Responses'!$J$5),'Auto Responses'!$J$5,IF($J116="",$K116,IF($J116='Auto Responses'!$J$13,5,IF($J116='Auto Responses'!$J$12,10,IF($J116='Auto Responses'!$J$11,20,0)))))</f>
        <v>20</v>
      </c>
      <c r="P116" s="101">
        <f>IF(OR($O116='Auto Responses'!$J$5,$L116='Auto Responses'!$J$5),'Auto Responses'!$J$5,$O116*$L116)</f>
        <v>20</v>
      </c>
      <c r="Q116" s="101">
        <f t="shared" si="8"/>
        <v>0</v>
      </c>
      <c r="R116" s="101">
        <f t="shared" si="12"/>
        <v>0</v>
      </c>
      <c r="S116" s="101">
        <f t="shared" si="9"/>
        <v>0</v>
      </c>
      <c r="T116" s="101">
        <f t="shared" si="10"/>
        <v>1</v>
      </c>
      <c r="U116" s="101">
        <f t="shared" si="13"/>
        <v>39</v>
      </c>
      <c r="V116" s="101">
        <f t="shared" si="11"/>
        <v>39</v>
      </c>
    </row>
    <row r="117" spans="1:22" ht="57" customHeight="1" x14ac:dyDescent="0.2">
      <c r="A117" s="4" t="str">
        <f>Questions!$A117</f>
        <v>DATA-06</v>
      </c>
      <c r="B117" s="4" t="str">
        <f t="shared" si="7"/>
        <v>DATA</v>
      </c>
      <c r="C117" s="4" t="str">
        <f>VLOOKUP($A117,Questions!$A$3:$L$333,2,0)&amp;""</f>
        <v>Are ownership rights to all data, inputs, outputs, and metadata retained even through a provider acquisition or bankruptcy event?*</v>
      </c>
      <c r="D117" s="4" t="str">
        <f>VLOOKUP($A117,Questions!$A$3:$L$333,11,0)&amp;""</f>
        <v/>
      </c>
      <c r="E117" s="4" t="str">
        <f>VLOOKUP($A117,Questions!$A$3:$L$333,12,0)&amp;""</f>
        <v>Product</v>
      </c>
      <c r="F117" s="4" t="str">
        <f>VLOOKUP($A117,'Institution Evaluation'!$A$56:$K$345,3,0)&amp;""</f>
        <v>Yes</v>
      </c>
      <c r="G117" s="4" t="str">
        <f>VLOOKUP($A117,'Institution Evaluation'!$A$56:$K$345,7,0)&amp;""</f>
        <v>Yes</v>
      </c>
      <c r="H117" s="4" t="str">
        <f>VLOOKUP($A117,'Institution Evaluation'!$A$56:$K$345,8,0)&amp;""</f>
        <v/>
      </c>
      <c r="I117" s="4" t="str">
        <f>VLOOKUP($A117,'Institution Evaluation'!$A$56:$K$345,9,0)&amp;""</f>
        <v>Critical Importance</v>
      </c>
      <c r="J117" s="4" t="str">
        <f>VLOOKUP($A117,'Institution Evaluation'!$A$56:$K$345,10,0)&amp;""</f>
        <v/>
      </c>
      <c r="K117" s="4">
        <f>IF($I117='Auto Responses'!$J$11,20,IF($I117='Auto Responses'!$J$13,5,10))</f>
        <v>20</v>
      </c>
      <c r="L117" s="101">
        <f>IF($E117='Auto Responses'!$L$13, 'Auto Responses'!$J$5,IF(AND($D117='Auto Responses'!$J$27,$H117=""),'Auto Responses'!$J$5,IF(AND($D117='Auto Responses'!$J$27,$H117='Auto Responses'!$J$7),1,IF(AND($D117='Auto Responses'!$J$27,$H117='Auto Responses'!$J$8),0,IF(OR(AND($F117=$G117,$H117=""),$H117='Auto Responses'!$J$7),1,0)))))</f>
        <v>1</v>
      </c>
      <c r="M117" s="4" t="str">
        <f>VLOOKUP($A117,'Institution Evaluation'!$A$56:$K$345,11,0)&amp;""</f>
        <v>FALSE</v>
      </c>
      <c r="N117" s="4">
        <f>IF($J117='Auto Responses'!$J$11,1,IF(AND($J117="",$I117='Auto Responses'!$J$11),1,0))</f>
        <v>1</v>
      </c>
      <c r="O117" s="101">
        <f>IF(OR($F$17='Auto Responses'!$J$4,$E117='Auto Responses'!$L$13,$F117='Auto Responses'!$J$5),'Auto Responses'!$J$5,IF($J117="",$K117,IF($J117='Auto Responses'!$J$13,5,IF($J117='Auto Responses'!$J$12,10,IF($J117='Auto Responses'!$J$11,20,0)))))</f>
        <v>20</v>
      </c>
      <c r="P117" s="101">
        <f>IF(OR($O117='Auto Responses'!$J$5,$L117='Auto Responses'!$J$5),'Auto Responses'!$J$5,$O117*$L117)</f>
        <v>20</v>
      </c>
      <c r="Q117" s="101">
        <f t="shared" si="8"/>
        <v>0</v>
      </c>
      <c r="R117" s="101">
        <f t="shared" si="12"/>
        <v>0</v>
      </c>
      <c r="S117" s="101">
        <f t="shared" si="9"/>
        <v>0</v>
      </c>
      <c r="T117" s="101">
        <f t="shared" si="10"/>
        <v>1</v>
      </c>
      <c r="U117" s="101">
        <f t="shared" si="13"/>
        <v>40</v>
      </c>
      <c r="V117" s="101">
        <f t="shared" si="11"/>
        <v>40</v>
      </c>
    </row>
    <row r="118" spans="1:22" ht="57" customHeight="1" x14ac:dyDescent="0.2">
      <c r="A118" s="4" t="str">
        <f>Questions!$A118</f>
        <v>DATA-07</v>
      </c>
      <c r="B118" s="4" t="str">
        <f t="shared" si="7"/>
        <v>DATA</v>
      </c>
      <c r="C118" s="4" t="str">
        <f>VLOOKUP($A118,Questions!$A$3:$L$333,2,0)&amp;""</f>
        <v>Do backups containing the institution's data ever leave the institution's data zone either physically or via network routing?*</v>
      </c>
      <c r="D118" s="4" t="str">
        <f>VLOOKUP($A118,Questions!$A$3:$L$333,11,0)&amp;""</f>
        <v/>
      </c>
      <c r="E118" s="4" t="str">
        <f>VLOOKUP($A118,Questions!$A$3:$L$333,12,0)&amp;""</f>
        <v>Product</v>
      </c>
      <c r="F118" s="4" t="str">
        <f>VLOOKUP($A118,'Institution Evaluation'!$A$56:$K$345,3,0)&amp;""</f>
        <v>No</v>
      </c>
      <c r="G118" s="4" t="str">
        <f>VLOOKUP($A118,'Institution Evaluation'!$A$56:$K$345,7,0)&amp;""</f>
        <v>No</v>
      </c>
      <c r="H118" s="4" t="str">
        <f>VLOOKUP($A118,'Institution Evaluation'!$A$56:$K$345,8,0)&amp;""</f>
        <v/>
      </c>
      <c r="I118" s="4" t="str">
        <f>VLOOKUP($A118,'Institution Evaluation'!$A$56:$K$345,9,0)&amp;""</f>
        <v>Critical Importance</v>
      </c>
      <c r="J118" s="4" t="str">
        <f>VLOOKUP($A118,'Institution Evaluation'!$A$56:$K$345,10,0)&amp;""</f>
        <v/>
      </c>
      <c r="K118" s="4">
        <f>IF($I118='Auto Responses'!$J$11,20,IF($I118='Auto Responses'!$J$13,5,10))</f>
        <v>20</v>
      </c>
      <c r="L118" s="101">
        <f>IF($E118='Auto Responses'!$L$13, 'Auto Responses'!$J$5,IF(AND($D118='Auto Responses'!$J$27,$H118=""),'Auto Responses'!$J$5,IF(AND($D118='Auto Responses'!$J$27,$H118='Auto Responses'!$J$7),1,IF(AND($D118='Auto Responses'!$J$27,$H118='Auto Responses'!$J$8),0,IF(OR(AND($F118=$G118,$H118=""),$H118='Auto Responses'!$J$7),1,0)))))</f>
        <v>1</v>
      </c>
      <c r="M118" s="4" t="str">
        <f>VLOOKUP($A118,'Institution Evaluation'!$A$56:$K$345,11,0)&amp;""</f>
        <v>FALSE</v>
      </c>
      <c r="N118" s="4">
        <f>IF($J118='Auto Responses'!$J$11,1,IF(AND($J118="",$I118='Auto Responses'!$J$11),1,0))</f>
        <v>1</v>
      </c>
      <c r="O118" s="101">
        <f>IF(OR($F$17='Auto Responses'!$J$4,$E118='Auto Responses'!$L$13,$F118='Auto Responses'!$J$5),'Auto Responses'!$J$5,IF($J118="",$K118,IF($J118='Auto Responses'!$J$13,5,IF($J118='Auto Responses'!$J$12,10,IF($J118='Auto Responses'!$J$11,20,0)))))</f>
        <v>20</v>
      </c>
      <c r="P118" s="101">
        <f>IF(OR($O118='Auto Responses'!$J$5,$L118='Auto Responses'!$J$5),'Auto Responses'!$J$5,$O118*$L118)</f>
        <v>20</v>
      </c>
      <c r="Q118" s="101">
        <f t="shared" si="8"/>
        <v>0</v>
      </c>
      <c r="R118" s="101">
        <f t="shared" si="12"/>
        <v>0</v>
      </c>
      <c r="S118" s="101">
        <f t="shared" si="9"/>
        <v>0</v>
      </c>
      <c r="T118" s="101">
        <f t="shared" si="10"/>
        <v>1</v>
      </c>
      <c r="U118" s="101">
        <f t="shared" si="13"/>
        <v>41</v>
      </c>
      <c r="V118" s="101">
        <f t="shared" si="11"/>
        <v>41</v>
      </c>
    </row>
    <row r="119" spans="1:22" ht="57" customHeight="1" x14ac:dyDescent="0.2">
      <c r="A119" s="4" t="str">
        <f>Questions!$A119</f>
        <v>DATA-08</v>
      </c>
      <c r="B119" s="4" t="str">
        <f t="shared" si="7"/>
        <v>DATA</v>
      </c>
      <c r="C119" s="4" t="str">
        <f>VLOOKUP($A119,Questions!$A$3:$L$333,2,0)&amp;""</f>
        <v>Is media used for long-term retention of business data and archival purposes stored in a secure, environmentally protected area?*</v>
      </c>
      <c r="D119" s="4" t="str">
        <f>VLOOKUP($A119,Questions!$A$3:$L$333,11,0)&amp;""</f>
        <v/>
      </c>
      <c r="E119" s="4" t="str">
        <f>VLOOKUP($A119,Questions!$A$3:$L$333,12,0)&amp;""</f>
        <v>Product</v>
      </c>
      <c r="F119" s="4" t="str">
        <f>VLOOKUP($A119,'Institution Evaluation'!$A$56:$K$345,3,0)&amp;""</f>
        <v>No</v>
      </c>
      <c r="G119" s="4" t="str">
        <f>VLOOKUP($A119,'Institution Evaluation'!$A$56:$K$345,7,0)&amp;""</f>
        <v>Yes</v>
      </c>
      <c r="H119" s="4" t="str">
        <f>VLOOKUP($A119,'Institution Evaluation'!$A$56:$K$345,8,0)&amp;""</f>
        <v/>
      </c>
      <c r="I119" s="4" t="str">
        <f>VLOOKUP($A119,'Institution Evaluation'!$A$56:$K$345,9,0)&amp;""</f>
        <v>Critical Importance</v>
      </c>
      <c r="J119" s="4" t="str">
        <f>VLOOKUP($A119,'Institution Evaluation'!$A$56:$K$345,10,0)&amp;""</f>
        <v/>
      </c>
      <c r="K119" s="4">
        <f>IF($I119='Auto Responses'!$J$11,20,IF($I119='Auto Responses'!$J$13,5,10))</f>
        <v>20</v>
      </c>
      <c r="L119" s="101">
        <f>IF($E119='Auto Responses'!$L$13, 'Auto Responses'!$J$5,IF(AND($D119='Auto Responses'!$J$27,$H119=""),'Auto Responses'!$J$5,IF(AND($D119='Auto Responses'!$J$27,$H119='Auto Responses'!$J$7),1,IF(AND($D119='Auto Responses'!$J$27,$H119='Auto Responses'!$J$8),0,IF(OR(AND($F119=$G119,$H119=""),$H119='Auto Responses'!$J$7),1,0)))))</f>
        <v>0</v>
      </c>
      <c r="M119" s="4" t="str">
        <f>VLOOKUP($A119,'Institution Evaluation'!$A$56:$K$345,11,0)&amp;""</f>
        <v>FALSE</v>
      </c>
      <c r="N119" s="4">
        <f>IF($J119='Auto Responses'!$J$11,1,IF(AND($J119="",$I119='Auto Responses'!$J$11),1,0))</f>
        <v>1</v>
      </c>
      <c r="O119" s="101">
        <f>IF(OR($F$17='Auto Responses'!$J$4,$E119='Auto Responses'!$L$13,$F119='Auto Responses'!$J$5),'Auto Responses'!$J$5,IF($J119="",$K119,IF($J119='Auto Responses'!$J$13,5,IF($J119='Auto Responses'!$J$12,10,IF($J119='Auto Responses'!$J$11,20,0)))))</f>
        <v>20</v>
      </c>
      <c r="P119" s="101">
        <f>IF(OR($O119='Auto Responses'!$J$5,$L119='Auto Responses'!$J$5),'Auto Responses'!$J$5,$O119*$L119)</f>
        <v>0</v>
      </c>
      <c r="Q119" s="101">
        <f t="shared" si="8"/>
        <v>0</v>
      </c>
      <c r="R119" s="101">
        <f t="shared" si="12"/>
        <v>0</v>
      </c>
      <c r="S119" s="101">
        <f t="shared" si="9"/>
        <v>0</v>
      </c>
      <c r="T119" s="101">
        <f t="shared" si="10"/>
        <v>1</v>
      </c>
      <c r="U119" s="101">
        <f t="shared" si="13"/>
        <v>42</v>
      </c>
      <c r="V119" s="101">
        <f t="shared" si="11"/>
        <v>42</v>
      </c>
    </row>
    <row r="120" spans="1:22" ht="57" customHeight="1" x14ac:dyDescent="0.2">
      <c r="A120" s="4" t="str">
        <f>Questions!$A120</f>
        <v>DATA-09</v>
      </c>
      <c r="B120" s="4" t="str">
        <f t="shared" si="7"/>
        <v>DATA</v>
      </c>
      <c r="C120" s="4" t="str">
        <f>VLOOKUP($A120,Questions!$A$3:$L$333,2,0)&amp;""</f>
        <v>At the completion of this contract, will data be returned to the institution and/or deleted from all your systems and archives?</v>
      </c>
      <c r="D120" s="4" t="str">
        <f>VLOOKUP($A120,Questions!$A$3:$L$333,11,0)&amp;""</f>
        <v/>
      </c>
      <c r="E120" s="4" t="str">
        <f>VLOOKUP($A120,Questions!$A$3:$L$333,12,0)&amp;""</f>
        <v>Product</v>
      </c>
      <c r="F120" s="4" t="str">
        <f>VLOOKUP($A120,'Institution Evaluation'!$A$56:$K$345,3,0)&amp;""</f>
        <v>Yes</v>
      </c>
      <c r="G120" s="4" t="str">
        <f>VLOOKUP($A120,'Institution Evaluation'!$A$56:$K$345,7,0)&amp;""</f>
        <v>Yes</v>
      </c>
      <c r="H120" s="4" t="str">
        <f>VLOOKUP($A120,'Institution Evaluation'!$A$56:$K$345,8,0)&amp;""</f>
        <v/>
      </c>
      <c r="I120" s="4" t="str">
        <f>VLOOKUP($A120,'Institution Evaluation'!$A$56:$K$345,9,0)&amp;""</f>
        <v>Standard Importance</v>
      </c>
      <c r="J120" s="4" t="str">
        <f>VLOOKUP($A120,'Institution Evaluation'!$A$56:$K$345,10,0)&amp;""</f>
        <v/>
      </c>
      <c r="K120" s="4">
        <f>IF($I120='Auto Responses'!$J$11,20,IF($I120='Auto Responses'!$J$13,5,10))</f>
        <v>10</v>
      </c>
      <c r="L120" s="101">
        <f>IF($E120='Auto Responses'!$L$13, 'Auto Responses'!$J$5,IF(AND($D120='Auto Responses'!$J$27,$H120=""),'Auto Responses'!$J$5,IF(AND($D120='Auto Responses'!$J$27,$H120='Auto Responses'!$J$7),1,IF(AND($D120='Auto Responses'!$J$27,$H120='Auto Responses'!$J$8),0,IF(OR(AND($F120=$G120,$H120=""),$H120='Auto Responses'!$J$7),1,0)))))</f>
        <v>1</v>
      </c>
      <c r="M120" s="4" t="str">
        <f>VLOOKUP($A120,'Institution Evaluation'!$A$56:$K$345,11,0)&amp;""</f>
        <v>FALSE</v>
      </c>
      <c r="N120" s="4">
        <f>IF($J120='Auto Responses'!$J$11,1,IF(AND($J120="",$I120='Auto Responses'!$J$11),1,0))</f>
        <v>0</v>
      </c>
      <c r="O120" s="101">
        <f>IF(OR($F$17='Auto Responses'!$J$4,$E120='Auto Responses'!$L$13,$F120='Auto Responses'!$J$5),'Auto Responses'!$J$5,IF($J120="",$K120,IF($J120='Auto Responses'!$J$13,5,IF($J120='Auto Responses'!$J$12,10,IF($J120='Auto Responses'!$J$11,20,0)))))</f>
        <v>10</v>
      </c>
      <c r="P120" s="101">
        <f>IF(OR($O120='Auto Responses'!$J$5,$L120='Auto Responses'!$J$5),'Auto Responses'!$J$5,$O120*$L120)</f>
        <v>10</v>
      </c>
      <c r="Q120" s="101">
        <f t="shared" si="8"/>
        <v>0</v>
      </c>
      <c r="R120" s="101">
        <f t="shared" si="12"/>
        <v>0</v>
      </c>
      <c r="S120" s="101">
        <f t="shared" si="9"/>
        <v>0</v>
      </c>
      <c r="T120" s="101">
        <f t="shared" si="10"/>
        <v>0</v>
      </c>
      <c r="U120" s="101">
        <f t="shared" si="13"/>
        <v>42</v>
      </c>
      <c r="V120" s="101">
        <f t="shared" si="11"/>
        <v>0</v>
      </c>
    </row>
    <row r="121" spans="1:22" ht="57" customHeight="1" x14ac:dyDescent="0.2">
      <c r="A121" s="4" t="str">
        <f>Questions!$A121</f>
        <v>DATA-10</v>
      </c>
      <c r="B121" s="4" t="str">
        <f t="shared" si="7"/>
        <v>DATA</v>
      </c>
      <c r="C121" s="4" t="str">
        <f>VLOOKUP($A121,Questions!$A$3:$L$333,2,0)&amp;""</f>
        <v>Can the institution extract a full or partial backup of data?</v>
      </c>
      <c r="D121" s="4" t="str">
        <f>VLOOKUP($A121,Questions!$A$3:$L$333,11,0)&amp;""</f>
        <v/>
      </c>
      <c r="E121" s="4" t="str">
        <f>VLOOKUP($A121,Questions!$A$3:$L$333,12,0)&amp;""</f>
        <v>Product</v>
      </c>
      <c r="F121" s="4" t="str">
        <f>VLOOKUP($A121,'Institution Evaluation'!$A$56:$K$345,3,0)&amp;""</f>
        <v>Yes</v>
      </c>
      <c r="G121" s="4" t="str">
        <f>VLOOKUP($A121,'Institution Evaluation'!$A$56:$K$345,7,0)&amp;""</f>
        <v>Yes</v>
      </c>
      <c r="H121" s="4" t="str">
        <f>VLOOKUP($A121,'Institution Evaluation'!$A$56:$K$345,8,0)&amp;""</f>
        <v/>
      </c>
      <c r="I121" s="4" t="str">
        <f>VLOOKUP($A121,'Institution Evaluation'!$A$56:$K$345,9,0)&amp;""</f>
        <v>Standard Importance</v>
      </c>
      <c r="J121" s="4" t="str">
        <f>VLOOKUP($A121,'Institution Evaluation'!$A$56:$K$345,10,0)&amp;""</f>
        <v/>
      </c>
      <c r="K121" s="4">
        <f>IF($I121='Auto Responses'!$J$11,20,IF($I121='Auto Responses'!$J$13,5,10))</f>
        <v>10</v>
      </c>
      <c r="L121" s="101">
        <f>IF($E121='Auto Responses'!$L$13, 'Auto Responses'!$J$5,IF(AND($D121='Auto Responses'!$J$27,$H121=""),'Auto Responses'!$J$5,IF(AND($D121='Auto Responses'!$J$27,$H121='Auto Responses'!$J$7),1,IF(AND($D121='Auto Responses'!$J$27,$H121='Auto Responses'!$J$8),0,IF(OR(AND($F121=$G121,$H121=""),$H121='Auto Responses'!$J$7),1,0)))))</f>
        <v>1</v>
      </c>
      <c r="M121" s="4" t="str">
        <f>VLOOKUP($A121,'Institution Evaluation'!$A$56:$K$345,11,0)&amp;""</f>
        <v>FALSE</v>
      </c>
      <c r="N121" s="4">
        <f>IF($J121='Auto Responses'!$J$11,1,IF(AND($J121="",$I121='Auto Responses'!$J$11),1,0))</f>
        <v>0</v>
      </c>
      <c r="O121" s="101">
        <f>IF(OR($F$17='Auto Responses'!$J$4,$E121='Auto Responses'!$L$13,$F121='Auto Responses'!$J$5),'Auto Responses'!$J$5,IF($J121="",$K121,IF($J121='Auto Responses'!$J$13,5,IF($J121='Auto Responses'!$J$12,10,IF($J121='Auto Responses'!$J$11,20,0)))))</f>
        <v>10</v>
      </c>
      <c r="P121" s="101">
        <f>IF(OR($O121='Auto Responses'!$J$5,$L121='Auto Responses'!$J$5),'Auto Responses'!$J$5,$O121*$L121)</f>
        <v>10</v>
      </c>
      <c r="Q121" s="101">
        <f t="shared" si="8"/>
        <v>0</v>
      </c>
      <c r="R121" s="101">
        <f t="shared" si="12"/>
        <v>0</v>
      </c>
      <c r="S121" s="101">
        <f t="shared" si="9"/>
        <v>0</v>
      </c>
      <c r="T121" s="101">
        <f t="shared" si="10"/>
        <v>0</v>
      </c>
      <c r="U121" s="101">
        <f t="shared" si="13"/>
        <v>42</v>
      </c>
      <c r="V121" s="101">
        <f t="shared" si="11"/>
        <v>0</v>
      </c>
    </row>
    <row r="122" spans="1:22" ht="57" customHeight="1" x14ac:dyDescent="0.2">
      <c r="A122" s="4" t="str">
        <f>Questions!$A122</f>
        <v>DATA-11</v>
      </c>
      <c r="B122" s="4" t="str">
        <f t="shared" si="7"/>
        <v>DATA</v>
      </c>
      <c r="C122" s="4" t="str">
        <f>VLOOKUP($A122,Questions!$A$3:$L$333,2,0)&amp;""</f>
        <v>Do current backups include all operating system software, utilities, security software, application software, and data files necessary for recovery?</v>
      </c>
      <c r="D122" s="4" t="str">
        <f>VLOOKUP($A122,Questions!$A$3:$L$333,11,0)&amp;""</f>
        <v/>
      </c>
      <c r="E122" s="4" t="str">
        <f>VLOOKUP($A122,Questions!$A$3:$L$333,12,0)&amp;""</f>
        <v>Product</v>
      </c>
      <c r="F122" s="4" t="str">
        <f>VLOOKUP($A122,'Institution Evaluation'!$A$56:$K$345,3,0)&amp;""</f>
        <v>Yes</v>
      </c>
      <c r="G122" s="4" t="str">
        <f>VLOOKUP($A122,'Institution Evaluation'!$A$56:$K$345,7,0)&amp;""</f>
        <v>Yes</v>
      </c>
      <c r="H122" s="4" t="str">
        <f>VLOOKUP($A122,'Institution Evaluation'!$A$56:$K$345,8,0)&amp;""</f>
        <v/>
      </c>
      <c r="I122" s="4" t="str">
        <f>VLOOKUP($A122,'Institution Evaluation'!$A$56:$K$345,9,0)&amp;""</f>
        <v>Standard Importance</v>
      </c>
      <c r="J122" s="4" t="str">
        <f>VLOOKUP($A122,'Institution Evaluation'!$A$56:$K$345,10,0)&amp;""</f>
        <v/>
      </c>
      <c r="K122" s="4">
        <f>IF($I122='Auto Responses'!$J$11,20,IF($I122='Auto Responses'!$J$13,5,10))</f>
        <v>10</v>
      </c>
      <c r="L122" s="101">
        <f>IF($E122='Auto Responses'!$L$13, 'Auto Responses'!$J$5,IF(AND($D122='Auto Responses'!$J$27,$H122=""),'Auto Responses'!$J$5,IF(AND($D122='Auto Responses'!$J$27,$H122='Auto Responses'!$J$7),1,IF(AND($D122='Auto Responses'!$J$27,$H122='Auto Responses'!$J$8),0,IF(OR(AND($F122=$G122,$H122=""),$H122='Auto Responses'!$J$7),1,0)))))</f>
        <v>1</v>
      </c>
      <c r="M122" s="4" t="str">
        <f>VLOOKUP($A122,'Institution Evaluation'!$A$56:$K$345,11,0)&amp;""</f>
        <v>FALSE</v>
      </c>
      <c r="N122" s="4">
        <f>IF($J122='Auto Responses'!$J$11,1,IF(AND($J122="",$I122='Auto Responses'!$J$11),1,0))</f>
        <v>0</v>
      </c>
      <c r="O122" s="101">
        <f>IF(OR($F$17='Auto Responses'!$J$4,$E122='Auto Responses'!$L$13,$F122='Auto Responses'!$J$5),'Auto Responses'!$J$5,IF($J122="",$K122,IF($J122='Auto Responses'!$J$13,5,IF($J122='Auto Responses'!$J$12,10,IF($J122='Auto Responses'!$J$11,20,0)))))</f>
        <v>10</v>
      </c>
      <c r="P122" s="101">
        <f>IF(OR($O122='Auto Responses'!$J$5,$L122='Auto Responses'!$J$5),'Auto Responses'!$J$5,$O122*$L122)</f>
        <v>10</v>
      </c>
      <c r="Q122" s="101">
        <f t="shared" si="8"/>
        <v>0</v>
      </c>
      <c r="R122" s="101">
        <f t="shared" si="12"/>
        <v>0</v>
      </c>
      <c r="S122" s="101">
        <f t="shared" si="9"/>
        <v>0</v>
      </c>
      <c r="T122" s="101">
        <f t="shared" si="10"/>
        <v>0</v>
      </c>
      <c r="U122" s="101">
        <f t="shared" si="13"/>
        <v>42</v>
      </c>
      <c r="V122" s="101">
        <f t="shared" si="11"/>
        <v>0</v>
      </c>
    </row>
    <row r="123" spans="1:22" ht="57" customHeight="1" x14ac:dyDescent="0.2">
      <c r="A123" s="4" t="str">
        <f>Questions!$A123</f>
        <v>DATA-12</v>
      </c>
      <c r="B123" s="4" t="str">
        <f t="shared" si="7"/>
        <v>DATA</v>
      </c>
      <c r="C123" s="4" t="str">
        <f>VLOOKUP($A123,Questions!$A$3:$L$333,2,0)&amp;""</f>
        <v>Are you performing off-site backups (i.e., digitally moved off site)?</v>
      </c>
      <c r="D123" s="4" t="str">
        <f>VLOOKUP($A123,Questions!$A$3:$L$333,11,0)&amp;""</f>
        <v/>
      </c>
      <c r="E123" s="4" t="str">
        <f>VLOOKUP($A123,Questions!$A$3:$L$333,12,0)&amp;""</f>
        <v>Product</v>
      </c>
      <c r="F123" s="4" t="str">
        <f>VLOOKUP($A123,'Institution Evaluation'!$A$56:$K$345,3,0)&amp;""</f>
        <v>No</v>
      </c>
      <c r="G123" s="4" t="str">
        <f>VLOOKUP($A123,'Institution Evaluation'!$A$56:$K$345,7,0)&amp;""</f>
        <v>Yes</v>
      </c>
      <c r="H123" s="4" t="str">
        <f>VLOOKUP($A123,'Institution Evaluation'!$A$56:$K$345,8,0)&amp;""</f>
        <v/>
      </c>
      <c r="I123" s="4" t="str">
        <f>VLOOKUP($A123,'Institution Evaluation'!$A$56:$K$345,9,0)&amp;""</f>
        <v>Standard Importance</v>
      </c>
      <c r="J123" s="4" t="str">
        <f>VLOOKUP($A123,'Institution Evaluation'!$A$56:$K$345,10,0)&amp;""</f>
        <v/>
      </c>
      <c r="K123" s="4">
        <f>IF($I123='Auto Responses'!$J$11,20,IF($I123='Auto Responses'!$J$13,5,10))</f>
        <v>10</v>
      </c>
      <c r="L123" s="101">
        <f>IF($E123='Auto Responses'!$L$13, 'Auto Responses'!$J$5,IF(AND($D123='Auto Responses'!$J$27,$H123=""),'Auto Responses'!$J$5,IF(AND($D123='Auto Responses'!$J$27,$H123='Auto Responses'!$J$7),1,IF(AND($D123='Auto Responses'!$J$27,$H123='Auto Responses'!$J$8),0,IF(OR(AND($F123=$G123,$H123=""),$H123='Auto Responses'!$J$7),1,0)))))</f>
        <v>0</v>
      </c>
      <c r="M123" s="4" t="str">
        <f>VLOOKUP($A123,'Institution Evaluation'!$A$56:$K$345,11,0)&amp;""</f>
        <v>FALSE</v>
      </c>
      <c r="N123" s="4">
        <f>IF($J123='Auto Responses'!$J$11,1,IF(AND($J123="",$I123='Auto Responses'!$J$11),1,0))</f>
        <v>0</v>
      </c>
      <c r="O123" s="101">
        <f>IF(OR($F$17='Auto Responses'!$J$4,$E123='Auto Responses'!$L$13,$F123='Auto Responses'!$J$5),'Auto Responses'!$J$5,IF($J123="",$K123,IF($J123='Auto Responses'!$J$13,5,IF($J123='Auto Responses'!$J$12,10,IF($J123='Auto Responses'!$J$11,20,0)))))</f>
        <v>10</v>
      </c>
      <c r="P123" s="101">
        <f>IF(OR($O123='Auto Responses'!$J$5,$L123='Auto Responses'!$J$5),'Auto Responses'!$J$5,$O123*$L123)</f>
        <v>0</v>
      </c>
      <c r="Q123" s="101">
        <f t="shared" si="8"/>
        <v>0</v>
      </c>
      <c r="R123" s="101">
        <f t="shared" si="12"/>
        <v>0</v>
      </c>
      <c r="S123" s="101">
        <f t="shared" si="9"/>
        <v>0</v>
      </c>
      <c r="T123" s="101">
        <f t="shared" si="10"/>
        <v>0</v>
      </c>
      <c r="U123" s="101">
        <f t="shared" si="13"/>
        <v>42</v>
      </c>
      <c r="V123" s="101">
        <f t="shared" si="11"/>
        <v>0</v>
      </c>
    </row>
    <row r="124" spans="1:22" ht="57" customHeight="1" x14ac:dyDescent="0.2">
      <c r="A124" s="4" t="str">
        <f>Questions!$A124</f>
        <v>DATA-13</v>
      </c>
      <c r="B124" s="4" t="str">
        <f t="shared" si="7"/>
        <v>DATA</v>
      </c>
      <c r="C124" s="4" t="str">
        <f>VLOOKUP($A124,Questions!$A$3:$L$333,2,0)&amp;""</f>
        <v>Are physical backups taken off-site (i.e., physically moved off site)?</v>
      </c>
      <c r="D124" s="4" t="str">
        <f>VLOOKUP($A124,Questions!$A$3:$L$333,11,0)&amp;""</f>
        <v/>
      </c>
      <c r="E124" s="4" t="str">
        <f>VLOOKUP($A124,Questions!$A$3:$L$333,12,0)&amp;""</f>
        <v>Product</v>
      </c>
      <c r="F124" s="4" t="str">
        <f>VLOOKUP($A124,'Institution Evaluation'!$A$56:$K$345,3,0)&amp;""</f>
        <v>No</v>
      </c>
      <c r="G124" s="4" t="str">
        <f>VLOOKUP($A124,'Institution Evaluation'!$A$56:$K$345,7,0)&amp;""</f>
        <v>Yes</v>
      </c>
      <c r="H124" s="4" t="str">
        <f>VLOOKUP($A124,'Institution Evaluation'!$A$56:$K$345,8,0)&amp;""</f>
        <v/>
      </c>
      <c r="I124" s="4" t="str">
        <f>VLOOKUP($A124,'Institution Evaluation'!$A$56:$K$345,9,0)&amp;""</f>
        <v>Standard Importance</v>
      </c>
      <c r="J124" s="4" t="str">
        <f>VLOOKUP($A124,'Institution Evaluation'!$A$56:$K$345,10,0)&amp;""</f>
        <v/>
      </c>
      <c r="K124" s="4">
        <f>IF($I124='Auto Responses'!$J$11,20,IF($I124='Auto Responses'!$J$13,5,10))</f>
        <v>10</v>
      </c>
      <c r="L124" s="101">
        <f>IF($E124='Auto Responses'!$L$13, 'Auto Responses'!$J$5,IF(AND($D124='Auto Responses'!$J$27,$H124=""),'Auto Responses'!$J$5,IF(AND($D124='Auto Responses'!$J$27,$H124='Auto Responses'!$J$7),1,IF(AND($D124='Auto Responses'!$J$27,$H124='Auto Responses'!$J$8),0,IF(OR(AND($F124=$G124,$H124=""),$H124='Auto Responses'!$J$7),1,0)))))</f>
        <v>0</v>
      </c>
      <c r="M124" s="4" t="str">
        <f>VLOOKUP($A124,'Institution Evaluation'!$A$56:$K$345,11,0)&amp;""</f>
        <v>FALSE</v>
      </c>
      <c r="N124" s="4">
        <f>IF($J124='Auto Responses'!$J$11,1,IF(AND($J124="",$I124='Auto Responses'!$J$11),1,0))</f>
        <v>0</v>
      </c>
      <c r="O124" s="101">
        <f>IF(OR($F$17='Auto Responses'!$J$4,$E124='Auto Responses'!$L$13,$F124='Auto Responses'!$J$5),'Auto Responses'!$J$5,IF($J124="",$K124,IF($J124='Auto Responses'!$J$13,5,IF($J124='Auto Responses'!$J$12,10,IF($J124='Auto Responses'!$J$11,20,0)))))</f>
        <v>10</v>
      </c>
      <c r="P124" s="101">
        <f>IF(OR($O124='Auto Responses'!$J$5,$L124='Auto Responses'!$J$5),'Auto Responses'!$J$5,$O124*$L124)</f>
        <v>0</v>
      </c>
      <c r="Q124" s="101">
        <f t="shared" si="8"/>
        <v>0</v>
      </c>
      <c r="R124" s="101">
        <f t="shared" si="12"/>
        <v>0</v>
      </c>
      <c r="S124" s="101">
        <f t="shared" si="9"/>
        <v>0</v>
      </c>
      <c r="T124" s="101">
        <f t="shared" si="10"/>
        <v>0</v>
      </c>
      <c r="U124" s="101">
        <f t="shared" si="13"/>
        <v>42</v>
      </c>
      <c r="V124" s="101">
        <f t="shared" si="11"/>
        <v>0</v>
      </c>
    </row>
    <row r="125" spans="1:22" ht="71.25" customHeight="1" x14ac:dyDescent="0.2">
      <c r="A125" s="4" t="str">
        <f>Questions!$A126</f>
        <v>DATA-15</v>
      </c>
      <c r="B125" s="4" t="str">
        <f t="shared" si="7"/>
        <v>DATA</v>
      </c>
      <c r="C125" s="4" t="str">
        <f>VLOOKUP($A125,Questions!$A$3:$L$333,2,0)&amp;""</f>
        <v>Do you have a media handling process that is documented and currently implemented that meets established business needs and regulatory requirements, including end-of-life, repurposing, and data-sanitization procedures?</v>
      </c>
      <c r="D125" s="4" t="str">
        <f>VLOOKUP($A125,Questions!$A$3:$L$333,11,0)&amp;""</f>
        <v/>
      </c>
      <c r="E125" s="4" t="str">
        <f>VLOOKUP($A125,Questions!$A$3:$L$333,12,0)&amp;""</f>
        <v>Product</v>
      </c>
      <c r="F125" s="4" t="str">
        <f>VLOOKUP($A125,'Institution Evaluation'!$A$56:$K$345,3,0)&amp;""</f>
        <v>Yes</v>
      </c>
      <c r="G125" s="4" t="str">
        <f>VLOOKUP($A125,'Institution Evaluation'!$A$56:$K$345,7,0)&amp;""</f>
        <v>Yes</v>
      </c>
      <c r="H125" s="4" t="str">
        <f>VLOOKUP($A125,'Institution Evaluation'!$A$56:$K$345,8,0)&amp;""</f>
        <v/>
      </c>
      <c r="I125" s="4" t="str">
        <f>VLOOKUP($A125,'Institution Evaluation'!$A$56:$K$345,9,0)&amp;""</f>
        <v>Standard Importance</v>
      </c>
      <c r="J125" s="4" t="str">
        <f>VLOOKUP($A125,'Institution Evaluation'!$A$56:$K$345,10,0)&amp;""</f>
        <v/>
      </c>
      <c r="K125" s="4">
        <f>IF($I125='Auto Responses'!$J$11,20,IF($I125='Auto Responses'!$J$13,5,10))</f>
        <v>10</v>
      </c>
      <c r="L125" s="101">
        <f>IF($E125='Auto Responses'!$L$13, 'Auto Responses'!$J$5,IF(AND($D125='Auto Responses'!$J$27,$H125=""),'Auto Responses'!$J$5,IF(AND($D125='Auto Responses'!$J$27,$H125='Auto Responses'!$J$7),1,IF(AND($D125='Auto Responses'!$J$27,$H125='Auto Responses'!$J$8),0,IF(OR(AND($F125=$G125,$H125=""),$H125='Auto Responses'!$J$7),1,0)))))</f>
        <v>1</v>
      </c>
      <c r="M125" s="4" t="str">
        <f>VLOOKUP($A125,'Institution Evaluation'!$A$56:$K$345,11,0)&amp;""</f>
        <v>FALSE</v>
      </c>
      <c r="N125" s="4">
        <f>IF($J125='Auto Responses'!$J$11,1,IF(AND($J125="",$I125='Auto Responses'!$J$11),1,0))</f>
        <v>0</v>
      </c>
      <c r="O125" s="101">
        <f>IF(OR($F$17='Auto Responses'!$J$4,$E125='Auto Responses'!$L$13,$F125='Auto Responses'!$J$5),'Auto Responses'!$J$5,IF($J125="",$K125,IF($J125='Auto Responses'!$J$13,5,IF($J125='Auto Responses'!$J$12,10,IF($J125='Auto Responses'!$J$11,20,0)))))</f>
        <v>10</v>
      </c>
      <c r="P125" s="101">
        <f>IF(OR($O125='Auto Responses'!$J$5,$L125='Auto Responses'!$J$5),'Auto Responses'!$J$5,$O125*$L125)</f>
        <v>10</v>
      </c>
      <c r="Q125" s="101">
        <f t="shared" si="8"/>
        <v>0</v>
      </c>
      <c r="R125" s="101">
        <f t="shared" si="12"/>
        <v>0</v>
      </c>
      <c r="S125" s="101">
        <f t="shared" si="9"/>
        <v>0</v>
      </c>
      <c r="T125" s="101">
        <f t="shared" si="10"/>
        <v>0</v>
      </c>
      <c r="U125" s="101">
        <f t="shared" si="13"/>
        <v>42</v>
      </c>
      <c r="V125" s="101">
        <f t="shared" si="11"/>
        <v>0</v>
      </c>
    </row>
    <row r="126" spans="1:22" ht="57" customHeight="1" x14ac:dyDescent="0.2">
      <c r="A126" s="4" t="str">
        <f>Questions!$A127</f>
        <v>DATA-16</v>
      </c>
      <c r="B126" s="4" t="str">
        <f t="shared" si="7"/>
        <v>DATA</v>
      </c>
      <c r="C126" s="4" t="str">
        <f>VLOOKUP($A126,Questions!$A$3:$L$333,2,0)&amp;""</f>
        <v>Does the process described in DATA-15 adhere to DoD 5220.22-M and/or NIST SP 800-88 standards?</v>
      </c>
      <c r="D126" s="4" t="str">
        <f>VLOOKUP($A126,Questions!$A$3:$L$333,11,0)&amp;""</f>
        <v/>
      </c>
      <c r="E126" s="4" t="str">
        <f>VLOOKUP($A126,Questions!$A$3:$L$333,12,0)&amp;""</f>
        <v>Product</v>
      </c>
      <c r="F126" s="4" t="str">
        <f>VLOOKUP($A126,'Institution Evaluation'!$A$56:$K$345,3,0)&amp;""</f>
        <v>No</v>
      </c>
      <c r="G126" s="4" t="str">
        <f>VLOOKUP($A126,'Institution Evaluation'!$A$56:$K$345,7,0)&amp;""</f>
        <v>Yes</v>
      </c>
      <c r="H126" s="4" t="str">
        <f>VLOOKUP($A126,'Institution Evaluation'!$A$56:$K$345,8,0)&amp;""</f>
        <v/>
      </c>
      <c r="I126" s="4" t="str">
        <f>VLOOKUP($A126,'Institution Evaluation'!$A$56:$K$345,9,0)&amp;""</f>
        <v>Standard Importance</v>
      </c>
      <c r="J126" s="4" t="str">
        <f>VLOOKUP($A126,'Institution Evaluation'!$A$56:$K$345,10,0)&amp;""</f>
        <v/>
      </c>
      <c r="K126" s="4">
        <f>IF($I126='Auto Responses'!$J$11,20,IF($I126='Auto Responses'!$J$13,5,10))</f>
        <v>10</v>
      </c>
      <c r="L126" s="101">
        <f>IF($E126='Auto Responses'!$L$13, 'Auto Responses'!$J$5,IF(AND($D126='Auto Responses'!$J$27,$H126=""),'Auto Responses'!$J$5,IF(AND($D126='Auto Responses'!$J$27,$H126='Auto Responses'!$J$7),1,IF(AND($D126='Auto Responses'!$J$27,$H126='Auto Responses'!$J$8),0,IF(OR(AND($F126=$G126,$H126=""),$H126='Auto Responses'!$J$7),1,0)))))</f>
        <v>0</v>
      </c>
      <c r="M126" s="4" t="str">
        <f>VLOOKUP($A126,'Institution Evaluation'!$A$56:$K$345,11,0)&amp;""</f>
        <v>FALSE</v>
      </c>
      <c r="N126" s="4">
        <f>IF($J126='Auto Responses'!$J$11,1,IF(AND($J126="",$I126='Auto Responses'!$J$11),1,0))</f>
        <v>0</v>
      </c>
      <c r="O126" s="101">
        <f>IF(OR($F$17='Auto Responses'!$J$4,$E126='Auto Responses'!$L$13,$F126='Auto Responses'!$J$5),'Auto Responses'!$J$5,IF($J126="",$K126,IF($J126='Auto Responses'!$J$13,5,IF($J126='Auto Responses'!$J$12,10,IF($J126='Auto Responses'!$J$11,20,0)))))</f>
        <v>10</v>
      </c>
      <c r="P126" s="101">
        <f>IF(OR($O126='Auto Responses'!$J$5,$L126='Auto Responses'!$J$5),'Auto Responses'!$J$5,$O126*$L126)</f>
        <v>0</v>
      </c>
      <c r="Q126" s="101">
        <f t="shared" si="8"/>
        <v>0</v>
      </c>
      <c r="R126" s="101">
        <f t="shared" si="12"/>
        <v>0</v>
      </c>
      <c r="S126" s="101">
        <f t="shared" si="9"/>
        <v>0</v>
      </c>
      <c r="T126" s="101">
        <f t="shared" si="10"/>
        <v>0</v>
      </c>
      <c r="U126" s="101">
        <f t="shared" si="13"/>
        <v>42</v>
      </c>
      <c r="V126" s="101">
        <f t="shared" si="11"/>
        <v>0</v>
      </c>
    </row>
    <row r="127" spans="1:22" ht="57" customHeight="1" x14ac:dyDescent="0.2">
      <c r="A127" s="4" t="str">
        <f>Questions!$A128</f>
        <v>DATA-17</v>
      </c>
      <c r="B127" s="4" t="str">
        <f t="shared" si="7"/>
        <v>DATA</v>
      </c>
      <c r="C127" s="4" t="str">
        <f>VLOOKUP($A127,Questions!$A$3:$L$333,2,0)&amp;""</f>
        <v>Does your staff (or third party) have access to institutional data (e.g., financial, PHI, or other sensitive information) through any means?</v>
      </c>
      <c r="D127" s="4" t="str">
        <f>VLOOKUP($A127,Questions!$A$3:$L$333,11,0)&amp;""</f>
        <v/>
      </c>
      <c r="E127" s="4" t="str">
        <f>VLOOKUP($A127,Questions!$A$3:$L$333,12,0)&amp;""</f>
        <v>Product</v>
      </c>
      <c r="F127" s="4" t="str">
        <f>VLOOKUP($A127,'Institution Evaluation'!$A$56:$K$345,3,0)&amp;""</f>
        <v>Limited and controlled</v>
      </c>
      <c r="G127" s="4" t="str">
        <f>VLOOKUP($A127,'Institution Evaluation'!$A$56:$K$345,7,0)&amp;""</f>
        <v>No</v>
      </c>
      <c r="H127" s="4" t="str">
        <f>VLOOKUP($A127,'Institution Evaluation'!$A$56:$K$345,8,0)&amp;""</f>
        <v/>
      </c>
      <c r="I127" s="4" t="str">
        <f>VLOOKUP($A127,'Institution Evaluation'!$A$56:$K$345,9,0)&amp;""</f>
        <v>Standard Importance</v>
      </c>
      <c r="J127" s="4" t="str">
        <f>VLOOKUP($A127,'Institution Evaluation'!$A$56:$K$345,10,0)&amp;""</f>
        <v/>
      </c>
      <c r="K127" s="4">
        <f>IF($I127='Auto Responses'!$J$11,20,IF($I127='Auto Responses'!$J$13,5,10))</f>
        <v>10</v>
      </c>
      <c r="L127" s="101">
        <f>IF($E127='Auto Responses'!$L$13, 'Auto Responses'!$J$5,IF(AND($D127='Auto Responses'!$J$27,$H127=""),'Auto Responses'!$J$5,IF(AND($D127='Auto Responses'!$J$27,$H127='Auto Responses'!$J$7),1,IF(AND($D127='Auto Responses'!$J$27,$H127='Auto Responses'!$J$8),0,IF(OR(AND($F127=$G127,$H127=""),$H127='Auto Responses'!$J$7),1,0)))))</f>
        <v>0</v>
      </c>
      <c r="M127" s="4" t="str">
        <f>VLOOKUP($A127,'Institution Evaluation'!$A$56:$K$345,11,0)&amp;""</f>
        <v>FALSE</v>
      </c>
      <c r="N127" s="4">
        <f>IF($J127='Auto Responses'!$J$11,1,IF(AND($J127="",$I127='Auto Responses'!$J$11),1,0))</f>
        <v>0</v>
      </c>
      <c r="O127" s="101">
        <f>IF(OR($F$17='Auto Responses'!$J$4,$E127='Auto Responses'!$L$13,$F127='Auto Responses'!$J$5),'Auto Responses'!$J$5,IF($J127="",$K127,IF($J127='Auto Responses'!$J$13,5,IF($J127='Auto Responses'!$J$12,10,IF($J127='Auto Responses'!$J$11,20,0)))))</f>
        <v>10</v>
      </c>
      <c r="P127" s="101">
        <f>IF(OR($O127='Auto Responses'!$J$5,$L127='Auto Responses'!$J$5),'Auto Responses'!$J$5,$O127*$L127)</f>
        <v>0</v>
      </c>
      <c r="Q127" s="101">
        <f t="shared" si="8"/>
        <v>0</v>
      </c>
      <c r="R127" s="101">
        <f t="shared" si="12"/>
        <v>0</v>
      </c>
      <c r="S127" s="101">
        <f t="shared" si="9"/>
        <v>0</v>
      </c>
      <c r="T127" s="101">
        <f t="shared" si="10"/>
        <v>0</v>
      </c>
      <c r="U127" s="101">
        <f t="shared" si="13"/>
        <v>42</v>
      </c>
      <c r="V127" s="101">
        <f t="shared" si="11"/>
        <v>0</v>
      </c>
    </row>
    <row r="128" spans="1:22" ht="57" customHeight="1" x14ac:dyDescent="0.2">
      <c r="A128" s="4" t="str">
        <f>Questions!$A129</f>
        <v>DATA-18</v>
      </c>
      <c r="B128" s="4" t="str">
        <f t="shared" si="7"/>
        <v>DATA</v>
      </c>
      <c r="C128" s="4" t="str">
        <f>VLOOKUP($A128,Questions!$A$3:$L$333,2,0)&amp;""</f>
        <v>Do you have a documented and currently implemented strategy for securing employee workstations when they work remotely (i.e., not in a trusted computing environment)?</v>
      </c>
      <c r="D128" s="4" t="str">
        <f>VLOOKUP($A128,Questions!$A$3:$L$333,11,0)&amp;""</f>
        <v/>
      </c>
      <c r="E128" s="4" t="str">
        <f>VLOOKUP($A128,Questions!$A$3:$L$333,12,0)&amp;""</f>
        <v>Product</v>
      </c>
      <c r="F128" s="4" t="str">
        <f>VLOOKUP($A128,'Institution Evaluation'!$A$56:$K$345,3,0)&amp;""</f>
        <v>Yes</v>
      </c>
      <c r="G128" s="4" t="str">
        <f>VLOOKUP($A128,'Institution Evaluation'!$A$56:$K$345,7,0)&amp;""</f>
        <v>Yes</v>
      </c>
      <c r="H128" s="4" t="str">
        <f>VLOOKUP($A128,'Institution Evaluation'!$A$56:$K$345,8,0)&amp;""</f>
        <v/>
      </c>
      <c r="I128" s="4" t="str">
        <f>VLOOKUP($A128,'Institution Evaluation'!$A$56:$K$345,9,0)&amp;""</f>
        <v>Standard Importance</v>
      </c>
      <c r="J128" s="4" t="str">
        <f>VLOOKUP($A128,'Institution Evaluation'!$A$56:$K$345,10,0)&amp;""</f>
        <v/>
      </c>
      <c r="K128" s="4">
        <f>IF($I128='Auto Responses'!$J$11,20,IF($I128='Auto Responses'!$J$13,5,10))</f>
        <v>10</v>
      </c>
      <c r="L128" s="101">
        <f>IF($E128='Auto Responses'!$L$13, 'Auto Responses'!$J$5,IF(AND($D128='Auto Responses'!$J$27,$H128=""),'Auto Responses'!$J$5,IF(AND($D128='Auto Responses'!$J$27,$H128='Auto Responses'!$J$7),1,IF(AND($D128='Auto Responses'!$J$27,$H128='Auto Responses'!$J$8),0,IF(OR(AND($F128=$G128,$H128=""),$H128='Auto Responses'!$J$7),1,0)))))</f>
        <v>1</v>
      </c>
      <c r="M128" s="4" t="str">
        <f>VLOOKUP($A128,'Institution Evaluation'!$A$56:$K$345,11,0)&amp;""</f>
        <v>FALSE</v>
      </c>
      <c r="N128" s="4">
        <f>IF($J128='Auto Responses'!$J$11,1,IF(AND($J128="",$I128='Auto Responses'!$J$11),1,0))</f>
        <v>0</v>
      </c>
      <c r="O128" s="101">
        <f>IF(OR($F$17='Auto Responses'!$J$4,$E128='Auto Responses'!$L$13,$F128='Auto Responses'!$J$5),'Auto Responses'!$J$5,IF($J128="",$K128,IF($J128='Auto Responses'!$J$13,5,IF($J128='Auto Responses'!$J$12,10,IF($J128='Auto Responses'!$J$11,20,0)))))</f>
        <v>10</v>
      </c>
      <c r="P128" s="101">
        <f>IF(OR($O128='Auto Responses'!$J$5,$L128='Auto Responses'!$J$5),'Auto Responses'!$J$5,$O128*$L128)</f>
        <v>10</v>
      </c>
      <c r="Q128" s="101">
        <f t="shared" si="8"/>
        <v>0</v>
      </c>
      <c r="R128" s="101">
        <f t="shared" si="12"/>
        <v>0</v>
      </c>
      <c r="S128" s="101">
        <f t="shared" si="9"/>
        <v>0</v>
      </c>
      <c r="T128" s="101">
        <f t="shared" si="10"/>
        <v>0</v>
      </c>
      <c r="U128" s="101">
        <f t="shared" si="13"/>
        <v>42</v>
      </c>
      <c r="V128" s="101">
        <f t="shared" si="11"/>
        <v>0</v>
      </c>
    </row>
    <row r="129" spans="1:22" ht="71.25" customHeight="1" x14ac:dyDescent="0.2">
      <c r="A129" s="4" t="str">
        <f>Questions!$A130</f>
        <v>DATA-19</v>
      </c>
      <c r="B129" s="4" t="str">
        <f t="shared" si="7"/>
        <v>DATA</v>
      </c>
      <c r="C129" s="4" t="str">
        <f>VLOOKUP($A129,Questions!$A$3:$L$333,2,0)&amp;""</f>
        <v>Does the environment provide for dedicated single-tenant capabilities? If not, describe how your solution or environment separates data from different customers (e.g., logically, physically, single tenancy, multi-tenancy).</v>
      </c>
      <c r="D129" s="4" t="str">
        <f>VLOOKUP($A129,Questions!$A$3:$L$333,11,0)&amp;""</f>
        <v/>
      </c>
      <c r="E129" s="4" t="str">
        <f>VLOOKUP($A129,Questions!$A$3:$L$333,12,0)&amp;""</f>
        <v>Product</v>
      </c>
      <c r="F129" s="4" t="str">
        <f>VLOOKUP($A129,'Institution Evaluation'!$A$56:$K$345,3,0)&amp;""</f>
        <v>No</v>
      </c>
      <c r="G129" s="4" t="str">
        <f>VLOOKUP($A129,'Institution Evaluation'!$A$56:$K$345,7,0)&amp;""</f>
        <v>Yes</v>
      </c>
      <c r="H129" s="4" t="str">
        <f>VLOOKUP($A129,'Institution Evaluation'!$A$56:$K$345,8,0)&amp;""</f>
        <v/>
      </c>
      <c r="I129" s="4" t="str">
        <f>VLOOKUP($A129,'Institution Evaluation'!$A$56:$K$345,9,0)&amp;""</f>
        <v>Minor Importance</v>
      </c>
      <c r="J129" s="4" t="str">
        <f>VLOOKUP($A129,'Institution Evaluation'!$A$56:$K$345,10,0)&amp;""</f>
        <v/>
      </c>
      <c r="K129" s="4">
        <f>IF($I129='Auto Responses'!$J$11,20,IF($I129='Auto Responses'!$J$13,5,10))</f>
        <v>5</v>
      </c>
      <c r="L129" s="101">
        <f>IF($E129='Auto Responses'!$L$13, 'Auto Responses'!$J$5,IF(AND($D129='Auto Responses'!$J$27,$H129=""),'Auto Responses'!$J$5,IF(AND($D129='Auto Responses'!$J$27,$H129='Auto Responses'!$J$7),1,IF(AND($D129='Auto Responses'!$J$27,$H129='Auto Responses'!$J$8),0,IF(OR(AND($F129=$G129,$H129=""),$H129='Auto Responses'!$J$7),1,0)))))</f>
        <v>0</v>
      </c>
      <c r="M129" s="4" t="str">
        <f>VLOOKUP($A129,'Institution Evaluation'!$A$56:$K$345,11,0)&amp;""</f>
        <v>FALSE</v>
      </c>
      <c r="N129" s="4">
        <f>IF($J129='Auto Responses'!$J$11,1,IF(AND($J129="",$I129='Auto Responses'!$J$11),1,0))</f>
        <v>0</v>
      </c>
      <c r="O129" s="101">
        <f>IF(OR($F$17='Auto Responses'!$J$4,$E129='Auto Responses'!$L$13,$F129='Auto Responses'!$J$5),'Auto Responses'!$J$5,IF($J129="",$K129,IF($J129='Auto Responses'!$J$13,5,IF($J129='Auto Responses'!$J$12,10,IF($J129='Auto Responses'!$J$11,20,0)))))</f>
        <v>5</v>
      </c>
      <c r="P129" s="101">
        <f>IF(OR($O129='Auto Responses'!$J$5,$L129='Auto Responses'!$J$5),'Auto Responses'!$J$5,$O129*$L129)</f>
        <v>0</v>
      </c>
      <c r="Q129" s="101">
        <f t="shared" si="8"/>
        <v>0</v>
      </c>
      <c r="R129" s="101">
        <f t="shared" si="12"/>
        <v>0</v>
      </c>
      <c r="S129" s="101">
        <f t="shared" si="9"/>
        <v>0</v>
      </c>
      <c r="T129" s="101">
        <f t="shared" si="10"/>
        <v>0</v>
      </c>
      <c r="U129" s="101">
        <f t="shared" si="13"/>
        <v>42</v>
      </c>
      <c r="V129" s="101">
        <f t="shared" si="11"/>
        <v>0</v>
      </c>
    </row>
    <row r="130" spans="1:22" ht="57" customHeight="1" x14ac:dyDescent="0.2">
      <c r="A130" s="4" t="str">
        <f>Questions!$A131</f>
        <v>DATA-20</v>
      </c>
      <c r="B130" s="4" t="str">
        <f t="shared" si="7"/>
        <v>DATA</v>
      </c>
      <c r="C130" s="4" t="str">
        <f>VLOOKUP($A130,Questions!$A$3:$L$333,2,0)&amp;""</f>
        <v>Are ownership rights to all data, inputs, outputs, and metadata retained by the institution?</v>
      </c>
      <c r="D130" s="4" t="str">
        <f>VLOOKUP($A130,Questions!$A$3:$L$333,11,0)&amp;""</f>
        <v/>
      </c>
      <c r="E130" s="4" t="str">
        <f>VLOOKUP($A130,Questions!$A$3:$L$333,12,0)&amp;""</f>
        <v>Product</v>
      </c>
      <c r="F130" s="4" t="str">
        <f>VLOOKUP($A130,'Institution Evaluation'!$A$56:$K$345,3,0)&amp;""</f>
        <v>Yes</v>
      </c>
      <c r="G130" s="4" t="str">
        <f>VLOOKUP($A130,'Institution Evaluation'!$A$56:$K$345,7,0)&amp;""</f>
        <v>Yes</v>
      </c>
      <c r="H130" s="4" t="str">
        <f>VLOOKUP($A130,'Institution Evaluation'!$A$56:$K$345,8,0)&amp;""</f>
        <v/>
      </c>
      <c r="I130" s="4" t="str">
        <f>VLOOKUP($A130,'Institution Evaluation'!$A$56:$K$345,9,0)&amp;""</f>
        <v>Minor Importance</v>
      </c>
      <c r="J130" s="4" t="str">
        <f>VLOOKUP($A130,'Institution Evaluation'!$A$56:$K$345,10,0)&amp;""</f>
        <v/>
      </c>
      <c r="K130" s="4">
        <f>IF($I130='Auto Responses'!$J$11,20,IF($I130='Auto Responses'!$J$13,5,10))</f>
        <v>5</v>
      </c>
      <c r="L130" s="101">
        <f>IF($E130='Auto Responses'!$L$13, 'Auto Responses'!$J$5,IF(AND($D130='Auto Responses'!$J$27,$H130=""),'Auto Responses'!$J$5,IF(AND($D130='Auto Responses'!$J$27,$H130='Auto Responses'!$J$7),1,IF(AND($D130='Auto Responses'!$J$27,$H130='Auto Responses'!$J$8),0,IF(OR(AND($F130=$G130,$H130=""),$H130='Auto Responses'!$J$7),1,0)))))</f>
        <v>1</v>
      </c>
      <c r="M130" s="4" t="str">
        <f>VLOOKUP($A130,'Institution Evaluation'!$A$56:$K$345,11,0)&amp;""</f>
        <v>FALSE</v>
      </c>
      <c r="N130" s="4">
        <f>IF($J130='Auto Responses'!$J$11,1,IF(AND($J130="",$I130='Auto Responses'!$J$11),1,0))</f>
        <v>0</v>
      </c>
      <c r="O130" s="101">
        <f>IF(OR($F$17='Auto Responses'!$J$4,$E130='Auto Responses'!$L$13,$F130='Auto Responses'!$J$5),'Auto Responses'!$J$5,IF($J130="",$K130,IF($J130='Auto Responses'!$J$13,5,IF($J130='Auto Responses'!$J$12,10,IF($J130='Auto Responses'!$J$11,20,0)))))</f>
        <v>5</v>
      </c>
      <c r="P130" s="101">
        <f>IF(OR($O130='Auto Responses'!$J$5,$L130='Auto Responses'!$J$5),'Auto Responses'!$J$5,$O130*$L130)</f>
        <v>5</v>
      </c>
      <c r="Q130" s="101">
        <f t="shared" si="8"/>
        <v>0</v>
      </c>
      <c r="R130" s="101">
        <f t="shared" si="12"/>
        <v>0</v>
      </c>
      <c r="S130" s="101">
        <f t="shared" si="9"/>
        <v>0</v>
      </c>
      <c r="T130" s="101">
        <f t="shared" si="10"/>
        <v>0</v>
      </c>
      <c r="U130" s="101">
        <f t="shared" si="13"/>
        <v>42</v>
      </c>
      <c r="V130" s="101">
        <f t="shared" si="11"/>
        <v>0</v>
      </c>
    </row>
    <row r="131" spans="1:22" ht="57" customHeight="1" x14ac:dyDescent="0.2">
      <c r="A131" s="4" t="str">
        <f>Questions!$A132</f>
        <v>DATA-21</v>
      </c>
      <c r="B131" s="4" t="str">
        <f t="shared" ref="B131:B194" si="14">LEFT(A131,4)</f>
        <v>DATA</v>
      </c>
      <c r="C131" s="4" t="str">
        <f>VLOOKUP($A131,Questions!$A$3:$L$333,2,0)&amp;""</f>
        <v>In the event of imminent bankruptcy, closing of business, or retirement of service, will you provide 90 days for customers to get their data out of the system and migrate applications?</v>
      </c>
      <c r="D131" s="4" t="str">
        <f>VLOOKUP($A131,Questions!$A$3:$L$333,11,0)&amp;""</f>
        <v/>
      </c>
      <c r="E131" s="4" t="str">
        <f>VLOOKUP($A131,Questions!$A$3:$L$333,12,0)&amp;""</f>
        <v>Product</v>
      </c>
      <c r="F131" s="4" t="str">
        <f>VLOOKUP($A131,'Institution Evaluation'!$A$56:$K$345,3,0)&amp;""</f>
        <v>Yes</v>
      </c>
      <c r="G131" s="4" t="str">
        <f>VLOOKUP($A131,'Institution Evaluation'!$A$56:$K$345,7,0)&amp;""</f>
        <v>Yes</v>
      </c>
      <c r="H131" s="4" t="str">
        <f>VLOOKUP($A131,'Institution Evaluation'!$A$56:$K$345,8,0)&amp;""</f>
        <v/>
      </c>
      <c r="I131" s="4" t="str">
        <f>VLOOKUP($A131,'Institution Evaluation'!$A$56:$K$345,9,0)&amp;""</f>
        <v>Minor Importance</v>
      </c>
      <c r="J131" s="4" t="str">
        <f>VLOOKUP($A131,'Institution Evaluation'!$A$56:$K$345,10,0)&amp;""</f>
        <v/>
      </c>
      <c r="K131" s="4">
        <f>IF($I131='Auto Responses'!$J$11,20,IF($I131='Auto Responses'!$J$13,5,10))</f>
        <v>5</v>
      </c>
      <c r="L131" s="101">
        <f>IF($E131='Auto Responses'!$L$13, 'Auto Responses'!$J$5,IF(AND($D131='Auto Responses'!$J$27,$H131=""),'Auto Responses'!$J$5,IF(AND($D131='Auto Responses'!$J$27,$H131='Auto Responses'!$J$7),1,IF(AND($D131='Auto Responses'!$J$27,$H131='Auto Responses'!$J$8),0,IF(OR(AND($F131=$G131,$H131=""),$H131='Auto Responses'!$J$7),1,0)))))</f>
        <v>1</v>
      </c>
      <c r="M131" s="4" t="str">
        <f>VLOOKUP($A131,'Institution Evaluation'!$A$56:$K$345,11,0)&amp;""</f>
        <v>FALSE</v>
      </c>
      <c r="N131" s="4">
        <f>IF($J131='Auto Responses'!$J$11,1,IF(AND($J131="",$I131='Auto Responses'!$J$11),1,0))</f>
        <v>0</v>
      </c>
      <c r="O131" s="101">
        <f>IF(OR($F$17='Auto Responses'!$J$4,$E131='Auto Responses'!$L$13,$F131='Auto Responses'!$J$5),'Auto Responses'!$J$5,IF($J131="",$K131,IF($J131='Auto Responses'!$J$13,5,IF($J131='Auto Responses'!$J$12,10,IF($J131='Auto Responses'!$J$11,20,0)))))</f>
        <v>5</v>
      </c>
      <c r="P131" s="101">
        <f>IF(OR($O131='Auto Responses'!$J$5,$L131='Auto Responses'!$J$5),'Auto Responses'!$J$5,$O131*$L131)</f>
        <v>5</v>
      </c>
      <c r="Q131" s="101">
        <f t="shared" ref="Q131:Q194" si="15">IF(M131="TRUE",1,0)</f>
        <v>0</v>
      </c>
      <c r="R131" s="101">
        <f t="shared" si="12"/>
        <v>0</v>
      </c>
      <c r="S131" s="101">
        <f t="shared" ref="S131:S194" si="16">IF(Q131=0,0,R131)</f>
        <v>0</v>
      </c>
      <c r="T131" s="101">
        <f t="shared" ref="T131:T194" si="17">IF(N131=1,1,0)</f>
        <v>0</v>
      </c>
      <c r="U131" s="101">
        <f t="shared" si="13"/>
        <v>42</v>
      </c>
      <c r="V131" s="101">
        <f t="shared" ref="V131:V194" si="18">IF(T131=0,0,U131)</f>
        <v>0</v>
      </c>
    </row>
    <row r="132" spans="1:22" ht="57" customHeight="1" x14ac:dyDescent="0.2">
      <c r="A132" s="4" t="str">
        <f>Questions!$A133</f>
        <v>DATA-22</v>
      </c>
      <c r="B132" s="4" t="str">
        <f t="shared" si="14"/>
        <v>DATA</v>
      </c>
      <c r="C132" s="4" t="str">
        <f>VLOOKUP($A132,Questions!$A$3:$L$333,2,0)&amp;""</f>
        <v>Are involatile backup copies made according to predefined schedules and securely stored and protected?</v>
      </c>
      <c r="D132" s="4" t="str">
        <f>VLOOKUP($A132,Questions!$A$3:$L$333,11,0)&amp;""</f>
        <v/>
      </c>
      <c r="E132" s="4" t="str">
        <f>VLOOKUP($A132,Questions!$A$3:$L$333,12,0)&amp;""</f>
        <v>Product</v>
      </c>
      <c r="F132" s="4" t="str">
        <f>VLOOKUP($A132,'Institution Evaluation'!$A$56:$K$345,3,0)&amp;""</f>
        <v>No</v>
      </c>
      <c r="G132" s="4" t="str">
        <f>VLOOKUP($A132,'Institution Evaluation'!$A$56:$K$345,7,0)&amp;""</f>
        <v>Yes</v>
      </c>
      <c r="H132" s="4" t="str">
        <f>VLOOKUP($A132,'Institution Evaluation'!$A$56:$K$345,8,0)&amp;""</f>
        <v/>
      </c>
      <c r="I132" s="4" t="str">
        <f>VLOOKUP($A132,'Institution Evaluation'!$A$56:$K$345,9,0)&amp;""</f>
        <v>Minor Importance</v>
      </c>
      <c r="J132" s="4" t="str">
        <f>VLOOKUP($A132,'Institution Evaluation'!$A$56:$K$345,10,0)&amp;""</f>
        <v/>
      </c>
      <c r="K132" s="4">
        <f>IF($I132='Auto Responses'!$J$11,20,IF($I132='Auto Responses'!$J$13,5,10))</f>
        <v>5</v>
      </c>
      <c r="L132" s="101">
        <f>IF($E132='Auto Responses'!$L$13, 'Auto Responses'!$J$5,IF(AND($D132='Auto Responses'!$J$27,$H132=""),'Auto Responses'!$J$5,IF(AND($D132='Auto Responses'!$J$27,$H132='Auto Responses'!$J$7),1,IF(AND($D132='Auto Responses'!$J$27,$H132='Auto Responses'!$J$8),0,IF(OR(AND($F132=$G132,$H132=""),$H132='Auto Responses'!$J$7),1,0)))))</f>
        <v>0</v>
      </c>
      <c r="M132" s="4" t="str">
        <f>VLOOKUP($A132,'Institution Evaluation'!$A$56:$K$345,11,0)&amp;""</f>
        <v>FALSE</v>
      </c>
      <c r="N132" s="4">
        <f>IF($J132='Auto Responses'!$J$11,1,IF(AND($J132="",$I132='Auto Responses'!$J$11),1,0))</f>
        <v>0</v>
      </c>
      <c r="O132" s="101">
        <f>IF(OR($F$17='Auto Responses'!$J$4,$E132='Auto Responses'!$L$13,$F132='Auto Responses'!$J$5),'Auto Responses'!$J$5,IF($J132="",$K132,IF($J132='Auto Responses'!$J$13,5,IF($J132='Auto Responses'!$J$12,10,IF($J132='Auto Responses'!$J$11,20,0)))))</f>
        <v>5</v>
      </c>
      <c r="P132" s="101">
        <f>IF(OR($O132='Auto Responses'!$J$5,$L132='Auto Responses'!$J$5),'Auto Responses'!$J$5,$O132*$L132)</f>
        <v>0</v>
      </c>
      <c r="Q132" s="101">
        <f t="shared" si="15"/>
        <v>0</v>
      </c>
      <c r="R132" s="101">
        <f t="shared" ref="R132:R195" si="19">R131+Q132</f>
        <v>0</v>
      </c>
      <c r="S132" s="101">
        <f t="shared" si="16"/>
        <v>0</v>
      </c>
      <c r="T132" s="101">
        <f t="shared" si="17"/>
        <v>0</v>
      </c>
      <c r="U132" s="101">
        <f t="shared" ref="U132:U195" si="20">U131+T132</f>
        <v>42</v>
      </c>
      <c r="V132" s="101">
        <f t="shared" si="18"/>
        <v>0</v>
      </c>
    </row>
    <row r="133" spans="1:22" ht="57" customHeight="1" x14ac:dyDescent="0.2">
      <c r="A133" s="4" t="str">
        <f>Questions!$A125</f>
        <v>DATA-14</v>
      </c>
      <c r="B133" s="4" t="str">
        <f t="shared" si="14"/>
        <v>DATA</v>
      </c>
      <c r="C133" s="4" t="str">
        <f>VLOOKUP($A133,Questions!$A$3:$L$333,2,0)&amp;""</f>
        <v>Are data backups encrypted?</v>
      </c>
      <c r="D133" s="4" t="str">
        <f>VLOOKUP($A133,Questions!$A$3:$L$333,11,0)&amp;""</f>
        <v/>
      </c>
      <c r="E133" s="4" t="str">
        <f>VLOOKUP($A133,Questions!$A$3:$L$333,12,0)&amp;""</f>
        <v>Product</v>
      </c>
      <c r="F133" s="4" t="str">
        <f>VLOOKUP($A133,'Institution Evaluation'!$A$56:$K$345,3,0)&amp;""</f>
        <v>Yes</v>
      </c>
      <c r="G133" s="4" t="str">
        <f>VLOOKUP($A133,'Institution Evaluation'!$A$56:$K$345,7,0)&amp;""</f>
        <v>Yes</v>
      </c>
      <c r="H133" s="4" t="str">
        <f>VLOOKUP($A133,'Institution Evaluation'!$A$56:$K$345,8,0)&amp;""</f>
        <v/>
      </c>
      <c r="I133" s="4" t="str">
        <f>VLOOKUP($A133,'Institution Evaluation'!$A$56:$K$345,9,0)&amp;""</f>
        <v>Minor Importance</v>
      </c>
      <c r="J133" s="4" t="str">
        <f>VLOOKUP($A133,'Institution Evaluation'!$A$56:$K$345,10,0)&amp;""</f>
        <v/>
      </c>
      <c r="K133" s="4">
        <f>IF($I133='Auto Responses'!$J$11,20,IF($I133='Auto Responses'!$J$13,5,10))</f>
        <v>5</v>
      </c>
      <c r="L133" s="101">
        <f>IF($E133='Auto Responses'!$L$13, 'Auto Responses'!$J$5,IF(AND($D133='Auto Responses'!$J$27,$H133=""),'Auto Responses'!$J$5,IF(AND($D133='Auto Responses'!$J$27,$H133='Auto Responses'!$J$7),1,IF(AND($D133='Auto Responses'!$J$27,$H133='Auto Responses'!$J$8),0,IF(OR(AND($F133=$G133,$H133=""),$H133='Auto Responses'!$J$7),1,0)))))</f>
        <v>1</v>
      </c>
      <c r="M133" s="4" t="str">
        <f>VLOOKUP($A133,'Institution Evaluation'!$A$56:$K$345,11,0)&amp;""</f>
        <v>FALSE</v>
      </c>
      <c r="N133" s="4">
        <f>IF($J133='Auto Responses'!$J$11,1,IF(AND($J133="",$I133='Auto Responses'!$J$11),1,0))</f>
        <v>0</v>
      </c>
      <c r="O133" s="101">
        <f>IF(OR($F$17='Auto Responses'!$J$4,$E133='Auto Responses'!$L$13,$F133='Auto Responses'!$J$5),'Auto Responses'!$J$5,IF($J133="",$K133,IF($J133='Auto Responses'!$J$13,5,IF($J133='Auto Responses'!$J$12,10,IF($J133='Auto Responses'!$J$11,20,0)))))</f>
        <v>5</v>
      </c>
      <c r="P133" s="101">
        <f>IF(OR($O133='Auto Responses'!$J$5,$L133='Auto Responses'!$J$5),'Auto Responses'!$J$5,$O133*$L133)</f>
        <v>5</v>
      </c>
      <c r="Q133" s="101">
        <f t="shared" si="15"/>
        <v>0</v>
      </c>
      <c r="R133" s="101">
        <f t="shared" si="19"/>
        <v>0</v>
      </c>
      <c r="S133" s="101">
        <f t="shared" si="16"/>
        <v>0</v>
      </c>
      <c r="T133" s="101">
        <f t="shared" si="17"/>
        <v>0</v>
      </c>
      <c r="U133" s="101">
        <f t="shared" si="20"/>
        <v>42</v>
      </c>
      <c r="V133" s="101">
        <f t="shared" si="18"/>
        <v>0</v>
      </c>
    </row>
    <row r="134" spans="1:22" ht="71.25" customHeight="1" x14ac:dyDescent="0.2">
      <c r="A134" s="4" t="str">
        <f>Questions!$A134</f>
        <v>DATA-23</v>
      </c>
      <c r="B134" s="4" t="str">
        <f t="shared" si="14"/>
        <v>DATA</v>
      </c>
      <c r="C134" s="4" t="str">
        <f>VLOOKUP($A134,Questions!$A$3:$L$333,2,0)&amp;""</f>
        <v>Do you have a cryptographic key management process (generation, exchange, storage, safeguards, use, vetting, and replacement) that is documented and currently implemented, for all system components (e.g., database, system, web, etc.)?</v>
      </c>
      <c r="D134" s="4" t="str">
        <f>VLOOKUP($A134,Questions!$A$3:$L$333,11,0)&amp;""</f>
        <v/>
      </c>
      <c r="E134" s="4" t="str">
        <f>VLOOKUP($A134,Questions!$A$3:$L$333,12,0)&amp;""</f>
        <v>Product</v>
      </c>
      <c r="F134" s="4" t="str">
        <f>VLOOKUP($A134,'Institution Evaluation'!$A$56:$K$345,3,0)&amp;""</f>
        <v>Yes</v>
      </c>
      <c r="G134" s="4" t="str">
        <f>VLOOKUP($A134,'Institution Evaluation'!$A$56:$K$345,7,0)&amp;""</f>
        <v>Yes</v>
      </c>
      <c r="H134" s="4" t="str">
        <f>VLOOKUP($A134,'Institution Evaluation'!$A$56:$K$345,8,0)&amp;""</f>
        <v/>
      </c>
      <c r="I134" s="4" t="str">
        <f>VLOOKUP($A134,'Institution Evaluation'!$A$56:$K$345,9,0)&amp;""</f>
        <v>Minor Importance</v>
      </c>
      <c r="J134" s="4" t="str">
        <f>VLOOKUP($A134,'Institution Evaluation'!$A$56:$K$345,10,0)&amp;""</f>
        <v/>
      </c>
      <c r="K134" s="4">
        <f>IF($I134='Auto Responses'!$J$11,20,IF($I134='Auto Responses'!$J$13,5,10))</f>
        <v>5</v>
      </c>
      <c r="L134" s="101">
        <f>IF($E134='Auto Responses'!$L$13, 'Auto Responses'!$J$5,IF(AND($D134='Auto Responses'!$J$27,$H134=""),'Auto Responses'!$J$5,IF(AND($D134='Auto Responses'!$J$27,$H134='Auto Responses'!$J$7),1,IF(AND($D134='Auto Responses'!$J$27,$H134='Auto Responses'!$J$8),0,IF(OR(AND($F134=$G134,$H134=""),$H134='Auto Responses'!$J$7),1,0)))))</f>
        <v>1</v>
      </c>
      <c r="M134" s="4" t="str">
        <f>VLOOKUP($A134,'Institution Evaluation'!$A$56:$K$345,11,0)&amp;""</f>
        <v>FALSE</v>
      </c>
      <c r="N134" s="4">
        <f>IF($J134='Auto Responses'!$J$11,1,IF(AND($J134="",$I134='Auto Responses'!$J$11),1,0))</f>
        <v>0</v>
      </c>
      <c r="O134" s="101">
        <f>IF(OR($F$17='Auto Responses'!$J$4,$E134='Auto Responses'!$L$13,$F134='Auto Responses'!$J$5),'Auto Responses'!$J$5,IF($J134="",$K134,IF($J134='Auto Responses'!$J$13,5,IF($J134='Auto Responses'!$J$12,10,IF($J134='Auto Responses'!$J$11,20,0)))))</f>
        <v>5</v>
      </c>
      <c r="P134" s="101">
        <f>IF(OR($O134='Auto Responses'!$J$5,$L134='Auto Responses'!$J$5),'Auto Responses'!$J$5,$O134*$L134)</f>
        <v>5</v>
      </c>
      <c r="Q134" s="101">
        <f t="shared" si="15"/>
        <v>0</v>
      </c>
      <c r="R134" s="101">
        <f t="shared" si="19"/>
        <v>0</v>
      </c>
      <c r="S134" s="101">
        <f t="shared" si="16"/>
        <v>0</v>
      </c>
      <c r="T134" s="101">
        <f t="shared" si="17"/>
        <v>0</v>
      </c>
      <c r="U134" s="101">
        <f t="shared" si="20"/>
        <v>42</v>
      </c>
      <c r="V134" s="101">
        <f t="shared" si="18"/>
        <v>0</v>
      </c>
    </row>
    <row r="135" spans="1:22" ht="57" customHeight="1" x14ac:dyDescent="0.2">
      <c r="A135" s="4" t="str">
        <f>Questions!$A135</f>
        <v>DCTR-01</v>
      </c>
      <c r="B135" s="4" t="str">
        <f t="shared" si="14"/>
        <v>DCTR</v>
      </c>
      <c r="C135" s="4" t="str">
        <f>VLOOKUP($A135,Questions!$A$3:$L$333,2,0)&amp;""</f>
        <v>Select your hosting option.</v>
      </c>
      <c r="D135" s="4" t="str">
        <f>VLOOKUP($A135,Questions!$A$3:$L$333,11,0)&amp;""</f>
        <v/>
      </c>
      <c r="E135" s="4" t="str">
        <f>VLOOKUP($A135,Questions!$A$3:$L$333,12,0)&amp;""</f>
        <v>Not scored</v>
      </c>
      <c r="F135" s="4" t="str">
        <f>VLOOKUP($A135,'Institution Evaluation'!$A$56:$K$345,3,0)&amp;""</f>
        <v>AWS</v>
      </c>
      <c r="G135" s="4" t="str">
        <f>VLOOKUP($A135,'Institution Evaluation'!$A$56:$K$345,7,0)&amp;""</f>
        <v>Not scored</v>
      </c>
      <c r="H135" s="4" t="str">
        <f>VLOOKUP($A135,'Institution Evaluation'!$A$56:$K$345,8,0)&amp;""</f>
        <v/>
      </c>
      <c r="I135" s="4" t="str">
        <f>VLOOKUP($A135,'Institution Evaluation'!$A$56:$K$345,9,0)&amp;""</f>
        <v/>
      </c>
      <c r="J135" s="4" t="str">
        <f>VLOOKUP($A135,'Institution Evaluation'!$A$56:$K$345,10,0)&amp;""</f>
        <v/>
      </c>
      <c r="K135" s="4">
        <f>IF($I135='Auto Responses'!$J$11,20,IF($I135='Auto Responses'!$J$13,5,10))</f>
        <v>10</v>
      </c>
      <c r="L135" s="101" t="str">
        <f>IF(OR($E135='Auto Responses'!$L$13,$F135=""),'Auto Responses'!$J$5,IF(AND($D135='Auto Responses'!$J$27,$H135=""),'Auto Responses'!$J$5,IF(AND($D135='Auto Responses'!$J$27,$H135='Auto Responses'!$J$7),1,IF(AND($D135='Auto Responses'!$J$27,$H135='Auto Responses'!$J$8),0,IF(OR(AND($F135=$G135,$H135=""),$H135='Auto Responses'!$J$7),1,0)))))</f>
        <v>N/A</v>
      </c>
      <c r="M135" s="4" t="str">
        <f>VLOOKUP($A135,'Institution Evaluation'!$A$56:$K$345,11,0)&amp;""</f>
        <v>FALSE</v>
      </c>
      <c r="N135" s="4">
        <f>IF($J135='Auto Responses'!$J$11,1,IF(AND($J135="",$I135='Auto Responses'!$J$11),1,0))</f>
        <v>0</v>
      </c>
      <c r="O135" s="101" t="str">
        <f>IF(OR($F$17='Auto Responses'!$J$4,$E135='Auto Responses'!$L$13,$F135="",$F135='Auto Responses'!$J$5),'Auto Responses'!$J$5,IF($J135="",$K135,IF($J135='Auto Responses'!$J$13,5,IF($J135='Auto Responses'!$J$12,10,IF($J135='Auto Responses'!$J$11,20,0)))))</f>
        <v>N/A</v>
      </c>
      <c r="P135" s="101" t="str">
        <f>IF(OR($O135='Auto Responses'!$J$5,$L135='Auto Responses'!$J$5),'Auto Responses'!$J$5,$O135*$L135)</f>
        <v>N/A</v>
      </c>
      <c r="Q135" s="101">
        <f t="shared" si="15"/>
        <v>0</v>
      </c>
      <c r="R135" s="101">
        <f t="shared" si="19"/>
        <v>0</v>
      </c>
      <c r="S135" s="101">
        <f t="shared" si="16"/>
        <v>0</v>
      </c>
      <c r="T135" s="101">
        <f t="shared" si="17"/>
        <v>0</v>
      </c>
      <c r="U135" s="101">
        <f t="shared" si="20"/>
        <v>42</v>
      </c>
      <c r="V135" s="101">
        <f t="shared" si="18"/>
        <v>0</v>
      </c>
    </row>
    <row r="136" spans="1:22" ht="57" customHeight="1" x14ac:dyDescent="0.2">
      <c r="A136" s="4" t="str">
        <f>Questions!$A136</f>
        <v>DCTR-02</v>
      </c>
      <c r="B136" s="4" t="str">
        <f t="shared" si="14"/>
        <v>DCTR</v>
      </c>
      <c r="C136" s="4" t="str">
        <f>VLOOKUP($A136,Questions!$A$3:$L$333,2,0)&amp;""</f>
        <v>Is a SOC 2 Type 2 report available for the hosting environment?</v>
      </c>
      <c r="D136" s="4" t="str">
        <f>VLOOKUP($A136,Questions!$A$3:$L$333,11,0)&amp;""</f>
        <v/>
      </c>
      <c r="E136" s="4" t="str">
        <f>VLOOKUP($A136,Questions!$A$3:$L$333,12,0)&amp;""</f>
        <v>Infrastructure</v>
      </c>
      <c r="F136" s="4" t="str">
        <f>VLOOKUP($A136,'Institution Evaluation'!$A$56:$K$345,3,0)&amp;""</f>
        <v>Yes</v>
      </c>
      <c r="G136" s="4" t="str">
        <f>VLOOKUP($A136,'Institution Evaluation'!$A$56:$K$345,7,0)&amp;""</f>
        <v>Yes</v>
      </c>
      <c r="H136" s="4" t="str">
        <f>VLOOKUP($A136,'Institution Evaluation'!$A$56:$K$345,8,0)&amp;""</f>
        <v/>
      </c>
      <c r="I136" s="4" t="str">
        <f>VLOOKUP($A136,'Institution Evaluation'!$A$56:$K$345,9,0)&amp;""</f>
        <v>Standard Importance</v>
      </c>
      <c r="J136" s="4" t="str">
        <f>VLOOKUP($A136,'Institution Evaluation'!$A$56:$K$345,10,0)&amp;""</f>
        <v/>
      </c>
      <c r="K136" s="4">
        <f>IF($I136='Auto Responses'!$J$11,20,IF($I136='Auto Responses'!$J$13,5,10))</f>
        <v>10</v>
      </c>
      <c r="L136" s="101">
        <f>IF(OR($E136='Auto Responses'!$L$13,$F136=""),'Auto Responses'!$J$5,IF(AND($D136='Auto Responses'!$J$27,$H136=""),'Auto Responses'!$J$5,IF(AND($D136='Auto Responses'!$J$27,$H136='Auto Responses'!$J$7),1,IF(AND($D136='Auto Responses'!$J$27,$H136='Auto Responses'!$J$8),0,IF(OR(AND($F136=$G136,$H136=""),$H136='Auto Responses'!$J$7),1,0)))))</f>
        <v>1</v>
      </c>
      <c r="M136" s="4" t="str">
        <f>VLOOKUP($A136,'Institution Evaluation'!$A$56:$K$345,11,0)&amp;""</f>
        <v>FALSE</v>
      </c>
      <c r="N136" s="4">
        <f>IF($J136='Auto Responses'!$J$11,1,IF(AND($J136="",$I136='Auto Responses'!$J$11),1,0))</f>
        <v>0</v>
      </c>
      <c r="O136" s="101">
        <f>IF(OR($F$17='Auto Responses'!$J$4,$E136='Auto Responses'!$L$13,$F136="",$F136='Auto Responses'!$J$5),'Auto Responses'!$J$5,IF($J136="",$K136,IF($J136='Auto Responses'!$J$13,5,IF($J136='Auto Responses'!$J$12,10,IF($J136='Auto Responses'!$J$11,20,0)))))</f>
        <v>10</v>
      </c>
      <c r="P136" s="101">
        <f>IF(OR($O136='Auto Responses'!$J$5,$L136='Auto Responses'!$J$5),'Auto Responses'!$J$5,$O136*$L136)</f>
        <v>10</v>
      </c>
      <c r="Q136" s="101">
        <f t="shared" si="15"/>
        <v>0</v>
      </c>
      <c r="R136" s="101">
        <f t="shared" si="19"/>
        <v>0</v>
      </c>
      <c r="S136" s="101">
        <f t="shared" si="16"/>
        <v>0</v>
      </c>
      <c r="T136" s="101">
        <f t="shared" si="17"/>
        <v>0</v>
      </c>
      <c r="U136" s="101">
        <f t="shared" si="20"/>
        <v>42</v>
      </c>
      <c r="V136" s="101">
        <f t="shared" si="18"/>
        <v>0</v>
      </c>
    </row>
    <row r="137" spans="1:22" ht="57" customHeight="1" x14ac:dyDescent="0.2">
      <c r="A137" s="4" t="str">
        <f>Questions!$A137</f>
        <v>DCTR-03</v>
      </c>
      <c r="B137" s="4" t="str">
        <f t="shared" si="14"/>
        <v>DCTR</v>
      </c>
      <c r="C137" s="4" t="str">
        <f>VLOOKUP($A137,Questions!$A$3:$L$333,2,0)&amp;""</f>
        <v>Are you generally able to accommodate storing each institution's data within its geographic region?</v>
      </c>
      <c r="D137" s="4" t="str">
        <f>VLOOKUP($A137,Questions!$A$3:$L$333,11,0)&amp;""</f>
        <v/>
      </c>
      <c r="E137" s="4" t="str">
        <f>VLOOKUP($A137,Questions!$A$3:$L$333,12,0)&amp;""</f>
        <v>Infrastructure</v>
      </c>
      <c r="F137" s="4" t="str">
        <f>VLOOKUP($A137,'Institution Evaluation'!$A$56:$K$345,3,0)&amp;""</f>
        <v>Yes</v>
      </c>
      <c r="G137" s="4" t="str">
        <f>VLOOKUP($A137,'Institution Evaluation'!$A$56:$K$345,7,0)&amp;""</f>
        <v>Yes</v>
      </c>
      <c r="H137" s="4" t="str">
        <f>VLOOKUP($A137,'Institution Evaluation'!$A$56:$K$345,8,0)&amp;""</f>
        <v/>
      </c>
      <c r="I137" s="4" t="str">
        <f>VLOOKUP($A137,'Institution Evaluation'!$A$56:$K$345,9,0)&amp;""</f>
        <v>Standard Importance</v>
      </c>
      <c r="J137" s="4" t="str">
        <f>VLOOKUP($A137,'Institution Evaluation'!$A$56:$K$345,10,0)&amp;""</f>
        <v/>
      </c>
      <c r="K137" s="4">
        <f>IF($I137='Auto Responses'!$J$11,20,IF($I137='Auto Responses'!$J$13,5,10))</f>
        <v>10</v>
      </c>
      <c r="L137" s="101">
        <f>IF(OR($E137='Auto Responses'!$L$13,$F137=""),'Auto Responses'!$J$5,IF(AND($D137='Auto Responses'!$J$27,$H137=""),'Auto Responses'!$J$5,IF(AND($D137='Auto Responses'!$J$27,$H137='Auto Responses'!$J$7),1,IF(AND($D137='Auto Responses'!$J$27,$H137='Auto Responses'!$J$8),0,IF(OR(AND($F137=$G137,$H137=""),$H137='Auto Responses'!$J$7),1,0)))))</f>
        <v>1</v>
      </c>
      <c r="M137" s="4" t="str">
        <f>VLOOKUP($A137,'Institution Evaluation'!$A$56:$K$345,11,0)&amp;""</f>
        <v>FALSE</v>
      </c>
      <c r="N137" s="4">
        <f>IF($J137='Auto Responses'!$J$11,1,IF(AND($J137="",$I137='Auto Responses'!$J$11),1,0))</f>
        <v>0</v>
      </c>
      <c r="O137" s="101">
        <f>IF(OR($F$17='Auto Responses'!$J$4,$E137='Auto Responses'!$L$13,$F137="",$F137='Auto Responses'!$J$5),'Auto Responses'!$J$5,IF($J137="",$K137,IF($J137='Auto Responses'!$J$13,5,IF($J137='Auto Responses'!$J$12,10,IF($J137='Auto Responses'!$J$11,20,0)))))</f>
        <v>10</v>
      </c>
      <c r="P137" s="101">
        <f>IF(OR($O137='Auto Responses'!$J$5,$L137='Auto Responses'!$J$5),'Auto Responses'!$J$5,$O137*$L137)</f>
        <v>10</v>
      </c>
      <c r="Q137" s="101">
        <f t="shared" si="15"/>
        <v>0</v>
      </c>
      <c r="R137" s="101">
        <f t="shared" si="19"/>
        <v>0</v>
      </c>
      <c r="S137" s="101">
        <f t="shared" si="16"/>
        <v>0</v>
      </c>
      <c r="T137" s="101">
        <f t="shared" si="17"/>
        <v>0</v>
      </c>
      <c r="U137" s="101">
        <f t="shared" si="20"/>
        <v>42</v>
      </c>
      <c r="V137" s="101">
        <f t="shared" si="18"/>
        <v>0</v>
      </c>
    </row>
    <row r="138" spans="1:22" ht="57" customHeight="1" x14ac:dyDescent="0.2">
      <c r="A138" s="4" t="str">
        <f>Questions!$A138</f>
        <v>DCTR-04</v>
      </c>
      <c r="B138" s="4" t="str">
        <f t="shared" si="14"/>
        <v>DCTR</v>
      </c>
      <c r="C138" s="4" t="str">
        <f>VLOOKUP($A138,Questions!$A$3:$L$333,2,0)&amp;""</f>
        <v>Are the data centers staffed 24 hours a day, seven days a week (i.e., 24 x 7 x 365)?</v>
      </c>
      <c r="D138" s="4" t="str">
        <f>VLOOKUP($A138,Questions!$A$3:$L$333,11,0)&amp;""</f>
        <v/>
      </c>
      <c r="E138" s="4" t="str">
        <f>VLOOKUP($A138,Questions!$A$3:$L$333,12,0)&amp;""</f>
        <v>Infrastructure</v>
      </c>
      <c r="F138" s="4" t="str">
        <f>VLOOKUP($A138,'Institution Evaluation'!$A$56:$K$345,3,0)&amp;""</f>
        <v>Yes</v>
      </c>
      <c r="G138" s="4" t="str">
        <f>VLOOKUP($A138,'Institution Evaluation'!$A$56:$K$345,7,0)&amp;""</f>
        <v>Yes</v>
      </c>
      <c r="H138" s="4" t="str">
        <f>VLOOKUP($A138,'Institution Evaluation'!$A$56:$K$345,8,0)&amp;""</f>
        <v/>
      </c>
      <c r="I138" s="4" t="str">
        <f>VLOOKUP($A138,'Institution Evaluation'!$A$56:$K$345,9,0)&amp;""</f>
        <v>Standard Importance</v>
      </c>
      <c r="J138" s="4" t="str">
        <f>VLOOKUP($A138,'Institution Evaluation'!$A$56:$K$345,10,0)&amp;""</f>
        <v/>
      </c>
      <c r="K138" s="4">
        <f>IF($I138='Auto Responses'!$J$11,20,IF($I138='Auto Responses'!$J$13,5,10))</f>
        <v>10</v>
      </c>
      <c r="L138" s="101">
        <f>IF(OR($E138='Auto Responses'!$L$13,$F138=""),'Auto Responses'!$J$5,IF(AND($D138='Auto Responses'!$J$27,$H138=""),'Auto Responses'!$J$5,IF(AND($D138='Auto Responses'!$J$27,$H138='Auto Responses'!$J$7),1,IF(AND($D138='Auto Responses'!$J$27,$H138='Auto Responses'!$J$8),0,IF(OR(AND($F138=$G138,$H138=""),$H138='Auto Responses'!$J$7),1,0)))))</f>
        <v>1</v>
      </c>
      <c r="M138" s="4" t="str">
        <f>VLOOKUP($A138,'Institution Evaluation'!$A$56:$K$345,11,0)&amp;""</f>
        <v>FALSE</v>
      </c>
      <c r="N138" s="4">
        <f>IF($J138='Auto Responses'!$J$11,1,IF(AND($J138="",$I138='Auto Responses'!$J$11),1,0))</f>
        <v>0</v>
      </c>
      <c r="O138" s="101">
        <f>IF(OR($F$17='Auto Responses'!$J$4,$E138='Auto Responses'!$L$13,$F138="",$F138='Auto Responses'!$J$5),'Auto Responses'!$J$5,IF($J138="",$K138,IF($J138='Auto Responses'!$J$13,5,IF($J138='Auto Responses'!$J$12,10,IF($J138='Auto Responses'!$J$11,20,0)))))</f>
        <v>10</v>
      </c>
      <c r="P138" s="101">
        <f>IF(OR($O138='Auto Responses'!$J$5,$L138='Auto Responses'!$J$5),'Auto Responses'!$J$5,$O138*$L138)</f>
        <v>10</v>
      </c>
      <c r="Q138" s="101">
        <f t="shared" si="15"/>
        <v>0</v>
      </c>
      <c r="R138" s="101">
        <f t="shared" si="19"/>
        <v>0</v>
      </c>
      <c r="S138" s="101">
        <f t="shared" si="16"/>
        <v>0</v>
      </c>
      <c r="T138" s="101">
        <f t="shared" si="17"/>
        <v>0</v>
      </c>
      <c r="U138" s="101">
        <f t="shared" si="20"/>
        <v>42</v>
      </c>
      <c r="V138" s="101">
        <f t="shared" si="18"/>
        <v>0</v>
      </c>
    </row>
    <row r="139" spans="1:22" ht="57" customHeight="1" x14ac:dyDescent="0.2">
      <c r="A139" s="4" t="str">
        <f>Questions!$A139</f>
        <v>DCTR-05</v>
      </c>
      <c r="B139" s="4" t="str">
        <f t="shared" si="14"/>
        <v>DCTR</v>
      </c>
      <c r="C139" s="4" t="str">
        <f>VLOOKUP($A139,Questions!$A$3:$L$333,2,0)&amp;""</f>
        <v>Are your servers separated from other companies via a physical barrier, such as a cage or hard walls?</v>
      </c>
      <c r="D139" s="4" t="str">
        <f>VLOOKUP($A139,Questions!$A$3:$L$333,11,0)&amp;""</f>
        <v/>
      </c>
      <c r="E139" s="4" t="str">
        <f>VLOOKUP($A139,Questions!$A$3:$L$333,12,0)&amp;""</f>
        <v>Infrastructure</v>
      </c>
      <c r="F139" s="4" t="str">
        <f>VLOOKUP($A139,'Institution Evaluation'!$A$56:$K$345,3,0)&amp;""</f>
        <v>N/A</v>
      </c>
      <c r="G139" s="4" t="str">
        <f>VLOOKUP($A139,'Institution Evaluation'!$A$56:$K$345,7,0)&amp;""</f>
        <v>Yes</v>
      </c>
      <c r="H139" s="4" t="str">
        <f>VLOOKUP($A139,'Institution Evaluation'!$A$56:$K$345,8,0)&amp;""</f>
        <v/>
      </c>
      <c r="I139" s="4" t="str">
        <f>VLOOKUP($A139,'Institution Evaluation'!$A$56:$K$345,9,0)&amp;""</f>
        <v>Standard Importance</v>
      </c>
      <c r="J139" s="4" t="str">
        <f>VLOOKUP($A139,'Institution Evaluation'!$A$56:$K$345,10,0)&amp;""</f>
        <v/>
      </c>
      <c r="K139" s="4">
        <f>IF($I139='Auto Responses'!$J$11,20,IF($I139='Auto Responses'!$J$13,5,10))</f>
        <v>10</v>
      </c>
      <c r="L139" s="101">
        <f>IF(OR($E139='Auto Responses'!$L$13,$F139=""),'Auto Responses'!$J$5,IF(AND($D139='Auto Responses'!$J$27,$H139=""),'Auto Responses'!$J$5,IF(AND($D139='Auto Responses'!$J$27,$H139='Auto Responses'!$J$7),1,IF(AND($D139='Auto Responses'!$J$27,$H139='Auto Responses'!$J$8),0,IF(OR(AND($F139=$G139,$H139=""),$H139='Auto Responses'!$J$7),1,0)))))</f>
        <v>0</v>
      </c>
      <c r="M139" s="4" t="str">
        <f>VLOOKUP($A139,'Institution Evaluation'!$A$56:$K$345,11,0)&amp;""</f>
        <v>FALSE</v>
      </c>
      <c r="N139" s="4">
        <f>IF($J139='Auto Responses'!$J$11,1,IF(AND($J139="",$I139='Auto Responses'!$J$11),1,0))</f>
        <v>0</v>
      </c>
      <c r="O139" s="101" t="str">
        <f>IF(OR($F$17='Auto Responses'!$J$4,$E139='Auto Responses'!$L$13,$F139="",$F139='Auto Responses'!$J$5),'Auto Responses'!$J$5,IF($J139="",$K139,IF($J139='Auto Responses'!$J$13,5,IF($J139='Auto Responses'!$J$12,10,IF($J139='Auto Responses'!$J$11,20,0)))))</f>
        <v>N/A</v>
      </c>
      <c r="P139" s="101" t="str">
        <f>IF(OR($O139='Auto Responses'!$J$5,$L139='Auto Responses'!$J$5),'Auto Responses'!$J$5,$O139*$L139)</f>
        <v>N/A</v>
      </c>
      <c r="Q139" s="101">
        <f t="shared" si="15"/>
        <v>0</v>
      </c>
      <c r="R139" s="101">
        <f t="shared" si="19"/>
        <v>0</v>
      </c>
      <c r="S139" s="101">
        <f t="shared" si="16"/>
        <v>0</v>
      </c>
      <c r="T139" s="101">
        <f t="shared" si="17"/>
        <v>0</v>
      </c>
      <c r="U139" s="101">
        <f t="shared" si="20"/>
        <v>42</v>
      </c>
      <c r="V139" s="101">
        <f t="shared" si="18"/>
        <v>0</v>
      </c>
    </row>
    <row r="140" spans="1:22" ht="57" customHeight="1" x14ac:dyDescent="0.2">
      <c r="A140" s="4" t="str">
        <f>Questions!$A140</f>
        <v>DCTR-06</v>
      </c>
      <c r="B140" s="4" t="str">
        <f t="shared" si="14"/>
        <v>DCTR</v>
      </c>
      <c r="C140" s="4" t="str">
        <f>VLOOKUP($A140,Questions!$A$3:$L$333,2,0)&amp;""</f>
        <v>Does a physical barrier fully enclose the physical space, preventing unauthorized physical contact with any of your devices?*</v>
      </c>
      <c r="D140" s="4" t="str">
        <f>VLOOKUP($A140,Questions!$A$3:$L$333,11,0)&amp;""</f>
        <v/>
      </c>
      <c r="E140" s="4" t="str">
        <f>VLOOKUP($A140,Questions!$A$3:$L$333,12,0)&amp;""</f>
        <v>Infrastructure</v>
      </c>
      <c r="F140" s="4" t="str">
        <f>VLOOKUP($A140,'Institution Evaluation'!$A$56:$K$345,3,0)&amp;""</f>
        <v>N/A</v>
      </c>
      <c r="G140" s="4" t="str">
        <f>VLOOKUP($A140,'Institution Evaluation'!$A$56:$K$345,7,0)&amp;""</f>
        <v>Yes</v>
      </c>
      <c r="H140" s="4" t="str">
        <f>VLOOKUP($A140,'Institution Evaluation'!$A$56:$K$345,8,0)&amp;""</f>
        <v/>
      </c>
      <c r="I140" s="4" t="str">
        <f>VLOOKUP($A140,'Institution Evaluation'!$A$56:$K$345,9,0)&amp;""</f>
        <v>Critical Importance</v>
      </c>
      <c r="J140" s="4" t="str">
        <f>VLOOKUP($A140,'Institution Evaluation'!$A$56:$K$345,10,0)&amp;""</f>
        <v/>
      </c>
      <c r="K140" s="4">
        <f>IF($I140='Auto Responses'!$J$11,20,IF($I140='Auto Responses'!$J$13,5,10))</f>
        <v>20</v>
      </c>
      <c r="L140" s="101">
        <f>IF(OR($E140='Auto Responses'!$L$13,$F140=""),'Auto Responses'!$J$5,IF(AND($D140='Auto Responses'!$J$27,$H140=""),'Auto Responses'!$J$5,IF(AND($D140='Auto Responses'!$J$27,$H140='Auto Responses'!$J$7),1,IF(AND($D140='Auto Responses'!$J$27,$H140='Auto Responses'!$J$8),0,IF(OR(AND($F140=$G140,$H140=""),$H140='Auto Responses'!$J$7),1,0)))))</f>
        <v>0</v>
      </c>
      <c r="M140" s="4" t="str">
        <f>VLOOKUP($A140,'Institution Evaluation'!$A$56:$K$345,11,0)&amp;""</f>
        <v>FALSE</v>
      </c>
      <c r="N140" s="4">
        <f>IF($J140='Auto Responses'!$J$11,1,IF(AND($J140="",$I140='Auto Responses'!$J$11),1,0))</f>
        <v>1</v>
      </c>
      <c r="O140" s="101" t="str">
        <f>IF(OR($F$17='Auto Responses'!$J$4,$E140='Auto Responses'!$L$13,$F140="",$F140='Auto Responses'!$J$5),'Auto Responses'!$J$5,IF($J140="",$K140,IF($J140='Auto Responses'!$J$13,5,IF($J140='Auto Responses'!$J$12,10,IF($J140='Auto Responses'!$J$11,20,0)))))</f>
        <v>N/A</v>
      </c>
      <c r="P140" s="101" t="str">
        <f>IF(OR($O140='Auto Responses'!$J$5,$L140='Auto Responses'!$J$5),'Auto Responses'!$J$5,$O140*$L140)</f>
        <v>N/A</v>
      </c>
      <c r="Q140" s="101">
        <f t="shared" si="15"/>
        <v>0</v>
      </c>
      <c r="R140" s="101">
        <f t="shared" si="19"/>
        <v>0</v>
      </c>
      <c r="S140" s="101">
        <f t="shared" si="16"/>
        <v>0</v>
      </c>
      <c r="T140" s="101">
        <f t="shared" si="17"/>
        <v>1</v>
      </c>
      <c r="U140" s="101">
        <f t="shared" si="20"/>
        <v>43</v>
      </c>
      <c r="V140" s="101">
        <f t="shared" si="18"/>
        <v>43</v>
      </c>
    </row>
    <row r="141" spans="1:22" ht="57" customHeight="1" x14ac:dyDescent="0.2">
      <c r="A141" s="4" t="str">
        <f>Questions!$A141</f>
        <v>DCTR-07</v>
      </c>
      <c r="B141" s="4" t="str">
        <f t="shared" si="14"/>
        <v>DCTR</v>
      </c>
      <c r="C141" s="4" t="str">
        <f>VLOOKUP($A141,Questions!$A$3:$L$333,2,0)&amp;""</f>
        <v>Are your primary and secondary data centers geographically diverse?</v>
      </c>
      <c r="D141" s="4" t="str">
        <f>VLOOKUP($A141,Questions!$A$3:$L$333,11,0)&amp;""</f>
        <v/>
      </c>
      <c r="E141" s="4" t="str">
        <f>VLOOKUP($A141,Questions!$A$3:$L$333,12,0)&amp;""</f>
        <v>Infrastructure</v>
      </c>
      <c r="F141" s="4" t="str">
        <f>VLOOKUP($A141,'Institution Evaluation'!$A$56:$K$345,3,0)&amp;""</f>
        <v>Yes</v>
      </c>
      <c r="G141" s="4" t="str">
        <f>VLOOKUP($A141,'Institution Evaluation'!$A$56:$K$345,7,0)&amp;""</f>
        <v>Yes</v>
      </c>
      <c r="H141" s="4" t="str">
        <f>VLOOKUP($A141,'Institution Evaluation'!$A$56:$K$345,8,0)&amp;""</f>
        <v/>
      </c>
      <c r="I141" s="4" t="str">
        <f>VLOOKUP($A141,'Institution Evaluation'!$A$56:$K$345,9,0)&amp;""</f>
        <v>Standard Importance</v>
      </c>
      <c r="J141" s="4" t="str">
        <f>VLOOKUP($A141,'Institution Evaluation'!$A$56:$K$345,10,0)&amp;""</f>
        <v/>
      </c>
      <c r="K141" s="4">
        <f>IF($I141='Auto Responses'!$J$11,20,IF($I141='Auto Responses'!$J$13,5,10))</f>
        <v>10</v>
      </c>
      <c r="L141" s="101">
        <f>IF(OR($E141='Auto Responses'!$L$13,$F141=""),'Auto Responses'!$J$5,IF(AND($D141='Auto Responses'!$J$27,$H141=""),'Auto Responses'!$J$5,IF(AND($D141='Auto Responses'!$J$27,$H141='Auto Responses'!$J$7),1,IF(AND($D141='Auto Responses'!$J$27,$H141='Auto Responses'!$J$8),0,IF(OR(AND($F141=$G141,$H141=""),$H141='Auto Responses'!$J$7),1,0)))))</f>
        <v>1</v>
      </c>
      <c r="M141" s="4" t="str">
        <f>VLOOKUP($A141,'Institution Evaluation'!$A$56:$K$345,11,0)&amp;""</f>
        <v>FALSE</v>
      </c>
      <c r="N141" s="4">
        <f>IF($J141='Auto Responses'!$J$11,1,IF(AND($J141="",$I141='Auto Responses'!$J$11),1,0))</f>
        <v>0</v>
      </c>
      <c r="O141" s="101">
        <f>IF(OR($F$17='Auto Responses'!$J$4,$E141='Auto Responses'!$L$13,$F141="",$F141='Auto Responses'!$J$5),'Auto Responses'!$J$5,IF($J141="",$K141,IF($J141='Auto Responses'!$J$13,5,IF($J141='Auto Responses'!$J$12,10,IF($J141='Auto Responses'!$J$11,20,0)))))</f>
        <v>10</v>
      </c>
      <c r="P141" s="101">
        <f>IF(OR($O141='Auto Responses'!$J$5,$L141='Auto Responses'!$J$5),'Auto Responses'!$J$5,$O141*$L141)</f>
        <v>10</v>
      </c>
      <c r="Q141" s="101">
        <f t="shared" si="15"/>
        <v>0</v>
      </c>
      <c r="R141" s="101">
        <f t="shared" si="19"/>
        <v>0</v>
      </c>
      <c r="S141" s="101">
        <f t="shared" si="16"/>
        <v>0</v>
      </c>
      <c r="T141" s="101">
        <f t="shared" si="17"/>
        <v>0</v>
      </c>
      <c r="U141" s="101">
        <f t="shared" si="20"/>
        <v>43</v>
      </c>
      <c r="V141" s="101">
        <f t="shared" si="18"/>
        <v>0</v>
      </c>
    </row>
    <row r="142" spans="1:22" ht="57" customHeight="1" x14ac:dyDescent="0.2">
      <c r="A142" s="4" t="str">
        <f>Questions!$A142</f>
        <v>DCTR-08</v>
      </c>
      <c r="B142" s="4" t="str">
        <f t="shared" si="14"/>
        <v>DCTR</v>
      </c>
      <c r="C142" s="4" t="str">
        <f>VLOOKUP($A142,Questions!$A$3:$L$333,2,0)&amp;""</f>
        <v>Is the service hosted in a high-availability environment?</v>
      </c>
      <c r="D142" s="4" t="str">
        <f>VLOOKUP($A142,Questions!$A$3:$L$333,11,0)&amp;""</f>
        <v/>
      </c>
      <c r="E142" s="4" t="str">
        <f>VLOOKUP($A142,Questions!$A$3:$L$333,12,0)&amp;""</f>
        <v>Infrastructure</v>
      </c>
      <c r="F142" s="4" t="str">
        <f>VLOOKUP($A142,'Institution Evaluation'!$A$56:$K$345,3,0)&amp;""</f>
        <v>Yes</v>
      </c>
      <c r="G142" s="4" t="str">
        <f>VLOOKUP($A142,'Institution Evaluation'!$A$56:$K$345,7,0)&amp;""</f>
        <v>Yes</v>
      </c>
      <c r="H142" s="4" t="str">
        <f>VLOOKUP($A142,'Institution Evaluation'!$A$56:$K$345,8,0)&amp;""</f>
        <v/>
      </c>
      <c r="I142" s="4" t="str">
        <f>VLOOKUP($A142,'Institution Evaluation'!$A$56:$K$345,9,0)&amp;""</f>
        <v>Standard Importance</v>
      </c>
      <c r="J142" s="4" t="str">
        <f>VLOOKUP($A142,'Institution Evaluation'!$A$56:$K$345,10,0)&amp;""</f>
        <v/>
      </c>
      <c r="K142" s="4">
        <f>IF($I142='Auto Responses'!$J$11,20,IF($I142='Auto Responses'!$J$13,5,10))</f>
        <v>10</v>
      </c>
      <c r="L142" s="101">
        <f>IF(OR($E142='Auto Responses'!$L$13,$F142=""),'Auto Responses'!$J$5,IF(AND($D142='Auto Responses'!$J$27,$H142=""),'Auto Responses'!$J$5,IF(AND($D142='Auto Responses'!$J$27,$H142='Auto Responses'!$J$7),1,IF(AND($D142='Auto Responses'!$J$27,$H142='Auto Responses'!$J$8),0,IF(OR(AND($F142=$G142,$H142=""),$H142='Auto Responses'!$J$7),1,0)))))</f>
        <v>1</v>
      </c>
      <c r="M142" s="4" t="str">
        <f>VLOOKUP($A142,'Institution Evaluation'!$A$56:$K$345,11,0)&amp;""</f>
        <v>FALSE</v>
      </c>
      <c r="N142" s="4">
        <f>IF($J142='Auto Responses'!$J$11,1,IF(AND($J142="",$I142='Auto Responses'!$J$11),1,0))</f>
        <v>0</v>
      </c>
      <c r="O142" s="101">
        <f>IF(OR($F$17='Auto Responses'!$J$4,$E142='Auto Responses'!$L$13,$F142="",$F142='Auto Responses'!$J$5),'Auto Responses'!$J$5,IF($J142="",$K142,IF($J142='Auto Responses'!$J$13,5,IF($J142='Auto Responses'!$J$12,10,IF($J142='Auto Responses'!$J$11,20,0)))))</f>
        <v>10</v>
      </c>
      <c r="P142" s="101">
        <f>IF(OR($O142='Auto Responses'!$J$5,$L142='Auto Responses'!$J$5),'Auto Responses'!$J$5,$O142*$L142)</f>
        <v>10</v>
      </c>
      <c r="Q142" s="101">
        <f t="shared" si="15"/>
        <v>0</v>
      </c>
      <c r="R142" s="101">
        <f t="shared" si="19"/>
        <v>0</v>
      </c>
      <c r="S142" s="101">
        <f t="shared" si="16"/>
        <v>0</v>
      </c>
      <c r="T142" s="101">
        <f t="shared" si="17"/>
        <v>0</v>
      </c>
      <c r="U142" s="101">
        <f t="shared" si="20"/>
        <v>43</v>
      </c>
      <c r="V142" s="101">
        <f t="shared" si="18"/>
        <v>0</v>
      </c>
    </row>
    <row r="143" spans="1:22" ht="57" customHeight="1" x14ac:dyDescent="0.2">
      <c r="A143" s="4" t="str">
        <f>Questions!$A143</f>
        <v>DCTR-09</v>
      </c>
      <c r="B143" s="4" t="str">
        <f t="shared" si="14"/>
        <v>DCTR</v>
      </c>
      <c r="C143" s="4" t="str">
        <f>VLOOKUP($A143,Questions!$A$3:$L$333,2,0)&amp;""</f>
        <v>Is redundant power available for all data centers where institutional data will reside?</v>
      </c>
      <c r="D143" s="4" t="str">
        <f>VLOOKUP($A143,Questions!$A$3:$L$333,11,0)&amp;""</f>
        <v/>
      </c>
      <c r="E143" s="4" t="str">
        <f>VLOOKUP($A143,Questions!$A$3:$L$333,12,0)&amp;""</f>
        <v>Infrastructure</v>
      </c>
      <c r="F143" s="4" t="str">
        <f>VLOOKUP($A143,'Institution Evaluation'!$A$56:$K$345,3,0)&amp;""</f>
        <v>Yes</v>
      </c>
      <c r="G143" s="4" t="str">
        <f>VLOOKUP($A143,'Institution Evaluation'!$A$56:$K$345,7,0)&amp;""</f>
        <v>Yes</v>
      </c>
      <c r="H143" s="4" t="str">
        <f>VLOOKUP($A143,'Institution Evaluation'!$A$56:$K$345,8,0)&amp;""</f>
        <v/>
      </c>
      <c r="I143" s="4" t="str">
        <f>VLOOKUP($A143,'Institution Evaluation'!$A$56:$K$345,9,0)&amp;""</f>
        <v>Standard Importance</v>
      </c>
      <c r="J143" s="4" t="str">
        <f>VLOOKUP($A143,'Institution Evaluation'!$A$56:$K$345,10,0)&amp;""</f>
        <v/>
      </c>
      <c r="K143" s="4">
        <f>IF($I143='Auto Responses'!$J$11,20,IF($I143='Auto Responses'!$J$13,5,10))</f>
        <v>10</v>
      </c>
      <c r="L143" s="101">
        <f>IF(OR($E143='Auto Responses'!$L$13,$F143=""),'Auto Responses'!$J$5,IF(AND($D143='Auto Responses'!$J$27,$H143=""),'Auto Responses'!$J$5,IF(AND($D143='Auto Responses'!$J$27,$H143='Auto Responses'!$J$7),1,IF(AND($D143='Auto Responses'!$J$27,$H143='Auto Responses'!$J$8),0,IF(OR(AND($F143=$G143,$H143=""),$H143='Auto Responses'!$J$7),1,0)))))</f>
        <v>1</v>
      </c>
      <c r="M143" s="4" t="str">
        <f>VLOOKUP($A143,'Institution Evaluation'!$A$56:$K$345,11,0)&amp;""</f>
        <v>FALSE</v>
      </c>
      <c r="N143" s="4">
        <f>IF($J143='Auto Responses'!$J$11,1,IF(AND($J143="",$I143='Auto Responses'!$J$11),1,0))</f>
        <v>0</v>
      </c>
      <c r="O143" s="101">
        <f>IF(OR($F$17='Auto Responses'!$J$4,$E143='Auto Responses'!$L$13,$F143="",$F143='Auto Responses'!$J$5),'Auto Responses'!$J$5,IF($J143="",$K143,IF($J143='Auto Responses'!$J$13,5,IF($J143='Auto Responses'!$J$12,10,IF($J143='Auto Responses'!$J$11,20,0)))))</f>
        <v>10</v>
      </c>
      <c r="P143" s="101">
        <f>IF(OR($O143='Auto Responses'!$J$5,$L143='Auto Responses'!$J$5),'Auto Responses'!$J$5,$O143*$L143)</f>
        <v>10</v>
      </c>
      <c r="Q143" s="101">
        <f t="shared" si="15"/>
        <v>0</v>
      </c>
      <c r="R143" s="101">
        <f t="shared" si="19"/>
        <v>0</v>
      </c>
      <c r="S143" s="101">
        <f t="shared" si="16"/>
        <v>0</v>
      </c>
      <c r="T143" s="101">
        <f t="shared" si="17"/>
        <v>0</v>
      </c>
      <c r="U143" s="101">
        <f t="shared" si="20"/>
        <v>43</v>
      </c>
      <c r="V143" s="101">
        <f t="shared" si="18"/>
        <v>0</v>
      </c>
    </row>
    <row r="144" spans="1:22" ht="57" customHeight="1" x14ac:dyDescent="0.2">
      <c r="A144" s="4" t="str">
        <f>Questions!$A144</f>
        <v>DCTR-10</v>
      </c>
      <c r="B144" s="4" t="str">
        <f t="shared" si="14"/>
        <v>DCTR</v>
      </c>
      <c r="C144" s="4" t="str">
        <f>VLOOKUP($A144,Questions!$A$3:$L$333,2,0)&amp;""</f>
        <v>Are redundant power strategies tested?*</v>
      </c>
      <c r="D144" s="4" t="str">
        <f>VLOOKUP($A144,Questions!$A$3:$L$333,11,0)&amp;""</f>
        <v/>
      </c>
      <c r="E144" s="4" t="str">
        <f>VLOOKUP($A144,Questions!$A$3:$L$333,12,0)&amp;""</f>
        <v>Infrastructure</v>
      </c>
      <c r="F144" s="4" t="str">
        <f>VLOOKUP($A144,'Institution Evaluation'!$A$56:$K$345,3,0)&amp;""</f>
        <v>N/A</v>
      </c>
      <c r="G144" s="4" t="str">
        <f>VLOOKUP($A144,'Institution Evaluation'!$A$56:$K$345,7,0)&amp;""</f>
        <v>Yes</v>
      </c>
      <c r="H144" s="4" t="str">
        <f>VLOOKUP($A144,'Institution Evaluation'!$A$56:$K$345,8,0)&amp;""</f>
        <v/>
      </c>
      <c r="I144" s="4" t="str">
        <f>VLOOKUP($A144,'Institution Evaluation'!$A$56:$K$345,9,0)&amp;""</f>
        <v>Critical Importance</v>
      </c>
      <c r="J144" s="4" t="str">
        <f>VLOOKUP($A144,'Institution Evaluation'!$A$56:$K$345,10,0)&amp;""</f>
        <v/>
      </c>
      <c r="K144" s="4">
        <f>IF($I144='Auto Responses'!$J$11,20,IF($I144='Auto Responses'!$J$13,5,10))</f>
        <v>20</v>
      </c>
      <c r="L144" s="101">
        <f>IF(OR($E144='Auto Responses'!$L$13,$F144=""),'Auto Responses'!$J$5,IF(AND($D144='Auto Responses'!$J$27,$H144=""),'Auto Responses'!$J$5,IF(AND($D144='Auto Responses'!$J$27,$H144='Auto Responses'!$J$7),1,IF(AND($D144='Auto Responses'!$J$27,$H144='Auto Responses'!$J$8),0,IF(OR(AND($F144=$G144,$H144=""),$H144='Auto Responses'!$J$7),1,0)))))</f>
        <v>0</v>
      </c>
      <c r="M144" s="4" t="str">
        <f>VLOOKUP($A144,'Institution Evaluation'!$A$56:$K$345,11,0)&amp;""</f>
        <v>FALSE</v>
      </c>
      <c r="N144" s="4">
        <f>IF($J144='Auto Responses'!$J$11,1,IF(AND($J144="",$I144='Auto Responses'!$J$11),1,0))</f>
        <v>1</v>
      </c>
      <c r="O144" s="101" t="str">
        <f>IF(OR($F$17='Auto Responses'!$J$4,$E144='Auto Responses'!$L$13,$F144="",$F144='Auto Responses'!$J$5),'Auto Responses'!$J$5,IF($J144="",$K144,IF($J144='Auto Responses'!$J$13,5,IF($J144='Auto Responses'!$J$12,10,IF($J144='Auto Responses'!$J$11,20,0)))))</f>
        <v>N/A</v>
      </c>
      <c r="P144" s="101" t="str">
        <f>IF(OR($O144='Auto Responses'!$J$5,$L144='Auto Responses'!$J$5),'Auto Responses'!$J$5,$O144*$L144)</f>
        <v>N/A</v>
      </c>
      <c r="Q144" s="101">
        <f t="shared" si="15"/>
        <v>0</v>
      </c>
      <c r="R144" s="101">
        <f t="shared" si="19"/>
        <v>0</v>
      </c>
      <c r="S144" s="101">
        <f t="shared" si="16"/>
        <v>0</v>
      </c>
      <c r="T144" s="101">
        <f t="shared" si="17"/>
        <v>1</v>
      </c>
      <c r="U144" s="101">
        <f t="shared" si="20"/>
        <v>44</v>
      </c>
      <c r="V144" s="101">
        <f t="shared" si="18"/>
        <v>44</v>
      </c>
    </row>
    <row r="145" spans="1:22" ht="57" customHeight="1" x14ac:dyDescent="0.2">
      <c r="A145" s="4" t="str">
        <f>Questions!$A145</f>
        <v>DCTR-11</v>
      </c>
      <c r="B145" s="4" t="str">
        <f t="shared" si="14"/>
        <v>DCTR</v>
      </c>
      <c r="C145" s="4" t="str">
        <f>VLOOKUP($A145,Questions!$A$3:$L$333,2,0)&amp;""</f>
        <v>Does the center where the data will reside have cooling and fire-suppression systems that are active and regularly tested?</v>
      </c>
      <c r="D145" s="4" t="str">
        <f>VLOOKUP($A145,Questions!$A$3:$L$333,11,0)&amp;""</f>
        <v/>
      </c>
      <c r="E145" s="4" t="str">
        <f>VLOOKUP($A145,Questions!$A$3:$L$333,12,0)&amp;""</f>
        <v>Infrastructure</v>
      </c>
      <c r="F145" s="4" t="str">
        <f>VLOOKUP($A145,'Institution Evaluation'!$A$56:$K$345,3,0)&amp;""</f>
        <v>Yes</v>
      </c>
      <c r="G145" s="4" t="str">
        <f>VLOOKUP($A145,'Institution Evaluation'!$A$56:$K$345,7,0)&amp;""</f>
        <v>Yes</v>
      </c>
      <c r="H145" s="4" t="str">
        <f>VLOOKUP($A145,'Institution Evaluation'!$A$56:$K$345,8,0)&amp;""</f>
        <v/>
      </c>
      <c r="I145" s="4" t="str">
        <f>VLOOKUP($A145,'Institution Evaluation'!$A$56:$K$345,9,0)&amp;""</f>
        <v>Standard Importance</v>
      </c>
      <c r="J145" s="4" t="str">
        <f>VLOOKUP($A145,'Institution Evaluation'!$A$56:$K$345,10,0)&amp;""</f>
        <v/>
      </c>
      <c r="K145" s="4">
        <f>IF($I145='Auto Responses'!$J$11,20,IF($I145='Auto Responses'!$J$13,5,10))</f>
        <v>10</v>
      </c>
      <c r="L145" s="101">
        <f>IF(OR($E145='Auto Responses'!$L$13,$F145=""),'Auto Responses'!$J$5,IF(AND($D145='Auto Responses'!$J$27,$H145=""),'Auto Responses'!$J$5,IF(AND($D145='Auto Responses'!$J$27,$H145='Auto Responses'!$J$7),1,IF(AND($D145='Auto Responses'!$J$27,$H145='Auto Responses'!$J$8),0,IF(OR(AND($F145=$G145,$H145=""),$H145='Auto Responses'!$J$7),1,0)))))</f>
        <v>1</v>
      </c>
      <c r="M145" s="4" t="str">
        <f>VLOOKUP($A145,'Institution Evaluation'!$A$56:$K$345,11,0)&amp;""</f>
        <v>FALSE</v>
      </c>
      <c r="N145" s="4">
        <f>IF($J145='Auto Responses'!$J$11,1,IF(AND($J145="",$I145='Auto Responses'!$J$11),1,0))</f>
        <v>0</v>
      </c>
      <c r="O145" s="101">
        <f>IF(OR($F$17='Auto Responses'!$J$4,$E145='Auto Responses'!$L$13,$F145="",$F145='Auto Responses'!$J$5),'Auto Responses'!$J$5,IF($J145="",$K145,IF($J145='Auto Responses'!$J$13,5,IF($J145='Auto Responses'!$J$12,10,IF($J145='Auto Responses'!$J$11,20,0)))))</f>
        <v>10</v>
      </c>
      <c r="P145" s="101">
        <f>IF(OR($O145='Auto Responses'!$J$5,$L145='Auto Responses'!$J$5),'Auto Responses'!$J$5,$O145*$L145)</f>
        <v>10</v>
      </c>
      <c r="Q145" s="101">
        <f t="shared" si="15"/>
        <v>0</v>
      </c>
      <c r="R145" s="101">
        <f t="shared" si="19"/>
        <v>0</v>
      </c>
      <c r="S145" s="101">
        <f t="shared" si="16"/>
        <v>0</v>
      </c>
      <c r="T145" s="101">
        <f t="shared" si="17"/>
        <v>0</v>
      </c>
      <c r="U145" s="101">
        <f t="shared" si="20"/>
        <v>44</v>
      </c>
      <c r="V145" s="101">
        <f t="shared" si="18"/>
        <v>0</v>
      </c>
    </row>
    <row r="146" spans="1:22" ht="57" customHeight="1" x14ac:dyDescent="0.2">
      <c r="A146" s="4" t="str">
        <f>Questions!$A146</f>
        <v>DCTR-12</v>
      </c>
      <c r="B146" s="4" t="str">
        <f t="shared" si="14"/>
        <v>DCTR</v>
      </c>
      <c r="C146" s="4" t="str">
        <f>VLOOKUP($A146,Questions!$A$3:$L$333,2,0)&amp;""</f>
        <v>Do you have Internet Service Provider (ISP) redundancy?</v>
      </c>
      <c r="D146" s="4" t="str">
        <f>VLOOKUP($A146,Questions!$A$3:$L$333,11,0)&amp;""</f>
        <v/>
      </c>
      <c r="E146" s="4" t="str">
        <f>VLOOKUP($A146,Questions!$A$3:$L$333,12,0)&amp;""</f>
        <v>Infrastructure</v>
      </c>
      <c r="F146" s="4" t="str">
        <f>VLOOKUP($A146,'Institution Evaluation'!$A$56:$K$345,3,0)&amp;""</f>
        <v>Yes</v>
      </c>
      <c r="G146" s="4" t="str">
        <f>VLOOKUP($A146,'Institution Evaluation'!$A$56:$K$345,7,0)&amp;""</f>
        <v>Yes</v>
      </c>
      <c r="H146" s="4" t="str">
        <f>VLOOKUP($A146,'Institution Evaluation'!$A$56:$K$345,8,0)&amp;""</f>
        <v/>
      </c>
      <c r="I146" s="4" t="str">
        <f>VLOOKUP($A146,'Institution Evaluation'!$A$56:$K$345,9,0)&amp;""</f>
        <v>Standard Importance</v>
      </c>
      <c r="J146" s="4" t="str">
        <f>VLOOKUP($A146,'Institution Evaluation'!$A$56:$K$345,10,0)&amp;""</f>
        <v/>
      </c>
      <c r="K146" s="4">
        <f>IF($I146='Auto Responses'!$J$11,20,IF($I146='Auto Responses'!$J$13,5,10))</f>
        <v>10</v>
      </c>
      <c r="L146" s="101">
        <f>IF(OR($E146='Auto Responses'!$L$13,$F146=""),'Auto Responses'!$J$5,IF(AND($D146='Auto Responses'!$J$27,$H146=""),'Auto Responses'!$J$5,IF(AND($D146='Auto Responses'!$J$27,$H146='Auto Responses'!$J$7),1,IF(AND($D146='Auto Responses'!$J$27,$H146='Auto Responses'!$J$8),0,IF(OR(AND($F146=$G146,$H146=""),$H146='Auto Responses'!$J$7),1,0)))))</f>
        <v>1</v>
      </c>
      <c r="M146" s="4" t="str">
        <f>VLOOKUP($A146,'Institution Evaluation'!$A$56:$K$345,11,0)&amp;""</f>
        <v>FALSE</v>
      </c>
      <c r="N146" s="4">
        <f>IF($J146='Auto Responses'!$J$11,1,IF(AND($J146="",$I146='Auto Responses'!$J$11),1,0))</f>
        <v>0</v>
      </c>
      <c r="O146" s="101">
        <f>IF(OR($F$17='Auto Responses'!$J$4,$E146='Auto Responses'!$L$13,$F146="",$F146='Auto Responses'!$J$5),'Auto Responses'!$J$5,IF($J146="",$K146,IF($J146='Auto Responses'!$J$13,5,IF($J146='Auto Responses'!$J$12,10,IF($J146='Auto Responses'!$J$11,20,0)))))</f>
        <v>10</v>
      </c>
      <c r="P146" s="101">
        <f>IF(OR($O146='Auto Responses'!$J$5,$L146='Auto Responses'!$J$5),'Auto Responses'!$J$5,$O146*$L146)</f>
        <v>10</v>
      </c>
      <c r="Q146" s="101">
        <f t="shared" si="15"/>
        <v>0</v>
      </c>
      <c r="R146" s="101">
        <f t="shared" si="19"/>
        <v>0</v>
      </c>
      <c r="S146" s="101">
        <f t="shared" si="16"/>
        <v>0</v>
      </c>
      <c r="T146" s="101">
        <f t="shared" si="17"/>
        <v>0</v>
      </c>
      <c r="U146" s="101">
        <f t="shared" si="20"/>
        <v>44</v>
      </c>
      <c r="V146" s="101">
        <f t="shared" si="18"/>
        <v>0</v>
      </c>
    </row>
    <row r="147" spans="1:22" ht="57" customHeight="1" x14ac:dyDescent="0.2">
      <c r="A147" s="4" t="str">
        <f>Questions!$A147</f>
        <v>DCTR-13</v>
      </c>
      <c r="B147" s="4" t="str">
        <f t="shared" si="14"/>
        <v>DCTR</v>
      </c>
      <c r="C147" s="4" t="str">
        <f>VLOOKUP($A147,Questions!$A$3:$L$333,2,0)&amp;""</f>
        <v>Does every data center where the institution's data will reside have multiple telephone company or network provider entrances to the facility?</v>
      </c>
      <c r="D147" s="4" t="str">
        <f>VLOOKUP($A147,Questions!$A$3:$L$333,11,0)&amp;""</f>
        <v/>
      </c>
      <c r="E147" s="4" t="str">
        <f>VLOOKUP($A147,Questions!$A$3:$L$333,12,0)&amp;""</f>
        <v>Infrastructure</v>
      </c>
      <c r="F147" s="4" t="str">
        <f>VLOOKUP($A147,'Institution Evaluation'!$A$56:$K$345,3,0)&amp;""</f>
        <v>N/A</v>
      </c>
      <c r="G147" s="4" t="str">
        <f>VLOOKUP($A147,'Institution Evaluation'!$A$56:$K$345,7,0)&amp;""</f>
        <v>Yes</v>
      </c>
      <c r="H147" s="4" t="str">
        <f>VLOOKUP($A147,'Institution Evaluation'!$A$56:$K$345,8,0)&amp;""</f>
        <v/>
      </c>
      <c r="I147" s="4" t="str">
        <f>VLOOKUP($A147,'Institution Evaluation'!$A$56:$K$345,9,0)&amp;""</f>
        <v>Standard Importance</v>
      </c>
      <c r="J147" s="4" t="str">
        <f>VLOOKUP($A147,'Institution Evaluation'!$A$56:$K$345,10,0)&amp;""</f>
        <v/>
      </c>
      <c r="K147" s="4">
        <f>IF($I147='Auto Responses'!$J$11,20,IF($I147='Auto Responses'!$J$13,5,10))</f>
        <v>10</v>
      </c>
      <c r="L147" s="101">
        <f>IF(OR($E147='Auto Responses'!$L$13,$F147=""),'Auto Responses'!$J$5,IF(AND($D147='Auto Responses'!$J$27,$H147=""),'Auto Responses'!$J$5,IF(AND($D147='Auto Responses'!$J$27,$H147='Auto Responses'!$J$7),1,IF(AND($D147='Auto Responses'!$J$27,$H147='Auto Responses'!$J$8),0,IF(OR(AND($F147=$G147,$H147=""),$H147='Auto Responses'!$J$7),1,0)))))</f>
        <v>0</v>
      </c>
      <c r="M147" s="4" t="str">
        <f>VLOOKUP($A147,'Institution Evaluation'!$A$56:$K$345,11,0)&amp;""</f>
        <v>FALSE</v>
      </c>
      <c r="N147" s="4">
        <f>IF($J147='Auto Responses'!$J$11,1,IF(AND($J147="",$I147='Auto Responses'!$J$11),1,0))</f>
        <v>0</v>
      </c>
      <c r="O147" s="101" t="str">
        <f>IF(OR($F$17='Auto Responses'!$J$4,$E147='Auto Responses'!$L$13,$F147="",$F147='Auto Responses'!$J$5),'Auto Responses'!$J$5,IF($J147="",$K147,IF($J147='Auto Responses'!$J$13,5,IF($J147='Auto Responses'!$J$12,10,IF($J147='Auto Responses'!$J$11,20,0)))))</f>
        <v>N/A</v>
      </c>
      <c r="P147" s="101" t="str">
        <f>IF(OR($O147='Auto Responses'!$J$5,$L147='Auto Responses'!$J$5),'Auto Responses'!$J$5,$O147*$L147)</f>
        <v>N/A</v>
      </c>
      <c r="Q147" s="101">
        <f t="shared" si="15"/>
        <v>0</v>
      </c>
      <c r="R147" s="101">
        <f t="shared" si="19"/>
        <v>0</v>
      </c>
      <c r="S147" s="101">
        <f t="shared" si="16"/>
        <v>0</v>
      </c>
      <c r="T147" s="101">
        <f t="shared" si="17"/>
        <v>0</v>
      </c>
      <c r="U147" s="101">
        <f t="shared" si="20"/>
        <v>44</v>
      </c>
      <c r="V147" s="101">
        <f t="shared" si="18"/>
        <v>0</v>
      </c>
    </row>
    <row r="148" spans="1:22" ht="57" customHeight="1" x14ac:dyDescent="0.2">
      <c r="A148" s="4" t="str">
        <f>Questions!$A148</f>
        <v>DCTR-14</v>
      </c>
      <c r="B148" s="4" t="str">
        <f t="shared" si="14"/>
        <v>DCTR</v>
      </c>
      <c r="C148" s="4" t="str">
        <f>VLOOKUP($A148,Questions!$A$3:$L$333,2,0)&amp;""</f>
        <v>Do you require multifactor authentication for all administrative accounts in your environment?</v>
      </c>
      <c r="D148" s="4" t="str">
        <f>VLOOKUP($A148,Questions!$A$3:$L$333,11,0)&amp;""</f>
        <v/>
      </c>
      <c r="E148" s="4" t="str">
        <f>VLOOKUP($A148,Questions!$A$3:$L$333,12,0)&amp;""</f>
        <v>Infrastructure</v>
      </c>
      <c r="F148" s="4" t="str">
        <f>VLOOKUP($A148,'Institution Evaluation'!$A$56:$K$345,3,0)&amp;""</f>
        <v>Yes</v>
      </c>
      <c r="G148" s="4" t="str">
        <f>VLOOKUP($A148,'Institution Evaluation'!$A$56:$K$345,7,0)&amp;""</f>
        <v>Yes</v>
      </c>
      <c r="H148" s="4" t="str">
        <f>VLOOKUP($A148,'Institution Evaluation'!$A$56:$K$345,8,0)&amp;""</f>
        <v/>
      </c>
      <c r="I148" s="4" t="str">
        <f>VLOOKUP($A148,'Institution Evaluation'!$A$56:$K$345,9,0)&amp;""</f>
        <v>Standard Importance</v>
      </c>
      <c r="J148" s="4" t="str">
        <f>VLOOKUP($A148,'Institution Evaluation'!$A$56:$K$345,10,0)&amp;""</f>
        <v/>
      </c>
      <c r="K148" s="4">
        <f>IF($I148='Auto Responses'!$J$11,20,IF($I148='Auto Responses'!$J$13,5,10))</f>
        <v>10</v>
      </c>
      <c r="L148" s="101">
        <f>IF(OR($E148='Auto Responses'!$L$13,$F148=""),'Auto Responses'!$J$5,IF(AND($D148='Auto Responses'!$J$27,$H148=""),'Auto Responses'!$J$5,IF(AND($D148='Auto Responses'!$J$27,$H148='Auto Responses'!$J$7),1,IF(AND($D148='Auto Responses'!$J$27,$H148='Auto Responses'!$J$8),0,IF(OR(AND($F148=$G148,$H148=""),$H148='Auto Responses'!$J$7),1,0)))))</f>
        <v>1</v>
      </c>
      <c r="M148" s="4" t="str">
        <f>VLOOKUP($A148,'Institution Evaluation'!$A$56:$K$345,11,0)&amp;""</f>
        <v>FALSE</v>
      </c>
      <c r="N148" s="4">
        <f>IF($J148='Auto Responses'!$J$11,1,IF(AND($J148="",$I148='Auto Responses'!$J$11),1,0))</f>
        <v>0</v>
      </c>
      <c r="O148" s="101">
        <f>IF(OR($F$17='Auto Responses'!$J$4,$E148='Auto Responses'!$L$13,$F148="",$F148='Auto Responses'!$J$5),'Auto Responses'!$J$5,IF($J148="",$K148,IF($J148='Auto Responses'!$J$13,5,IF($J148='Auto Responses'!$J$12,10,IF($J148='Auto Responses'!$J$11,20,0)))))</f>
        <v>10</v>
      </c>
      <c r="P148" s="101">
        <f>IF(OR($O148='Auto Responses'!$J$5,$L148='Auto Responses'!$J$5),'Auto Responses'!$J$5,$O148*$L148)</f>
        <v>10</v>
      </c>
      <c r="Q148" s="101">
        <f t="shared" si="15"/>
        <v>0</v>
      </c>
      <c r="R148" s="101">
        <f t="shared" si="19"/>
        <v>0</v>
      </c>
      <c r="S148" s="101">
        <f t="shared" si="16"/>
        <v>0</v>
      </c>
      <c r="T148" s="101">
        <f t="shared" si="17"/>
        <v>0</v>
      </c>
      <c r="U148" s="101">
        <f t="shared" si="20"/>
        <v>44</v>
      </c>
      <c r="V148" s="101">
        <f t="shared" si="18"/>
        <v>0</v>
      </c>
    </row>
    <row r="149" spans="1:22" ht="57" customHeight="1" x14ac:dyDescent="0.2">
      <c r="A149" s="4" t="str">
        <f>Questions!$A149</f>
        <v>DCTR-15</v>
      </c>
      <c r="B149" s="4" t="str">
        <f t="shared" si="14"/>
        <v>DCTR</v>
      </c>
      <c r="C149" s="4" t="str">
        <f>VLOOKUP($A149,Questions!$A$3:$L$333,2,0)&amp;""</f>
        <v>Are you using your cloud provider's available hardening tools or pre-hardened images?</v>
      </c>
      <c r="D149" s="4" t="str">
        <f>VLOOKUP($A149,Questions!$A$3:$L$333,11,0)&amp;""</f>
        <v/>
      </c>
      <c r="E149" s="4" t="str">
        <f>VLOOKUP($A149,Questions!$A$3:$L$333,12,0)&amp;""</f>
        <v>Infrastructure</v>
      </c>
      <c r="F149" s="4" t="str">
        <f>VLOOKUP($A149,'Institution Evaluation'!$A$56:$K$345,3,0)&amp;""</f>
        <v>Yes</v>
      </c>
      <c r="G149" s="4" t="str">
        <f>VLOOKUP($A149,'Institution Evaluation'!$A$56:$K$345,7,0)&amp;""</f>
        <v>Yes</v>
      </c>
      <c r="H149" s="4" t="str">
        <f>VLOOKUP($A149,'Institution Evaluation'!$A$56:$K$345,8,0)&amp;""</f>
        <v/>
      </c>
      <c r="I149" s="4" t="str">
        <f>VLOOKUP($A149,'Institution Evaluation'!$A$56:$K$345,9,0)&amp;""</f>
        <v>Standard Importance</v>
      </c>
      <c r="J149" s="4" t="str">
        <f>VLOOKUP($A149,'Institution Evaluation'!$A$56:$K$345,10,0)&amp;""</f>
        <v/>
      </c>
      <c r="K149" s="4">
        <f>IF($I149='Auto Responses'!$J$11,20,IF($I149='Auto Responses'!$J$13,5,10))</f>
        <v>10</v>
      </c>
      <c r="L149" s="101">
        <f>IF(OR($E149='Auto Responses'!$L$13,$F149=""),'Auto Responses'!$J$5,IF(AND($D149='Auto Responses'!$J$27,$H149=""),'Auto Responses'!$J$5,IF(AND($D149='Auto Responses'!$J$27,$H149='Auto Responses'!$J$7),1,IF(AND($D149='Auto Responses'!$J$27,$H149='Auto Responses'!$J$8),0,IF(OR(AND($F149=$G149,$H149=""),$H149='Auto Responses'!$J$7),1,0)))))</f>
        <v>1</v>
      </c>
      <c r="M149" s="4" t="str">
        <f>VLOOKUP($A149,'Institution Evaluation'!$A$56:$K$345,11,0)&amp;""</f>
        <v>FALSE</v>
      </c>
      <c r="N149" s="4">
        <f>IF($J149='Auto Responses'!$J$11,1,IF(AND($J149="",$I149='Auto Responses'!$J$11),1,0))</f>
        <v>0</v>
      </c>
      <c r="O149" s="101">
        <f>IF(OR($F$17='Auto Responses'!$J$4,$E149='Auto Responses'!$L$13,$F149="",$F149='Auto Responses'!$J$5),'Auto Responses'!$J$5,IF($J149="",$K149,IF($J149='Auto Responses'!$J$13,5,IF($J149='Auto Responses'!$J$12,10,IF($J149='Auto Responses'!$J$11,20,0)))))</f>
        <v>10</v>
      </c>
      <c r="P149" s="101">
        <f>IF(OR($O149='Auto Responses'!$J$5,$L149='Auto Responses'!$J$5),'Auto Responses'!$J$5,$O149*$L149)</f>
        <v>10</v>
      </c>
      <c r="Q149" s="101">
        <f t="shared" si="15"/>
        <v>0</v>
      </c>
      <c r="R149" s="101">
        <f t="shared" si="19"/>
        <v>0</v>
      </c>
      <c r="S149" s="101">
        <f t="shared" si="16"/>
        <v>0</v>
      </c>
      <c r="T149" s="101">
        <f t="shared" si="17"/>
        <v>0</v>
      </c>
      <c r="U149" s="101">
        <f t="shared" si="20"/>
        <v>44</v>
      </c>
      <c r="V149" s="101">
        <f t="shared" si="18"/>
        <v>0</v>
      </c>
    </row>
    <row r="150" spans="1:22" ht="57" customHeight="1" x14ac:dyDescent="0.2">
      <c r="A150" s="4" t="str">
        <f>Questions!$A150</f>
        <v>DCTR-16</v>
      </c>
      <c r="B150" s="4" t="str">
        <f t="shared" si="14"/>
        <v>DCTR</v>
      </c>
      <c r="C150" s="4" t="str">
        <f>VLOOKUP($A150,Questions!$A$3:$L$333,2,0)&amp;""</f>
        <v>Does your cloud solution provider have access to your encryption keys?</v>
      </c>
      <c r="D150" s="4" t="str">
        <f>VLOOKUP($A150,Questions!$A$3:$L$333,11,0)&amp;""</f>
        <v/>
      </c>
      <c r="E150" s="4" t="str">
        <f>VLOOKUP($A150,Questions!$A$3:$L$333,12,0)&amp;""</f>
        <v>Infrastructure</v>
      </c>
      <c r="F150" s="4" t="str">
        <f>VLOOKUP($A150,'Institution Evaluation'!$A$56:$K$345,3,0)&amp;""</f>
        <v>No</v>
      </c>
      <c r="G150" s="4" t="str">
        <f>VLOOKUP($A150,'Institution Evaluation'!$A$56:$K$345,7,0)&amp;""</f>
        <v>No</v>
      </c>
      <c r="H150" s="4" t="str">
        <f>VLOOKUP($A150,'Institution Evaluation'!$A$56:$K$345,8,0)&amp;""</f>
        <v/>
      </c>
      <c r="I150" s="4" t="str">
        <f>VLOOKUP($A150,'Institution Evaluation'!$A$56:$K$345,9,0)&amp;""</f>
        <v>Standard Importance</v>
      </c>
      <c r="J150" s="4" t="str">
        <f>VLOOKUP($A150,'Institution Evaluation'!$A$56:$K$345,10,0)&amp;""</f>
        <v/>
      </c>
      <c r="K150" s="4">
        <f>IF($I150='Auto Responses'!$J$11,20,IF($I150='Auto Responses'!$J$13,5,10))</f>
        <v>10</v>
      </c>
      <c r="L150" s="101">
        <f>IF(OR($E150='Auto Responses'!$L$13,$F150=""),'Auto Responses'!$J$5,IF(AND($D150='Auto Responses'!$J$27,$H150=""),'Auto Responses'!$J$5,IF(AND($D150='Auto Responses'!$J$27,$H150='Auto Responses'!$J$7),1,IF(AND($D150='Auto Responses'!$J$27,$H150='Auto Responses'!$J$8),0,IF(OR(AND($F150=$G150,$H150=""),$H150='Auto Responses'!$J$7),1,0)))))</f>
        <v>1</v>
      </c>
      <c r="M150" s="4" t="str">
        <f>VLOOKUP($A150,'Institution Evaluation'!$A$56:$K$345,11,0)&amp;""</f>
        <v>FALSE</v>
      </c>
      <c r="N150" s="4">
        <f>IF($J150='Auto Responses'!$J$11,1,IF(AND($J150="",$I150='Auto Responses'!$J$11),1,0))</f>
        <v>0</v>
      </c>
      <c r="O150" s="101">
        <f>IF(OR($F$17='Auto Responses'!$J$4,$E150='Auto Responses'!$L$13,$F150="",$F150='Auto Responses'!$J$5),'Auto Responses'!$J$5,IF($J150="",$K150,IF($J150='Auto Responses'!$J$13,5,IF($J150='Auto Responses'!$J$12,10,IF($J150='Auto Responses'!$J$11,20,0)))))</f>
        <v>10</v>
      </c>
      <c r="P150" s="101">
        <f>IF(OR($O150='Auto Responses'!$J$5,$L150='Auto Responses'!$J$5),'Auto Responses'!$J$5,$O150*$L150)</f>
        <v>10</v>
      </c>
      <c r="Q150" s="101">
        <f t="shared" si="15"/>
        <v>0</v>
      </c>
      <c r="R150" s="101">
        <f t="shared" si="19"/>
        <v>0</v>
      </c>
      <c r="S150" s="101">
        <f t="shared" si="16"/>
        <v>0</v>
      </c>
      <c r="T150" s="101">
        <f t="shared" si="17"/>
        <v>0</v>
      </c>
      <c r="U150" s="101">
        <f t="shared" si="20"/>
        <v>44</v>
      </c>
      <c r="V150" s="101">
        <f t="shared" si="18"/>
        <v>0</v>
      </c>
    </row>
    <row r="151" spans="1:22" ht="57" customHeight="1" x14ac:dyDescent="0.2">
      <c r="A151" s="4" t="str">
        <f>Questions!$A151</f>
        <v>FIDP-01</v>
      </c>
      <c r="B151" s="4" t="str">
        <f t="shared" si="14"/>
        <v>FIDP</v>
      </c>
      <c r="C151" s="4" t="str">
        <f>VLOOKUP($A151,Questions!$A$3:$L$333,2,0)&amp;""</f>
        <v>Are you utilizing a stateful packet inspection (SPI) firewall?*</v>
      </c>
      <c r="D151" s="4" t="str">
        <f>VLOOKUP($A151,Questions!$A$3:$L$333,11,0)&amp;""</f>
        <v/>
      </c>
      <c r="E151" s="4" t="str">
        <f>VLOOKUP($A151,Questions!$A$3:$L$333,12,0)&amp;""</f>
        <v>Infrastructure</v>
      </c>
      <c r="F151" s="4" t="str">
        <f>VLOOKUP($A151,'Institution Evaluation'!$A$56:$K$345,3,0)&amp;""</f>
        <v>Yes</v>
      </c>
      <c r="G151" s="4" t="str">
        <f>VLOOKUP($A151,'Institution Evaluation'!$A$56:$K$345,7,0)&amp;""</f>
        <v>Yes</v>
      </c>
      <c r="H151" s="4" t="str">
        <f>VLOOKUP($A151,'Institution Evaluation'!$A$56:$K$345,8,0)&amp;""</f>
        <v/>
      </c>
      <c r="I151" s="4" t="str">
        <f>VLOOKUP($A151,'Institution Evaluation'!$A$56:$K$345,9,0)&amp;""</f>
        <v>Critical Importance</v>
      </c>
      <c r="J151" s="4" t="str">
        <f>VLOOKUP($A151,'Institution Evaluation'!$A$56:$K$345,10,0)&amp;""</f>
        <v/>
      </c>
      <c r="K151" s="4">
        <f>IF($I151='Auto Responses'!$J$11,20,IF($I151='Auto Responses'!$J$13,5,10))</f>
        <v>20</v>
      </c>
      <c r="L151" s="101">
        <f>IF($E151='Auto Responses'!$L$13, 'Auto Responses'!$J$5,IF(AND($D151='Auto Responses'!$J$27,$H151=""),'Auto Responses'!$J$5,IF(AND($D151='Auto Responses'!$J$27,$H151='Auto Responses'!$J$7),1,IF(AND($D151='Auto Responses'!$J$27,$H151='Auto Responses'!$J$8),0,IF(OR(AND($F151=$G151,$H151=""),$H151='Auto Responses'!$J$7),1,0)))))</f>
        <v>1</v>
      </c>
      <c r="M151" s="4" t="str">
        <f>VLOOKUP($A151,'Institution Evaluation'!$A$56:$K$345,11,0)&amp;""</f>
        <v>FALSE</v>
      </c>
      <c r="N151" s="4">
        <f>IF($J151='Auto Responses'!$J$11,1,IF(AND($J151="",$I151='Auto Responses'!$J$11),1,0))</f>
        <v>1</v>
      </c>
      <c r="O151" s="101">
        <f>IF(OR($F$17='Auto Responses'!$J$4,$E151='Auto Responses'!$L$13,$F151='Auto Responses'!$J$5),'Auto Responses'!$J$5,IF($J151="",$K151,IF($J151='Auto Responses'!$J$13,5,IF($J151='Auto Responses'!$J$12,10,IF($J151='Auto Responses'!$J$11,20,0)))))</f>
        <v>20</v>
      </c>
      <c r="P151" s="101">
        <f>IF(OR($O151='Auto Responses'!$J$5,$L151='Auto Responses'!$J$5),'Auto Responses'!$J$5,$O151*$L151)</f>
        <v>20</v>
      </c>
      <c r="Q151" s="101">
        <f t="shared" si="15"/>
        <v>0</v>
      </c>
      <c r="R151" s="101">
        <f t="shared" si="19"/>
        <v>0</v>
      </c>
      <c r="S151" s="101">
        <f t="shared" si="16"/>
        <v>0</v>
      </c>
      <c r="T151" s="101">
        <f t="shared" si="17"/>
        <v>1</v>
      </c>
      <c r="U151" s="101">
        <f t="shared" si="20"/>
        <v>45</v>
      </c>
      <c r="V151" s="101">
        <f t="shared" si="18"/>
        <v>45</v>
      </c>
    </row>
    <row r="152" spans="1:22" ht="57" customHeight="1" x14ac:dyDescent="0.2">
      <c r="A152" s="4" t="str">
        <f>Questions!$A152</f>
        <v>FIDP-02</v>
      </c>
      <c r="B152" s="4" t="str">
        <f t="shared" si="14"/>
        <v>FIDP</v>
      </c>
      <c r="C152" s="4" t="str">
        <f>VLOOKUP($A152,Questions!$A$3:$L$333,2,0)&amp;""</f>
        <v>Do you have a documented policy for firewall change requests?*</v>
      </c>
      <c r="D152" s="4" t="str">
        <f>VLOOKUP($A152,Questions!$A$3:$L$333,11,0)&amp;""</f>
        <v/>
      </c>
      <c r="E152" s="4" t="str">
        <f>VLOOKUP($A152,Questions!$A$3:$L$333,12,0)&amp;""</f>
        <v>Infrastructure</v>
      </c>
      <c r="F152" s="4" t="str">
        <f>VLOOKUP($A152,'Institution Evaluation'!$A$56:$K$345,3,0)&amp;""</f>
        <v>Yes</v>
      </c>
      <c r="G152" s="4" t="str">
        <f>VLOOKUP($A152,'Institution Evaluation'!$A$56:$K$345,7,0)&amp;""</f>
        <v>Yes</v>
      </c>
      <c r="H152" s="4" t="str">
        <f>VLOOKUP($A152,'Institution Evaluation'!$A$56:$K$345,8,0)&amp;""</f>
        <v/>
      </c>
      <c r="I152" s="4" t="str">
        <f>VLOOKUP($A152,'Institution Evaluation'!$A$56:$K$345,9,0)&amp;""</f>
        <v>Critical Importance</v>
      </c>
      <c r="J152" s="4" t="str">
        <f>VLOOKUP($A152,'Institution Evaluation'!$A$56:$K$345,10,0)&amp;""</f>
        <v/>
      </c>
      <c r="K152" s="4">
        <f>IF($I152='Auto Responses'!$J$11,20,IF($I152='Auto Responses'!$J$13,5,10))</f>
        <v>20</v>
      </c>
      <c r="L152" s="101">
        <f>IF($E152='Auto Responses'!$L$13, 'Auto Responses'!$J$5,IF(AND($D152='Auto Responses'!$J$27,$H152=""),'Auto Responses'!$J$5,IF(AND($D152='Auto Responses'!$J$27,$H152='Auto Responses'!$J$7),1,IF(AND($D152='Auto Responses'!$J$27,$H152='Auto Responses'!$J$8),0,IF(OR(AND($F152=$G152,$H152=""),$H152='Auto Responses'!$J$7),1,0)))))</f>
        <v>1</v>
      </c>
      <c r="M152" s="4" t="str">
        <f>VLOOKUP($A152,'Institution Evaluation'!$A$56:$K$345,11,0)&amp;""</f>
        <v>FALSE</v>
      </c>
      <c r="N152" s="4">
        <f>IF($J152='Auto Responses'!$J$11,1,IF(AND($J152="",$I152='Auto Responses'!$J$11),1,0))</f>
        <v>1</v>
      </c>
      <c r="O152" s="101">
        <f>IF(OR($F$17='Auto Responses'!$J$4,$E152='Auto Responses'!$L$13,$F152='Auto Responses'!$J$5),'Auto Responses'!$J$5,IF($J152="",$K152,IF($J152='Auto Responses'!$J$13,5,IF($J152='Auto Responses'!$J$12,10,IF($J152='Auto Responses'!$J$11,20,0)))))</f>
        <v>20</v>
      </c>
      <c r="P152" s="101">
        <f>IF(OR($O152='Auto Responses'!$J$5,$L152='Auto Responses'!$J$5),'Auto Responses'!$J$5,$O152*$L152)</f>
        <v>20</v>
      </c>
      <c r="Q152" s="101">
        <f t="shared" si="15"/>
        <v>0</v>
      </c>
      <c r="R152" s="101">
        <f t="shared" si="19"/>
        <v>0</v>
      </c>
      <c r="S152" s="101">
        <f t="shared" si="16"/>
        <v>0</v>
      </c>
      <c r="T152" s="101">
        <f t="shared" si="17"/>
        <v>1</v>
      </c>
      <c r="U152" s="101">
        <f t="shared" si="20"/>
        <v>46</v>
      </c>
      <c r="V152" s="101">
        <f t="shared" si="18"/>
        <v>46</v>
      </c>
    </row>
    <row r="153" spans="1:22" ht="57" customHeight="1" x14ac:dyDescent="0.2">
      <c r="A153" s="4" t="str">
        <f>Questions!$A153</f>
        <v>FIDP-03</v>
      </c>
      <c r="B153" s="4" t="str">
        <f t="shared" si="14"/>
        <v>FIDP</v>
      </c>
      <c r="C153" s="4" t="str">
        <f>VLOOKUP($A153,Questions!$A$3:$L$333,2,0)&amp;""</f>
        <v>Have you implemented an intrusion detection system (network-based)?*</v>
      </c>
      <c r="D153" s="4" t="str">
        <f>VLOOKUP($A153,Questions!$A$3:$L$333,11,0)&amp;""</f>
        <v/>
      </c>
      <c r="E153" s="4" t="str">
        <f>VLOOKUP($A153,Questions!$A$3:$L$333,12,0)&amp;""</f>
        <v>Infrastructure</v>
      </c>
      <c r="F153" s="4" t="str">
        <f>VLOOKUP($A153,'Institution Evaluation'!$A$56:$K$345,3,0)&amp;""</f>
        <v>Yes</v>
      </c>
      <c r="G153" s="4" t="str">
        <f>VLOOKUP($A153,'Institution Evaluation'!$A$56:$K$345,7,0)&amp;""</f>
        <v>Yes</v>
      </c>
      <c r="H153" s="4" t="str">
        <f>VLOOKUP($A153,'Institution Evaluation'!$A$56:$K$345,8,0)&amp;""</f>
        <v/>
      </c>
      <c r="I153" s="4" t="str">
        <f>VLOOKUP($A153,'Institution Evaluation'!$A$56:$K$345,9,0)&amp;""</f>
        <v>Critical Importance</v>
      </c>
      <c r="J153" s="4" t="str">
        <f>VLOOKUP($A153,'Institution Evaluation'!$A$56:$K$345,10,0)&amp;""</f>
        <v/>
      </c>
      <c r="K153" s="4">
        <f>IF($I153='Auto Responses'!$J$11,20,IF($I153='Auto Responses'!$J$13,5,10))</f>
        <v>20</v>
      </c>
      <c r="L153" s="101">
        <f>IF($E153='Auto Responses'!$L$13, 'Auto Responses'!$J$5,IF(AND($D153='Auto Responses'!$J$27,$H153=""),'Auto Responses'!$J$5,IF(AND($D153='Auto Responses'!$J$27,$H153='Auto Responses'!$J$7),1,IF(AND($D153='Auto Responses'!$J$27,$H153='Auto Responses'!$J$8),0,IF(OR(AND($F153=$G153,$H153=""),$H153='Auto Responses'!$J$7),1,0)))))</f>
        <v>1</v>
      </c>
      <c r="M153" s="4" t="str">
        <f>VLOOKUP($A153,'Institution Evaluation'!$A$56:$K$345,11,0)&amp;""</f>
        <v>FALSE</v>
      </c>
      <c r="N153" s="4">
        <f>IF($J153='Auto Responses'!$J$11,1,IF(AND($J153="",$I153='Auto Responses'!$J$11),1,0))</f>
        <v>1</v>
      </c>
      <c r="O153" s="101">
        <f>IF(OR($F$17='Auto Responses'!$J$4,$E153='Auto Responses'!$L$13,$F153='Auto Responses'!$J$5),'Auto Responses'!$J$5,IF($J153="",$K153,IF($J153='Auto Responses'!$J$13,5,IF($J153='Auto Responses'!$J$12,10,IF($J153='Auto Responses'!$J$11,20,0)))))</f>
        <v>20</v>
      </c>
      <c r="P153" s="101">
        <f>IF(OR($O153='Auto Responses'!$J$5,$L153='Auto Responses'!$J$5),'Auto Responses'!$J$5,$O153*$L153)</f>
        <v>20</v>
      </c>
      <c r="Q153" s="101">
        <f t="shared" si="15"/>
        <v>0</v>
      </c>
      <c r="R153" s="101">
        <f t="shared" si="19"/>
        <v>0</v>
      </c>
      <c r="S153" s="101">
        <f t="shared" si="16"/>
        <v>0</v>
      </c>
      <c r="T153" s="101">
        <f t="shared" si="17"/>
        <v>1</v>
      </c>
      <c r="U153" s="101">
        <f t="shared" si="20"/>
        <v>47</v>
      </c>
      <c r="V153" s="101">
        <f t="shared" si="18"/>
        <v>47</v>
      </c>
    </row>
    <row r="154" spans="1:22" ht="57" customHeight="1" x14ac:dyDescent="0.2">
      <c r="A154" s="4" t="str">
        <f>Questions!$A154</f>
        <v>FIDP-04</v>
      </c>
      <c r="B154" s="4" t="str">
        <f t="shared" si="14"/>
        <v>FIDP</v>
      </c>
      <c r="C154" s="4" t="str">
        <f>VLOOKUP($A154,Questions!$A$3:$L$333,2,0)&amp;""</f>
        <v>Do you employ host-based intrusion detection?*</v>
      </c>
      <c r="D154" s="4" t="str">
        <f>VLOOKUP($A154,Questions!$A$3:$L$333,11,0)&amp;""</f>
        <v/>
      </c>
      <c r="E154" s="4" t="str">
        <f>VLOOKUP($A154,Questions!$A$3:$L$333,12,0)&amp;""</f>
        <v>Infrastructure</v>
      </c>
      <c r="F154" s="4" t="str">
        <f>VLOOKUP($A154,'Institution Evaluation'!$A$56:$K$345,3,0)&amp;""</f>
        <v>Yes</v>
      </c>
      <c r="G154" s="4" t="str">
        <f>VLOOKUP($A154,'Institution Evaluation'!$A$56:$K$345,7,0)&amp;""</f>
        <v>Yes</v>
      </c>
      <c r="H154" s="4" t="str">
        <f>VLOOKUP($A154,'Institution Evaluation'!$A$56:$K$345,8,0)&amp;""</f>
        <v/>
      </c>
      <c r="I154" s="4" t="str">
        <f>VLOOKUP($A154,'Institution Evaluation'!$A$56:$K$345,9,0)&amp;""</f>
        <v>Critical Importance</v>
      </c>
      <c r="J154" s="4" t="str">
        <f>VLOOKUP($A154,'Institution Evaluation'!$A$56:$K$345,10,0)&amp;""</f>
        <v/>
      </c>
      <c r="K154" s="4">
        <f>IF($I154='Auto Responses'!$J$11,20,IF($I154='Auto Responses'!$J$13,5,10))</f>
        <v>20</v>
      </c>
      <c r="L154" s="101">
        <f>IF($E154='Auto Responses'!$L$13, 'Auto Responses'!$J$5,IF(AND($D154='Auto Responses'!$J$27,$H154=""),'Auto Responses'!$J$5,IF(AND($D154='Auto Responses'!$J$27,$H154='Auto Responses'!$J$7),1,IF(AND($D154='Auto Responses'!$J$27,$H154='Auto Responses'!$J$8),0,IF(OR(AND($F154=$G154,$H154=""),$H154='Auto Responses'!$J$7),1,0)))))</f>
        <v>1</v>
      </c>
      <c r="M154" s="4" t="str">
        <f>VLOOKUP($A154,'Institution Evaluation'!$A$56:$K$345,11,0)&amp;""</f>
        <v>FALSE</v>
      </c>
      <c r="N154" s="4">
        <f>IF($J154='Auto Responses'!$J$11,1,IF(AND($J154="",$I154='Auto Responses'!$J$11),1,0))</f>
        <v>1</v>
      </c>
      <c r="O154" s="101">
        <f>IF(OR($F$17='Auto Responses'!$J$4,$E154='Auto Responses'!$L$13,$F154='Auto Responses'!$J$5),'Auto Responses'!$J$5,IF($J154="",$K154,IF($J154='Auto Responses'!$J$13,5,IF($J154='Auto Responses'!$J$12,10,IF($J154='Auto Responses'!$J$11,20,0)))))</f>
        <v>20</v>
      </c>
      <c r="P154" s="101">
        <f>IF(OR($O154='Auto Responses'!$J$5,$L154='Auto Responses'!$J$5),'Auto Responses'!$J$5,$O154*$L154)</f>
        <v>20</v>
      </c>
      <c r="Q154" s="101">
        <f t="shared" si="15"/>
        <v>0</v>
      </c>
      <c r="R154" s="101">
        <f t="shared" si="19"/>
        <v>0</v>
      </c>
      <c r="S154" s="101">
        <f t="shared" si="16"/>
        <v>0</v>
      </c>
      <c r="T154" s="101">
        <f t="shared" si="17"/>
        <v>1</v>
      </c>
      <c r="U154" s="101">
        <f t="shared" si="20"/>
        <v>48</v>
      </c>
      <c r="V154" s="101">
        <f t="shared" si="18"/>
        <v>48</v>
      </c>
    </row>
    <row r="155" spans="1:22" ht="57" customHeight="1" x14ac:dyDescent="0.2">
      <c r="A155" s="4" t="str">
        <f>Questions!$A155</f>
        <v>FIDP-05</v>
      </c>
      <c r="B155" s="4" t="str">
        <f t="shared" si="14"/>
        <v>FIDP</v>
      </c>
      <c r="C155" s="4" t="str">
        <f>VLOOKUP($A155,Questions!$A$3:$L$333,2,0)&amp;""</f>
        <v>Are audit logs available for all changes to the network, firewall, IDS, and IPS systems?*</v>
      </c>
      <c r="D155" s="4" t="str">
        <f>VLOOKUP($A155,Questions!$A$3:$L$333,11,0)&amp;""</f>
        <v/>
      </c>
      <c r="E155" s="4" t="str">
        <f>VLOOKUP($A155,Questions!$A$3:$L$333,12,0)&amp;""</f>
        <v>Infrastructure</v>
      </c>
      <c r="F155" s="4" t="str">
        <f>VLOOKUP($A155,'Institution Evaluation'!$A$56:$K$345,3,0)&amp;""</f>
        <v>Yes</v>
      </c>
      <c r="G155" s="4" t="str">
        <f>VLOOKUP($A155,'Institution Evaluation'!$A$56:$K$345,7,0)&amp;""</f>
        <v>Yes</v>
      </c>
      <c r="H155" s="4" t="str">
        <f>VLOOKUP($A155,'Institution Evaluation'!$A$56:$K$345,8,0)&amp;""</f>
        <v/>
      </c>
      <c r="I155" s="4" t="str">
        <f>VLOOKUP($A155,'Institution Evaluation'!$A$56:$K$345,9,0)&amp;""</f>
        <v>Critical Importance</v>
      </c>
      <c r="J155" s="4" t="str">
        <f>VLOOKUP($A155,'Institution Evaluation'!$A$56:$K$345,10,0)&amp;""</f>
        <v/>
      </c>
      <c r="K155" s="4">
        <f>IF($I155='Auto Responses'!$J$11,20,IF($I155='Auto Responses'!$J$13,5,10))</f>
        <v>20</v>
      </c>
      <c r="L155" s="101">
        <f>IF($E155='Auto Responses'!$L$13, 'Auto Responses'!$J$5,IF(AND($D155='Auto Responses'!$J$27,$H155=""),'Auto Responses'!$J$5,IF(AND($D155='Auto Responses'!$J$27,$H155='Auto Responses'!$J$7),1,IF(AND($D155='Auto Responses'!$J$27,$H155='Auto Responses'!$J$8),0,IF(OR(AND($F155=$G155,$H155=""),$H155='Auto Responses'!$J$7),1,0)))))</f>
        <v>1</v>
      </c>
      <c r="M155" s="4" t="str">
        <f>VLOOKUP($A155,'Institution Evaluation'!$A$56:$K$345,11,0)&amp;""</f>
        <v>FALSE</v>
      </c>
      <c r="N155" s="4">
        <f>IF($J155='Auto Responses'!$J$11,1,IF(AND($J155="",$I155='Auto Responses'!$J$11),1,0))</f>
        <v>1</v>
      </c>
      <c r="O155" s="101">
        <f>IF(OR($F$17='Auto Responses'!$J$4,$E155='Auto Responses'!$L$13,$F155='Auto Responses'!$J$5),'Auto Responses'!$J$5,IF($J155="",$K155,IF($J155='Auto Responses'!$J$13,5,IF($J155='Auto Responses'!$J$12,10,IF($J155='Auto Responses'!$J$11,20,0)))))</f>
        <v>20</v>
      </c>
      <c r="P155" s="101">
        <f>IF(OR($O155='Auto Responses'!$J$5,$L155='Auto Responses'!$J$5),'Auto Responses'!$J$5,$O155*$L155)</f>
        <v>20</v>
      </c>
      <c r="Q155" s="101">
        <f t="shared" si="15"/>
        <v>0</v>
      </c>
      <c r="R155" s="101">
        <f t="shared" si="19"/>
        <v>0</v>
      </c>
      <c r="S155" s="101">
        <f t="shared" si="16"/>
        <v>0</v>
      </c>
      <c r="T155" s="101">
        <f t="shared" si="17"/>
        <v>1</v>
      </c>
      <c r="U155" s="101">
        <f t="shared" si="20"/>
        <v>49</v>
      </c>
      <c r="V155" s="101">
        <f t="shared" si="18"/>
        <v>49</v>
      </c>
    </row>
    <row r="156" spans="1:22" ht="57" customHeight="1" x14ac:dyDescent="0.2">
      <c r="A156" s="4" t="str">
        <f>Questions!$A156</f>
        <v>FIDP-06</v>
      </c>
      <c r="B156" s="4" t="str">
        <f t="shared" si="14"/>
        <v>FIDP</v>
      </c>
      <c r="C156" s="4" t="str">
        <f>VLOOKUP($A156,Questions!$A$3:$L$333,2,0)&amp;""</f>
        <v>Is authority for firewall change approval documented? Please list approver names or titles in Additional Info.</v>
      </c>
      <c r="D156" s="4" t="str">
        <f>VLOOKUP($A156,Questions!$A$3:$L$333,11,0)&amp;""</f>
        <v/>
      </c>
      <c r="E156" s="4" t="str">
        <f>VLOOKUP($A156,Questions!$A$3:$L$333,12,0)&amp;""</f>
        <v>Infrastructure</v>
      </c>
      <c r="F156" s="4" t="str">
        <f>VLOOKUP($A156,'Institution Evaluation'!$A$56:$K$345,3,0)&amp;""</f>
        <v>Yes</v>
      </c>
      <c r="G156" s="4" t="str">
        <f>VLOOKUP($A156,'Institution Evaluation'!$A$56:$K$345,7,0)&amp;""</f>
        <v>Yes</v>
      </c>
      <c r="H156" s="4" t="str">
        <f>VLOOKUP($A156,'Institution Evaluation'!$A$56:$K$345,8,0)&amp;""</f>
        <v/>
      </c>
      <c r="I156" s="4" t="str">
        <f>VLOOKUP($A156,'Institution Evaluation'!$A$56:$K$345,9,0)&amp;""</f>
        <v>Standard Importance</v>
      </c>
      <c r="J156" s="4" t="str">
        <f>VLOOKUP($A156,'Institution Evaluation'!$A$56:$K$345,10,0)&amp;""</f>
        <v/>
      </c>
      <c r="K156" s="4">
        <f>IF($I156='Auto Responses'!$J$11,20,IF($I156='Auto Responses'!$J$13,5,10))</f>
        <v>10</v>
      </c>
      <c r="L156" s="101">
        <f>IF($E156='Auto Responses'!$L$13, 'Auto Responses'!$J$5,IF(AND($D156='Auto Responses'!$J$27,$H156=""),'Auto Responses'!$J$5,IF(AND($D156='Auto Responses'!$J$27,$H156='Auto Responses'!$J$7),1,IF(AND($D156='Auto Responses'!$J$27,$H156='Auto Responses'!$J$8),0,IF(OR(AND($F156=$G156,$H156=""),$H156='Auto Responses'!$J$7),1,0)))))</f>
        <v>1</v>
      </c>
      <c r="M156" s="4" t="str">
        <f>VLOOKUP($A156,'Institution Evaluation'!$A$56:$K$345,11,0)&amp;""</f>
        <v>FALSE</v>
      </c>
      <c r="N156" s="4">
        <f>IF($J156='Auto Responses'!$J$11,1,IF(AND($J156="",$I156='Auto Responses'!$J$11),1,0))</f>
        <v>0</v>
      </c>
      <c r="O156" s="101">
        <f>IF(OR($F$17='Auto Responses'!$J$4,$E156='Auto Responses'!$L$13,$F156='Auto Responses'!$J$5),'Auto Responses'!$J$5,IF($J156="",$K156,IF($J156='Auto Responses'!$J$13,5,IF($J156='Auto Responses'!$J$12,10,IF($J156='Auto Responses'!$J$11,20,0)))))</f>
        <v>10</v>
      </c>
      <c r="P156" s="101">
        <f>IF(OR($O156='Auto Responses'!$J$5,$L156='Auto Responses'!$J$5),'Auto Responses'!$J$5,$O156*$L156)</f>
        <v>10</v>
      </c>
      <c r="Q156" s="101">
        <f t="shared" si="15"/>
        <v>0</v>
      </c>
      <c r="R156" s="101">
        <f t="shared" si="19"/>
        <v>0</v>
      </c>
      <c r="S156" s="101">
        <f t="shared" si="16"/>
        <v>0</v>
      </c>
      <c r="T156" s="101">
        <f t="shared" si="17"/>
        <v>0</v>
      </c>
      <c r="U156" s="101">
        <f t="shared" si="20"/>
        <v>49</v>
      </c>
      <c r="V156" s="101">
        <f t="shared" si="18"/>
        <v>0</v>
      </c>
    </row>
    <row r="157" spans="1:22" ht="57" customHeight="1" x14ac:dyDescent="0.2">
      <c r="A157" s="4" t="str">
        <f>Questions!$A157</f>
        <v>FIDP-07</v>
      </c>
      <c r="B157" s="4" t="str">
        <f t="shared" si="14"/>
        <v>FIDP</v>
      </c>
      <c r="C157" s="4" t="str">
        <f>VLOOKUP($A157,Questions!$A$3:$L$333,2,0)&amp;""</f>
        <v>Have you implemented an intrusion prevention system (network-based)?</v>
      </c>
      <c r="D157" s="4" t="str">
        <f>VLOOKUP($A157,Questions!$A$3:$L$333,11,0)&amp;""</f>
        <v/>
      </c>
      <c r="E157" s="4" t="str">
        <f>VLOOKUP($A157,Questions!$A$3:$L$333,12,0)&amp;""</f>
        <v>Infrastructure</v>
      </c>
      <c r="F157" s="4" t="str">
        <f>VLOOKUP($A157,'Institution Evaluation'!$A$56:$K$345,3,0)&amp;""</f>
        <v>Yes</v>
      </c>
      <c r="G157" s="4" t="str">
        <f>VLOOKUP($A157,'Institution Evaluation'!$A$56:$K$345,7,0)&amp;""</f>
        <v>Yes</v>
      </c>
      <c r="H157" s="4" t="str">
        <f>VLOOKUP($A157,'Institution Evaluation'!$A$56:$K$345,8,0)&amp;""</f>
        <v/>
      </c>
      <c r="I157" s="4" t="str">
        <f>VLOOKUP($A157,'Institution Evaluation'!$A$56:$K$345,9,0)&amp;""</f>
        <v>Standard Importance</v>
      </c>
      <c r="J157" s="4" t="str">
        <f>VLOOKUP($A157,'Institution Evaluation'!$A$56:$K$345,10,0)&amp;""</f>
        <v/>
      </c>
      <c r="K157" s="4">
        <f>IF($I157='Auto Responses'!$J$11,20,IF($I157='Auto Responses'!$J$13,5,10))</f>
        <v>10</v>
      </c>
      <c r="L157" s="101">
        <f>IF($E157='Auto Responses'!$L$13, 'Auto Responses'!$J$5,IF(AND($D157='Auto Responses'!$J$27,$H157=""),'Auto Responses'!$J$5,IF(AND($D157='Auto Responses'!$J$27,$H157='Auto Responses'!$J$7),1,IF(AND($D157='Auto Responses'!$J$27,$H157='Auto Responses'!$J$8),0,IF(OR(AND($F157=$G157,$H157=""),$H157='Auto Responses'!$J$7),1,0)))))</f>
        <v>1</v>
      </c>
      <c r="M157" s="4" t="str">
        <f>VLOOKUP($A157,'Institution Evaluation'!$A$56:$K$345,11,0)&amp;""</f>
        <v>FALSE</v>
      </c>
      <c r="N157" s="4">
        <f>IF($J157='Auto Responses'!$J$11,1,IF(AND($J157="",$I157='Auto Responses'!$J$11),1,0))</f>
        <v>0</v>
      </c>
      <c r="O157" s="101">
        <f>IF(OR($F$17='Auto Responses'!$J$4,$E157='Auto Responses'!$L$13,$F157='Auto Responses'!$J$5),'Auto Responses'!$J$5,IF($J157="",$K157,IF($J157='Auto Responses'!$J$13,5,IF($J157='Auto Responses'!$J$12,10,IF($J157='Auto Responses'!$J$11,20,0)))))</f>
        <v>10</v>
      </c>
      <c r="P157" s="101">
        <f>IF(OR($O157='Auto Responses'!$J$5,$L157='Auto Responses'!$J$5),'Auto Responses'!$J$5,$O157*$L157)</f>
        <v>10</v>
      </c>
      <c r="Q157" s="101">
        <f t="shared" si="15"/>
        <v>0</v>
      </c>
      <c r="R157" s="101">
        <f t="shared" si="19"/>
        <v>0</v>
      </c>
      <c r="S157" s="101">
        <f t="shared" si="16"/>
        <v>0</v>
      </c>
      <c r="T157" s="101">
        <f t="shared" si="17"/>
        <v>0</v>
      </c>
      <c r="U157" s="101">
        <f t="shared" si="20"/>
        <v>49</v>
      </c>
      <c r="V157" s="101">
        <f t="shared" si="18"/>
        <v>0</v>
      </c>
    </row>
    <row r="158" spans="1:22" ht="57" customHeight="1" x14ac:dyDescent="0.2">
      <c r="A158" s="4" t="str">
        <f>Questions!$A158</f>
        <v>FIDP-08</v>
      </c>
      <c r="B158" s="4" t="str">
        <f t="shared" si="14"/>
        <v>FIDP</v>
      </c>
      <c r="C158" s="4" t="str">
        <f>VLOOKUP($A158,Questions!$A$3:$L$333,2,0)&amp;""</f>
        <v>Do you employ host-based intrusion prevention?</v>
      </c>
      <c r="D158" s="4" t="str">
        <f>VLOOKUP($A158,Questions!$A$3:$L$333,11,0)&amp;""</f>
        <v/>
      </c>
      <c r="E158" s="4" t="str">
        <f>VLOOKUP($A158,Questions!$A$3:$L$333,12,0)&amp;""</f>
        <v>Infrastructure</v>
      </c>
      <c r="F158" s="4" t="str">
        <f>VLOOKUP($A158,'Institution Evaluation'!$A$56:$K$345,3,0)&amp;""</f>
        <v>Yes</v>
      </c>
      <c r="G158" s="4" t="str">
        <f>VLOOKUP($A158,'Institution Evaluation'!$A$56:$K$345,7,0)&amp;""</f>
        <v>Yes</v>
      </c>
      <c r="H158" s="4" t="str">
        <f>VLOOKUP($A158,'Institution Evaluation'!$A$56:$K$345,8,0)&amp;""</f>
        <v/>
      </c>
      <c r="I158" s="4" t="str">
        <f>VLOOKUP($A158,'Institution Evaluation'!$A$56:$K$345,9,0)&amp;""</f>
        <v>Standard Importance</v>
      </c>
      <c r="J158" s="4" t="str">
        <f>VLOOKUP($A158,'Institution Evaluation'!$A$56:$K$345,10,0)&amp;""</f>
        <v/>
      </c>
      <c r="K158" s="4">
        <f>IF($I158='Auto Responses'!$J$11,20,IF($I158='Auto Responses'!$J$13,5,10))</f>
        <v>10</v>
      </c>
      <c r="L158" s="101">
        <f>IF($E158='Auto Responses'!$L$13, 'Auto Responses'!$J$5,IF(AND($D158='Auto Responses'!$J$27,$H158=""),'Auto Responses'!$J$5,IF(AND($D158='Auto Responses'!$J$27,$H158='Auto Responses'!$J$7),1,IF(AND($D158='Auto Responses'!$J$27,$H158='Auto Responses'!$J$8),0,IF(OR(AND($F158=$G158,$H158=""),$H158='Auto Responses'!$J$7),1,0)))))</f>
        <v>1</v>
      </c>
      <c r="M158" s="4" t="str">
        <f>VLOOKUP($A158,'Institution Evaluation'!$A$56:$K$345,11,0)&amp;""</f>
        <v>FALSE</v>
      </c>
      <c r="N158" s="4">
        <f>IF($J158='Auto Responses'!$J$11,1,IF(AND($J158="",$I158='Auto Responses'!$J$11),1,0))</f>
        <v>0</v>
      </c>
      <c r="O158" s="101">
        <f>IF(OR($F$17='Auto Responses'!$J$4,$E158='Auto Responses'!$L$13,$F158='Auto Responses'!$J$5),'Auto Responses'!$J$5,IF($J158="",$K158,IF($J158='Auto Responses'!$J$13,5,IF($J158='Auto Responses'!$J$12,10,IF($J158='Auto Responses'!$J$11,20,0)))))</f>
        <v>10</v>
      </c>
      <c r="P158" s="101">
        <f>IF(OR($O158='Auto Responses'!$J$5,$L158='Auto Responses'!$J$5),'Auto Responses'!$J$5,$O158*$L158)</f>
        <v>10</v>
      </c>
      <c r="Q158" s="101">
        <f t="shared" si="15"/>
        <v>0</v>
      </c>
      <c r="R158" s="101">
        <f t="shared" si="19"/>
        <v>0</v>
      </c>
      <c r="S158" s="101">
        <f t="shared" si="16"/>
        <v>0</v>
      </c>
      <c r="T158" s="101">
        <f t="shared" si="17"/>
        <v>0</v>
      </c>
      <c r="U158" s="101">
        <f t="shared" si="20"/>
        <v>49</v>
      </c>
      <c r="V158" s="101">
        <f t="shared" si="18"/>
        <v>0</v>
      </c>
    </row>
    <row r="159" spans="1:22" ht="57" customHeight="1" x14ac:dyDescent="0.2">
      <c r="A159" s="4" t="str">
        <f>Questions!$A159</f>
        <v>FIDP-09</v>
      </c>
      <c r="B159" s="4" t="str">
        <f t="shared" si="14"/>
        <v>FIDP</v>
      </c>
      <c r="C159" s="4" t="str">
        <f>VLOOKUP($A159,Questions!$A$3:$L$333,2,0)&amp;""</f>
        <v>Are you employing any next-generation persistent threat (NGPT) monitoring?</v>
      </c>
      <c r="D159" s="4" t="str">
        <f>VLOOKUP($A159,Questions!$A$3:$L$333,11,0)&amp;""</f>
        <v/>
      </c>
      <c r="E159" s="4" t="str">
        <f>VLOOKUP($A159,Questions!$A$3:$L$333,12,0)&amp;""</f>
        <v>Infrastructure</v>
      </c>
      <c r="F159" s="4" t="str">
        <f>VLOOKUP($A159,'Institution Evaluation'!$A$56:$K$345,3,0)&amp;""</f>
        <v>Yes</v>
      </c>
      <c r="G159" s="4" t="str">
        <f>VLOOKUP($A159,'Institution Evaluation'!$A$56:$K$345,7,0)&amp;""</f>
        <v>Yes</v>
      </c>
      <c r="H159" s="4" t="str">
        <f>VLOOKUP($A159,'Institution Evaluation'!$A$56:$K$345,8,0)&amp;""</f>
        <v/>
      </c>
      <c r="I159" s="4" t="str">
        <f>VLOOKUP($A159,'Institution Evaluation'!$A$56:$K$345,9,0)&amp;""</f>
        <v>Standard Importance</v>
      </c>
      <c r="J159" s="4" t="str">
        <f>VLOOKUP($A159,'Institution Evaluation'!$A$56:$K$345,10,0)&amp;""</f>
        <v/>
      </c>
      <c r="K159" s="4">
        <f>IF($I159='Auto Responses'!$J$11,20,IF($I159='Auto Responses'!$J$13,5,10))</f>
        <v>10</v>
      </c>
      <c r="L159" s="101">
        <f>IF($E159='Auto Responses'!$L$13, 'Auto Responses'!$J$5,IF(AND($D159='Auto Responses'!$J$27,$H159=""),'Auto Responses'!$J$5,IF(AND($D159='Auto Responses'!$J$27,$H159='Auto Responses'!$J$7),1,IF(AND($D159='Auto Responses'!$J$27,$H159='Auto Responses'!$J$8),0,IF(OR(AND($F159=$G159,$H159=""),$H159='Auto Responses'!$J$7),1,0)))))</f>
        <v>1</v>
      </c>
      <c r="M159" s="4" t="str">
        <f>VLOOKUP($A159,'Institution Evaluation'!$A$56:$K$345,11,0)&amp;""</f>
        <v>FALSE</v>
      </c>
      <c r="N159" s="4">
        <f>IF($J159='Auto Responses'!$J$11,1,IF(AND($J159="",$I159='Auto Responses'!$J$11),1,0))</f>
        <v>0</v>
      </c>
      <c r="O159" s="101">
        <f>IF(OR($F$17='Auto Responses'!$J$4,$E159='Auto Responses'!$L$13,$F159='Auto Responses'!$J$5),'Auto Responses'!$J$5,IF($J159="",$K159,IF($J159='Auto Responses'!$J$13,5,IF($J159='Auto Responses'!$J$12,10,IF($J159='Auto Responses'!$J$11,20,0)))))</f>
        <v>10</v>
      </c>
      <c r="P159" s="101">
        <f>IF(OR($O159='Auto Responses'!$J$5,$L159='Auto Responses'!$J$5),'Auto Responses'!$J$5,$O159*$L159)</f>
        <v>10</v>
      </c>
      <c r="Q159" s="101">
        <f t="shared" si="15"/>
        <v>0</v>
      </c>
      <c r="R159" s="101">
        <f t="shared" si="19"/>
        <v>0</v>
      </c>
      <c r="S159" s="101">
        <f t="shared" si="16"/>
        <v>0</v>
      </c>
      <c r="T159" s="101">
        <f t="shared" si="17"/>
        <v>0</v>
      </c>
      <c r="U159" s="101">
        <f t="shared" si="20"/>
        <v>49</v>
      </c>
      <c r="V159" s="101">
        <f t="shared" si="18"/>
        <v>0</v>
      </c>
    </row>
    <row r="160" spans="1:22" ht="57" customHeight="1" x14ac:dyDescent="0.2">
      <c r="A160" s="4" t="str">
        <f>Questions!$A160</f>
        <v>FIDP-10</v>
      </c>
      <c r="B160" s="4" t="str">
        <f t="shared" si="14"/>
        <v>FIDP</v>
      </c>
      <c r="C160" s="4" t="str">
        <f>VLOOKUP($A160,Questions!$A$3:$L$333,2,0)&amp;""</f>
        <v>Is intrusion monitoring performed internally or by a third-party service?</v>
      </c>
      <c r="D160" s="4" t="str">
        <f>VLOOKUP($A160,Questions!$A$3:$L$333,11,0)&amp;""</f>
        <v/>
      </c>
      <c r="E160" s="4" t="str">
        <f>VLOOKUP($A160,Questions!$A$3:$L$333,12,0)&amp;""</f>
        <v>Not scored</v>
      </c>
      <c r="F160" s="4" t="str">
        <f>VLOOKUP($A160,'Institution Evaluation'!$A$56:$K$345,3,0)&amp;""</f>
        <v>Yes</v>
      </c>
      <c r="G160" s="4" t="str">
        <f>VLOOKUP($A160,'Institution Evaluation'!$A$56:$K$345,7,0)&amp;""</f>
        <v>Not scored</v>
      </c>
      <c r="H160" s="4" t="str">
        <f>VLOOKUP($A160,'Institution Evaluation'!$A$56:$K$345,8,0)&amp;""</f>
        <v/>
      </c>
      <c r="I160" s="4" t="str">
        <f>VLOOKUP($A160,'Institution Evaluation'!$A$56:$K$345,9,0)&amp;""</f>
        <v/>
      </c>
      <c r="J160" s="4" t="str">
        <f>VLOOKUP($A160,'Institution Evaluation'!$A$56:$K$345,10,0)&amp;""</f>
        <v/>
      </c>
      <c r="K160" s="4">
        <f>IF($I160='Auto Responses'!$J$11,20,IF($I160='Auto Responses'!$J$13,5,10))</f>
        <v>10</v>
      </c>
      <c r="L160" s="101" t="str">
        <f>IF($E160='Auto Responses'!$L$13, 'Auto Responses'!$J$5,IF(AND($D160='Auto Responses'!$J$27,$H160=""),'Auto Responses'!$J$5,IF(AND($D160='Auto Responses'!$J$27,$H160='Auto Responses'!$J$7),1,IF(AND($D160='Auto Responses'!$J$27,$H160='Auto Responses'!$J$8),0,IF(OR(AND($F160=$G160,$H160=""),$H160='Auto Responses'!$J$7),1,0)))))</f>
        <v>N/A</v>
      </c>
      <c r="M160" s="4" t="str">
        <f>VLOOKUP($A160,'Institution Evaluation'!$A$56:$K$345,11,0)&amp;""</f>
        <v>FALSE</v>
      </c>
      <c r="N160" s="4">
        <f>IF($J160='Auto Responses'!$J$11,1,IF(AND($J160="",$I160='Auto Responses'!$J$11),1,0))</f>
        <v>0</v>
      </c>
      <c r="O160" s="101" t="str">
        <f>IF(OR($F$17='Auto Responses'!$J$4,$E160='Auto Responses'!$L$13,$F160='Auto Responses'!$J$5),'Auto Responses'!$J$5,IF($J160="",$K160,IF($J160='Auto Responses'!$J$13,5,IF($J160='Auto Responses'!$J$12,10,IF($J160='Auto Responses'!$J$11,20,0)))))</f>
        <v>N/A</v>
      </c>
      <c r="P160" s="101" t="str">
        <f>IF(OR($O160='Auto Responses'!$J$5,$L160='Auto Responses'!$J$5),'Auto Responses'!$J$5,$O160*$L160)</f>
        <v>N/A</v>
      </c>
      <c r="Q160" s="101">
        <f t="shared" si="15"/>
        <v>0</v>
      </c>
      <c r="R160" s="101">
        <f t="shared" si="19"/>
        <v>0</v>
      </c>
      <c r="S160" s="101">
        <f t="shared" si="16"/>
        <v>0</v>
      </c>
      <c r="T160" s="101">
        <f t="shared" si="17"/>
        <v>0</v>
      </c>
      <c r="U160" s="101">
        <f t="shared" si="20"/>
        <v>49</v>
      </c>
      <c r="V160" s="101">
        <f t="shared" si="18"/>
        <v>0</v>
      </c>
    </row>
    <row r="161" spans="1:22" ht="57" customHeight="1" x14ac:dyDescent="0.2">
      <c r="A161" s="4" t="str">
        <f>Questions!$A161</f>
        <v>FIDP-11</v>
      </c>
      <c r="B161" s="4" t="str">
        <f t="shared" si="14"/>
        <v>FIDP</v>
      </c>
      <c r="C161" s="4" t="str">
        <f>VLOOKUP($A161,Questions!$A$3:$L$333,2,0)&amp;""</f>
        <v>Do you monitor for intrusions on a 24 x 7 x 365 basis?</v>
      </c>
      <c r="D161" s="4" t="str">
        <f>VLOOKUP($A161,Questions!$A$3:$L$333,11,0)&amp;""</f>
        <v/>
      </c>
      <c r="E161" s="4" t="str">
        <f>VLOOKUP($A161,Questions!$A$3:$L$333,12,0)&amp;""</f>
        <v>Infrastructure</v>
      </c>
      <c r="F161" s="4" t="str">
        <f>VLOOKUP($A161,'Institution Evaluation'!$A$56:$K$345,3,0)&amp;""</f>
        <v>Yes</v>
      </c>
      <c r="G161" s="4" t="str">
        <f>VLOOKUP($A161,'Institution Evaluation'!$A$56:$K$345,7,0)&amp;""</f>
        <v>Yes</v>
      </c>
      <c r="H161" s="4" t="str">
        <f>VLOOKUP($A161,'Institution Evaluation'!$A$56:$K$345,8,0)&amp;""</f>
        <v/>
      </c>
      <c r="I161" s="4" t="str">
        <f>VLOOKUP($A161,'Institution Evaluation'!$A$56:$K$345,9,0)&amp;""</f>
        <v>Minor Importance</v>
      </c>
      <c r="J161" s="4" t="str">
        <f>VLOOKUP($A161,'Institution Evaluation'!$A$56:$K$345,10,0)&amp;""</f>
        <v/>
      </c>
      <c r="K161" s="4">
        <f>IF($I161='Auto Responses'!$J$11,20,IF($I161='Auto Responses'!$J$13,5,10))</f>
        <v>5</v>
      </c>
      <c r="L161" s="101">
        <f>IF($E161='Auto Responses'!$L$13, 'Auto Responses'!$J$5,IF(AND($D161='Auto Responses'!$J$27,$H161=""),'Auto Responses'!$J$5,IF(AND($D161='Auto Responses'!$J$27,$H161='Auto Responses'!$J$7),1,IF(AND($D161='Auto Responses'!$J$27,$H161='Auto Responses'!$J$8),0,IF(OR(AND($F161=$G161,$H161=""),$H161='Auto Responses'!$J$7),1,0)))))</f>
        <v>1</v>
      </c>
      <c r="M161" s="4" t="str">
        <f>VLOOKUP($A161,'Institution Evaluation'!$A$56:$K$345,11,0)&amp;""</f>
        <v>FALSE</v>
      </c>
      <c r="N161" s="4">
        <f>IF($J161='Auto Responses'!$J$11,1,IF(AND($J161="",$I161='Auto Responses'!$J$11),1,0))</f>
        <v>0</v>
      </c>
      <c r="O161" s="101">
        <f>IF(OR($F$17='Auto Responses'!$J$4,$E161='Auto Responses'!$L$13,$F161='Auto Responses'!$J$5),'Auto Responses'!$J$5,IF($J161="",$K161,IF($J161='Auto Responses'!$J$13,5,IF($J161='Auto Responses'!$J$12,10,IF($J161='Auto Responses'!$J$11,20,0)))))</f>
        <v>5</v>
      </c>
      <c r="P161" s="101">
        <f>IF(OR($O161='Auto Responses'!$J$5,$L161='Auto Responses'!$J$5),'Auto Responses'!$J$5,$O161*$L161)</f>
        <v>5</v>
      </c>
      <c r="Q161" s="101">
        <f t="shared" si="15"/>
        <v>0</v>
      </c>
      <c r="R161" s="101">
        <f t="shared" si="19"/>
        <v>0</v>
      </c>
      <c r="S161" s="101">
        <f t="shared" si="16"/>
        <v>0</v>
      </c>
      <c r="T161" s="101">
        <f t="shared" si="17"/>
        <v>0</v>
      </c>
      <c r="U161" s="101">
        <f t="shared" si="20"/>
        <v>49</v>
      </c>
      <c r="V161" s="101">
        <f t="shared" si="18"/>
        <v>0</v>
      </c>
    </row>
    <row r="162" spans="1:22" ht="57" customHeight="1" x14ac:dyDescent="0.2">
      <c r="A162" s="4" t="str">
        <f>Questions!$A162</f>
        <v>PPPR-01</v>
      </c>
      <c r="B162" s="4" t="str">
        <f t="shared" si="14"/>
        <v>PPPR</v>
      </c>
      <c r="C162" s="4" t="str">
        <f>VLOOKUP($A162,Questions!$A$3:$L$333,2,0)&amp;""</f>
        <v>Do you have a documented patch management process?*</v>
      </c>
      <c r="D162" s="4" t="str">
        <f>VLOOKUP($A162,Questions!$A$3:$L$333,11,0)&amp;""</f>
        <v/>
      </c>
      <c r="E162" s="4" t="str">
        <f>VLOOKUP($A162,Questions!$A$3:$L$333,12,0)&amp;""</f>
        <v>Organization</v>
      </c>
      <c r="F162" s="4" t="str">
        <f>VLOOKUP($A162,'Institution Evaluation'!$A$56:$K$345,3,0)&amp;""</f>
        <v>Yes</v>
      </c>
      <c r="G162" s="4" t="str">
        <f>VLOOKUP($A162,'Institution Evaluation'!$A$56:$K$345,7,0)&amp;""</f>
        <v>Yes</v>
      </c>
      <c r="H162" s="4" t="str">
        <f>VLOOKUP($A162,'Institution Evaluation'!$A$56:$K$345,8,0)&amp;""</f>
        <v/>
      </c>
      <c r="I162" s="4" t="str">
        <f>VLOOKUP($A162,'Institution Evaluation'!$A$56:$K$345,9,0)&amp;""</f>
        <v>Critical Importance</v>
      </c>
      <c r="J162" s="4" t="str">
        <f>VLOOKUP($A162,'Institution Evaluation'!$A$56:$K$345,10,0)&amp;""</f>
        <v/>
      </c>
      <c r="K162" s="4">
        <f>IF($I162='Auto Responses'!$J$11,20,IF($I162='Auto Responses'!$J$13,5,10))</f>
        <v>20</v>
      </c>
      <c r="L162" s="101">
        <f>IF($E162='Auto Responses'!$L$13, 'Auto Responses'!$J$5,IF(AND($D162='Auto Responses'!$J$27,$H162=""),'Auto Responses'!$J$5,IF(AND($D162='Auto Responses'!$J$27,$H162='Auto Responses'!$J$7),1,IF(AND($D162='Auto Responses'!$J$27,$H162='Auto Responses'!$J$8),0,IF(OR(AND($F162=$G162,$H162=""),$H162='Auto Responses'!$J$7),1,0)))))</f>
        <v>1</v>
      </c>
      <c r="M162" s="4" t="str">
        <f>VLOOKUP($A162,'Institution Evaluation'!$A$56:$K$345,11,0)&amp;""</f>
        <v>FALSE</v>
      </c>
      <c r="N162" s="4">
        <f>IF($J162='Auto Responses'!$J$11,1,IF(AND($J162="",$I162='Auto Responses'!$J$11),1,0))</f>
        <v>1</v>
      </c>
      <c r="O162" s="101">
        <f>IF(OR($E162='Auto Responses'!$L$13,$F162='Auto Responses'!$J$5),'Auto Responses'!$J$5,IF($J162="",$K162,IF($J162='Auto Responses'!$J$13,5,IF($J162='Auto Responses'!$J$12,10,IF($J162='Auto Responses'!$J$11,20,0)))))</f>
        <v>20</v>
      </c>
      <c r="P162" s="101">
        <f>IF(OR($O162='Auto Responses'!$J$5,$L162='Auto Responses'!$J$5),'Auto Responses'!$J$5,$O162*$L162)</f>
        <v>20</v>
      </c>
      <c r="Q162" s="101">
        <f t="shared" si="15"/>
        <v>0</v>
      </c>
      <c r="R162" s="101">
        <f t="shared" si="19"/>
        <v>0</v>
      </c>
      <c r="S162" s="101">
        <f t="shared" si="16"/>
        <v>0</v>
      </c>
      <c r="T162" s="101">
        <f t="shared" si="17"/>
        <v>1</v>
      </c>
      <c r="U162" s="101">
        <f t="shared" si="20"/>
        <v>50</v>
      </c>
      <c r="V162" s="101">
        <f t="shared" si="18"/>
        <v>50</v>
      </c>
    </row>
    <row r="163" spans="1:22" ht="57" customHeight="1" x14ac:dyDescent="0.2">
      <c r="A163" s="4" t="str">
        <f>Questions!$A163</f>
        <v>PPPR-02</v>
      </c>
      <c r="B163" s="4" t="str">
        <f t="shared" si="14"/>
        <v>PPPR</v>
      </c>
      <c r="C163" s="4" t="str">
        <f>VLOOKUP($A163,Questions!$A$3:$L$333,2,0)&amp;""</f>
        <v>Can your organization comply with institutional policies on privacy and data protection with regard to users of institutional systems, if required?*</v>
      </c>
      <c r="D163" s="4" t="str">
        <f>VLOOKUP($A163,Questions!$A$3:$L$333,11,0)&amp;""</f>
        <v/>
      </c>
      <c r="E163" s="4" t="str">
        <f>VLOOKUP($A163,Questions!$A$3:$L$333,12,0)&amp;""</f>
        <v>Organization</v>
      </c>
      <c r="F163" s="4" t="str">
        <f>VLOOKUP($A163,'Institution Evaluation'!$A$56:$K$345,3,0)&amp;""</f>
        <v>Yes</v>
      </c>
      <c r="G163" s="4" t="str">
        <f>VLOOKUP($A163,'Institution Evaluation'!$A$56:$K$345,7,0)&amp;""</f>
        <v>Yes</v>
      </c>
      <c r="H163" s="4" t="str">
        <f>VLOOKUP($A163,'Institution Evaluation'!$A$56:$K$345,8,0)&amp;""</f>
        <v/>
      </c>
      <c r="I163" s="4" t="str">
        <f>VLOOKUP($A163,'Institution Evaluation'!$A$56:$K$345,9,0)&amp;""</f>
        <v>Critical Importance</v>
      </c>
      <c r="J163" s="4" t="str">
        <f>VLOOKUP($A163,'Institution Evaluation'!$A$56:$K$345,10,0)&amp;""</f>
        <v/>
      </c>
      <c r="K163" s="4">
        <f>IF($I163='Auto Responses'!$J$11,20,IF($I163='Auto Responses'!$J$13,5,10))</f>
        <v>20</v>
      </c>
      <c r="L163" s="101">
        <f>IF($E163='Auto Responses'!$L$13, 'Auto Responses'!$J$5,IF(AND($D163='Auto Responses'!$J$27,$H163=""),'Auto Responses'!$J$5,IF(AND($D163='Auto Responses'!$J$27,$H163='Auto Responses'!$J$7),1,IF(AND($D163='Auto Responses'!$J$27,$H163='Auto Responses'!$J$8),0,IF(OR(AND($F163=$G163,$H163=""),$H163='Auto Responses'!$J$7),1,0)))))</f>
        <v>1</v>
      </c>
      <c r="M163" s="4" t="str">
        <f>VLOOKUP($A163,'Institution Evaluation'!$A$56:$K$345,11,0)&amp;""</f>
        <v>FALSE</v>
      </c>
      <c r="N163" s="4">
        <f>IF($J163='Auto Responses'!$J$11,1,IF(AND($J163="",$I163='Auto Responses'!$J$11),1,0))</f>
        <v>1</v>
      </c>
      <c r="O163" s="101">
        <f>IF(OR($E163='Auto Responses'!$L$13,$F163='Auto Responses'!$J$5),'Auto Responses'!$J$5,IF($J163="",$K163,IF($J163='Auto Responses'!$J$13,5,IF($J163='Auto Responses'!$J$12,10,IF($J163='Auto Responses'!$J$11,20,0)))))</f>
        <v>20</v>
      </c>
      <c r="P163" s="101">
        <f>IF(OR($O163='Auto Responses'!$J$5,$L163='Auto Responses'!$J$5),'Auto Responses'!$J$5,$O163*$L163)</f>
        <v>20</v>
      </c>
      <c r="Q163" s="101">
        <f t="shared" si="15"/>
        <v>0</v>
      </c>
      <c r="R163" s="101">
        <f t="shared" si="19"/>
        <v>0</v>
      </c>
      <c r="S163" s="101">
        <f t="shared" si="16"/>
        <v>0</v>
      </c>
      <c r="T163" s="101">
        <f t="shared" si="17"/>
        <v>1</v>
      </c>
      <c r="U163" s="101">
        <f t="shared" si="20"/>
        <v>51</v>
      </c>
      <c r="V163" s="101">
        <f t="shared" si="18"/>
        <v>51</v>
      </c>
    </row>
    <row r="164" spans="1:22" ht="57" customHeight="1" x14ac:dyDescent="0.2">
      <c r="A164" s="4" t="str">
        <f>Questions!$A164</f>
        <v>PPPR-03</v>
      </c>
      <c r="B164" s="4" t="str">
        <f t="shared" si="14"/>
        <v>PPPR</v>
      </c>
      <c r="C164" s="4" t="str">
        <f>VLOOKUP($A164,Questions!$A$3:$L$333,2,0)&amp;""</f>
        <v>Is your company subject to the institution's geographic region's laws and regulations?*</v>
      </c>
      <c r="D164" s="4" t="str">
        <f>VLOOKUP($A164,Questions!$A$3:$L$333,11,0)&amp;""</f>
        <v/>
      </c>
      <c r="E164" s="4" t="str">
        <f>VLOOKUP($A164,Questions!$A$3:$L$333,12,0)&amp;""</f>
        <v>Organization</v>
      </c>
      <c r="F164" s="4" t="str">
        <f>VLOOKUP($A164,'Institution Evaluation'!$A$56:$K$345,3,0)&amp;""</f>
        <v>Yes</v>
      </c>
      <c r="G164" s="4" t="str">
        <f>VLOOKUP($A164,'Institution Evaluation'!$A$56:$K$345,7,0)&amp;""</f>
        <v>Yes</v>
      </c>
      <c r="H164" s="4" t="str">
        <f>VLOOKUP($A164,'Institution Evaluation'!$A$56:$K$345,8,0)&amp;""</f>
        <v/>
      </c>
      <c r="I164" s="4" t="str">
        <f>VLOOKUP($A164,'Institution Evaluation'!$A$56:$K$345,9,0)&amp;""</f>
        <v>Critical Importance</v>
      </c>
      <c r="J164" s="4" t="str">
        <f>VLOOKUP($A164,'Institution Evaluation'!$A$56:$K$345,10,0)&amp;""</f>
        <v/>
      </c>
      <c r="K164" s="4">
        <f>IF($I164='Auto Responses'!$J$11,20,IF($I164='Auto Responses'!$J$13,5,10))</f>
        <v>20</v>
      </c>
      <c r="L164" s="101">
        <f>IF($E164='Auto Responses'!$L$13, 'Auto Responses'!$J$5,IF(AND($D164='Auto Responses'!$J$27,$H164=""),'Auto Responses'!$J$5,IF(AND($D164='Auto Responses'!$J$27,$H164='Auto Responses'!$J$7),1,IF(AND($D164='Auto Responses'!$J$27,$H164='Auto Responses'!$J$8),0,IF(OR(AND($F164=$G164,$H164=""),$H164='Auto Responses'!$J$7),1,0)))))</f>
        <v>1</v>
      </c>
      <c r="M164" s="4" t="str">
        <f>VLOOKUP($A164,'Institution Evaluation'!$A$56:$K$345,11,0)&amp;""</f>
        <v>FALSE</v>
      </c>
      <c r="N164" s="4">
        <f>IF($J164='Auto Responses'!$J$11,1,IF(AND($J164="",$I164='Auto Responses'!$J$11),1,0))</f>
        <v>1</v>
      </c>
      <c r="O164" s="101">
        <f>IF(OR($E164='Auto Responses'!$L$13,$F164='Auto Responses'!$J$5),'Auto Responses'!$J$5,IF($J164="",$K164,IF($J164='Auto Responses'!$J$13,5,IF($J164='Auto Responses'!$J$12,10,IF($J164='Auto Responses'!$J$11,20,0)))))</f>
        <v>20</v>
      </c>
      <c r="P164" s="101">
        <f>IF(OR($O164='Auto Responses'!$J$5,$L164='Auto Responses'!$J$5),'Auto Responses'!$J$5,$O164*$L164)</f>
        <v>20</v>
      </c>
      <c r="Q164" s="101">
        <f t="shared" si="15"/>
        <v>0</v>
      </c>
      <c r="R164" s="101">
        <f t="shared" si="19"/>
        <v>0</v>
      </c>
      <c r="S164" s="101">
        <f t="shared" si="16"/>
        <v>0</v>
      </c>
      <c r="T164" s="101">
        <f t="shared" si="17"/>
        <v>1</v>
      </c>
      <c r="U164" s="101">
        <f t="shared" si="20"/>
        <v>52</v>
      </c>
      <c r="V164" s="101">
        <f t="shared" si="18"/>
        <v>52</v>
      </c>
    </row>
    <row r="165" spans="1:22" ht="57" customHeight="1" x14ac:dyDescent="0.2">
      <c r="A165" s="4" t="str">
        <f>Questions!$A165</f>
        <v>PPPR-04</v>
      </c>
      <c r="B165" s="4" t="str">
        <f t="shared" si="14"/>
        <v>PPPR</v>
      </c>
      <c r="C165" s="4" t="str">
        <f>VLOOKUP($A165,Questions!$A$3:$L$333,2,0)&amp;""</f>
        <v>Can you accommodate encryption requirements using open standards?</v>
      </c>
      <c r="D165" s="4" t="str">
        <f>VLOOKUP($A165,Questions!$A$3:$L$333,11,0)&amp;""</f>
        <v/>
      </c>
      <c r="E165" s="4" t="str">
        <f>VLOOKUP($A165,Questions!$A$3:$L$333,12,0)&amp;""</f>
        <v>Organization</v>
      </c>
      <c r="F165" s="4" t="str">
        <f>VLOOKUP($A165,'Institution Evaluation'!$A$56:$K$345,3,0)&amp;""</f>
        <v>Yes</v>
      </c>
      <c r="G165" s="4" t="str">
        <f>VLOOKUP($A165,'Institution Evaluation'!$A$56:$K$345,7,0)&amp;""</f>
        <v>Yes</v>
      </c>
      <c r="H165" s="4" t="str">
        <f>VLOOKUP($A165,'Institution Evaluation'!$A$56:$K$345,8,0)&amp;""</f>
        <v/>
      </c>
      <c r="I165" s="4" t="str">
        <f>VLOOKUP($A165,'Institution Evaluation'!$A$56:$K$345,9,0)&amp;""</f>
        <v>Standard Importance</v>
      </c>
      <c r="J165" s="4" t="str">
        <f>VLOOKUP($A165,'Institution Evaluation'!$A$56:$K$345,10,0)&amp;""</f>
        <v/>
      </c>
      <c r="K165" s="4">
        <f>IF($I165='Auto Responses'!$J$11,20,IF($I165='Auto Responses'!$J$13,5,10))</f>
        <v>10</v>
      </c>
      <c r="L165" s="101">
        <f>IF($E165='Auto Responses'!$L$13, 'Auto Responses'!$J$5,IF(AND($D165='Auto Responses'!$J$27,$H165=""),'Auto Responses'!$J$5,IF(AND($D165='Auto Responses'!$J$27,$H165='Auto Responses'!$J$7),1,IF(AND($D165='Auto Responses'!$J$27,$H165='Auto Responses'!$J$8),0,IF(OR(AND($F165=$G165,$H165=""),$H165='Auto Responses'!$J$7),1,0)))))</f>
        <v>1</v>
      </c>
      <c r="M165" s="4" t="str">
        <f>VLOOKUP($A165,'Institution Evaluation'!$A$56:$K$345,11,0)&amp;""</f>
        <v>FALSE</v>
      </c>
      <c r="N165" s="4">
        <f>IF($J165='Auto Responses'!$J$11,1,IF(AND($J165="",$I165='Auto Responses'!$J$11),1,0))</f>
        <v>0</v>
      </c>
      <c r="O165" s="101">
        <f>IF(OR($E165='Auto Responses'!$L$13,$F165='Auto Responses'!$J$5),'Auto Responses'!$J$5,IF($J165="",$K165,IF($J165='Auto Responses'!$J$13,5,IF($J165='Auto Responses'!$J$12,10,IF($J165='Auto Responses'!$J$11,20,0)))))</f>
        <v>10</v>
      </c>
      <c r="P165" s="101">
        <f>IF(OR($O165='Auto Responses'!$J$5,$L165='Auto Responses'!$J$5),'Auto Responses'!$J$5,$O165*$L165)</f>
        <v>10</v>
      </c>
      <c r="Q165" s="101">
        <f t="shared" si="15"/>
        <v>0</v>
      </c>
      <c r="R165" s="101">
        <f t="shared" si="19"/>
        <v>0</v>
      </c>
      <c r="S165" s="101">
        <f t="shared" si="16"/>
        <v>0</v>
      </c>
      <c r="T165" s="101">
        <f t="shared" si="17"/>
        <v>0</v>
      </c>
      <c r="U165" s="101">
        <f t="shared" si="20"/>
        <v>52</v>
      </c>
      <c r="V165" s="101">
        <f t="shared" si="18"/>
        <v>0</v>
      </c>
    </row>
    <row r="166" spans="1:22" ht="57" customHeight="1" x14ac:dyDescent="0.2">
      <c r="A166" s="4" t="str">
        <f>Questions!$A166</f>
        <v>PPPR-05</v>
      </c>
      <c r="B166" s="4" t="str">
        <f t="shared" si="14"/>
        <v>PPPR</v>
      </c>
      <c r="C166" s="4" t="str">
        <f>VLOOKUP($A166,Questions!$A$3:$L$333,2,0)&amp;""</f>
        <v>Do you have a documented systems development life cycle (SDLC)?</v>
      </c>
      <c r="D166" s="4" t="str">
        <f>VLOOKUP($A166,Questions!$A$3:$L$333,11,0)&amp;""</f>
        <v/>
      </c>
      <c r="E166" s="4" t="str">
        <f>VLOOKUP($A166,Questions!$A$3:$L$333,12,0)&amp;""</f>
        <v>Organization</v>
      </c>
      <c r="F166" s="4" t="str">
        <f>VLOOKUP($A166,'Institution Evaluation'!$A$56:$K$345,3,0)&amp;""</f>
        <v>Yes</v>
      </c>
      <c r="G166" s="4" t="str">
        <f>VLOOKUP($A166,'Institution Evaluation'!$A$56:$K$345,7,0)&amp;""</f>
        <v>Yes</v>
      </c>
      <c r="H166" s="4" t="str">
        <f>VLOOKUP($A166,'Institution Evaluation'!$A$56:$K$345,8,0)&amp;""</f>
        <v/>
      </c>
      <c r="I166" s="4" t="str">
        <f>VLOOKUP($A166,'Institution Evaluation'!$A$56:$K$345,9,0)&amp;""</f>
        <v>Standard Importance</v>
      </c>
      <c r="J166" s="4" t="str">
        <f>VLOOKUP($A166,'Institution Evaluation'!$A$56:$K$345,10,0)&amp;""</f>
        <v/>
      </c>
      <c r="K166" s="4">
        <f>IF($I166='Auto Responses'!$J$11,20,IF($I166='Auto Responses'!$J$13,5,10))</f>
        <v>10</v>
      </c>
      <c r="L166" s="101">
        <f>IF($E166='Auto Responses'!$L$13, 'Auto Responses'!$J$5,IF(AND($D166='Auto Responses'!$J$27,$H166=""),'Auto Responses'!$J$5,IF(AND($D166='Auto Responses'!$J$27,$H166='Auto Responses'!$J$7),1,IF(AND($D166='Auto Responses'!$J$27,$H166='Auto Responses'!$J$8),0,IF(OR(AND($F166=$G166,$H166=""),$H166='Auto Responses'!$J$7),1,0)))))</f>
        <v>1</v>
      </c>
      <c r="M166" s="4" t="str">
        <f>VLOOKUP($A166,'Institution Evaluation'!$A$56:$K$345,11,0)&amp;""</f>
        <v>FALSE</v>
      </c>
      <c r="N166" s="4">
        <f>IF($J166='Auto Responses'!$J$11,1,IF(AND($J166="",$I166='Auto Responses'!$J$11),1,0))</f>
        <v>0</v>
      </c>
      <c r="O166" s="101">
        <f>IF(OR($E166='Auto Responses'!$L$13,$F166='Auto Responses'!$J$5),'Auto Responses'!$J$5,IF($J166="",$K166,IF($J166='Auto Responses'!$J$13,5,IF($J166='Auto Responses'!$J$12,10,IF($J166='Auto Responses'!$J$11,20,0)))))</f>
        <v>10</v>
      </c>
      <c r="P166" s="101">
        <f>IF(OR($O166='Auto Responses'!$J$5,$L166='Auto Responses'!$J$5),'Auto Responses'!$J$5,$O166*$L166)</f>
        <v>10</v>
      </c>
      <c r="Q166" s="101">
        <f t="shared" si="15"/>
        <v>0</v>
      </c>
      <c r="R166" s="101">
        <f t="shared" si="19"/>
        <v>0</v>
      </c>
      <c r="S166" s="101">
        <f t="shared" si="16"/>
        <v>0</v>
      </c>
      <c r="T166" s="101">
        <f t="shared" si="17"/>
        <v>0</v>
      </c>
      <c r="U166" s="101">
        <f t="shared" si="20"/>
        <v>52</v>
      </c>
      <c r="V166" s="101">
        <f t="shared" si="18"/>
        <v>0</v>
      </c>
    </row>
    <row r="167" spans="1:22" ht="57" customHeight="1" x14ac:dyDescent="0.2">
      <c r="A167" s="4" t="str">
        <f>Questions!$A167</f>
        <v>PPPR-06</v>
      </c>
      <c r="B167" s="4" t="str">
        <f t="shared" si="14"/>
        <v>PPPR</v>
      </c>
      <c r="C167" s="4" t="str">
        <f>VLOOKUP($A167,Questions!$A$3:$L$333,2,0)&amp;""</f>
        <v>Do you perform background screenings or multi-state background checks on all employees prior to their first day of work?</v>
      </c>
      <c r="D167" s="4" t="str">
        <f>VLOOKUP($A167,Questions!$A$3:$L$333,11,0)&amp;""</f>
        <v/>
      </c>
      <c r="E167" s="4" t="str">
        <f>VLOOKUP($A167,Questions!$A$3:$L$333,12,0)&amp;""</f>
        <v>Organization</v>
      </c>
      <c r="F167" s="4" t="str">
        <f>VLOOKUP($A167,'Institution Evaluation'!$A$56:$K$345,3,0)&amp;""</f>
        <v>Yes</v>
      </c>
      <c r="G167" s="4" t="str">
        <f>VLOOKUP($A167,'Institution Evaluation'!$A$56:$K$345,7,0)&amp;""</f>
        <v>Yes</v>
      </c>
      <c r="H167" s="4" t="str">
        <f>VLOOKUP($A167,'Institution Evaluation'!$A$56:$K$345,8,0)&amp;""</f>
        <v/>
      </c>
      <c r="I167" s="4" t="str">
        <f>VLOOKUP($A167,'Institution Evaluation'!$A$56:$K$345,9,0)&amp;""</f>
        <v>Standard Importance</v>
      </c>
      <c r="J167" s="4" t="str">
        <f>VLOOKUP($A167,'Institution Evaluation'!$A$56:$K$345,10,0)&amp;""</f>
        <v/>
      </c>
      <c r="K167" s="4">
        <f>IF($I167='Auto Responses'!$J$11,20,IF($I167='Auto Responses'!$J$13,5,10))</f>
        <v>10</v>
      </c>
      <c r="L167" s="101">
        <f>IF($E167='Auto Responses'!$L$13, 'Auto Responses'!$J$5,IF(AND($D167='Auto Responses'!$J$27,$H167=""),'Auto Responses'!$J$5,IF(AND($D167='Auto Responses'!$J$27,$H167='Auto Responses'!$J$7),1,IF(AND($D167='Auto Responses'!$J$27,$H167='Auto Responses'!$J$8),0,IF(OR(AND($F167=$G167,$H167=""),$H167='Auto Responses'!$J$7),1,0)))))</f>
        <v>1</v>
      </c>
      <c r="M167" s="4" t="str">
        <f>VLOOKUP($A167,'Institution Evaluation'!$A$56:$K$345,11,0)&amp;""</f>
        <v>FALSE</v>
      </c>
      <c r="N167" s="4">
        <f>IF($J167='Auto Responses'!$J$11,1,IF(AND($J167="",$I167='Auto Responses'!$J$11),1,0))</f>
        <v>0</v>
      </c>
      <c r="O167" s="101">
        <f>IF(OR($E167='Auto Responses'!$L$13,$F167='Auto Responses'!$J$5),'Auto Responses'!$J$5,IF($J167="",$K167,IF($J167='Auto Responses'!$J$13,5,IF($J167='Auto Responses'!$J$12,10,IF($J167='Auto Responses'!$J$11,20,0)))))</f>
        <v>10</v>
      </c>
      <c r="P167" s="101">
        <f>IF(OR($O167='Auto Responses'!$J$5,$L167='Auto Responses'!$J$5),'Auto Responses'!$J$5,$O167*$L167)</f>
        <v>10</v>
      </c>
      <c r="Q167" s="101">
        <f t="shared" si="15"/>
        <v>0</v>
      </c>
      <c r="R167" s="101">
        <f t="shared" si="19"/>
        <v>0</v>
      </c>
      <c r="S167" s="101">
        <f t="shared" si="16"/>
        <v>0</v>
      </c>
      <c r="T167" s="101">
        <f t="shared" si="17"/>
        <v>0</v>
      </c>
      <c r="U167" s="101">
        <f t="shared" si="20"/>
        <v>52</v>
      </c>
      <c r="V167" s="101">
        <f t="shared" si="18"/>
        <v>0</v>
      </c>
    </row>
    <row r="168" spans="1:22" ht="57" customHeight="1" x14ac:dyDescent="0.2">
      <c r="A168" s="4" t="str">
        <f>Questions!$A168</f>
        <v>PPPR-07</v>
      </c>
      <c r="B168" s="4" t="str">
        <f t="shared" si="14"/>
        <v>PPPR</v>
      </c>
      <c r="C168" s="4" t="str">
        <f>VLOOKUP($A168,Questions!$A$3:$L$333,2,0)&amp;""</f>
        <v>Do you require new employees to fill out agreements and review policies?</v>
      </c>
      <c r="D168" s="4" t="str">
        <f>VLOOKUP($A168,Questions!$A$3:$L$333,11,0)&amp;""</f>
        <v/>
      </c>
      <c r="E168" s="4" t="str">
        <f>VLOOKUP($A168,Questions!$A$3:$L$333,12,0)&amp;""</f>
        <v>Organization</v>
      </c>
      <c r="F168" s="4" t="str">
        <f>VLOOKUP($A168,'Institution Evaluation'!$A$56:$K$345,3,0)&amp;""</f>
        <v>Yes</v>
      </c>
      <c r="G168" s="4" t="str">
        <f>VLOOKUP($A168,'Institution Evaluation'!$A$56:$K$345,7,0)&amp;""</f>
        <v>Yes</v>
      </c>
      <c r="H168" s="4" t="str">
        <f>VLOOKUP($A168,'Institution Evaluation'!$A$56:$K$345,8,0)&amp;""</f>
        <v/>
      </c>
      <c r="I168" s="4" t="str">
        <f>VLOOKUP($A168,'Institution Evaluation'!$A$56:$K$345,9,0)&amp;""</f>
        <v>Standard Importance</v>
      </c>
      <c r="J168" s="4" t="str">
        <f>VLOOKUP($A168,'Institution Evaluation'!$A$56:$K$345,10,0)&amp;""</f>
        <v/>
      </c>
      <c r="K168" s="4">
        <f>IF($I168='Auto Responses'!$J$11,20,IF($I168='Auto Responses'!$J$13,5,10))</f>
        <v>10</v>
      </c>
      <c r="L168" s="101">
        <f>IF($E168='Auto Responses'!$L$13, 'Auto Responses'!$J$5,IF(AND($D168='Auto Responses'!$J$27,$H168=""),'Auto Responses'!$J$5,IF(AND($D168='Auto Responses'!$J$27,$H168='Auto Responses'!$J$7),1,IF(AND($D168='Auto Responses'!$J$27,$H168='Auto Responses'!$J$8),0,IF(OR(AND($F168=$G168,$H168=""),$H168='Auto Responses'!$J$7),1,0)))))</f>
        <v>1</v>
      </c>
      <c r="M168" s="4" t="str">
        <f>VLOOKUP($A168,'Institution Evaluation'!$A$56:$K$345,11,0)&amp;""</f>
        <v>FALSE</v>
      </c>
      <c r="N168" s="4">
        <f>IF($J168='Auto Responses'!$J$11,1,IF(AND($J168="",$I168='Auto Responses'!$J$11),1,0))</f>
        <v>0</v>
      </c>
      <c r="O168" s="101">
        <f>IF(OR($E168='Auto Responses'!$L$13,$F168='Auto Responses'!$J$5),'Auto Responses'!$J$5,IF($J168="",$K168,IF($J168='Auto Responses'!$J$13,5,IF($J168='Auto Responses'!$J$12,10,IF($J168='Auto Responses'!$J$11,20,0)))))</f>
        <v>10</v>
      </c>
      <c r="P168" s="101">
        <f>IF(OR($O168='Auto Responses'!$J$5,$L168='Auto Responses'!$J$5),'Auto Responses'!$J$5,$O168*$L168)</f>
        <v>10</v>
      </c>
      <c r="Q168" s="101">
        <f t="shared" si="15"/>
        <v>0</v>
      </c>
      <c r="R168" s="101">
        <f t="shared" si="19"/>
        <v>0</v>
      </c>
      <c r="S168" s="101">
        <f t="shared" si="16"/>
        <v>0</v>
      </c>
      <c r="T168" s="101">
        <f t="shared" si="17"/>
        <v>0</v>
      </c>
      <c r="U168" s="101">
        <f t="shared" si="20"/>
        <v>52</v>
      </c>
      <c r="V168" s="101">
        <f t="shared" si="18"/>
        <v>0</v>
      </c>
    </row>
    <row r="169" spans="1:22" ht="57" customHeight="1" x14ac:dyDescent="0.2">
      <c r="A169" s="4" t="str">
        <f>Questions!$A169</f>
        <v>PPPR-08</v>
      </c>
      <c r="B169" s="4" t="str">
        <f t="shared" si="14"/>
        <v>PPPR</v>
      </c>
      <c r="C169" s="4" t="str">
        <f>VLOOKUP($A169,Questions!$A$3:$L$333,2,0)&amp;""</f>
        <v>Do you have a documented information security policy?</v>
      </c>
      <c r="D169" s="4" t="str">
        <f>VLOOKUP($A169,Questions!$A$3:$L$333,11,0)&amp;""</f>
        <v/>
      </c>
      <c r="E169" s="4" t="str">
        <f>VLOOKUP($A169,Questions!$A$3:$L$333,12,0)&amp;""</f>
        <v>Organization</v>
      </c>
      <c r="F169" s="4" t="str">
        <f>VLOOKUP($A169,'Institution Evaluation'!$A$56:$K$345,3,0)&amp;""</f>
        <v>Yes</v>
      </c>
      <c r="G169" s="4" t="str">
        <f>VLOOKUP($A169,'Institution Evaluation'!$A$56:$K$345,7,0)&amp;""</f>
        <v>Yes</v>
      </c>
      <c r="H169" s="4" t="str">
        <f>VLOOKUP($A169,'Institution Evaluation'!$A$56:$K$345,8,0)&amp;""</f>
        <v/>
      </c>
      <c r="I169" s="4" t="str">
        <f>VLOOKUP($A169,'Institution Evaluation'!$A$56:$K$345,9,0)&amp;""</f>
        <v>Standard Importance</v>
      </c>
      <c r="J169" s="4" t="str">
        <f>VLOOKUP($A169,'Institution Evaluation'!$A$56:$K$345,10,0)&amp;""</f>
        <v/>
      </c>
      <c r="K169" s="4">
        <f>IF($I169='Auto Responses'!$J$11,20,IF($I169='Auto Responses'!$J$13,5,10))</f>
        <v>10</v>
      </c>
      <c r="L169" s="101">
        <f>IF($E169='Auto Responses'!$L$13, 'Auto Responses'!$J$5,IF(AND($D169='Auto Responses'!$J$27,$H169=""),'Auto Responses'!$J$5,IF(AND($D169='Auto Responses'!$J$27,$H169='Auto Responses'!$J$7),1,IF(AND($D169='Auto Responses'!$J$27,$H169='Auto Responses'!$J$8),0,IF(OR(AND($F169=$G169,$H169=""),$H169='Auto Responses'!$J$7),1,0)))))</f>
        <v>1</v>
      </c>
      <c r="M169" s="4" t="str">
        <f>VLOOKUP($A169,'Institution Evaluation'!$A$56:$K$345,11,0)&amp;""</f>
        <v>FALSE</v>
      </c>
      <c r="N169" s="4">
        <f>IF($J169='Auto Responses'!$J$11,1,IF(AND($J169="",$I169='Auto Responses'!$J$11),1,0))</f>
        <v>0</v>
      </c>
      <c r="O169" s="101">
        <f>IF(OR($E169='Auto Responses'!$L$13,$F169='Auto Responses'!$J$5),'Auto Responses'!$J$5,IF($J169="",$K169,IF($J169='Auto Responses'!$J$13,5,IF($J169='Auto Responses'!$J$12,10,IF($J169='Auto Responses'!$J$11,20,0)))))</f>
        <v>10</v>
      </c>
      <c r="P169" s="101">
        <f>IF(OR($O169='Auto Responses'!$J$5,$L169='Auto Responses'!$J$5),'Auto Responses'!$J$5,$O169*$L169)</f>
        <v>10</v>
      </c>
      <c r="Q169" s="101">
        <f t="shared" si="15"/>
        <v>0</v>
      </c>
      <c r="R169" s="101">
        <f t="shared" si="19"/>
        <v>0</v>
      </c>
      <c r="S169" s="101">
        <f t="shared" si="16"/>
        <v>0</v>
      </c>
      <c r="T169" s="101">
        <f t="shared" si="17"/>
        <v>0</v>
      </c>
      <c r="U169" s="101">
        <f t="shared" si="20"/>
        <v>52</v>
      </c>
      <c r="V169" s="101">
        <f t="shared" si="18"/>
        <v>0</v>
      </c>
    </row>
    <row r="170" spans="1:22" ht="57" customHeight="1" x14ac:dyDescent="0.2">
      <c r="A170" s="4" t="str">
        <f>Questions!$A170</f>
        <v>PPPR-09</v>
      </c>
      <c r="B170" s="4" t="str">
        <f t="shared" si="14"/>
        <v>PPPR</v>
      </c>
      <c r="C170" s="4" t="str">
        <f>VLOOKUP($A170,Questions!$A$3:$L$333,2,0)&amp;""</f>
        <v>Are information security principles designed into the product lifecycle?</v>
      </c>
      <c r="D170" s="4" t="str">
        <f>VLOOKUP($A170,Questions!$A$3:$L$333,11,0)&amp;""</f>
        <v/>
      </c>
      <c r="E170" s="4" t="str">
        <f>VLOOKUP($A170,Questions!$A$3:$L$333,12,0)&amp;""</f>
        <v>Organization</v>
      </c>
      <c r="F170" s="4" t="str">
        <f>VLOOKUP($A170,'Institution Evaluation'!$A$56:$K$345,3,0)&amp;""</f>
        <v>Yes</v>
      </c>
      <c r="G170" s="4" t="str">
        <f>VLOOKUP($A170,'Institution Evaluation'!$A$56:$K$345,7,0)&amp;""</f>
        <v>Yes</v>
      </c>
      <c r="H170" s="4" t="str">
        <f>VLOOKUP($A170,'Institution Evaluation'!$A$56:$K$345,8,0)&amp;""</f>
        <v/>
      </c>
      <c r="I170" s="4" t="str">
        <f>VLOOKUP($A170,'Institution Evaluation'!$A$56:$K$345,9,0)&amp;""</f>
        <v>Minor Importance</v>
      </c>
      <c r="J170" s="4" t="str">
        <f>VLOOKUP($A170,'Institution Evaluation'!$A$56:$K$345,10,0)&amp;""</f>
        <v/>
      </c>
      <c r="K170" s="4">
        <f>IF($I170='Auto Responses'!$J$11,20,IF($I170='Auto Responses'!$J$13,5,10))</f>
        <v>5</v>
      </c>
      <c r="L170" s="101">
        <f>IF($E170='Auto Responses'!$L$13, 'Auto Responses'!$J$5,IF(AND($D170='Auto Responses'!$J$27,$H170=""),'Auto Responses'!$J$5,IF(AND($D170='Auto Responses'!$J$27,$H170='Auto Responses'!$J$7),1,IF(AND($D170='Auto Responses'!$J$27,$H170='Auto Responses'!$J$8),0,IF(OR(AND($F170=$G170,$H170=""),$H170='Auto Responses'!$J$7),1,0)))))</f>
        <v>1</v>
      </c>
      <c r="M170" s="4" t="str">
        <f>VLOOKUP($A170,'Institution Evaluation'!$A$56:$K$345,11,0)&amp;""</f>
        <v>FALSE</v>
      </c>
      <c r="N170" s="4">
        <f>IF($J170='Auto Responses'!$J$11,1,IF(AND($J170="",$I170='Auto Responses'!$J$11),1,0))</f>
        <v>0</v>
      </c>
      <c r="O170" s="101">
        <f>IF(OR($E170='Auto Responses'!$L$13,$F170='Auto Responses'!$J$5),'Auto Responses'!$J$5,IF($J170="",$K170,IF($J170='Auto Responses'!$J$13,5,IF($J170='Auto Responses'!$J$12,10,IF($J170='Auto Responses'!$J$11,20,0)))))</f>
        <v>5</v>
      </c>
      <c r="P170" s="101">
        <f>IF(OR($O170='Auto Responses'!$J$5,$L170='Auto Responses'!$J$5),'Auto Responses'!$J$5,$O170*$L170)</f>
        <v>5</v>
      </c>
      <c r="Q170" s="101">
        <f t="shared" si="15"/>
        <v>0</v>
      </c>
      <c r="R170" s="101">
        <f t="shared" si="19"/>
        <v>0</v>
      </c>
      <c r="S170" s="101">
        <f t="shared" si="16"/>
        <v>0</v>
      </c>
      <c r="T170" s="101">
        <f t="shared" si="17"/>
        <v>0</v>
      </c>
      <c r="U170" s="101">
        <f t="shared" si="20"/>
        <v>52</v>
      </c>
      <c r="V170" s="101">
        <f t="shared" si="18"/>
        <v>0</v>
      </c>
    </row>
    <row r="171" spans="1:22" ht="57" customHeight="1" x14ac:dyDescent="0.2">
      <c r="A171" s="4" t="str">
        <f>Questions!$A171</f>
        <v>PPPR-10</v>
      </c>
      <c r="B171" s="4" t="str">
        <f t="shared" si="14"/>
        <v>PPPR</v>
      </c>
      <c r="C171" s="4" t="str">
        <f>VLOOKUP($A171,Questions!$A$3:$L$333,2,0)&amp;""</f>
        <v>Will you comply with applicable breach notification laws?</v>
      </c>
      <c r="D171" s="4" t="str">
        <f>VLOOKUP($A171,Questions!$A$3:$L$333,11,0)&amp;""</f>
        <v/>
      </c>
      <c r="E171" s="4" t="str">
        <f>VLOOKUP($A171,Questions!$A$3:$L$333,12,0)&amp;""</f>
        <v>Organization</v>
      </c>
      <c r="F171" s="4" t="str">
        <f>VLOOKUP($A171,'Institution Evaluation'!$A$56:$K$345,3,0)&amp;""</f>
        <v>Yes</v>
      </c>
      <c r="G171" s="4" t="str">
        <f>VLOOKUP($A171,'Institution Evaluation'!$A$56:$K$345,7,0)&amp;""</f>
        <v>Yes</v>
      </c>
      <c r="H171" s="4" t="str">
        <f>VLOOKUP($A171,'Institution Evaluation'!$A$56:$K$345,8,0)&amp;""</f>
        <v/>
      </c>
      <c r="I171" s="4" t="str">
        <f>VLOOKUP($A171,'Institution Evaluation'!$A$56:$K$345,9,0)&amp;""</f>
        <v>Minor Importance</v>
      </c>
      <c r="J171" s="4" t="str">
        <f>VLOOKUP($A171,'Institution Evaluation'!$A$56:$K$345,10,0)&amp;""</f>
        <v/>
      </c>
      <c r="K171" s="4">
        <f>IF($I171='Auto Responses'!$J$11,20,IF($I171='Auto Responses'!$J$13,5,10))</f>
        <v>5</v>
      </c>
      <c r="L171" s="101">
        <f>IF($E171='Auto Responses'!$L$13, 'Auto Responses'!$J$5,IF(AND($D171='Auto Responses'!$J$27,$H171=""),'Auto Responses'!$J$5,IF(AND($D171='Auto Responses'!$J$27,$H171='Auto Responses'!$J$7),1,IF(AND($D171='Auto Responses'!$J$27,$H171='Auto Responses'!$J$8),0,IF(OR(AND($F171=$G171,$H171=""),$H171='Auto Responses'!$J$7),1,0)))))</f>
        <v>1</v>
      </c>
      <c r="M171" s="4" t="str">
        <f>VLOOKUP($A171,'Institution Evaluation'!$A$56:$K$345,11,0)&amp;""</f>
        <v>FALSE</v>
      </c>
      <c r="N171" s="4">
        <f>IF($J171='Auto Responses'!$J$11,1,IF(AND($J171="",$I171='Auto Responses'!$J$11),1,0))</f>
        <v>0</v>
      </c>
      <c r="O171" s="101">
        <f>IF(OR($E171='Auto Responses'!$L$13,$F171='Auto Responses'!$J$5),'Auto Responses'!$J$5,IF($J171="",$K171,IF($J171='Auto Responses'!$J$13,5,IF($J171='Auto Responses'!$J$12,10,IF($J171='Auto Responses'!$J$11,20,0)))))</f>
        <v>5</v>
      </c>
      <c r="P171" s="101">
        <f>IF(OR($O171='Auto Responses'!$J$5,$L171='Auto Responses'!$J$5),'Auto Responses'!$J$5,$O171*$L171)</f>
        <v>5</v>
      </c>
      <c r="Q171" s="101">
        <f t="shared" si="15"/>
        <v>0</v>
      </c>
      <c r="R171" s="101">
        <f t="shared" si="19"/>
        <v>0</v>
      </c>
      <c r="S171" s="101">
        <f t="shared" si="16"/>
        <v>0</v>
      </c>
      <c r="T171" s="101">
        <f t="shared" si="17"/>
        <v>0</v>
      </c>
      <c r="U171" s="101">
        <f t="shared" si="20"/>
        <v>52</v>
      </c>
      <c r="V171" s="101">
        <f t="shared" si="18"/>
        <v>0</v>
      </c>
    </row>
    <row r="172" spans="1:22" ht="57" customHeight="1" x14ac:dyDescent="0.2">
      <c r="A172" s="4" t="str">
        <f>Questions!$A172</f>
        <v>PPPR-11</v>
      </c>
      <c r="B172" s="4" t="str">
        <f t="shared" si="14"/>
        <v>PPPR</v>
      </c>
      <c r="C172" s="4" t="str">
        <f>VLOOKUP($A172,Questions!$A$3:$L$333,2,0)&amp;""</f>
        <v>Do you have an information security awareness program?</v>
      </c>
      <c r="D172" s="4" t="str">
        <f>VLOOKUP($A172,Questions!$A$3:$L$333,11,0)&amp;""</f>
        <v/>
      </c>
      <c r="E172" s="4" t="str">
        <f>VLOOKUP($A172,Questions!$A$3:$L$333,12,0)&amp;""</f>
        <v>Organization</v>
      </c>
      <c r="F172" s="4" t="str">
        <f>VLOOKUP($A172,'Institution Evaluation'!$A$56:$K$345,3,0)&amp;""</f>
        <v>Yes</v>
      </c>
      <c r="G172" s="4" t="str">
        <f>VLOOKUP($A172,'Institution Evaluation'!$A$56:$K$345,7,0)&amp;""</f>
        <v>Yes</v>
      </c>
      <c r="H172" s="4" t="str">
        <f>VLOOKUP($A172,'Institution Evaluation'!$A$56:$K$345,8,0)&amp;""</f>
        <v/>
      </c>
      <c r="I172" s="4" t="str">
        <f>VLOOKUP($A172,'Institution Evaluation'!$A$56:$K$345,9,0)&amp;""</f>
        <v>Minor Importance</v>
      </c>
      <c r="J172" s="4" t="str">
        <f>VLOOKUP($A172,'Institution Evaluation'!$A$56:$K$345,10,0)&amp;""</f>
        <v/>
      </c>
      <c r="K172" s="4">
        <f>IF($I172='Auto Responses'!$J$11,20,IF($I172='Auto Responses'!$J$13,5,10))</f>
        <v>5</v>
      </c>
      <c r="L172" s="101">
        <f>IF($E172='Auto Responses'!$L$13, 'Auto Responses'!$J$5,IF(AND($D172='Auto Responses'!$J$27,$H172=""),'Auto Responses'!$J$5,IF(AND($D172='Auto Responses'!$J$27,$H172='Auto Responses'!$J$7),1,IF(AND($D172='Auto Responses'!$J$27,$H172='Auto Responses'!$J$8),0,IF(OR(AND($F172=$G172,$H172=""),$H172='Auto Responses'!$J$7),1,0)))))</f>
        <v>1</v>
      </c>
      <c r="M172" s="4" t="str">
        <f>VLOOKUP($A172,'Institution Evaluation'!$A$56:$K$345,11,0)&amp;""</f>
        <v>FALSE</v>
      </c>
      <c r="N172" s="4">
        <f>IF($J172='Auto Responses'!$J$11,1,IF(AND($J172="",$I172='Auto Responses'!$J$11),1,0))</f>
        <v>0</v>
      </c>
      <c r="O172" s="101">
        <f>IF(OR($E172='Auto Responses'!$L$13,$F172='Auto Responses'!$J$5),'Auto Responses'!$J$5,IF($J172="",$K172,IF($J172='Auto Responses'!$J$13,5,IF($J172='Auto Responses'!$J$12,10,IF($J172='Auto Responses'!$J$11,20,0)))))</f>
        <v>5</v>
      </c>
      <c r="P172" s="101">
        <f>IF(OR($O172='Auto Responses'!$J$5,$L172='Auto Responses'!$J$5),'Auto Responses'!$J$5,$O172*$L172)</f>
        <v>5</v>
      </c>
      <c r="Q172" s="101">
        <f t="shared" si="15"/>
        <v>0</v>
      </c>
      <c r="R172" s="101">
        <f t="shared" si="19"/>
        <v>0</v>
      </c>
      <c r="S172" s="101">
        <f t="shared" si="16"/>
        <v>0</v>
      </c>
      <c r="T172" s="101">
        <f t="shared" si="17"/>
        <v>0</v>
      </c>
      <c r="U172" s="101">
        <f t="shared" si="20"/>
        <v>52</v>
      </c>
      <c r="V172" s="101">
        <f t="shared" si="18"/>
        <v>0</v>
      </c>
    </row>
    <row r="173" spans="1:22" ht="57" customHeight="1" x14ac:dyDescent="0.2">
      <c r="A173" s="4" t="str">
        <f>Questions!$A173</f>
        <v>PPPR-12</v>
      </c>
      <c r="B173" s="4" t="str">
        <f t="shared" si="14"/>
        <v>PPPR</v>
      </c>
      <c r="C173" s="4" t="str">
        <f>VLOOKUP($A173,Questions!$A$3:$L$333,2,0)&amp;""</f>
        <v>Is security awareness training mandatory for all employees?</v>
      </c>
      <c r="D173" s="4" t="str">
        <f>VLOOKUP($A173,Questions!$A$3:$L$333,11,0)&amp;""</f>
        <v/>
      </c>
      <c r="E173" s="4" t="str">
        <f>VLOOKUP($A173,Questions!$A$3:$L$333,12,0)&amp;""</f>
        <v>Organization</v>
      </c>
      <c r="F173" s="4" t="str">
        <f>VLOOKUP($A173,'Institution Evaluation'!$A$56:$K$345,3,0)&amp;""</f>
        <v>Yes</v>
      </c>
      <c r="G173" s="4" t="str">
        <f>VLOOKUP($A173,'Institution Evaluation'!$A$56:$K$345,7,0)&amp;""</f>
        <v>Yes</v>
      </c>
      <c r="H173" s="4" t="str">
        <f>VLOOKUP($A173,'Institution Evaluation'!$A$56:$K$345,8,0)&amp;""</f>
        <v/>
      </c>
      <c r="I173" s="4" t="str">
        <f>VLOOKUP($A173,'Institution Evaluation'!$A$56:$K$345,9,0)&amp;""</f>
        <v>Minor Importance</v>
      </c>
      <c r="J173" s="4" t="str">
        <f>VLOOKUP($A173,'Institution Evaluation'!$A$56:$K$345,10,0)&amp;""</f>
        <v/>
      </c>
      <c r="K173" s="4">
        <f>IF($I173='Auto Responses'!$J$11,20,IF($I173='Auto Responses'!$J$13,5,10))</f>
        <v>5</v>
      </c>
      <c r="L173" s="101">
        <f>IF($E173='Auto Responses'!$L$13, 'Auto Responses'!$J$5,IF(AND($D173='Auto Responses'!$J$27,$H173=""),'Auto Responses'!$J$5,IF(AND($D173='Auto Responses'!$J$27,$H173='Auto Responses'!$J$7),1,IF(AND($D173='Auto Responses'!$J$27,$H173='Auto Responses'!$J$8),0,IF(OR(AND($F173=$G173,$H173=""),$H173='Auto Responses'!$J$7),1,0)))))</f>
        <v>1</v>
      </c>
      <c r="M173" s="4" t="str">
        <f>VLOOKUP($A173,'Institution Evaluation'!$A$56:$K$345,11,0)&amp;""</f>
        <v>FALSE</v>
      </c>
      <c r="N173" s="4">
        <f>IF($J173='Auto Responses'!$J$11,1,IF(AND($J173="",$I173='Auto Responses'!$J$11),1,0))</f>
        <v>0</v>
      </c>
      <c r="O173" s="101">
        <f>IF(OR($E173='Auto Responses'!$L$13,$F173='Auto Responses'!$J$5),'Auto Responses'!$J$5,IF($J173="",$K173,IF($J173='Auto Responses'!$J$13,5,IF($J173='Auto Responses'!$J$12,10,IF($J173='Auto Responses'!$J$11,20,0)))))</f>
        <v>5</v>
      </c>
      <c r="P173" s="101">
        <f>IF(OR($O173='Auto Responses'!$J$5,$L173='Auto Responses'!$J$5),'Auto Responses'!$J$5,$O173*$L173)</f>
        <v>5</v>
      </c>
      <c r="Q173" s="101">
        <f t="shared" si="15"/>
        <v>0</v>
      </c>
      <c r="R173" s="101">
        <f t="shared" si="19"/>
        <v>0</v>
      </c>
      <c r="S173" s="101">
        <f t="shared" si="16"/>
        <v>0</v>
      </c>
      <c r="T173" s="101">
        <f t="shared" si="17"/>
        <v>0</v>
      </c>
      <c r="U173" s="101">
        <f t="shared" si="20"/>
        <v>52</v>
      </c>
      <c r="V173" s="101">
        <f t="shared" si="18"/>
        <v>0</v>
      </c>
    </row>
    <row r="174" spans="1:22" ht="57" customHeight="1" x14ac:dyDescent="0.2">
      <c r="A174" s="4" t="str">
        <f>Questions!$A174</f>
        <v>PPPR-13</v>
      </c>
      <c r="B174" s="4" t="str">
        <f t="shared" si="14"/>
        <v>PPPR</v>
      </c>
      <c r="C174" s="4" t="str">
        <f>VLOOKUP($A174,Questions!$A$3:$L$333,2,0)&amp;""</f>
        <v>Do you have process and procedure(s) documented, and currently followed, that require a review and update of the access list(s) for privileged accounts?</v>
      </c>
      <c r="D174" s="4" t="str">
        <f>VLOOKUP($A174,Questions!$A$3:$L$333,11,0)&amp;""</f>
        <v/>
      </c>
      <c r="E174" s="4" t="str">
        <f>VLOOKUP($A174,Questions!$A$3:$L$333,12,0)&amp;""</f>
        <v>Organization</v>
      </c>
      <c r="F174" s="4" t="str">
        <f>VLOOKUP($A174,'Institution Evaluation'!$A$56:$K$345,3,0)&amp;""</f>
        <v>Yes</v>
      </c>
      <c r="G174" s="4" t="str">
        <f>VLOOKUP($A174,'Institution Evaluation'!$A$56:$K$345,7,0)&amp;""</f>
        <v>Yes</v>
      </c>
      <c r="H174" s="4" t="str">
        <f>VLOOKUP($A174,'Institution Evaluation'!$A$56:$K$345,8,0)&amp;""</f>
        <v/>
      </c>
      <c r="I174" s="4" t="str">
        <f>VLOOKUP($A174,'Institution Evaluation'!$A$56:$K$345,9,0)&amp;""</f>
        <v>Minor Importance</v>
      </c>
      <c r="J174" s="4" t="str">
        <f>VLOOKUP($A174,'Institution Evaluation'!$A$56:$K$345,10,0)&amp;""</f>
        <v/>
      </c>
      <c r="K174" s="4">
        <f>IF($I174='Auto Responses'!$J$11,20,IF($I174='Auto Responses'!$J$13,5,10))</f>
        <v>5</v>
      </c>
      <c r="L174" s="101">
        <f>IF($E174='Auto Responses'!$L$13, 'Auto Responses'!$J$5,IF(AND($D174='Auto Responses'!$J$27,$H174=""),'Auto Responses'!$J$5,IF(AND($D174='Auto Responses'!$J$27,$H174='Auto Responses'!$J$7),1,IF(AND($D174='Auto Responses'!$J$27,$H174='Auto Responses'!$J$8),0,IF(OR(AND($F174=$G174,$H174=""),$H174='Auto Responses'!$J$7),1,0)))))</f>
        <v>1</v>
      </c>
      <c r="M174" s="4" t="str">
        <f>VLOOKUP($A174,'Institution Evaluation'!$A$56:$K$345,11,0)&amp;""</f>
        <v>FALSE</v>
      </c>
      <c r="N174" s="4">
        <f>IF($J174='Auto Responses'!$J$11,1,IF(AND($J174="",$I174='Auto Responses'!$J$11),1,0))</f>
        <v>0</v>
      </c>
      <c r="O174" s="101">
        <f>IF(OR($E174='Auto Responses'!$L$13,$F174='Auto Responses'!$J$5),'Auto Responses'!$J$5,IF($J174="",$K174,IF($J174='Auto Responses'!$J$13,5,IF($J174='Auto Responses'!$J$12,10,IF($J174='Auto Responses'!$J$11,20,0)))))</f>
        <v>5</v>
      </c>
      <c r="P174" s="101">
        <f>IF(OR($O174='Auto Responses'!$J$5,$L174='Auto Responses'!$J$5),'Auto Responses'!$J$5,$O174*$L174)</f>
        <v>5</v>
      </c>
      <c r="Q174" s="101">
        <f t="shared" si="15"/>
        <v>0</v>
      </c>
      <c r="R174" s="101">
        <f t="shared" si="19"/>
        <v>0</v>
      </c>
      <c r="S174" s="101">
        <f t="shared" si="16"/>
        <v>0</v>
      </c>
      <c r="T174" s="101">
        <f t="shared" si="17"/>
        <v>0</v>
      </c>
      <c r="U174" s="101">
        <f t="shared" si="20"/>
        <v>52</v>
      </c>
      <c r="V174" s="101">
        <f t="shared" si="18"/>
        <v>0</v>
      </c>
    </row>
    <row r="175" spans="1:22" ht="57" customHeight="1" x14ac:dyDescent="0.2">
      <c r="A175" s="4" t="str">
        <f>Questions!$A175</f>
        <v>PPPR-14</v>
      </c>
      <c r="B175" s="4" t="str">
        <f t="shared" si="14"/>
        <v>PPPR</v>
      </c>
      <c r="C175" s="4" t="str">
        <f>VLOOKUP($A175,Questions!$A$3:$L$333,2,0)&amp;""</f>
        <v>Do you have documented, and currently implemented, internal audit processes and procedures?</v>
      </c>
      <c r="D175" s="4" t="str">
        <f>VLOOKUP($A175,Questions!$A$3:$L$333,11,0)&amp;""</f>
        <v/>
      </c>
      <c r="E175" s="4" t="str">
        <f>VLOOKUP($A175,Questions!$A$3:$L$333,12,0)&amp;""</f>
        <v>Organization</v>
      </c>
      <c r="F175" s="4" t="str">
        <f>VLOOKUP($A175,'Institution Evaluation'!$A$56:$K$345,3,0)&amp;""</f>
        <v>Yes</v>
      </c>
      <c r="G175" s="4" t="str">
        <f>VLOOKUP($A175,'Institution Evaluation'!$A$56:$K$345,7,0)&amp;""</f>
        <v>Yes</v>
      </c>
      <c r="H175" s="4" t="str">
        <f>VLOOKUP($A175,'Institution Evaluation'!$A$56:$K$345,8,0)&amp;""</f>
        <v/>
      </c>
      <c r="I175" s="4" t="str">
        <f>VLOOKUP($A175,'Institution Evaluation'!$A$56:$K$345,9,0)&amp;""</f>
        <v>Minor Importance</v>
      </c>
      <c r="J175" s="4" t="str">
        <f>VLOOKUP($A175,'Institution Evaluation'!$A$56:$K$345,10,0)&amp;""</f>
        <v/>
      </c>
      <c r="K175" s="4">
        <f>IF($I175='Auto Responses'!$J$11,20,IF($I175='Auto Responses'!$J$13,5,10))</f>
        <v>5</v>
      </c>
      <c r="L175" s="101">
        <f>IF($E175='Auto Responses'!$L$13, 'Auto Responses'!$J$5,IF(AND($D175='Auto Responses'!$J$27,$H175=""),'Auto Responses'!$J$5,IF(AND($D175='Auto Responses'!$J$27,$H175='Auto Responses'!$J$7),1,IF(AND($D175='Auto Responses'!$J$27,$H175='Auto Responses'!$J$8),0,IF(OR(AND($F175=$G175,$H175=""),$H175='Auto Responses'!$J$7),1,0)))))</f>
        <v>1</v>
      </c>
      <c r="M175" s="4" t="str">
        <f>VLOOKUP($A175,'Institution Evaluation'!$A$56:$K$345,11,0)&amp;""</f>
        <v>FALSE</v>
      </c>
      <c r="N175" s="4">
        <f>IF($J175='Auto Responses'!$J$11,1,IF(AND($J175="",$I175='Auto Responses'!$J$11),1,0))</f>
        <v>0</v>
      </c>
      <c r="O175" s="101">
        <f>IF(OR($E175='Auto Responses'!$L$13,$F175='Auto Responses'!$J$5),'Auto Responses'!$J$5,IF($J175="",$K175,IF($J175='Auto Responses'!$J$13,5,IF($J175='Auto Responses'!$J$12,10,IF($J175='Auto Responses'!$J$11,20,0)))))</f>
        <v>5</v>
      </c>
      <c r="P175" s="101">
        <f>IF(OR($O175='Auto Responses'!$J$5,$L175='Auto Responses'!$J$5),'Auto Responses'!$J$5,$O175*$L175)</f>
        <v>5</v>
      </c>
      <c r="Q175" s="101">
        <f t="shared" si="15"/>
        <v>0</v>
      </c>
      <c r="R175" s="101">
        <f t="shared" si="19"/>
        <v>0</v>
      </c>
      <c r="S175" s="101">
        <f t="shared" si="16"/>
        <v>0</v>
      </c>
      <c r="T175" s="101">
        <f t="shared" si="17"/>
        <v>0</v>
      </c>
      <c r="U175" s="101">
        <f t="shared" si="20"/>
        <v>52</v>
      </c>
      <c r="V175" s="101">
        <f t="shared" si="18"/>
        <v>0</v>
      </c>
    </row>
    <row r="176" spans="1:22" ht="57" customHeight="1" x14ac:dyDescent="0.2">
      <c r="A176" s="4" t="str">
        <f>Questions!$A176</f>
        <v>PPPR-15</v>
      </c>
      <c r="B176" s="4" t="str">
        <f t="shared" si="14"/>
        <v>PPPR</v>
      </c>
      <c r="C176" s="4" t="str">
        <f>VLOOKUP($A176,Questions!$A$3:$L$333,2,0)&amp;""</f>
        <v>Does your organization have physical security controls and policies in place?</v>
      </c>
      <c r="D176" s="4" t="str">
        <f>VLOOKUP($A176,Questions!$A$3:$L$333,11,0)&amp;""</f>
        <v/>
      </c>
      <c r="E176" s="4" t="str">
        <f>VLOOKUP($A176,Questions!$A$3:$L$333,12,0)&amp;""</f>
        <v>Organization</v>
      </c>
      <c r="F176" s="4" t="str">
        <f>VLOOKUP($A176,'Institution Evaluation'!$A$56:$K$345,3,0)&amp;""</f>
        <v>Yes</v>
      </c>
      <c r="G176" s="4" t="str">
        <f>VLOOKUP($A176,'Institution Evaluation'!$A$56:$K$345,7,0)&amp;""</f>
        <v>Yes</v>
      </c>
      <c r="H176" s="4" t="str">
        <f>VLOOKUP($A176,'Institution Evaluation'!$A$56:$K$345,8,0)&amp;""</f>
        <v/>
      </c>
      <c r="I176" s="4" t="str">
        <f>VLOOKUP($A176,'Institution Evaluation'!$A$56:$K$345,9,0)&amp;""</f>
        <v>Minor Importance</v>
      </c>
      <c r="J176" s="4" t="str">
        <f>VLOOKUP($A176,'Institution Evaluation'!$A$56:$K$345,10,0)&amp;""</f>
        <v/>
      </c>
      <c r="K176" s="4">
        <f>IF($I176='Auto Responses'!$J$11,20,IF($I176='Auto Responses'!$J$13,5,10))</f>
        <v>5</v>
      </c>
      <c r="L176" s="101">
        <f>IF($E176='Auto Responses'!$L$13, 'Auto Responses'!$J$5,IF(AND($D176='Auto Responses'!$J$27,$H176=""),'Auto Responses'!$J$5,IF(AND($D176='Auto Responses'!$J$27,$H176='Auto Responses'!$J$7),1,IF(AND($D176='Auto Responses'!$J$27,$H176='Auto Responses'!$J$8),0,IF(OR(AND($F176=$G176,$H176=""),$H176='Auto Responses'!$J$7),1,0)))))</f>
        <v>1</v>
      </c>
      <c r="M176" s="4" t="str">
        <f>VLOOKUP($A176,'Institution Evaluation'!$A$56:$K$345,11,0)&amp;""</f>
        <v>FALSE</v>
      </c>
      <c r="N176" s="4">
        <f>IF($J176='Auto Responses'!$J$11,1,IF(AND($J176="",$I176='Auto Responses'!$J$11),1,0))</f>
        <v>0</v>
      </c>
      <c r="O176" s="101">
        <f>IF(OR($E176='Auto Responses'!$L$13,$F176='Auto Responses'!$J$5),'Auto Responses'!$J$5,IF($J176="",$K176,IF($J176='Auto Responses'!$J$13,5,IF($J176='Auto Responses'!$J$12,10,IF($J176='Auto Responses'!$J$11,20,0)))))</f>
        <v>5</v>
      </c>
      <c r="P176" s="101">
        <f>IF(OR($O176='Auto Responses'!$J$5,$L176='Auto Responses'!$J$5),'Auto Responses'!$J$5,$O176*$L176)</f>
        <v>5</v>
      </c>
      <c r="Q176" s="101">
        <f t="shared" si="15"/>
        <v>0</v>
      </c>
      <c r="R176" s="101">
        <f t="shared" si="19"/>
        <v>0</v>
      </c>
      <c r="S176" s="101">
        <f t="shared" si="16"/>
        <v>0</v>
      </c>
      <c r="T176" s="101">
        <f t="shared" si="17"/>
        <v>0</v>
      </c>
      <c r="U176" s="101">
        <f t="shared" si="20"/>
        <v>52</v>
      </c>
      <c r="V176" s="101">
        <f t="shared" si="18"/>
        <v>0</v>
      </c>
    </row>
    <row r="177" spans="1:22" ht="57" customHeight="1" x14ac:dyDescent="0.2">
      <c r="A177" s="4" t="str">
        <f>Questions!$A177</f>
        <v>HFIH-01</v>
      </c>
      <c r="B177" s="4" t="str">
        <f t="shared" si="14"/>
        <v>HFIH</v>
      </c>
      <c r="C177" s="4" t="str">
        <f>VLOOKUP($A177,Questions!$A$3:$L$333,2,0)&amp;""</f>
        <v>Do you have a formal incident response plan?</v>
      </c>
      <c r="D177" s="4" t="str">
        <f>VLOOKUP($A177,Questions!$A$3:$L$333,11,0)&amp;""</f>
        <v/>
      </c>
      <c r="E177" s="4" t="str">
        <f>VLOOKUP($A177,Questions!$A$3:$L$333,12,0)&amp;""</f>
        <v>Infrastructure</v>
      </c>
      <c r="F177" s="4" t="str">
        <f>VLOOKUP($A177,'Institution Evaluation'!$A$56:$K$345,3,0)&amp;""</f>
        <v>Yes</v>
      </c>
      <c r="G177" s="4" t="str">
        <f>VLOOKUP($A177,'Institution Evaluation'!$A$56:$K$345,7,0)&amp;""</f>
        <v>Yes</v>
      </c>
      <c r="H177" s="4" t="str">
        <f>VLOOKUP($A177,'Institution Evaluation'!$A$56:$K$345,8,0)&amp;""</f>
        <v/>
      </c>
      <c r="I177" s="4" t="str">
        <f>VLOOKUP($A177,'Institution Evaluation'!$A$56:$K$345,9,0)&amp;""</f>
        <v>Standard Importance</v>
      </c>
      <c r="J177" s="4" t="str">
        <f>VLOOKUP($A177,'Institution Evaluation'!$A$56:$K$345,10,0)&amp;""</f>
        <v/>
      </c>
      <c r="K177" s="4">
        <f>IF($I177='Auto Responses'!$J$11,20,IF($I177='Auto Responses'!$J$13,5,10))</f>
        <v>10</v>
      </c>
      <c r="L177" s="101">
        <f>IF($E177='Auto Responses'!$L$13, 'Auto Responses'!$J$5,IF(AND($D177='Auto Responses'!$J$27,$H177=""),'Auto Responses'!$J$5,IF(AND($D177='Auto Responses'!$J$27,$H177='Auto Responses'!$J$7),1,IF(AND($D177='Auto Responses'!$J$27,$H177='Auto Responses'!$J$8),0,IF(OR(AND($F177=$G177,$H177=""),$H177='Auto Responses'!$J$7),1,0)))))</f>
        <v>1</v>
      </c>
      <c r="M177" s="4" t="str">
        <f>VLOOKUP($A177,'Institution Evaluation'!$A$56:$K$345,11,0)&amp;""</f>
        <v>FALSE</v>
      </c>
      <c r="N177" s="4">
        <f>IF($J177='Auto Responses'!$J$11,1,IF(AND($J177="",$I177='Auto Responses'!$J$11),1,0))</f>
        <v>0</v>
      </c>
      <c r="O177" s="101">
        <f>IF(OR($F$17='Auto Responses'!$J$4,$E177='Auto Responses'!$L$13,$F177='Auto Responses'!$J$5),'Auto Responses'!$J$5,IF($J177="",$K177,IF($J177='Auto Responses'!$J$13,5,IF($J177='Auto Responses'!$J$12,10,IF($J177='Auto Responses'!$J$11,20,0)))))</f>
        <v>10</v>
      </c>
      <c r="P177" s="101">
        <f>IF(OR($O177='Auto Responses'!$J$5,$L177='Auto Responses'!$J$5),'Auto Responses'!$J$5,$O177*$L177)</f>
        <v>10</v>
      </c>
      <c r="Q177" s="101">
        <f t="shared" si="15"/>
        <v>0</v>
      </c>
      <c r="R177" s="101">
        <f t="shared" si="19"/>
        <v>0</v>
      </c>
      <c r="S177" s="101">
        <f t="shared" si="16"/>
        <v>0</v>
      </c>
      <c r="T177" s="101">
        <f t="shared" si="17"/>
        <v>0</v>
      </c>
      <c r="U177" s="101">
        <f t="shared" si="20"/>
        <v>52</v>
      </c>
      <c r="V177" s="101">
        <f t="shared" si="18"/>
        <v>0</v>
      </c>
    </row>
    <row r="178" spans="1:22" ht="57" customHeight="1" x14ac:dyDescent="0.2">
      <c r="A178" s="4" t="str">
        <f>Questions!$A178</f>
        <v>HFIH-02</v>
      </c>
      <c r="B178" s="4" t="str">
        <f t="shared" si="14"/>
        <v>HFIH</v>
      </c>
      <c r="C178" s="4" t="str">
        <f>VLOOKUP($A178,Questions!$A$3:$L$333,2,0)&amp;""</f>
        <v>Do you either have an internal incident response team or retain an external team?</v>
      </c>
      <c r="D178" s="4" t="str">
        <f>VLOOKUP($A178,Questions!$A$3:$L$333,11,0)&amp;""</f>
        <v/>
      </c>
      <c r="E178" s="4" t="str">
        <f>VLOOKUP($A178,Questions!$A$3:$L$333,12,0)&amp;""</f>
        <v>Infrastructure</v>
      </c>
      <c r="F178" s="4" t="str">
        <f>VLOOKUP($A178,'Institution Evaluation'!$A$56:$K$345,3,0)&amp;""</f>
        <v>Yes</v>
      </c>
      <c r="G178" s="4" t="str">
        <f>VLOOKUP($A178,'Institution Evaluation'!$A$56:$K$345,7,0)&amp;""</f>
        <v>Yes</v>
      </c>
      <c r="H178" s="4" t="str">
        <f>VLOOKUP($A178,'Institution Evaluation'!$A$56:$K$345,8,0)&amp;""</f>
        <v/>
      </c>
      <c r="I178" s="4" t="str">
        <f>VLOOKUP($A178,'Institution Evaluation'!$A$56:$K$345,9,0)&amp;""</f>
        <v>Minor Importance</v>
      </c>
      <c r="J178" s="4" t="str">
        <f>VLOOKUP($A178,'Institution Evaluation'!$A$56:$K$345,10,0)&amp;""</f>
        <v/>
      </c>
      <c r="K178" s="4">
        <f>IF($I178='Auto Responses'!$J$11,20,IF($I178='Auto Responses'!$J$13,5,10))</f>
        <v>5</v>
      </c>
      <c r="L178" s="101">
        <f>IF($E178='Auto Responses'!$L$13, 'Auto Responses'!$J$5,IF(AND($D178='Auto Responses'!$J$27,$H178=""),'Auto Responses'!$J$5,IF(AND($D178='Auto Responses'!$J$27,$H178='Auto Responses'!$J$7),1,IF(AND($D178='Auto Responses'!$J$27,$H178='Auto Responses'!$J$8),0,IF(OR(AND($F178=$G178,$H178=""),$H178='Auto Responses'!$J$7),1,0)))))</f>
        <v>1</v>
      </c>
      <c r="M178" s="4" t="str">
        <f>VLOOKUP($A178,'Institution Evaluation'!$A$56:$K$345,11,0)&amp;""</f>
        <v>FALSE</v>
      </c>
      <c r="N178" s="4">
        <f>IF($J178='Auto Responses'!$J$11,1,IF(AND($J178="",$I178='Auto Responses'!$J$11),1,0))</f>
        <v>0</v>
      </c>
      <c r="O178" s="101">
        <f>IF(OR($F$17='Auto Responses'!$J$4,$E178='Auto Responses'!$L$13,$F178='Auto Responses'!$J$5),'Auto Responses'!$J$5,IF($J178="",$K178,IF($J178='Auto Responses'!$J$13,5,IF($J178='Auto Responses'!$J$12,10,IF($J178='Auto Responses'!$J$11,20,0)))))</f>
        <v>5</v>
      </c>
      <c r="P178" s="101">
        <f>IF(OR($O178='Auto Responses'!$J$5,$L178='Auto Responses'!$J$5),'Auto Responses'!$J$5,$O178*$L178)</f>
        <v>5</v>
      </c>
      <c r="Q178" s="101">
        <f t="shared" si="15"/>
        <v>0</v>
      </c>
      <c r="R178" s="101">
        <f t="shared" si="19"/>
        <v>0</v>
      </c>
      <c r="S178" s="101">
        <f t="shared" si="16"/>
        <v>0</v>
      </c>
      <c r="T178" s="101">
        <f t="shared" si="17"/>
        <v>0</v>
      </c>
      <c r="U178" s="101">
        <f t="shared" si="20"/>
        <v>52</v>
      </c>
      <c r="V178" s="101">
        <f t="shared" si="18"/>
        <v>0</v>
      </c>
    </row>
    <row r="179" spans="1:22" ht="57" customHeight="1" x14ac:dyDescent="0.2">
      <c r="A179" s="4" t="str">
        <f>Questions!$A179</f>
        <v>HFIH-03</v>
      </c>
      <c r="B179" s="4" t="str">
        <f t="shared" si="14"/>
        <v>HFIH</v>
      </c>
      <c r="C179" s="4" t="str">
        <f>VLOOKUP($A179,Questions!$A$3:$L$333,2,0)&amp;""</f>
        <v>Do you have the capability to respond to incidents on a 24 x 7 x 365 basis?</v>
      </c>
      <c r="D179" s="4" t="str">
        <f>VLOOKUP($A179,Questions!$A$3:$L$333,11,0)&amp;""</f>
        <v/>
      </c>
      <c r="E179" s="4" t="str">
        <f>VLOOKUP($A179,Questions!$A$3:$L$333,12,0)&amp;""</f>
        <v>Infrastructure</v>
      </c>
      <c r="F179" s="4" t="str">
        <f>VLOOKUP($A179,'Institution Evaluation'!$A$56:$K$345,3,0)&amp;""</f>
        <v>Yes</v>
      </c>
      <c r="G179" s="4" t="str">
        <f>VLOOKUP($A179,'Institution Evaluation'!$A$56:$K$345,7,0)&amp;""</f>
        <v>Yes</v>
      </c>
      <c r="H179" s="4" t="str">
        <f>VLOOKUP($A179,'Institution Evaluation'!$A$56:$K$345,8,0)&amp;""</f>
        <v/>
      </c>
      <c r="I179" s="4" t="str">
        <f>VLOOKUP($A179,'Institution Evaluation'!$A$56:$K$345,9,0)&amp;""</f>
        <v>Minor Importance</v>
      </c>
      <c r="J179" s="4" t="str">
        <f>VLOOKUP($A179,'Institution Evaluation'!$A$56:$K$345,10,0)&amp;""</f>
        <v/>
      </c>
      <c r="K179" s="4">
        <f>IF($I179='Auto Responses'!$J$11,20,IF($I179='Auto Responses'!$J$13,5,10))</f>
        <v>5</v>
      </c>
      <c r="L179" s="101">
        <f>IF($E179='Auto Responses'!$L$13, 'Auto Responses'!$J$5,IF(AND($D179='Auto Responses'!$J$27,$H179=""),'Auto Responses'!$J$5,IF(AND($D179='Auto Responses'!$J$27,$H179='Auto Responses'!$J$7),1,IF(AND($D179='Auto Responses'!$J$27,$H179='Auto Responses'!$J$8),0,IF(OR(AND($F179=$G179,$H179=""),$H179='Auto Responses'!$J$7),1,0)))))</f>
        <v>1</v>
      </c>
      <c r="M179" s="4" t="str">
        <f>VLOOKUP($A179,'Institution Evaluation'!$A$56:$K$345,11,0)&amp;""</f>
        <v>FALSE</v>
      </c>
      <c r="N179" s="4">
        <f>IF($J179='Auto Responses'!$J$11,1,IF(AND($J179="",$I179='Auto Responses'!$J$11),1,0))</f>
        <v>0</v>
      </c>
      <c r="O179" s="101">
        <f>IF(OR($F$17='Auto Responses'!$J$4,$E179='Auto Responses'!$L$13,$F179='Auto Responses'!$J$5),'Auto Responses'!$J$5,IF($J179="",$K179,IF($J179='Auto Responses'!$J$13,5,IF($J179='Auto Responses'!$J$12,10,IF($J179='Auto Responses'!$J$11,20,0)))))</f>
        <v>5</v>
      </c>
      <c r="P179" s="101">
        <f>IF(OR($O179='Auto Responses'!$J$5,$L179='Auto Responses'!$J$5),'Auto Responses'!$J$5,$O179*$L179)</f>
        <v>5</v>
      </c>
      <c r="Q179" s="101">
        <f t="shared" si="15"/>
        <v>0</v>
      </c>
      <c r="R179" s="101">
        <f t="shared" si="19"/>
        <v>0</v>
      </c>
      <c r="S179" s="101">
        <f t="shared" si="16"/>
        <v>0</v>
      </c>
      <c r="T179" s="101">
        <f t="shared" si="17"/>
        <v>0</v>
      </c>
      <c r="U179" s="101">
        <f t="shared" si="20"/>
        <v>52</v>
      </c>
      <c r="V179" s="101">
        <f t="shared" si="18"/>
        <v>0</v>
      </c>
    </row>
    <row r="180" spans="1:22" ht="57" customHeight="1" x14ac:dyDescent="0.2">
      <c r="A180" s="4" t="str">
        <f>Questions!$A180</f>
        <v>HFIH-04</v>
      </c>
      <c r="B180" s="4" t="str">
        <f t="shared" si="14"/>
        <v>HFIH</v>
      </c>
      <c r="C180" s="4" t="str">
        <f>VLOOKUP($A180,Questions!$A$3:$L$333,2,0)&amp;""</f>
        <v>Do you carry cyber-risk insurance to protect against unforeseen service outages, data that is lost or stolen, and security incidents?</v>
      </c>
      <c r="D180" s="4" t="str">
        <f>VLOOKUP($A180,Questions!$A$3:$L$333,11,0)&amp;""</f>
        <v/>
      </c>
      <c r="E180" s="4" t="str">
        <f>VLOOKUP($A180,Questions!$A$3:$L$333,12,0)&amp;""</f>
        <v>Infrastructure</v>
      </c>
      <c r="F180" s="4" t="str">
        <f>VLOOKUP($A180,'Institution Evaluation'!$A$56:$K$345,3,0)&amp;""</f>
        <v>Yes</v>
      </c>
      <c r="G180" s="4" t="str">
        <f>VLOOKUP($A180,'Institution Evaluation'!$A$56:$K$345,7,0)&amp;""</f>
        <v>Yes</v>
      </c>
      <c r="H180" s="4" t="str">
        <f>VLOOKUP($A180,'Institution Evaluation'!$A$56:$K$345,8,0)&amp;""</f>
        <v/>
      </c>
      <c r="I180" s="4" t="str">
        <f>VLOOKUP($A180,'Institution Evaluation'!$A$56:$K$345,9,0)&amp;""</f>
        <v>Minor Importance</v>
      </c>
      <c r="J180" s="4" t="str">
        <f>VLOOKUP($A180,'Institution Evaluation'!$A$56:$K$345,10,0)&amp;""</f>
        <v/>
      </c>
      <c r="K180" s="4">
        <f>IF($I180='Auto Responses'!$J$11,20,IF($I180='Auto Responses'!$J$13,5,10))</f>
        <v>5</v>
      </c>
      <c r="L180" s="101">
        <f>IF($E180='Auto Responses'!$L$13, 'Auto Responses'!$J$5,IF(AND($D180='Auto Responses'!$J$27,$H180=""),'Auto Responses'!$J$5,IF(AND($D180='Auto Responses'!$J$27,$H180='Auto Responses'!$J$7),1,IF(AND($D180='Auto Responses'!$J$27,$H180='Auto Responses'!$J$8),0,IF(OR(AND($F180=$G180,$H180=""),$H180='Auto Responses'!$J$7),1,0)))))</f>
        <v>1</v>
      </c>
      <c r="M180" s="4" t="str">
        <f>VLOOKUP($A180,'Institution Evaluation'!$A$56:$K$345,11,0)&amp;""</f>
        <v>FALSE</v>
      </c>
      <c r="N180" s="4">
        <f>IF($J180='Auto Responses'!$J$11,1,IF(AND($J180="",$I180='Auto Responses'!$J$11),1,0))</f>
        <v>0</v>
      </c>
      <c r="O180" s="101">
        <f>IF(OR($F$17='Auto Responses'!$J$4,$E180='Auto Responses'!$L$13,$F180='Auto Responses'!$J$5),'Auto Responses'!$J$5,IF($J180="",$K180,IF($J180='Auto Responses'!$J$13,5,IF($J180='Auto Responses'!$J$12,10,IF($J180='Auto Responses'!$J$11,20,0)))))</f>
        <v>5</v>
      </c>
      <c r="P180" s="101">
        <f>IF(OR($O180='Auto Responses'!$J$5,$L180='Auto Responses'!$J$5),'Auto Responses'!$J$5,$O180*$L180)</f>
        <v>5</v>
      </c>
      <c r="Q180" s="101">
        <f t="shared" si="15"/>
        <v>0</v>
      </c>
      <c r="R180" s="101">
        <f t="shared" si="19"/>
        <v>0</v>
      </c>
      <c r="S180" s="101">
        <f t="shared" si="16"/>
        <v>0</v>
      </c>
      <c r="T180" s="101">
        <f t="shared" si="17"/>
        <v>0</v>
      </c>
      <c r="U180" s="101">
        <f t="shared" si="20"/>
        <v>52</v>
      </c>
      <c r="V180" s="101">
        <f t="shared" si="18"/>
        <v>0</v>
      </c>
    </row>
    <row r="181" spans="1:22" ht="57" customHeight="1" x14ac:dyDescent="0.2">
      <c r="A181" s="4" t="str">
        <f>Questions!$A181</f>
        <v>VULN-01</v>
      </c>
      <c r="B181" s="4" t="str">
        <f t="shared" si="14"/>
        <v>VULN</v>
      </c>
      <c r="C181" s="4" t="str">
        <f>VLOOKUP($A181,Questions!$A$3:$L$333,2,0)&amp;""</f>
        <v>Are your systems and applications scanned with an authenticated user account for vulnerabilities (that are remediated) prior to new releases?*</v>
      </c>
      <c r="D181" s="4" t="str">
        <f>VLOOKUP($A181,Questions!$A$3:$L$333,11,0)&amp;""</f>
        <v/>
      </c>
      <c r="E181" s="4" t="str">
        <f>VLOOKUP($A181,Questions!$A$3:$L$333,12,0)&amp;""</f>
        <v>Infrastructure</v>
      </c>
      <c r="F181" s="4" t="str">
        <f>VLOOKUP($A181,'Institution Evaluation'!$A$56:$K$345,3,0)&amp;""</f>
        <v>Yes</v>
      </c>
      <c r="G181" s="4" t="str">
        <f>VLOOKUP($A181,'Institution Evaluation'!$A$56:$K$345,7,0)&amp;""</f>
        <v>Yes</v>
      </c>
      <c r="H181" s="4" t="str">
        <f>VLOOKUP($A181,'Institution Evaluation'!$A$56:$K$345,8,0)&amp;""</f>
        <v/>
      </c>
      <c r="I181" s="4" t="str">
        <f>VLOOKUP($A181,'Institution Evaluation'!$A$56:$K$345,9,0)&amp;""</f>
        <v>Critical Importance</v>
      </c>
      <c r="J181" s="4" t="str">
        <f>VLOOKUP($A181,'Institution Evaluation'!$A$56:$K$345,10,0)&amp;""</f>
        <v/>
      </c>
      <c r="K181" s="4">
        <f>IF($I181='Auto Responses'!$J$11,20,IF($I181='Auto Responses'!$J$13,5,10))</f>
        <v>20</v>
      </c>
      <c r="L181" s="101">
        <f>IF($E181='Auto Responses'!$L$13, 'Auto Responses'!$J$5,IF(AND($D181='Auto Responses'!$J$27,$H181=""),'Auto Responses'!$J$5,IF(AND($D181='Auto Responses'!$J$27,$H181='Auto Responses'!$J$7),1,IF(AND($D181='Auto Responses'!$J$27,$H181='Auto Responses'!$J$8),0,IF(OR(AND($F181=$G181,$H181=""),$H181='Auto Responses'!$J$7),1,0)))))</f>
        <v>1</v>
      </c>
      <c r="M181" s="4" t="str">
        <f>VLOOKUP($A181,'Institution Evaluation'!$A$56:$K$345,11,0)&amp;""</f>
        <v>FALSE</v>
      </c>
      <c r="N181" s="4">
        <f>IF($J181='Auto Responses'!$J$11,1,IF(AND($J181="",$I181='Auto Responses'!$J$11),1,0))</f>
        <v>1</v>
      </c>
      <c r="O181" s="101">
        <f>IF(OR($F$17='Auto Responses'!$J$4,$E181='Auto Responses'!$L$13,$F181='Auto Responses'!$J$5),'Auto Responses'!$J$5,IF($J181="",$K181,IF($J181='Auto Responses'!$J$13,5,IF($J181='Auto Responses'!$J$12,10,IF($J181='Auto Responses'!$J$11,20,0)))))</f>
        <v>20</v>
      </c>
      <c r="P181" s="101">
        <f>IF(OR($O181='Auto Responses'!$J$5,$L181='Auto Responses'!$J$5),'Auto Responses'!$J$5,$O181*$L181)</f>
        <v>20</v>
      </c>
      <c r="Q181" s="101">
        <f t="shared" si="15"/>
        <v>0</v>
      </c>
      <c r="R181" s="101">
        <f t="shared" si="19"/>
        <v>0</v>
      </c>
      <c r="S181" s="101">
        <f t="shared" si="16"/>
        <v>0</v>
      </c>
      <c r="T181" s="101">
        <f t="shared" si="17"/>
        <v>1</v>
      </c>
      <c r="U181" s="101">
        <f t="shared" si="20"/>
        <v>53</v>
      </c>
      <c r="V181" s="101">
        <f t="shared" si="18"/>
        <v>53</v>
      </c>
    </row>
    <row r="182" spans="1:22" ht="57" customHeight="1" x14ac:dyDescent="0.2">
      <c r="A182" s="4" t="str">
        <f>Questions!$A182</f>
        <v>VULN-02</v>
      </c>
      <c r="B182" s="4" t="str">
        <f t="shared" si="14"/>
        <v>VULN</v>
      </c>
      <c r="C182" s="4" t="str">
        <f>VLOOKUP($A182,Questions!$A$3:$L$333,2,0)&amp;""</f>
        <v>Will you provide results of application and system vulnerability scans to the institution?*</v>
      </c>
      <c r="D182" s="4" t="str">
        <f>VLOOKUP($A182,Questions!$A$3:$L$333,11,0)&amp;""</f>
        <v/>
      </c>
      <c r="E182" s="4" t="str">
        <f>VLOOKUP($A182,Questions!$A$3:$L$333,12,0)&amp;""</f>
        <v>Infrastructure</v>
      </c>
      <c r="F182" s="4" t="str">
        <f>VLOOKUP($A182,'Institution Evaluation'!$A$56:$K$345,3,0)&amp;""</f>
        <v>Yes</v>
      </c>
      <c r="G182" s="4" t="str">
        <f>VLOOKUP($A182,'Institution Evaluation'!$A$56:$K$345,7,0)&amp;""</f>
        <v>Yes</v>
      </c>
      <c r="H182" s="4" t="str">
        <f>VLOOKUP($A182,'Institution Evaluation'!$A$56:$K$345,8,0)&amp;""</f>
        <v/>
      </c>
      <c r="I182" s="4" t="str">
        <f>VLOOKUP($A182,'Institution Evaluation'!$A$56:$K$345,9,0)&amp;""</f>
        <v>Critical Importance</v>
      </c>
      <c r="J182" s="4" t="str">
        <f>VLOOKUP($A182,'Institution Evaluation'!$A$56:$K$345,10,0)&amp;""</f>
        <v/>
      </c>
      <c r="K182" s="4">
        <f>IF($I182='Auto Responses'!$J$11,20,IF($I182='Auto Responses'!$J$13,5,10))</f>
        <v>20</v>
      </c>
      <c r="L182" s="101">
        <f>IF($E182='Auto Responses'!$L$13, 'Auto Responses'!$J$5,IF(AND($D182='Auto Responses'!$J$27,$H182=""),'Auto Responses'!$J$5,IF(AND($D182='Auto Responses'!$J$27,$H182='Auto Responses'!$J$7),1,IF(AND($D182='Auto Responses'!$J$27,$H182='Auto Responses'!$J$8),0,IF(OR(AND($F182=$G182,$H182=""),$H182='Auto Responses'!$J$7),1,0)))))</f>
        <v>1</v>
      </c>
      <c r="M182" s="4" t="str">
        <f>VLOOKUP($A182,'Institution Evaluation'!$A$56:$K$345,11,0)&amp;""</f>
        <v>FALSE</v>
      </c>
      <c r="N182" s="4">
        <f>IF($J182='Auto Responses'!$J$11,1,IF(AND($J182="",$I182='Auto Responses'!$J$11),1,0))</f>
        <v>1</v>
      </c>
      <c r="O182" s="101">
        <f>IF(OR($F$17='Auto Responses'!$J$4,$E182='Auto Responses'!$L$13,$F182='Auto Responses'!$J$5),'Auto Responses'!$J$5,IF($J182="",$K182,IF($J182='Auto Responses'!$J$13,5,IF($J182='Auto Responses'!$J$12,10,IF($J182='Auto Responses'!$J$11,20,0)))))</f>
        <v>20</v>
      </c>
      <c r="P182" s="101">
        <f>IF(OR($O182='Auto Responses'!$J$5,$L182='Auto Responses'!$J$5),'Auto Responses'!$J$5,$O182*$L182)</f>
        <v>20</v>
      </c>
      <c r="Q182" s="101">
        <f t="shared" si="15"/>
        <v>0</v>
      </c>
      <c r="R182" s="101">
        <f t="shared" si="19"/>
        <v>0</v>
      </c>
      <c r="S182" s="101">
        <f t="shared" si="16"/>
        <v>0</v>
      </c>
      <c r="T182" s="101">
        <f t="shared" si="17"/>
        <v>1</v>
      </c>
      <c r="U182" s="101">
        <f t="shared" si="20"/>
        <v>54</v>
      </c>
      <c r="V182" s="101">
        <f t="shared" si="18"/>
        <v>54</v>
      </c>
    </row>
    <row r="183" spans="1:22" ht="57" customHeight="1" x14ac:dyDescent="0.2">
      <c r="A183" s="4" t="str">
        <f>Questions!$A183</f>
        <v>VULN-03</v>
      </c>
      <c r="B183" s="4" t="str">
        <f t="shared" si="14"/>
        <v>VULN</v>
      </c>
      <c r="C183" s="4" t="str">
        <f>VLOOKUP($A183,Questions!$A$3:$L$333,2,0)&amp;""</f>
        <v>Will you allow the institution to perform its own vulnerability testing and/or scanning of your systems and/or application, provided that testing is performed at a mutually agreed upon time and date?*</v>
      </c>
      <c r="D183" s="4" t="str">
        <f>VLOOKUP($A183,Questions!$A$3:$L$333,11,0)&amp;""</f>
        <v/>
      </c>
      <c r="E183" s="4" t="str">
        <f>VLOOKUP($A183,Questions!$A$3:$L$333,12,0)&amp;""</f>
        <v>Infrastructure</v>
      </c>
      <c r="F183" s="4" t="str">
        <f>VLOOKUP($A183,'Institution Evaluation'!$A$56:$K$345,3,0)&amp;""</f>
        <v>Yes</v>
      </c>
      <c r="G183" s="4" t="str">
        <f>VLOOKUP($A183,'Institution Evaluation'!$A$56:$K$345,7,0)&amp;""</f>
        <v>Yes</v>
      </c>
      <c r="H183" s="4" t="str">
        <f>VLOOKUP($A183,'Institution Evaluation'!$A$56:$K$345,8,0)&amp;""</f>
        <v/>
      </c>
      <c r="I183" s="4" t="str">
        <f>VLOOKUP($A183,'Institution Evaluation'!$A$56:$K$345,9,0)&amp;""</f>
        <v>Critical Importance</v>
      </c>
      <c r="J183" s="4" t="str">
        <f>VLOOKUP($A183,'Institution Evaluation'!$A$56:$K$345,10,0)&amp;""</f>
        <v/>
      </c>
      <c r="K183" s="4">
        <f>IF($I183='Auto Responses'!$J$11,20,IF($I183='Auto Responses'!$J$13,5,10))</f>
        <v>20</v>
      </c>
      <c r="L183" s="101">
        <f>IF($E183='Auto Responses'!$L$13, 'Auto Responses'!$J$5,IF(AND($D183='Auto Responses'!$J$27,$H183=""),'Auto Responses'!$J$5,IF(AND($D183='Auto Responses'!$J$27,$H183='Auto Responses'!$J$7),1,IF(AND($D183='Auto Responses'!$J$27,$H183='Auto Responses'!$J$8),0,IF(OR(AND($F183=$G183,$H183=""),$H183='Auto Responses'!$J$7),1,0)))))</f>
        <v>1</v>
      </c>
      <c r="M183" s="4" t="str">
        <f>VLOOKUP($A183,'Institution Evaluation'!$A$56:$K$345,11,0)&amp;""</f>
        <v>FALSE</v>
      </c>
      <c r="N183" s="4">
        <f>IF($J183='Auto Responses'!$J$11,1,IF(AND($J183="",$I183='Auto Responses'!$J$11),1,0))</f>
        <v>1</v>
      </c>
      <c r="O183" s="101">
        <f>IF(OR($F$17='Auto Responses'!$J$4,$E183='Auto Responses'!$L$13,$F183='Auto Responses'!$J$5),'Auto Responses'!$J$5,IF($J183="",$K183,IF($J183='Auto Responses'!$J$13,5,IF($J183='Auto Responses'!$J$12,10,IF($J183='Auto Responses'!$J$11,20,0)))))</f>
        <v>20</v>
      </c>
      <c r="P183" s="101">
        <f>IF(OR($O183='Auto Responses'!$J$5,$L183='Auto Responses'!$J$5),'Auto Responses'!$J$5,$O183*$L183)</f>
        <v>20</v>
      </c>
      <c r="Q183" s="101">
        <f t="shared" si="15"/>
        <v>0</v>
      </c>
      <c r="R183" s="101">
        <f t="shared" si="19"/>
        <v>0</v>
      </c>
      <c r="S183" s="101">
        <f t="shared" si="16"/>
        <v>0</v>
      </c>
      <c r="T183" s="101">
        <f t="shared" si="17"/>
        <v>1</v>
      </c>
      <c r="U183" s="101">
        <f t="shared" si="20"/>
        <v>55</v>
      </c>
      <c r="V183" s="101">
        <f t="shared" si="18"/>
        <v>55</v>
      </c>
    </row>
    <row r="184" spans="1:22" ht="57" customHeight="1" x14ac:dyDescent="0.2">
      <c r="A184" s="4" t="str">
        <f>Questions!$A184</f>
        <v>VULN-04</v>
      </c>
      <c r="B184" s="4" t="str">
        <f t="shared" si="14"/>
        <v>VULN</v>
      </c>
      <c r="C184" s="4" t="str">
        <f>VLOOKUP($A184,Questions!$A$3:$L$333,2,0)&amp;""</f>
        <v>Have your systems and applications had a third-party security assessment completed in the last year?</v>
      </c>
      <c r="D184" s="4" t="str">
        <f>VLOOKUP($A184,Questions!$A$3:$L$333,11,0)&amp;""</f>
        <v/>
      </c>
      <c r="E184" s="4" t="str">
        <f>VLOOKUP($A184,Questions!$A$3:$L$333,12,0)&amp;""</f>
        <v>Infrastructure</v>
      </c>
      <c r="F184" s="4" t="str">
        <f>VLOOKUP($A184,'Institution Evaluation'!$A$56:$K$345,3,0)&amp;""</f>
        <v>Yes</v>
      </c>
      <c r="G184" s="4" t="str">
        <f>VLOOKUP($A184,'Institution Evaluation'!$A$56:$K$345,7,0)&amp;""</f>
        <v>Yes</v>
      </c>
      <c r="H184" s="4" t="str">
        <f>VLOOKUP($A184,'Institution Evaluation'!$A$56:$K$345,8,0)&amp;""</f>
        <v/>
      </c>
      <c r="I184" s="4" t="str">
        <f>VLOOKUP($A184,'Institution Evaluation'!$A$56:$K$345,9,0)&amp;""</f>
        <v>Standard Importance</v>
      </c>
      <c r="J184" s="4" t="str">
        <f>VLOOKUP($A184,'Institution Evaluation'!$A$56:$K$345,10,0)&amp;""</f>
        <v/>
      </c>
      <c r="K184" s="4">
        <f>IF($I184='Auto Responses'!$J$11,20,IF($I184='Auto Responses'!$J$13,5,10))</f>
        <v>10</v>
      </c>
      <c r="L184" s="101">
        <f>IF($E184='Auto Responses'!$L$13, 'Auto Responses'!$J$5,IF(AND($D184='Auto Responses'!$J$27,$H184=""),'Auto Responses'!$J$5,IF(AND($D184='Auto Responses'!$J$27,$H184='Auto Responses'!$J$7),1,IF(AND($D184='Auto Responses'!$J$27,$H184='Auto Responses'!$J$8),0,IF(OR(AND($F184=$G184,$H184=""),$H184='Auto Responses'!$J$7),1,0)))))</f>
        <v>1</v>
      </c>
      <c r="M184" s="4" t="str">
        <f>VLOOKUP($A184,'Institution Evaluation'!$A$56:$K$345,11,0)&amp;""</f>
        <v>FALSE</v>
      </c>
      <c r="N184" s="4">
        <f>IF($J184='Auto Responses'!$J$11,1,IF(AND($J184="",$I184='Auto Responses'!$J$11),1,0))</f>
        <v>0</v>
      </c>
      <c r="O184" s="101">
        <f>IF(OR($F$17='Auto Responses'!$J$4,$E184='Auto Responses'!$L$13,$F184='Auto Responses'!$J$5),'Auto Responses'!$J$5,IF($J184="",$K184,IF($J184='Auto Responses'!$J$13,5,IF($J184='Auto Responses'!$J$12,10,IF($J184='Auto Responses'!$J$11,20,0)))))</f>
        <v>10</v>
      </c>
      <c r="P184" s="101">
        <f>IF(OR($O184='Auto Responses'!$J$5,$L184='Auto Responses'!$J$5),'Auto Responses'!$J$5,$O184*$L184)</f>
        <v>10</v>
      </c>
      <c r="Q184" s="101">
        <f t="shared" si="15"/>
        <v>0</v>
      </c>
      <c r="R184" s="101">
        <f t="shared" si="19"/>
        <v>0</v>
      </c>
      <c r="S184" s="101">
        <f t="shared" si="16"/>
        <v>0</v>
      </c>
      <c r="T184" s="101">
        <f t="shared" si="17"/>
        <v>0</v>
      </c>
      <c r="U184" s="101">
        <f t="shared" si="20"/>
        <v>55</v>
      </c>
      <c r="V184" s="101">
        <f t="shared" si="18"/>
        <v>0</v>
      </c>
    </row>
    <row r="185" spans="1:22" ht="57" customHeight="1" x14ac:dyDescent="0.2">
      <c r="A185" s="4" t="str">
        <f>Questions!$A185</f>
        <v>VULN-05</v>
      </c>
      <c r="B185" s="4" t="str">
        <f t="shared" si="14"/>
        <v>VULN</v>
      </c>
      <c r="C185" s="4" t="str">
        <f>VLOOKUP($A185,Questions!$A$3:$L$333,2,0)&amp;""</f>
        <v>Do you regularly scan for common web application security vulnerabilities (e.g., SQL injection, XSS, XSRF, etc.)?</v>
      </c>
      <c r="D185" s="4" t="str">
        <f>VLOOKUP($A185,Questions!$A$3:$L$333,11,0)&amp;""</f>
        <v/>
      </c>
      <c r="E185" s="4" t="str">
        <f>VLOOKUP($A185,Questions!$A$3:$L$333,12,0)&amp;""</f>
        <v>Infrastructure</v>
      </c>
      <c r="F185" s="4" t="str">
        <f>VLOOKUP($A185,'Institution Evaluation'!$A$56:$K$345,3,0)&amp;""</f>
        <v>Yes</v>
      </c>
      <c r="G185" s="4" t="str">
        <f>VLOOKUP($A185,'Institution Evaluation'!$A$56:$K$345,7,0)&amp;""</f>
        <v>Yes</v>
      </c>
      <c r="H185" s="4" t="str">
        <f>VLOOKUP($A185,'Institution Evaluation'!$A$56:$K$345,8,0)&amp;""</f>
        <v/>
      </c>
      <c r="I185" s="4" t="str">
        <f>VLOOKUP($A185,'Institution Evaluation'!$A$56:$K$345,9,0)&amp;""</f>
        <v>Standard Importance</v>
      </c>
      <c r="J185" s="4" t="str">
        <f>VLOOKUP($A185,'Institution Evaluation'!$A$56:$K$345,10,0)&amp;""</f>
        <v/>
      </c>
      <c r="K185" s="4">
        <f>IF($I185='Auto Responses'!$J$11,20,IF($I185='Auto Responses'!$J$13,5,10))</f>
        <v>10</v>
      </c>
      <c r="L185" s="101">
        <f>IF($E185='Auto Responses'!$L$13, 'Auto Responses'!$J$5,IF(AND($D185='Auto Responses'!$J$27,$H185=""),'Auto Responses'!$J$5,IF(AND($D185='Auto Responses'!$J$27,$H185='Auto Responses'!$J$7),1,IF(AND($D185='Auto Responses'!$J$27,$H185='Auto Responses'!$J$8),0,IF(OR(AND($F185=$G185,$H185=""),$H185='Auto Responses'!$J$7),1,0)))))</f>
        <v>1</v>
      </c>
      <c r="M185" s="4" t="str">
        <f>VLOOKUP($A185,'Institution Evaluation'!$A$56:$K$345,11,0)&amp;""</f>
        <v>FALSE</v>
      </c>
      <c r="N185" s="4">
        <f>IF($J185='Auto Responses'!$J$11,1,IF(AND($J185="",$I185='Auto Responses'!$J$11),1,0))</f>
        <v>0</v>
      </c>
      <c r="O185" s="101">
        <f>IF(OR($F$17='Auto Responses'!$J$4,$E185='Auto Responses'!$L$13,$F185='Auto Responses'!$J$5),'Auto Responses'!$J$5,IF($J185="",$K185,IF($J185='Auto Responses'!$J$13,5,IF($J185='Auto Responses'!$J$12,10,IF($J185='Auto Responses'!$J$11,20,0)))))</f>
        <v>10</v>
      </c>
      <c r="P185" s="101">
        <f>IF(OR($O185='Auto Responses'!$J$5,$L185='Auto Responses'!$J$5),'Auto Responses'!$J$5,$O185*$L185)</f>
        <v>10</v>
      </c>
      <c r="Q185" s="101">
        <f t="shared" si="15"/>
        <v>0</v>
      </c>
      <c r="R185" s="101">
        <f t="shared" si="19"/>
        <v>0</v>
      </c>
      <c r="S185" s="101">
        <f t="shared" si="16"/>
        <v>0</v>
      </c>
      <c r="T185" s="101">
        <f t="shared" si="17"/>
        <v>0</v>
      </c>
      <c r="U185" s="101">
        <f t="shared" si="20"/>
        <v>55</v>
      </c>
      <c r="V185" s="101">
        <f t="shared" si="18"/>
        <v>0</v>
      </c>
    </row>
    <row r="186" spans="1:22" ht="57" customHeight="1" x14ac:dyDescent="0.2">
      <c r="A186" s="4" t="str">
        <f>Questions!$A186</f>
        <v>VULN-06</v>
      </c>
      <c r="B186" s="4" t="str">
        <f t="shared" si="14"/>
        <v>VULN</v>
      </c>
      <c r="C186" s="4" t="str">
        <f>VLOOKUP($A186,Questions!$A$3:$L$333,2,0)&amp;""</f>
        <v>Are your systems and applications regularly scanned externally for vulnerabilities?</v>
      </c>
      <c r="D186" s="4" t="str">
        <f>VLOOKUP($A186,Questions!$A$3:$L$333,11,0)&amp;""</f>
        <v/>
      </c>
      <c r="E186" s="4" t="str">
        <f>VLOOKUP($A186,Questions!$A$3:$L$333,12,0)&amp;""</f>
        <v>Infrastructure</v>
      </c>
      <c r="F186" s="4" t="str">
        <f>VLOOKUP($A186,'Institution Evaluation'!$A$56:$K$345,3,0)&amp;""</f>
        <v>Yes</v>
      </c>
      <c r="G186" s="4" t="str">
        <f>VLOOKUP($A186,'Institution Evaluation'!$A$56:$K$345,7,0)&amp;""</f>
        <v>Yes</v>
      </c>
      <c r="H186" s="4" t="str">
        <f>VLOOKUP($A186,'Institution Evaluation'!$A$56:$K$345,8,0)&amp;""</f>
        <v/>
      </c>
      <c r="I186" s="4" t="str">
        <f>VLOOKUP($A186,'Institution Evaluation'!$A$56:$K$345,9,0)&amp;""</f>
        <v>Minor Importance</v>
      </c>
      <c r="J186" s="4" t="str">
        <f>VLOOKUP($A186,'Institution Evaluation'!$A$56:$K$345,10,0)&amp;""</f>
        <v/>
      </c>
      <c r="K186" s="4">
        <f>IF($I186='Auto Responses'!$J$11,20,IF($I186='Auto Responses'!$J$13,5,10))</f>
        <v>5</v>
      </c>
      <c r="L186" s="101">
        <f>IF($E186='Auto Responses'!$L$13, 'Auto Responses'!$J$5,IF(AND($D186='Auto Responses'!$J$27,$H186=""),'Auto Responses'!$J$5,IF(AND($D186='Auto Responses'!$J$27,$H186='Auto Responses'!$J$7),1,IF(AND($D186='Auto Responses'!$J$27,$H186='Auto Responses'!$J$8),0,IF(OR(AND($F186=$G186,$H186=""),$H186='Auto Responses'!$J$7),1,0)))))</f>
        <v>1</v>
      </c>
      <c r="M186" s="4" t="str">
        <f>VLOOKUP($A186,'Institution Evaluation'!$A$56:$K$345,11,0)&amp;""</f>
        <v>FALSE</v>
      </c>
      <c r="N186" s="4">
        <f>IF($J186='Auto Responses'!$J$11,1,IF(AND($J186="",$I186='Auto Responses'!$J$11),1,0))</f>
        <v>0</v>
      </c>
      <c r="O186" s="101">
        <f>IF(OR($F$17='Auto Responses'!$J$4,$E186='Auto Responses'!$L$13,$F186='Auto Responses'!$J$5),'Auto Responses'!$J$5,IF($J186="",$K186,IF($J186='Auto Responses'!$J$13,5,IF($J186='Auto Responses'!$J$12,10,IF($J186='Auto Responses'!$J$11,20,0)))))</f>
        <v>5</v>
      </c>
      <c r="P186" s="101">
        <f>IF(OR($O186='Auto Responses'!$J$5,$L186='Auto Responses'!$J$5),'Auto Responses'!$J$5,$O186*$L186)</f>
        <v>5</v>
      </c>
      <c r="Q186" s="101">
        <f t="shared" si="15"/>
        <v>0</v>
      </c>
      <c r="R186" s="101">
        <f t="shared" si="19"/>
        <v>0</v>
      </c>
      <c r="S186" s="101">
        <f t="shared" si="16"/>
        <v>0</v>
      </c>
      <c r="T186" s="101">
        <f t="shared" si="17"/>
        <v>0</v>
      </c>
      <c r="U186" s="101">
        <f t="shared" si="20"/>
        <v>55</v>
      </c>
      <c r="V186" s="101">
        <f t="shared" si="18"/>
        <v>0</v>
      </c>
    </row>
    <row r="187" spans="1:22" ht="57" customHeight="1" x14ac:dyDescent="0.2">
      <c r="A187" s="4" t="str">
        <f>Questions!$A187</f>
        <v>HIPA-01</v>
      </c>
      <c r="B187" s="4" t="str">
        <f t="shared" si="14"/>
        <v>HIPA</v>
      </c>
      <c r="C187" s="4" t="str">
        <f>VLOOKUP($A187,Questions!$A$3:$L$333,2,0)&amp;""</f>
        <v>Do your workforce members receive regular training related to the Health Insurance Portability and Accountability Act (HIPAA) Privacy and Security Rules and the HITECH Act?*</v>
      </c>
      <c r="D187" s="4" t="str">
        <f>VLOOKUP($A187,Questions!$A$3:$L$333,11,0)&amp;""</f>
        <v/>
      </c>
      <c r="E187" s="4" t="str">
        <f>VLOOKUP($A187,Questions!$A$3:$L$333,12,0)&amp;""</f>
        <v>Case-specific</v>
      </c>
      <c r="F187" s="4" t="str">
        <f>VLOOKUP($A187,'Institution Evaluation'!$A$56:$K$345,3,0)&amp;""</f>
        <v>N/A</v>
      </c>
      <c r="G187" s="4" t="str">
        <f>VLOOKUP($A187,'Institution Evaluation'!$A$56:$K$345,7,0)&amp;""</f>
        <v>Yes</v>
      </c>
      <c r="H187" s="4" t="str">
        <f>VLOOKUP($A187,'Institution Evaluation'!$A$56:$K$345,8,0)&amp;""</f>
        <v/>
      </c>
      <c r="I187" s="4" t="str">
        <f>VLOOKUP($A187,'Institution Evaluation'!$A$56:$K$345,9,0)&amp;""</f>
        <v>Critical Importance</v>
      </c>
      <c r="J187" s="4" t="str">
        <f>VLOOKUP($A187,'Institution Evaluation'!$A$56:$K$345,10,0)&amp;""</f>
        <v/>
      </c>
      <c r="K187" s="4">
        <f>IF($I187='Auto Responses'!$J$11,20,IF($I187='Auto Responses'!$J$13,5,10))</f>
        <v>20</v>
      </c>
      <c r="L187" s="101">
        <f>IF($E187='Auto Responses'!$L$13, 'Auto Responses'!$J$5,IF(AND($D187='Auto Responses'!$J$27,$H187=""),'Auto Responses'!$J$5,IF(AND($D187='Auto Responses'!$J$27,$H187='Auto Responses'!$J$7),1,IF(AND($D187='Auto Responses'!$J$27,$H187='Auto Responses'!$J$8),0,IF(OR(AND($F187=$G187,$H187=""),$H187='Auto Responses'!$J$7),1,0)))))</f>
        <v>0</v>
      </c>
      <c r="M187" s="4" t="str">
        <f>VLOOKUP($A187,'Institution Evaluation'!$A$56:$K$345,11,0)&amp;""</f>
        <v>FALSE</v>
      </c>
      <c r="N187" s="4">
        <f>IF($J187='Auto Responses'!$J$11,1,IF(AND($J187="",$I187='Auto Responses'!$J$11),1,0))</f>
        <v>1</v>
      </c>
      <c r="O187" s="101" t="str">
        <f>IF(OR($F$21='Auto Responses'!$J$4,$E187='Auto Responses'!$L$13,$F187='Auto Responses'!$J$5),'Auto Responses'!$J$5,IF($J187="",$K187,IF($J187='Auto Responses'!$J$13,5,IF($J187='Auto Responses'!$J$12,10,IF($J187='Auto Responses'!$J$11,20,0)))))</f>
        <v>N/A</v>
      </c>
      <c r="P187" s="101" t="str">
        <f>IF(OR($O187='Auto Responses'!$J$5,$L187='Auto Responses'!$J$5),'Auto Responses'!$J$5,$O187*$L187)</f>
        <v>N/A</v>
      </c>
      <c r="Q187" s="101">
        <f t="shared" si="15"/>
        <v>0</v>
      </c>
      <c r="R187" s="101">
        <f t="shared" si="19"/>
        <v>0</v>
      </c>
      <c r="S187" s="101">
        <f t="shared" si="16"/>
        <v>0</v>
      </c>
      <c r="T187" s="101">
        <f t="shared" si="17"/>
        <v>1</v>
      </c>
      <c r="U187" s="101">
        <f t="shared" si="20"/>
        <v>56</v>
      </c>
      <c r="V187" s="101">
        <f t="shared" si="18"/>
        <v>56</v>
      </c>
    </row>
    <row r="188" spans="1:22" ht="57" customHeight="1" x14ac:dyDescent="0.2">
      <c r="A188" s="4" t="str">
        <f>Questions!$A188</f>
        <v>HIPA-02</v>
      </c>
      <c r="B188" s="4" t="str">
        <f t="shared" si="14"/>
        <v>HIPA</v>
      </c>
      <c r="C188" s="4" t="str">
        <f>VLOOKUP($A188,Questions!$A$3:$L$333,2,0)&amp;""</f>
        <v>Have you identified areas of risk?*</v>
      </c>
      <c r="D188" s="4" t="str">
        <f>VLOOKUP($A188,Questions!$A$3:$L$333,11,0)&amp;""</f>
        <v/>
      </c>
      <c r="E188" s="4" t="str">
        <f>VLOOKUP($A188,Questions!$A$3:$L$333,12,0)&amp;""</f>
        <v>Case-specific</v>
      </c>
      <c r="F188" s="4" t="str">
        <f>VLOOKUP($A188,'Institution Evaluation'!$A$56:$K$345,3,0)&amp;""</f>
        <v>N/A</v>
      </c>
      <c r="G188" s="4" t="str">
        <f>VLOOKUP($A188,'Institution Evaluation'!$A$56:$K$345,7,0)&amp;""</f>
        <v>Yes</v>
      </c>
      <c r="H188" s="4" t="str">
        <f>VLOOKUP($A188,'Institution Evaluation'!$A$56:$K$345,8,0)&amp;""</f>
        <v/>
      </c>
      <c r="I188" s="4" t="str">
        <f>VLOOKUP($A188,'Institution Evaluation'!$A$56:$K$345,9,0)&amp;""</f>
        <v>Critical Importance</v>
      </c>
      <c r="J188" s="4" t="str">
        <f>VLOOKUP($A188,'Institution Evaluation'!$A$56:$K$345,10,0)&amp;""</f>
        <v/>
      </c>
      <c r="K188" s="4">
        <f>IF($I188='Auto Responses'!$J$11,20,IF($I188='Auto Responses'!$J$13,5,10))</f>
        <v>20</v>
      </c>
      <c r="L188" s="101">
        <f>IF($E188='Auto Responses'!$L$13, 'Auto Responses'!$J$5,IF(AND($D188='Auto Responses'!$J$27,$H188=""),'Auto Responses'!$J$5,IF(AND($D188='Auto Responses'!$J$27,$H188='Auto Responses'!$J$7),1,IF(AND($D188='Auto Responses'!$J$27,$H188='Auto Responses'!$J$8),0,IF(OR(AND($F188=$G188,$H188=""),$H188='Auto Responses'!$J$7),1,0)))))</f>
        <v>0</v>
      </c>
      <c r="M188" s="4" t="str">
        <f>VLOOKUP($A188,'Institution Evaluation'!$A$56:$K$345,11,0)&amp;""</f>
        <v>FALSE</v>
      </c>
      <c r="N188" s="4">
        <f>IF($J188='Auto Responses'!$J$11,1,IF(AND($J188="",$I188='Auto Responses'!$J$11),1,0))</f>
        <v>1</v>
      </c>
      <c r="O188" s="101" t="str">
        <f>IF(OR($F$21='Auto Responses'!$J$4,$E188='Auto Responses'!$L$13,$F188='Auto Responses'!$J$5),'Auto Responses'!$J$5,IF($J188="",$K188,IF($J188='Auto Responses'!$J$13,5,IF($J188='Auto Responses'!$J$12,10,IF($J188='Auto Responses'!$J$11,20,0)))))</f>
        <v>N/A</v>
      </c>
      <c r="P188" s="101" t="str">
        <f>IF(OR($O188='Auto Responses'!$J$5,$L188='Auto Responses'!$J$5),'Auto Responses'!$J$5,$O188*$L188)</f>
        <v>N/A</v>
      </c>
      <c r="Q188" s="101">
        <f t="shared" si="15"/>
        <v>0</v>
      </c>
      <c r="R188" s="101">
        <f t="shared" si="19"/>
        <v>0</v>
      </c>
      <c r="S188" s="101">
        <f t="shared" si="16"/>
        <v>0</v>
      </c>
      <c r="T188" s="101">
        <f t="shared" si="17"/>
        <v>1</v>
      </c>
      <c r="U188" s="101">
        <f t="shared" si="20"/>
        <v>57</v>
      </c>
      <c r="V188" s="101">
        <f t="shared" si="18"/>
        <v>57</v>
      </c>
    </row>
    <row r="189" spans="1:22" ht="57" customHeight="1" x14ac:dyDescent="0.2">
      <c r="A189" s="4" t="str">
        <f>Questions!$A189</f>
        <v>HIPA-03</v>
      </c>
      <c r="B189" s="4" t="str">
        <f t="shared" si="14"/>
        <v>HIPA</v>
      </c>
      <c r="C189" s="4" t="str">
        <f>VLOOKUP($A189,Questions!$A$3:$L$333,2,0)&amp;""</f>
        <v>Have the relevant policies/plans been tested?*</v>
      </c>
      <c r="D189" s="4" t="str">
        <f>VLOOKUP($A189,Questions!$A$3:$L$333,11,0)&amp;""</f>
        <v/>
      </c>
      <c r="E189" s="4" t="str">
        <f>VLOOKUP($A189,Questions!$A$3:$L$333,12,0)&amp;""</f>
        <v>Case-specific</v>
      </c>
      <c r="F189" s="4" t="str">
        <f>VLOOKUP($A189,'Institution Evaluation'!$A$56:$K$345,3,0)&amp;""</f>
        <v>N/A</v>
      </c>
      <c r="G189" s="4" t="str">
        <f>VLOOKUP($A189,'Institution Evaluation'!$A$56:$K$345,7,0)&amp;""</f>
        <v>Yes</v>
      </c>
      <c r="H189" s="4" t="str">
        <f>VLOOKUP($A189,'Institution Evaluation'!$A$56:$K$345,8,0)&amp;""</f>
        <v/>
      </c>
      <c r="I189" s="4" t="str">
        <f>VLOOKUP($A189,'Institution Evaluation'!$A$56:$K$345,9,0)&amp;""</f>
        <v>Critical Importance</v>
      </c>
      <c r="J189" s="4" t="str">
        <f>VLOOKUP($A189,'Institution Evaluation'!$A$56:$K$345,10,0)&amp;""</f>
        <v/>
      </c>
      <c r="K189" s="4">
        <f>IF($I189='Auto Responses'!$J$11,20,IF($I189='Auto Responses'!$J$13,5,10))</f>
        <v>20</v>
      </c>
      <c r="L189" s="101">
        <f>IF($E189='Auto Responses'!$L$13, 'Auto Responses'!$J$5,IF(AND($D189='Auto Responses'!$J$27,$H189=""),'Auto Responses'!$J$5,IF(AND($D189='Auto Responses'!$J$27,$H189='Auto Responses'!$J$7),1,IF(AND($D189='Auto Responses'!$J$27,$H189='Auto Responses'!$J$8),0,IF(OR(AND($F189=$G189,$H189=""),$H189='Auto Responses'!$J$7),1,0)))))</f>
        <v>0</v>
      </c>
      <c r="M189" s="4" t="str">
        <f>VLOOKUP($A189,'Institution Evaluation'!$A$56:$K$345,11,0)&amp;""</f>
        <v>FALSE</v>
      </c>
      <c r="N189" s="4">
        <f>IF($J189='Auto Responses'!$J$11,1,IF(AND($J189="",$I189='Auto Responses'!$J$11),1,0))</f>
        <v>1</v>
      </c>
      <c r="O189" s="101" t="str">
        <f>IF(OR($F$21='Auto Responses'!$J$4,$E189='Auto Responses'!$L$13,$F189='Auto Responses'!$J$5),'Auto Responses'!$J$5,IF($J189="",$K189,IF($J189='Auto Responses'!$J$13,5,IF($J189='Auto Responses'!$J$12,10,IF($J189='Auto Responses'!$J$11,20,0)))))</f>
        <v>N/A</v>
      </c>
      <c r="P189" s="101" t="str">
        <f>IF(OR($O189='Auto Responses'!$J$5,$L189='Auto Responses'!$J$5),'Auto Responses'!$J$5,$O189*$L189)</f>
        <v>N/A</v>
      </c>
      <c r="Q189" s="101">
        <f t="shared" si="15"/>
        <v>0</v>
      </c>
      <c r="R189" s="101">
        <f t="shared" si="19"/>
        <v>0</v>
      </c>
      <c r="S189" s="101">
        <f t="shared" si="16"/>
        <v>0</v>
      </c>
      <c r="T189" s="101">
        <f t="shared" si="17"/>
        <v>1</v>
      </c>
      <c r="U189" s="101">
        <f t="shared" si="20"/>
        <v>58</v>
      </c>
      <c r="V189" s="101">
        <f t="shared" si="18"/>
        <v>58</v>
      </c>
    </row>
    <row r="190" spans="1:22" ht="57" customHeight="1" x14ac:dyDescent="0.2">
      <c r="A190" s="4" t="str">
        <f>Questions!$A190</f>
        <v>HIPA-04</v>
      </c>
      <c r="B190" s="4" t="str">
        <f t="shared" si="14"/>
        <v>HIPA</v>
      </c>
      <c r="C190" s="4" t="str">
        <f>VLOOKUP($A190,Questions!$A$3:$L$333,2,0)&amp;""</f>
        <v>Have you entered into a Business Associate Agreements with all subcontractors who may have access to protected health information (PHI)?*</v>
      </c>
      <c r="D190" s="4" t="str">
        <f>VLOOKUP($A190,Questions!$A$3:$L$333,11,0)&amp;""</f>
        <v/>
      </c>
      <c r="E190" s="4" t="str">
        <f>VLOOKUP($A190,Questions!$A$3:$L$333,12,0)&amp;""</f>
        <v>Case-specific</v>
      </c>
      <c r="F190" s="4" t="str">
        <f>VLOOKUP($A190,'Institution Evaluation'!$A$56:$K$345,3,0)&amp;""</f>
        <v>N/A</v>
      </c>
      <c r="G190" s="4" t="str">
        <f>VLOOKUP($A190,'Institution Evaluation'!$A$56:$K$345,7,0)&amp;""</f>
        <v>Yes</v>
      </c>
      <c r="H190" s="4" t="str">
        <f>VLOOKUP($A190,'Institution Evaluation'!$A$56:$K$345,8,0)&amp;""</f>
        <v/>
      </c>
      <c r="I190" s="4" t="str">
        <f>VLOOKUP($A190,'Institution Evaluation'!$A$56:$K$345,9,0)&amp;""</f>
        <v>Critical Importance</v>
      </c>
      <c r="J190" s="4" t="str">
        <f>VLOOKUP($A190,'Institution Evaluation'!$A$56:$K$345,10,0)&amp;""</f>
        <v/>
      </c>
      <c r="K190" s="4">
        <f>IF($I190='Auto Responses'!$J$11,20,IF($I190='Auto Responses'!$J$13,5,10))</f>
        <v>20</v>
      </c>
      <c r="L190" s="101">
        <f>IF($E190='Auto Responses'!$L$13, 'Auto Responses'!$J$5,IF(AND($D190='Auto Responses'!$J$27,$H190=""),'Auto Responses'!$J$5,IF(AND($D190='Auto Responses'!$J$27,$H190='Auto Responses'!$J$7),1,IF(AND($D190='Auto Responses'!$J$27,$H190='Auto Responses'!$J$8),0,IF(OR(AND($F190=$G190,$H190=""),$H190='Auto Responses'!$J$7),1,0)))))</f>
        <v>0</v>
      </c>
      <c r="M190" s="4" t="str">
        <f>VLOOKUP($A190,'Institution Evaluation'!$A$56:$K$345,11,0)&amp;""</f>
        <v>FALSE</v>
      </c>
      <c r="N190" s="4">
        <f>IF($J190='Auto Responses'!$J$11,1,IF(AND($J190="",$I190='Auto Responses'!$J$11),1,0))</f>
        <v>1</v>
      </c>
      <c r="O190" s="101" t="str">
        <f>IF(OR($F$21='Auto Responses'!$J$4,$E190='Auto Responses'!$L$13,$F190='Auto Responses'!$J$5),'Auto Responses'!$J$5,IF($J190="",$K190,IF($J190='Auto Responses'!$J$13,5,IF($J190='Auto Responses'!$J$12,10,IF($J190='Auto Responses'!$J$11,20,0)))))</f>
        <v>N/A</v>
      </c>
      <c r="P190" s="101" t="str">
        <f>IF(OR($O190='Auto Responses'!$J$5,$L190='Auto Responses'!$J$5),'Auto Responses'!$J$5,$O190*$L190)</f>
        <v>N/A</v>
      </c>
      <c r="Q190" s="101">
        <f t="shared" si="15"/>
        <v>0</v>
      </c>
      <c r="R190" s="101">
        <f t="shared" si="19"/>
        <v>0</v>
      </c>
      <c r="S190" s="101">
        <f t="shared" si="16"/>
        <v>0</v>
      </c>
      <c r="T190" s="101">
        <f t="shared" si="17"/>
        <v>1</v>
      </c>
      <c r="U190" s="101">
        <f t="shared" si="20"/>
        <v>59</v>
      </c>
      <c r="V190" s="101">
        <f t="shared" si="18"/>
        <v>59</v>
      </c>
    </row>
    <row r="191" spans="1:22" ht="57" customHeight="1" x14ac:dyDescent="0.2">
      <c r="A191" s="4" t="str">
        <f>Questions!$A191</f>
        <v>HIPA-05</v>
      </c>
      <c r="B191" s="4" t="str">
        <f t="shared" si="14"/>
        <v>HIPA</v>
      </c>
      <c r="C191" s="4" t="str">
        <f>VLOOKUP($A191,Questions!$A$3:$L$333,2,0)&amp;""</f>
        <v>Do you monitor or receive information regarding changes in HIPAA regulations?</v>
      </c>
      <c r="D191" s="4" t="str">
        <f>VLOOKUP($A191,Questions!$A$3:$L$333,11,0)&amp;""</f>
        <v/>
      </c>
      <c r="E191" s="4" t="str">
        <f>VLOOKUP($A191,Questions!$A$3:$L$333,12,0)&amp;""</f>
        <v>Case-specific</v>
      </c>
      <c r="F191" s="4" t="str">
        <f>VLOOKUP($A191,'Institution Evaluation'!$A$56:$K$345,3,0)&amp;""</f>
        <v>N/A</v>
      </c>
      <c r="G191" s="4" t="str">
        <f>VLOOKUP($A191,'Institution Evaluation'!$A$56:$K$345,7,0)&amp;""</f>
        <v>Yes</v>
      </c>
      <c r="H191" s="4" t="str">
        <f>VLOOKUP($A191,'Institution Evaluation'!$A$56:$K$345,8,0)&amp;""</f>
        <v/>
      </c>
      <c r="I191" s="4" t="str">
        <f>VLOOKUP($A191,'Institution Evaluation'!$A$56:$K$345,9,0)&amp;""</f>
        <v>Standard Importance</v>
      </c>
      <c r="J191" s="4" t="str">
        <f>VLOOKUP($A191,'Institution Evaluation'!$A$56:$K$345,10,0)&amp;""</f>
        <v/>
      </c>
      <c r="K191" s="4">
        <f>IF($I191='Auto Responses'!$J$11,20,IF($I191='Auto Responses'!$J$13,5,10))</f>
        <v>10</v>
      </c>
      <c r="L191" s="101">
        <f>IF($E191='Auto Responses'!$L$13, 'Auto Responses'!$J$5,IF(AND($D191='Auto Responses'!$J$27,$H191=""),'Auto Responses'!$J$5,IF(AND($D191='Auto Responses'!$J$27,$H191='Auto Responses'!$J$7),1,IF(AND($D191='Auto Responses'!$J$27,$H191='Auto Responses'!$J$8),0,IF(OR(AND($F191=$G191,$H191=""),$H191='Auto Responses'!$J$7),1,0)))))</f>
        <v>0</v>
      </c>
      <c r="M191" s="4" t="str">
        <f>VLOOKUP($A191,'Institution Evaluation'!$A$56:$K$345,11,0)&amp;""</f>
        <v>FALSE</v>
      </c>
      <c r="N191" s="4">
        <f>IF($J191='Auto Responses'!$J$11,1,IF(AND($J191="",$I191='Auto Responses'!$J$11),1,0))</f>
        <v>0</v>
      </c>
      <c r="O191" s="101" t="str">
        <f>IF(OR($F$21='Auto Responses'!$J$4,$E191='Auto Responses'!$L$13,$F191='Auto Responses'!$J$5),'Auto Responses'!$J$5,IF($J191="",$K191,IF($J191='Auto Responses'!$J$13,5,IF($J191='Auto Responses'!$J$12,10,IF($J191='Auto Responses'!$J$11,20,0)))))</f>
        <v>N/A</v>
      </c>
      <c r="P191" s="101" t="str">
        <f>IF(OR($O191='Auto Responses'!$J$5,$L191='Auto Responses'!$J$5),'Auto Responses'!$J$5,$O191*$L191)</f>
        <v>N/A</v>
      </c>
      <c r="Q191" s="101">
        <f t="shared" si="15"/>
        <v>0</v>
      </c>
      <c r="R191" s="101">
        <f t="shared" si="19"/>
        <v>0</v>
      </c>
      <c r="S191" s="101">
        <f t="shared" si="16"/>
        <v>0</v>
      </c>
      <c r="T191" s="101">
        <f t="shared" si="17"/>
        <v>0</v>
      </c>
      <c r="U191" s="101">
        <f t="shared" si="20"/>
        <v>59</v>
      </c>
      <c r="V191" s="101">
        <f t="shared" si="18"/>
        <v>0</v>
      </c>
    </row>
    <row r="192" spans="1:22" ht="57" customHeight="1" x14ac:dyDescent="0.2">
      <c r="A192" s="4" t="str">
        <f>Questions!$A192</f>
        <v>HIPA-06</v>
      </c>
      <c r="B192" s="4" t="str">
        <f t="shared" si="14"/>
        <v>HIPA</v>
      </c>
      <c r="C192" s="4" t="str">
        <f>VLOOKUP($A192,Questions!$A$3:$L$333,2,0)&amp;""</f>
        <v>Has your organization designated HIPAA Privacy and Security officers as required by the rules?</v>
      </c>
      <c r="D192" s="4" t="str">
        <f>VLOOKUP($A192,Questions!$A$3:$L$333,11,0)&amp;""</f>
        <v/>
      </c>
      <c r="E192" s="4" t="str">
        <f>VLOOKUP($A192,Questions!$A$3:$L$333,12,0)&amp;""</f>
        <v>Case-specific</v>
      </c>
      <c r="F192" s="4" t="str">
        <f>VLOOKUP($A192,'Institution Evaluation'!$A$56:$K$345,3,0)&amp;""</f>
        <v>N/A</v>
      </c>
      <c r="G192" s="4" t="str">
        <f>VLOOKUP($A192,'Institution Evaluation'!$A$56:$K$345,7,0)&amp;""</f>
        <v>Yes</v>
      </c>
      <c r="H192" s="4" t="str">
        <f>VLOOKUP($A192,'Institution Evaluation'!$A$56:$K$345,8,0)&amp;""</f>
        <v/>
      </c>
      <c r="I192" s="4" t="str">
        <f>VLOOKUP($A192,'Institution Evaluation'!$A$56:$K$345,9,0)&amp;""</f>
        <v>Standard Importance</v>
      </c>
      <c r="J192" s="4" t="str">
        <f>VLOOKUP($A192,'Institution Evaluation'!$A$56:$K$345,10,0)&amp;""</f>
        <v/>
      </c>
      <c r="K192" s="4">
        <f>IF($I192='Auto Responses'!$J$11,20,IF($I192='Auto Responses'!$J$13,5,10))</f>
        <v>10</v>
      </c>
      <c r="L192" s="101">
        <f>IF($E192='Auto Responses'!$L$13, 'Auto Responses'!$J$5,IF(AND($D192='Auto Responses'!$J$27,$H192=""),'Auto Responses'!$J$5,IF(AND($D192='Auto Responses'!$J$27,$H192='Auto Responses'!$J$7),1,IF(AND($D192='Auto Responses'!$J$27,$H192='Auto Responses'!$J$8),0,IF(OR(AND($F192=$G192,$H192=""),$H192='Auto Responses'!$J$7),1,0)))))</f>
        <v>0</v>
      </c>
      <c r="M192" s="4" t="str">
        <f>VLOOKUP($A192,'Institution Evaluation'!$A$56:$K$345,11,0)&amp;""</f>
        <v>FALSE</v>
      </c>
      <c r="N192" s="4">
        <f>IF($J192='Auto Responses'!$J$11,1,IF(AND($J192="",$I192='Auto Responses'!$J$11),1,0))</f>
        <v>0</v>
      </c>
      <c r="O192" s="101" t="str">
        <f>IF(OR($F$21='Auto Responses'!$J$4,$E192='Auto Responses'!$L$13,$F192='Auto Responses'!$J$5),'Auto Responses'!$J$5,IF($J192="",$K192,IF($J192='Auto Responses'!$J$13,5,IF($J192='Auto Responses'!$J$12,10,IF($J192='Auto Responses'!$J$11,20,0)))))</f>
        <v>N/A</v>
      </c>
      <c r="P192" s="101" t="str">
        <f>IF(OR($O192='Auto Responses'!$J$5,$L192='Auto Responses'!$J$5),'Auto Responses'!$J$5,$O192*$L192)</f>
        <v>N/A</v>
      </c>
      <c r="Q192" s="101">
        <f t="shared" si="15"/>
        <v>0</v>
      </c>
      <c r="R192" s="101">
        <f t="shared" si="19"/>
        <v>0</v>
      </c>
      <c r="S192" s="101">
        <f t="shared" si="16"/>
        <v>0</v>
      </c>
      <c r="T192" s="101">
        <f t="shared" si="17"/>
        <v>0</v>
      </c>
      <c r="U192" s="101">
        <f t="shared" si="20"/>
        <v>59</v>
      </c>
      <c r="V192" s="101">
        <f t="shared" si="18"/>
        <v>0</v>
      </c>
    </row>
    <row r="193" spans="1:22" ht="57" customHeight="1" x14ac:dyDescent="0.2">
      <c r="A193" s="4" t="str">
        <f>Questions!$A193</f>
        <v>HIPA-07</v>
      </c>
      <c r="B193" s="4" t="str">
        <f t="shared" si="14"/>
        <v>HIPA</v>
      </c>
      <c r="C193" s="4" t="str">
        <f>VLOOKUP($A193,Questions!$A$3:$L$333,2,0)&amp;""</f>
        <v>Do you comply with the requirements of the Health Information Technology for Economic and Clinical Health Act (HITECH)?</v>
      </c>
      <c r="D193" s="4" t="str">
        <f>VLOOKUP($A193,Questions!$A$3:$L$333,11,0)&amp;""</f>
        <v/>
      </c>
      <c r="E193" s="4" t="str">
        <f>VLOOKUP($A193,Questions!$A$3:$L$333,12,0)&amp;""</f>
        <v>Case-specific</v>
      </c>
      <c r="F193" s="4" t="str">
        <f>VLOOKUP($A193,'Institution Evaluation'!$A$56:$K$345,3,0)&amp;""</f>
        <v>N/A</v>
      </c>
      <c r="G193" s="4" t="str">
        <f>VLOOKUP($A193,'Institution Evaluation'!$A$56:$K$345,7,0)&amp;""</f>
        <v>Yes</v>
      </c>
      <c r="H193" s="4" t="str">
        <f>VLOOKUP($A193,'Institution Evaluation'!$A$56:$K$345,8,0)&amp;""</f>
        <v/>
      </c>
      <c r="I193" s="4" t="str">
        <f>VLOOKUP($A193,'Institution Evaluation'!$A$56:$K$345,9,0)&amp;""</f>
        <v>Standard Importance</v>
      </c>
      <c r="J193" s="4" t="str">
        <f>VLOOKUP($A193,'Institution Evaluation'!$A$56:$K$345,10,0)&amp;""</f>
        <v/>
      </c>
      <c r="K193" s="4">
        <f>IF($I193='Auto Responses'!$J$11,20,IF($I193='Auto Responses'!$J$13,5,10))</f>
        <v>10</v>
      </c>
      <c r="L193" s="101">
        <f>IF($E193='Auto Responses'!$L$13, 'Auto Responses'!$J$5,IF(AND($D193='Auto Responses'!$J$27,$H193=""),'Auto Responses'!$J$5,IF(AND($D193='Auto Responses'!$J$27,$H193='Auto Responses'!$J$7),1,IF(AND($D193='Auto Responses'!$J$27,$H193='Auto Responses'!$J$8),0,IF(OR(AND($F193=$G193,$H193=""),$H193='Auto Responses'!$J$7),1,0)))))</f>
        <v>0</v>
      </c>
      <c r="M193" s="4" t="str">
        <f>VLOOKUP($A193,'Institution Evaluation'!$A$56:$K$345,11,0)&amp;""</f>
        <v>FALSE</v>
      </c>
      <c r="N193" s="4">
        <f>IF($J193='Auto Responses'!$J$11,1,IF(AND($J193="",$I193='Auto Responses'!$J$11),1,0))</f>
        <v>0</v>
      </c>
      <c r="O193" s="101" t="str">
        <f>IF(OR($F$21='Auto Responses'!$J$4,$E193='Auto Responses'!$L$13,$F193='Auto Responses'!$J$5),'Auto Responses'!$J$5,IF($J193="",$K193,IF($J193='Auto Responses'!$J$13,5,IF($J193='Auto Responses'!$J$12,10,IF($J193='Auto Responses'!$J$11,20,0)))))</f>
        <v>N/A</v>
      </c>
      <c r="P193" s="101" t="str">
        <f>IF(OR($O193='Auto Responses'!$J$5,$L193='Auto Responses'!$J$5),'Auto Responses'!$J$5,$O193*$L193)</f>
        <v>N/A</v>
      </c>
      <c r="Q193" s="101">
        <f t="shared" si="15"/>
        <v>0</v>
      </c>
      <c r="R193" s="101">
        <f t="shared" si="19"/>
        <v>0</v>
      </c>
      <c r="S193" s="101">
        <f t="shared" si="16"/>
        <v>0</v>
      </c>
      <c r="T193" s="101">
        <f t="shared" si="17"/>
        <v>0</v>
      </c>
      <c r="U193" s="101">
        <f t="shared" si="20"/>
        <v>59</v>
      </c>
      <c r="V193" s="101">
        <f t="shared" si="18"/>
        <v>0</v>
      </c>
    </row>
    <row r="194" spans="1:22" ht="57" customHeight="1" x14ac:dyDescent="0.2">
      <c r="A194" s="4" t="str">
        <f>Questions!$A194</f>
        <v>HIPA-08</v>
      </c>
      <c r="B194" s="4" t="str">
        <f t="shared" si="14"/>
        <v>HIPA</v>
      </c>
      <c r="C194" s="4" t="str">
        <f>VLOOKUP($A194,Questions!$A$3:$L$333,2,0)&amp;""</f>
        <v>Have you conducted a risk analysis as required under the HIPAA Security Rule?</v>
      </c>
      <c r="D194" s="4" t="str">
        <f>VLOOKUP($A194,Questions!$A$3:$L$333,11,0)&amp;""</f>
        <v/>
      </c>
      <c r="E194" s="4" t="str">
        <f>VLOOKUP($A194,Questions!$A$3:$L$333,12,0)&amp;""</f>
        <v>Case-specific</v>
      </c>
      <c r="F194" s="4" t="str">
        <f>VLOOKUP($A194,'Institution Evaluation'!$A$56:$K$345,3,0)&amp;""</f>
        <v>N/A</v>
      </c>
      <c r="G194" s="4" t="str">
        <f>VLOOKUP($A194,'Institution Evaluation'!$A$56:$K$345,7,0)&amp;""</f>
        <v>Yes</v>
      </c>
      <c r="H194" s="4" t="str">
        <f>VLOOKUP($A194,'Institution Evaluation'!$A$56:$K$345,8,0)&amp;""</f>
        <v/>
      </c>
      <c r="I194" s="4" t="str">
        <f>VLOOKUP($A194,'Institution Evaluation'!$A$56:$K$345,9,0)&amp;""</f>
        <v>Standard Importance</v>
      </c>
      <c r="J194" s="4" t="str">
        <f>VLOOKUP($A194,'Institution Evaluation'!$A$56:$K$345,10,0)&amp;""</f>
        <v/>
      </c>
      <c r="K194" s="4">
        <f>IF($I194='Auto Responses'!$J$11,20,IF($I194='Auto Responses'!$J$13,5,10))</f>
        <v>10</v>
      </c>
      <c r="L194" s="101">
        <f>IF($E194='Auto Responses'!$L$13, 'Auto Responses'!$J$5,IF(AND($D194='Auto Responses'!$J$27,$H194=""),'Auto Responses'!$J$5,IF(AND($D194='Auto Responses'!$J$27,$H194='Auto Responses'!$J$7),1,IF(AND($D194='Auto Responses'!$J$27,$H194='Auto Responses'!$J$8),0,IF(OR(AND($F194=$G194,$H194=""),$H194='Auto Responses'!$J$7),1,0)))))</f>
        <v>0</v>
      </c>
      <c r="M194" s="4" t="str">
        <f>VLOOKUP($A194,'Institution Evaluation'!$A$56:$K$345,11,0)&amp;""</f>
        <v>FALSE</v>
      </c>
      <c r="N194" s="4">
        <f>IF($J194='Auto Responses'!$J$11,1,IF(AND($J194="",$I194='Auto Responses'!$J$11),1,0))</f>
        <v>0</v>
      </c>
      <c r="O194" s="101" t="str">
        <f>IF(OR($F$21='Auto Responses'!$J$4,$E194='Auto Responses'!$L$13,$F194='Auto Responses'!$J$5),'Auto Responses'!$J$5,IF($J194="",$K194,IF($J194='Auto Responses'!$J$13,5,IF($J194='Auto Responses'!$J$12,10,IF($J194='Auto Responses'!$J$11,20,0)))))</f>
        <v>N/A</v>
      </c>
      <c r="P194" s="101" t="str">
        <f>IF(OR($O194='Auto Responses'!$J$5,$L194='Auto Responses'!$J$5),'Auto Responses'!$J$5,$O194*$L194)</f>
        <v>N/A</v>
      </c>
      <c r="Q194" s="101">
        <f t="shared" si="15"/>
        <v>0</v>
      </c>
      <c r="R194" s="101">
        <f t="shared" si="19"/>
        <v>0</v>
      </c>
      <c r="S194" s="101">
        <f t="shared" si="16"/>
        <v>0</v>
      </c>
      <c r="T194" s="101">
        <f t="shared" si="17"/>
        <v>0</v>
      </c>
      <c r="U194" s="101">
        <f t="shared" si="20"/>
        <v>59</v>
      </c>
      <c r="V194" s="101">
        <f t="shared" si="18"/>
        <v>0</v>
      </c>
    </row>
    <row r="195" spans="1:22" ht="57" customHeight="1" x14ac:dyDescent="0.2">
      <c r="A195" s="4" t="str">
        <f>Questions!$A195</f>
        <v>HIPA-09</v>
      </c>
      <c r="B195" s="4" t="str">
        <f t="shared" ref="B195:B258" si="21">LEFT(A195,4)</f>
        <v>HIPA</v>
      </c>
      <c r="C195" s="4" t="str">
        <f>VLOOKUP($A195,Questions!$A$3:$L$333,2,0)&amp;""</f>
        <v>Have you taken actions to mitigate the identified risks?</v>
      </c>
      <c r="D195" s="4" t="str">
        <f>VLOOKUP($A195,Questions!$A$3:$L$333,11,0)&amp;""</f>
        <v/>
      </c>
      <c r="E195" s="4" t="str">
        <f>VLOOKUP($A195,Questions!$A$3:$L$333,12,0)&amp;""</f>
        <v>Case-specific</v>
      </c>
      <c r="F195" s="4" t="str">
        <f>VLOOKUP($A195,'Institution Evaluation'!$A$56:$K$345,3,0)&amp;""</f>
        <v>N/A</v>
      </c>
      <c r="G195" s="4" t="str">
        <f>VLOOKUP($A195,'Institution Evaluation'!$A$56:$K$345,7,0)&amp;""</f>
        <v>Yes</v>
      </c>
      <c r="H195" s="4" t="str">
        <f>VLOOKUP($A195,'Institution Evaluation'!$A$56:$K$345,8,0)&amp;""</f>
        <v/>
      </c>
      <c r="I195" s="4" t="str">
        <f>VLOOKUP($A195,'Institution Evaluation'!$A$56:$K$345,9,0)&amp;""</f>
        <v>Standard Importance</v>
      </c>
      <c r="J195" s="4" t="str">
        <f>VLOOKUP($A195,'Institution Evaluation'!$A$56:$K$345,10,0)&amp;""</f>
        <v/>
      </c>
      <c r="K195" s="4">
        <f>IF($I195='Auto Responses'!$J$11,20,IF($I195='Auto Responses'!$J$13,5,10))</f>
        <v>10</v>
      </c>
      <c r="L195" s="101">
        <f>IF($E195='Auto Responses'!$L$13, 'Auto Responses'!$J$5,IF(AND($D195='Auto Responses'!$J$27,$H195=""),'Auto Responses'!$J$5,IF(AND($D195='Auto Responses'!$J$27,$H195='Auto Responses'!$J$7),1,IF(AND($D195='Auto Responses'!$J$27,$H195='Auto Responses'!$J$8),0,IF(OR(AND($F195=$G195,$H195=""),$H195='Auto Responses'!$J$7),1,0)))))</f>
        <v>0</v>
      </c>
      <c r="M195" s="4" t="str">
        <f>VLOOKUP($A195,'Institution Evaluation'!$A$56:$K$345,11,0)&amp;""</f>
        <v>FALSE</v>
      </c>
      <c r="N195" s="4">
        <f>IF($J195='Auto Responses'!$J$11,1,IF(AND($J195="",$I195='Auto Responses'!$J$11),1,0))</f>
        <v>0</v>
      </c>
      <c r="O195" s="101" t="str">
        <f>IF(OR($F$21='Auto Responses'!$J$4,$E195='Auto Responses'!$L$13,$F195='Auto Responses'!$J$5),'Auto Responses'!$J$5,IF($J195="",$K195,IF($J195='Auto Responses'!$J$13,5,IF($J195='Auto Responses'!$J$12,10,IF($J195='Auto Responses'!$J$11,20,0)))))</f>
        <v>N/A</v>
      </c>
      <c r="P195" s="101" t="str">
        <f>IF(OR($O195='Auto Responses'!$J$5,$L195='Auto Responses'!$J$5),'Auto Responses'!$J$5,$O195*$L195)</f>
        <v>N/A</v>
      </c>
      <c r="Q195" s="101">
        <f t="shared" ref="Q195:Q258" si="22">IF(M195="TRUE",1,0)</f>
        <v>0</v>
      </c>
      <c r="R195" s="101">
        <f t="shared" si="19"/>
        <v>0</v>
      </c>
      <c r="S195" s="101">
        <f t="shared" ref="S195:S258" si="23">IF(Q195=0,0,R195)</f>
        <v>0</v>
      </c>
      <c r="T195" s="101">
        <f t="shared" ref="T195:T258" si="24">IF(N195=1,1,0)</f>
        <v>0</v>
      </c>
      <c r="U195" s="101">
        <f t="shared" si="20"/>
        <v>59</v>
      </c>
      <c r="V195" s="101">
        <f t="shared" ref="V195:V258" si="25">IF(T195=0,0,U195)</f>
        <v>0</v>
      </c>
    </row>
    <row r="196" spans="1:22" ht="57" customHeight="1" x14ac:dyDescent="0.2">
      <c r="A196" s="4" t="str">
        <f>Questions!$A196</f>
        <v>HIPA-10</v>
      </c>
      <c r="B196" s="4" t="str">
        <f t="shared" si="21"/>
        <v>HIPA</v>
      </c>
      <c r="C196" s="4" t="str">
        <f>VLOOKUP($A196,Questions!$A$3:$L$333,2,0)&amp;""</f>
        <v>Does your application require user and system administrator password changes at a frequency no greater than 90 days?</v>
      </c>
      <c r="D196" s="4" t="str">
        <f>VLOOKUP($A196,Questions!$A$3:$L$333,11,0)&amp;""</f>
        <v/>
      </c>
      <c r="E196" s="4" t="str">
        <f>VLOOKUP($A196,Questions!$A$3:$L$333,12,0)&amp;""</f>
        <v>Case-specific</v>
      </c>
      <c r="F196" s="4" t="str">
        <f>VLOOKUP($A196,'Institution Evaluation'!$A$56:$K$345,3,0)&amp;""</f>
        <v>N/A</v>
      </c>
      <c r="G196" s="4" t="str">
        <f>VLOOKUP($A196,'Institution Evaluation'!$A$56:$K$345,7,0)&amp;""</f>
        <v>Yes</v>
      </c>
      <c r="H196" s="4" t="str">
        <f>VLOOKUP($A196,'Institution Evaluation'!$A$56:$K$345,8,0)&amp;""</f>
        <v/>
      </c>
      <c r="I196" s="4" t="str">
        <f>VLOOKUP($A196,'Institution Evaluation'!$A$56:$K$345,9,0)&amp;""</f>
        <v>Standard Importance</v>
      </c>
      <c r="J196" s="4" t="str">
        <f>VLOOKUP($A196,'Institution Evaluation'!$A$56:$K$345,10,0)&amp;""</f>
        <v/>
      </c>
      <c r="K196" s="4">
        <f>IF($I196='Auto Responses'!$J$11,20,IF($I196='Auto Responses'!$J$13,5,10))</f>
        <v>10</v>
      </c>
      <c r="L196" s="101">
        <f>IF($E196='Auto Responses'!$L$13, 'Auto Responses'!$J$5,IF(AND($D196='Auto Responses'!$J$27,$H196=""),'Auto Responses'!$J$5,IF(AND($D196='Auto Responses'!$J$27,$H196='Auto Responses'!$J$7),1,IF(AND($D196='Auto Responses'!$J$27,$H196='Auto Responses'!$J$8),0,IF(OR(AND($F196=$G196,$H196=""),$H196='Auto Responses'!$J$7),1,0)))))</f>
        <v>0</v>
      </c>
      <c r="M196" s="4" t="str">
        <f>VLOOKUP($A196,'Institution Evaluation'!$A$56:$K$345,11,0)&amp;""</f>
        <v>FALSE</v>
      </c>
      <c r="N196" s="4">
        <f>IF($J196='Auto Responses'!$J$11,1,IF(AND($J196="",$I196='Auto Responses'!$J$11),1,0))</f>
        <v>0</v>
      </c>
      <c r="O196" s="101" t="str">
        <f>IF(OR($F$21='Auto Responses'!$J$4,$E196='Auto Responses'!$L$13,$F196='Auto Responses'!$J$5),'Auto Responses'!$J$5,IF($J196="",$K196,IF($J196='Auto Responses'!$J$13,5,IF($J196='Auto Responses'!$J$12,10,IF($J196='Auto Responses'!$J$11,20,0)))))</f>
        <v>N/A</v>
      </c>
      <c r="P196" s="101" t="str">
        <f>IF(OR($O196='Auto Responses'!$J$5,$L196='Auto Responses'!$J$5),'Auto Responses'!$J$5,$O196*$L196)</f>
        <v>N/A</v>
      </c>
      <c r="Q196" s="101">
        <f t="shared" si="22"/>
        <v>0</v>
      </c>
      <c r="R196" s="101">
        <f t="shared" ref="R196:R259" si="26">R195+Q196</f>
        <v>0</v>
      </c>
      <c r="S196" s="101">
        <f t="shared" si="23"/>
        <v>0</v>
      </c>
      <c r="T196" s="101">
        <f t="shared" si="24"/>
        <v>0</v>
      </c>
      <c r="U196" s="101">
        <f t="shared" ref="U196:U259" si="27">U195+T196</f>
        <v>59</v>
      </c>
      <c r="V196" s="101">
        <f t="shared" si="25"/>
        <v>0</v>
      </c>
    </row>
    <row r="197" spans="1:22" ht="57" customHeight="1" x14ac:dyDescent="0.2">
      <c r="A197" s="4" t="str">
        <f>Questions!$A197</f>
        <v>HIPA-11</v>
      </c>
      <c r="B197" s="4" t="str">
        <f t="shared" si="21"/>
        <v>HIPA</v>
      </c>
      <c r="C197" s="4" t="str">
        <f>VLOOKUP($A197,Questions!$A$3:$L$333,2,0)&amp;""</f>
        <v>Does your application require users to set their own password after an administrator reset or on first use of the account?</v>
      </c>
      <c r="D197" s="4" t="str">
        <f>VLOOKUP($A197,Questions!$A$3:$L$333,11,0)&amp;""</f>
        <v/>
      </c>
      <c r="E197" s="4" t="str">
        <f>VLOOKUP($A197,Questions!$A$3:$L$333,12,0)&amp;""</f>
        <v>Case-specific</v>
      </c>
      <c r="F197" s="4" t="str">
        <f>VLOOKUP($A197,'Institution Evaluation'!$A$56:$K$345,3,0)&amp;""</f>
        <v>N/A</v>
      </c>
      <c r="G197" s="4" t="str">
        <f>VLOOKUP($A197,'Institution Evaluation'!$A$56:$K$345,7,0)&amp;""</f>
        <v>Yes</v>
      </c>
      <c r="H197" s="4" t="str">
        <f>VLOOKUP($A197,'Institution Evaluation'!$A$56:$K$345,8,0)&amp;""</f>
        <v/>
      </c>
      <c r="I197" s="4" t="str">
        <f>VLOOKUP($A197,'Institution Evaluation'!$A$56:$K$345,9,0)&amp;""</f>
        <v>Standard Importance</v>
      </c>
      <c r="J197" s="4" t="str">
        <f>VLOOKUP($A197,'Institution Evaluation'!$A$56:$K$345,10,0)&amp;""</f>
        <v/>
      </c>
      <c r="K197" s="4">
        <f>IF($I197='Auto Responses'!$J$11,20,IF($I197='Auto Responses'!$J$13,5,10))</f>
        <v>10</v>
      </c>
      <c r="L197" s="101">
        <f>IF($E197='Auto Responses'!$L$13, 'Auto Responses'!$J$5,IF(AND($D197='Auto Responses'!$J$27,$H197=""),'Auto Responses'!$J$5,IF(AND($D197='Auto Responses'!$J$27,$H197='Auto Responses'!$J$7),1,IF(AND($D197='Auto Responses'!$J$27,$H197='Auto Responses'!$J$8),0,IF(OR(AND($F197=$G197,$H197=""),$H197='Auto Responses'!$J$7),1,0)))))</f>
        <v>0</v>
      </c>
      <c r="M197" s="4" t="str">
        <f>VLOOKUP($A197,'Institution Evaluation'!$A$56:$K$345,11,0)&amp;""</f>
        <v>FALSE</v>
      </c>
      <c r="N197" s="4">
        <f>IF($J197='Auto Responses'!$J$11,1,IF(AND($J197="",$I197='Auto Responses'!$J$11),1,0))</f>
        <v>0</v>
      </c>
      <c r="O197" s="101" t="str">
        <f>IF(OR($F$21='Auto Responses'!$J$4,$E197='Auto Responses'!$L$13,$F197='Auto Responses'!$J$5),'Auto Responses'!$J$5,IF($J197="",$K197,IF($J197='Auto Responses'!$J$13,5,IF($J197='Auto Responses'!$J$12,10,IF($J197='Auto Responses'!$J$11,20,0)))))</f>
        <v>N/A</v>
      </c>
      <c r="P197" s="101" t="str">
        <f>IF(OR($O197='Auto Responses'!$J$5,$L197='Auto Responses'!$J$5),'Auto Responses'!$J$5,$O197*$L197)</f>
        <v>N/A</v>
      </c>
      <c r="Q197" s="101">
        <f t="shared" si="22"/>
        <v>0</v>
      </c>
      <c r="R197" s="101">
        <f t="shared" si="26"/>
        <v>0</v>
      </c>
      <c r="S197" s="101">
        <f t="shared" si="23"/>
        <v>0</v>
      </c>
      <c r="T197" s="101">
        <f t="shared" si="24"/>
        <v>0</v>
      </c>
      <c r="U197" s="101">
        <f t="shared" si="27"/>
        <v>59</v>
      </c>
      <c r="V197" s="101">
        <f t="shared" si="25"/>
        <v>0</v>
      </c>
    </row>
    <row r="198" spans="1:22" ht="57" customHeight="1" x14ac:dyDescent="0.2">
      <c r="A198" s="4" t="str">
        <f>Questions!$A198</f>
        <v>HIPA-12</v>
      </c>
      <c r="B198" s="4" t="str">
        <f t="shared" si="21"/>
        <v>HIPA</v>
      </c>
      <c r="C198" s="4" t="str">
        <f>VLOOKUP($A198,Questions!$A$3:$L$333,2,0)&amp;""</f>
        <v>Does your application lock out an account after a number of failed login attempts?</v>
      </c>
      <c r="D198" s="4" t="str">
        <f>VLOOKUP($A198,Questions!$A$3:$L$333,11,0)&amp;""</f>
        <v/>
      </c>
      <c r="E198" s="4" t="str">
        <f>VLOOKUP($A198,Questions!$A$3:$L$333,12,0)&amp;""</f>
        <v>Case-specific</v>
      </c>
      <c r="F198" s="4" t="str">
        <f>VLOOKUP($A198,'Institution Evaluation'!$A$56:$K$345,3,0)&amp;""</f>
        <v>N/A</v>
      </c>
      <c r="G198" s="4" t="str">
        <f>VLOOKUP($A198,'Institution Evaluation'!$A$56:$K$345,7,0)&amp;""</f>
        <v>Yes</v>
      </c>
      <c r="H198" s="4" t="str">
        <f>VLOOKUP($A198,'Institution Evaluation'!$A$56:$K$345,8,0)&amp;""</f>
        <v/>
      </c>
      <c r="I198" s="4" t="str">
        <f>VLOOKUP($A198,'Institution Evaluation'!$A$56:$K$345,9,0)&amp;""</f>
        <v>Standard Importance</v>
      </c>
      <c r="J198" s="4" t="str">
        <f>VLOOKUP($A198,'Institution Evaluation'!$A$56:$K$345,10,0)&amp;""</f>
        <v/>
      </c>
      <c r="K198" s="4">
        <f>IF($I198='Auto Responses'!$J$11,20,IF($I198='Auto Responses'!$J$13,5,10))</f>
        <v>10</v>
      </c>
      <c r="L198" s="101">
        <f>IF($E198='Auto Responses'!$L$13, 'Auto Responses'!$J$5,IF(AND($D198='Auto Responses'!$J$27,$H198=""),'Auto Responses'!$J$5,IF(AND($D198='Auto Responses'!$J$27,$H198='Auto Responses'!$J$7),1,IF(AND($D198='Auto Responses'!$J$27,$H198='Auto Responses'!$J$8),0,IF(OR(AND($F198=$G198,$H198=""),$H198='Auto Responses'!$J$7),1,0)))))</f>
        <v>0</v>
      </c>
      <c r="M198" s="4" t="str">
        <f>VLOOKUP($A198,'Institution Evaluation'!$A$56:$K$345,11,0)&amp;""</f>
        <v>FALSE</v>
      </c>
      <c r="N198" s="4">
        <f>IF($J198='Auto Responses'!$J$11,1,IF(AND($J198="",$I198='Auto Responses'!$J$11),1,0))</f>
        <v>0</v>
      </c>
      <c r="O198" s="101" t="str">
        <f>IF(OR($F$21='Auto Responses'!$J$4,$E198='Auto Responses'!$L$13,$F198='Auto Responses'!$J$5),'Auto Responses'!$J$5,IF($J198="",$K198,IF($J198='Auto Responses'!$J$13,5,IF($J198='Auto Responses'!$J$12,10,IF($J198='Auto Responses'!$J$11,20,0)))))</f>
        <v>N/A</v>
      </c>
      <c r="P198" s="101" t="str">
        <f>IF(OR($O198='Auto Responses'!$J$5,$L198='Auto Responses'!$J$5),'Auto Responses'!$J$5,$O198*$L198)</f>
        <v>N/A</v>
      </c>
      <c r="Q198" s="101">
        <f t="shared" si="22"/>
        <v>0</v>
      </c>
      <c r="R198" s="101">
        <f t="shared" si="26"/>
        <v>0</v>
      </c>
      <c r="S198" s="101">
        <f t="shared" si="23"/>
        <v>0</v>
      </c>
      <c r="T198" s="101">
        <f t="shared" si="24"/>
        <v>0</v>
      </c>
      <c r="U198" s="101">
        <f t="shared" si="27"/>
        <v>59</v>
      </c>
      <c r="V198" s="101">
        <f t="shared" si="25"/>
        <v>0</v>
      </c>
    </row>
    <row r="199" spans="1:22" ht="57" customHeight="1" x14ac:dyDescent="0.2">
      <c r="A199" s="4" t="str">
        <f>Questions!$A199</f>
        <v>HIPA-13</v>
      </c>
      <c r="B199" s="4" t="str">
        <f t="shared" si="21"/>
        <v>HIPA</v>
      </c>
      <c r="C199" s="4" t="str">
        <f>VLOOKUP($A199,Questions!$A$3:$L$333,2,0)&amp;""</f>
        <v>Does your application automatically lock or log-out an account after a period of inactivity?</v>
      </c>
      <c r="D199" s="4" t="str">
        <f>VLOOKUP($A199,Questions!$A$3:$L$333,11,0)&amp;""</f>
        <v/>
      </c>
      <c r="E199" s="4" t="str">
        <f>VLOOKUP($A199,Questions!$A$3:$L$333,12,0)&amp;""</f>
        <v>Case-specific</v>
      </c>
      <c r="F199" s="4" t="str">
        <f>VLOOKUP($A199,'Institution Evaluation'!$A$56:$K$345,3,0)&amp;""</f>
        <v>N/A</v>
      </c>
      <c r="G199" s="4" t="str">
        <f>VLOOKUP($A199,'Institution Evaluation'!$A$56:$K$345,7,0)&amp;""</f>
        <v>Yes</v>
      </c>
      <c r="H199" s="4" t="str">
        <f>VLOOKUP($A199,'Institution Evaluation'!$A$56:$K$345,8,0)&amp;""</f>
        <v/>
      </c>
      <c r="I199" s="4" t="str">
        <f>VLOOKUP($A199,'Institution Evaluation'!$A$56:$K$345,9,0)&amp;""</f>
        <v>Standard Importance</v>
      </c>
      <c r="J199" s="4" t="str">
        <f>VLOOKUP($A199,'Institution Evaluation'!$A$56:$K$345,10,0)&amp;""</f>
        <v/>
      </c>
      <c r="K199" s="4">
        <f>IF($I199='Auto Responses'!$J$11,20,IF($I199='Auto Responses'!$J$13,5,10))</f>
        <v>10</v>
      </c>
      <c r="L199" s="101">
        <f>IF($E199='Auto Responses'!$L$13, 'Auto Responses'!$J$5,IF(AND($D199='Auto Responses'!$J$27,$H199=""),'Auto Responses'!$J$5,IF(AND($D199='Auto Responses'!$J$27,$H199='Auto Responses'!$J$7),1,IF(AND($D199='Auto Responses'!$J$27,$H199='Auto Responses'!$J$8),0,IF(OR(AND($F199=$G199,$H199=""),$H199='Auto Responses'!$J$7),1,0)))))</f>
        <v>0</v>
      </c>
      <c r="M199" s="4" t="str">
        <f>VLOOKUP($A199,'Institution Evaluation'!$A$56:$K$345,11,0)&amp;""</f>
        <v>FALSE</v>
      </c>
      <c r="N199" s="4">
        <f>IF($J199='Auto Responses'!$J$11,1,IF(AND($J199="",$I199='Auto Responses'!$J$11),1,0))</f>
        <v>0</v>
      </c>
      <c r="O199" s="101" t="str">
        <f>IF(OR($F$21='Auto Responses'!$J$4,$E199='Auto Responses'!$L$13,$F199='Auto Responses'!$J$5),'Auto Responses'!$J$5,IF($J199="",$K199,IF($J199='Auto Responses'!$J$13,5,IF($J199='Auto Responses'!$J$12,10,IF($J199='Auto Responses'!$J$11,20,0)))))</f>
        <v>N/A</v>
      </c>
      <c r="P199" s="101" t="str">
        <f>IF(OR($O199='Auto Responses'!$J$5,$L199='Auto Responses'!$J$5),'Auto Responses'!$J$5,$O199*$L199)</f>
        <v>N/A</v>
      </c>
      <c r="Q199" s="101">
        <f t="shared" si="22"/>
        <v>0</v>
      </c>
      <c r="R199" s="101">
        <f t="shared" si="26"/>
        <v>0</v>
      </c>
      <c r="S199" s="101">
        <f t="shared" si="23"/>
        <v>0</v>
      </c>
      <c r="T199" s="101">
        <f t="shared" si="24"/>
        <v>0</v>
      </c>
      <c r="U199" s="101">
        <f t="shared" si="27"/>
        <v>59</v>
      </c>
      <c r="V199" s="101">
        <f t="shared" si="25"/>
        <v>0</v>
      </c>
    </row>
    <row r="200" spans="1:22" ht="57" customHeight="1" x14ac:dyDescent="0.2">
      <c r="A200" s="4" t="str">
        <f>Questions!$A200</f>
        <v>HIPA-14</v>
      </c>
      <c r="B200" s="4" t="str">
        <f t="shared" si="21"/>
        <v>HIPA</v>
      </c>
      <c r="C200" s="4" t="str">
        <f>VLOOKUP($A200,Questions!$A$3:$L$333,2,0)&amp;""</f>
        <v>Are passwords visible in plain text, whether when stored or entered, including service level accounts (i.e., database accounts, etc.)?</v>
      </c>
      <c r="D200" s="4" t="str">
        <f>VLOOKUP($A200,Questions!$A$3:$L$333,11,0)&amp;""</f>
        <v/>
      </c>
      <c r="E200" s="4" t="str">
        <f>VLOOKUP($A200,Questions!$A$3:$L$333,12,0)&amp;""</f>
        <v>Case-specific</v>
      </c>
      <c r="F200" s="4" t="str">
        <f>VLOOKUP($A200,'Institution Evaluation'!$A$56:$K$345,3,0)&amp;""</f>
        <v>N/A</v>
      </c>
      <c r="G200" s="4" t="str">
        <f>VLOOKUP($A200,'Institution Evaluation'!$A$56:$K$345,7,0)&amp;""</f>
        <v>No</v>
      </c>
      <c r="H200" s="4" t="str">
        <f>VLOOKUP($A200,'Institution Evaluation'!$A$56:$K$345,8,0)&amp;""</f>
        <v/>
      </c>
      <c r="I200" s="4" t="str">
        <f>VLOOKUP($A200,'Institution Evaluation'!$A$56:$K$345,9,0)&amp;""</f>
        <v>Standard Importance</v>
      </c>
      <c r="J200" s="4" t="str">
        <f>VLOOKUP($A200,'Institution Evaluation'!$A$56:$K$345,10,0)&amp;""</f>
        <v/>
      </c>
      <c r="K200" s="4">
        <f>IF($I200='Auto Responses'!$J$11,20,IF($I200='Auto Responses'!$J$13,5,10))</f>
        <v>10</v>
      </c>
      <c r="L200" s="101">
        <f>IF($E200='Auto Responses'!$L$13, 'Auto Responses'!$J$5,IF(AND($D200='Auto Responses'!$J$27,$H200=""),'Auto Responses'!$J$5,IF(AND($D200='Auto Responses'!$J$27,$H200='Auto Responses'!$J$7),1,IF(AND($D200='Auto Responses'!$J$27,$H200='Auto Responses'!$J$8),0,IF(OR(AND($F200=$G200,$H200=""),$H200='Auto Responses'!$J$7),1,0)))))</f>
        <v>0</v>
      </c>
      <c r="M200" s="4" t="str">
        <f>VLOOKUP($A200,'Institution Evaluation'!$A$56:$K$345,11,0)&amp;""</f>
        <v>FALSE</v>
      </c>
      <c r="N200" s="4">
        <f>IF($J200='Auto Responses'!$J$11,1,IF(AND($J200="",$I200='Auto Responses'!$J$11),1,0))</f>
        <v>0</v>
      </c>
      <c r="O200" s="101" t="str">
        <f>IF(OR($F$21='Auto Responses'!$J$4,$E200='Auto Responses'!$L$13,$F200='Auto Responses'!$J$5),'Auto Responses'!$J$5,IF($J200="",$K200,IF($J200='Auto Responses'!$J$13,5,IF($J200='Auto Responses'!$J$12,10,IF($J200='Auto Responses'!$J$11,20,0)))))</f>
        <v>N/A</v>
      </c>
      <c r="P200" s="101" t="str">
        <f>IF(OR($O200='Auto Responses'!$J$5,$L200='Auto Responses'!$J$5),'Auto Responses'!$J$5,$O200*$L200)</f>
        <v>N/A</v>
      </c>
      <c r="Q200" s="101">
        <f t="shared" si="22"/>
        <v>0</v>
      </c>
      <c r="R200" s="101">
        <f t="shared" si="26"/>
        <v>0</v>
      </c>
      <c r="S200" s="101">
        <f t="shared" si="23"/>
        <v>0</v>
      </c>
      <c r="T200" s="101">
        <f t="shared" si="24"/>
        <v>0</v>
      </c>
      <c r="U200" s="101">
        <f t="shared" si="27"/>
        <v>59</v>
      </c>
      <c r="V200" s="101">
        <f t="shared" si="25"/>
        <v>0</v>
      </c>
    </row>
    <row r="201" spans="1:22" ht="57" customHeight="1" x14ac:dyDescent="0.2">
      <c r="A201" s="4" t="str">
        <f>Questions!$A201</f>
        <v>HIPA-15</v>
      </c>
      <c r="B201" s="4" t="str">
        <f t="shared" si="21"/>
        <v>HIPA</v>
      </c>
      <c r="C201" s="4" t="str">
        <f>VLOOKUP($A201,Questions!$A$3:$L$333,2,0)&amp;""</f>
        <v>If the application is institution-hosted, can all service level and administrative account passwords be changed by the institution?</v>
      </c>
      <c r="D201" s="4" t="str">
        <f>VLOOKUP($A201,Questions!$A$3:$L$333,11,0)&amp;""</f>
        <v/>
      </c>
      <c r="E201" s="4" t="str">
        <f>VLOOKUP($A201,Questions!$A$3:$L$333,12,0)&amp;""</f>
        <v>Case-specific</v>
      </c>
      <c r="F201" s="4" t="str">
        <f>VLOOKUP($A201,'Institution Evaluation'!$A$56:$K$345,3,0)&amp;""</f>
        <v>N/A</v>
      </c>
      <c r="G201" s="4" t="str">
        <f>VLOOKUP($A201,'Institution Evaluation'!$A$56:$K$345,7,0)&amp;""</f>
        <v>Yes</v>
      </c>
      <c r="H201" s="4" t="str">
        <f>VLOOKUP($A201,'Institution Evaluation'!$A$56:$K$345,8,0)&amp;""</f>
        <v/>
      </c>
      <c r="I201" s="4" t="str">
        <f>VLOOKUP($A201,'Institution Evaluation'!$A$56:$K$345,9,0)&amp;""</f>
        <v>Standard Importance</v>
      </c>
      <c r="J201" s="4" t="str">
        <f>VLOOKUP($A201,'Institution Evaluation'!$A$56:$K$345,10,0)&amp;""</f>
        <v/>
      </c>
      <c r="K201" s="4">
        <f>IF($I201='Auto Responses'!$J$11,20,IF($I201='Auto Responses'!$J$13,5,10))</f>
        <v>10</v>
      </c>
      <c r="L201" s="101">
        <f>IF($E201='Auto Responses'!$L$13, 'Auto Responses'!$J$5,IF(AND($D201='Auto Responses'!$J$27,$H201=""),'Auto Responses'!$J$5,IF(AND($D201='Auto Responses'!$J$27,$H201='Auto Responses'!$J$7),1,IF(AND($D201='Auto Responses'!$J$27,$H201='Auto Responses'!$J$8),0,IF(OR(AND($F201=$G201,$H201=""),$H201='Auto Responses'!$J$7),1,0)))))</f>
        <v>0</v>
      </c>
      <c r="M201" s="4" t="str">
        <f>VLOOKUP($A201,'Institution Evaluation'!$A$56:$K$345,11,0)&amp;""</f>
        <v>FALSE</v>
      </c>
      <c r="N201" s="4">
        <f>IF($J201='Auto Responses'!$J$11,1,IF(AND($J201="",$I201='Auto Responses'!$J$11),1,0))</f>
        <v>0</v>
      </c>
      <c r="O201" s="101" t="str">
        <f>IF(OR($F$21='Auto Responses'!$J$4,$E201='Auto Responses'!$L$13,$F201='Auto Responses'!$J$5),'Auto Responses'!$J$5,IF($J201="",$K201,IF($J201='Auto Responses'!$J$13,5,IF($J201='Auto Responses'!$J$12,10,IF($J201='Auto Responses'!$J$11,20,0)))))</f>
        <v>N/A</v>
      </c>
      <c r="P201" s="101" t="str">
        <f>IF(OR($O201='Auto Responses'!$J$5,$L201='Auto Responses'!$J$5),'Auto Responses'!$J$5,$O201*$L201)</f>
        <v>N/A</v>
      </c>
      <c r="Q201" s="101">
        <f t="shared" si="22"/>
        <v>0</v>
      </c>
      <c r="R201" s="101">
        <f t="shared" si="26"/>
        <v>0</v>
      </c>
      <c r="S201" s="101">
        <f t="shared" si="23"/>
        <v>0</v>
      </c>
      <c r="T201" s="101">
        <f t="shared" si="24"/>
        <v>0</v>
      </c>
      <c r="U201" s="101">
        <f t="shared" si="27"/>
        <v>59</v>
      </c>
      <c r="V201" s="101">
        <f t="shared" si="25"/>
        <v>0</v>
      </c>
    </row>
    <row r="202" spans="1:22" ht="57" customHeight="1" x14ac:dyDescent="0.2">
      <c r="A202" s="4" t="str">
        <f>Questions!$A202</f>
        <v>HIPA-16</v>
      </c>
      <c r="B202" s="4" t="str">
        <f t="shared" si="21"/>
        <v>HIPA</v>
      </c>
      <c r="C202" s="4" t="str">
        <f>VLOOKUP($A202,Questions!$A$3:$L$333,2,0)&amp;""</f>
        <v>Does your application provide the ability to define user access levels?</v>
      </c>
      <c r="D202" s="4" t="str">
        <f>VLOOKUP($A202,Questions!$A$3:$L$333,11,0)&amp;""</f>
        <v/>
      </c>
      <c r="E202" s="4" t="str">
        <f>VLOOKUP($A202,Questions!$A$3:$L$333,12,0)&amp;""</f>
        <v>Case-specific</v>
      </c>
      <c r="F202" s="4" t="str">
        <f>VLOOKUP($A202,'Institution Evaluation'!$A$56:$K$345,3,0)&amp;""</f>
        <v>N/A</v>
      </c>
      <c r="G202" s="4" t="str">
        <f>VLOOKUP($A202,'Institution Evaluation'!$A$56:$K$345,7,0)&amp;""</f>
        <v>Yes</v>
      </c>
      <c r="H202" s="4" t="str">
        <f>VLOOKUP($A202,'Institution Evaluation'!$A$56:$K$345,8,0)&amp;""</f>
        <v/>
      </c>
      <c r="I202" s="4" t="str">
        <f>VLOOKUP($A202,'Institution Evaluation'!$A$56:$K$345,9,0)&amp;""</f>
        <v>Standard Importance</v>
      </c>
      <c r="J202" s="4" t="str">
        <f>VLOOKUP($A202,'Institution Evaluation'!$A$56:$K$345,10,0)&amp;""</f>
        <v/>
      </c>
      <c r="K202" s="4">
        <f>IF($I202='Auto Responses'!$J$11,20,IF($I202='Auto Responses'!$J$13,5,10))</f>
        <v>10</v>
      </c>
      <c r="L202" s="101">
        <f>IF($E202='Auto Responses'!$L$13, 'Auto Responses'!$J$5,IF(AND($D202='Auto Responses'!$J$27,$H202=""),'Auto Responses'!$J$5,IF(AND($D202='Auto Responses'!$J$27,$H202='Auto Responses'!$J$7),1,IF(AND($D202='Auto Responses'!$J$27,$H202='Auto Responses'!$J$8),0,IF(OR(AND($F202=$G202,$H202=""),$H202='Auto Responses'!$J$7),1,0)))))</f>
        <v>0</v>
      </c>
      <c r="M202" s="4" t="str">
        <f>VLOOKUP($A202,'Institution Evaluation'!$A$56:$K$345,11,0)&amp;""</f>
        <v>FALSE</v>
      </c>
      <c r="N202" s="4">
        <f>IF($J202='Auto Responses'!$J$11,1,IF(AND($J202="",$I202='Auto Responses'!$J$11),1,0))</f>
        <v>0</v>
      </c>
      <c r="O202" s="101" t="str">
        <f>IF(OR($F$21='Auto Responses'!$J$4,$E202='Auto Responses'!$L$13,$F202='Auto Responses'!$J$5),'Auto Responses'!$J$5,IF($J202="",$K202,IF($J202='Auto Responses'!$J$13,5,IF($J202='Auto Responses'!$J$12,10,IF($J202='Auto Responses'!$J$11,20,0)))))</f>
        <v>N/A</v>
      </c>
      <c r="P202" s="101" t="str">
        <f>IF(OR($O202='Auto Responses'!$J$5,$L202='Auto Responses'!$J$5),'Auto Responses'!$J$5,$O202*$L202)</f>
        <v>N/A</v>
      </c>
      <c r="Q202" s="101">
        <f t="shared" si="22"/>
        <v>0</v>
      </c>
      <c r="R202" s="101">
        <f t="shared" si="26"/>
        <v>0</v>
      </c>
      <c r="S202" s="101">
        <f t="shared" si="23"/>
        <v>0</v>
      </c>
      <c r="T202" s="101">
        <f t="shared" si="24"/>
        <v>0</v>
      </c>
      <c r="U202" s="101">
        <f t="shared" si="27"/>
        <v>59</v>
      </c>
      <c r="V202" s="101">
        <f t="shared" si="25"/>
        <v>0</v>
      </c>
    </row>
    <row r="203" spans="1:22" ht="57" customHeight="1" x14ac:dyDescent="0.2">
      <c r="A203" s="4" t="str">
        <f>Questions!$A203</f>
        <v>HIPA-17</v>
      </c>
      <c r="B203" s="4" t="str">
        <f t="shared" si="21"/>
        <v>HIPA</v>
      </c>
      <c r="C203" s="4" t="str">
        <f>VLOOKUP($A203,Questions!$A$3:$L$333,2,0)&amp;""</f>
        <v>Does your application support varying levels of access to administrative tasks defined individually per user?</v>
      </c>
      <c r="D203" s="4" t="str">
        <f>VLOOKUP($A203,Questions!$A$3:$L$333,11,0)&amp;""</f>
        <v/>
      </c>
      <c r="E203" s="4" t="str">
        <f>VLOOKUP($A203,Questions!$A$3:$L$333,12,0)&amp;""</f>
        <v>Case-specific</v>
      </c>
      <c r="F203" s="4" t="str">
        <f>VLOOKUP($A203,'Institution Evaluation'!$A$56:$K$345,3,0)&amp;""</f>
        <v>N/A</v>
      </c>
      <c r="G203" s="4" t="str">
        <f>VLOOKUP($A203,'Institution Evaluation'!$A$56:$K$345,7,0)&amp;""</f>
        <v>Yes</v>
      </c>
      <c r="H203" s="4" t="str">
        <f>VLOOKUP($A203,'Institution Evaluation'!$A$56:$K$345,8,0)&amp;""</f>
        <v/>
      </c>
      <c r="I203" s="4" t="str">
        <f>VLOOKUP($A203,'Institution Evaluation'!$A$56:$K$345,9,0)&amp;""</f>
        <v>Standard Importance</v>
      </c>
      <c r="J203" s="4" t="str">
        <f>VLOOKUP($A203,'Institution Evaluation'!$A$56:$K$345,10,0)&amp;""</f>
        <v/>
      </c>
      <c r="K203" s="4">
        <f>IF($I203='Auto Responses'!$J$11,20,IF($I203='Auto Responses'!$J$13,5,10))</f>
        <v>10</v>
      </c>
      <c r="L203" s="101">
        <f>IF($E203='Auto Responses'!$L$13, 'Auto Responses'!$J$5,IF(AND($D203='Auto Responses'!$J$27,$H203=""),'Auto Responses'!$J$5,IF(AND($D203='Auto Responses'!$J$27,$H203='Auto Responses'!$J$7),1,IF(AND($D203='Auto Responses'!$J$27,$H203='Auto Responses'!$J$8),0,IF(OR(AND($F203=$G203,$H203=""),$H203='Auto Responses'!$J$7),1,0)))))</f>
        <v>0</v>
      </c>
      <c r="M203" s="4" t="str">
        <f>VLOOKUP($A203,'Institution Evaluation'!$A$56:$K$345,11,0)&amp;""</f>
        <v>FALSE</v>
      </c>
      <c r="N203" s="4">
        <f>IF($J203='Auto Responses'!$J$11,1,IF(AND($J203="",$I203='Auto Responses'!$J$11),1,0))</f>
        <v>0</v>
      </c>
      <c r="O203" s="101" t="str">
        <f>IF(OR($F$21='Auto Responses'!$J$4,$E203='Auto Responses'!$L$13,$F203='Auto Responses'!$J$5),'Auto Responses'!$J$5,IF($J203="",$K203,IF($J203='Auto Responses'!$J$13,5,IF($J203='Auto Responses'!$J$12,10,IF($J203='Auto Responses'!$J$11,20,0)))))</f>
        <v>N/A</v>
      </c>
      <c r="P203" s="101" t="str">
        <f>IF(OR($O203='Auto Responses'!$J$5,$L203='Auto Responses'!$J$5),'Auto Responses'!$J$5,$O203*$L203)</f>
        <v>N/A</v>
      </c>
      <c r="Q203" s="101">
        <f t="shared" si="22"/>
        <v>0</v>
      </c>
      <c r="R203" s="101">
        <f t="shared" si="26"/>
        <v>0</v>
      </c>
      <c r="S203" s="101">
        <f t="shared" si="23"/>
        <v>0</v>
      </c>
      <c r="T203" s="101">
        <f t="shared" si="24"/>
        <v>0</v>
      </c>
      <c r="U203" s="101">
        <f t="shared" si="27"/>
        <v>59</v>
      </c>
      <c r="V203" s="101">
        <f t="shared" si="25"/>
        <v>0</v>
      </c>
    </row>
    <row r="204" spans="1:22" ht="57" customHeight="1" x14ac:dyDescent="0.2">
      <c r="A204" s="4" t="str">
        <f>Questions!$A204</f>
        <v>HIPA-18</v>
      </c>
      <c r="B204" s="4" t="str">
        <f t="shared" si="21"/>
        <v>HIPA</v>
      </c>
      <c r="C204" s="4" t="str">
        <f>VLOOKUP($A204,Questions!$A$3:$L$333,2,0)&amp;""</f>
        <v>Does your application support varying levels of access to records based on user ID?</v>
      </c>
      <c r="D204" s="4" t="str">
        <f>VLOOKUP($A204,Questions!$A$3:$L$333,11,0)&amp;""</f>
        <v/>
      </c>
      <c r="E204" s="4" t="str">
        <f>VLOOKUP($A204,Questions!$A$3:$L$333,12,0)&amp;""</f>
        <v>Case-specific</v>
      </c>
      <c r="F204" s="4" t="str">
        <f>VLOOKUP($A204,'Institution Evaluation'!$A$56:$K$345,3,0)&amp;""</f>
        <v>N/A</v>
      </c>
      <c r="G204" s="4" t="str">
        <f>VLOOKUP($A204,'Institution Evaluation'!$A$56:$K$345,7,0)&amp;""</f>
        <v>No</v>
      </c>
      <c r="H204" s="4" t="str">
        <f>VLOOKUP($A204,'Institution Evaluation'!$A$56:$K$345,8,0)&amp;""</f>
        <v/>
      </c>
      <c r="I204" s="4" t="str">
        <f>VLOOKUP($A204,'Institution Evaluation'!$A$56:$K$345,9,0)&amp;""</f>
        <v>Standard Importance</v>
      </c>
      <c r="J204" s="4" t="str">
        <f>VLOOKUP($A204,'Institution Evaluation'!$A$56:$K$345,10,0)&amp;""</f>
        <v/>
      </c>
      <c r="K204" s="4">
        <f>IF($I204='Auto Responses'!$J$11,20,IF($I204='Auto Responses'!$J$13,5,10))</f>
        <v>10</v>
      </c>
      <c r="L204" s="101">
        <f>IF($E204='Auto Responses'!$L$13, 'Auto Responses'!$J$5,IF(AND($D204='Auto Responses'!$J$27,$H204=""),'Auto Responses'!$J$5,IF(AND($D204='Auto Responses'!$J$27,$H204='Auto Responses'!$J$7),1,IF(AND($D204='Auto Responses'!$J$27,$H204='Auto Responses'!$J$8),0,IF(OR(AND($F204=$G204,$H204=""),$H204='Auto Responses'!$J$7),1,0)))))</f>
        <v>0</v>
      </c>
      <c r="M204" s="4" t="str">
        <f>VLOOKUP($A204,'Institution Evaluation'!$A$56:$K$345,11,0)&amp;""</f>
        <v>FALSE</v>
      </c>
      <c r="N204" s="4">
        <f>IF($J204='Auto Responses'!$J$11,1,IF(AND($J204="",$I204='Auto Responses'!$J$11),1,0))</f>
        <v>0</v>
      </c>
      <c r="O204" s="101" t="str">
        <f>IF(OR($F$21='Auto Responses'!$J$4,$E204='Auto Responses'!$L$13,$F204='Auto Responses'!$J$5),'Auto Responses'!$J$5,IF($J204="",$K204,IF($J204='Auto Responses'!$J$13,5,IF($J204='Auto Responses'!$J$12,10,IF($J204='Auto Responses'!$J$11,20,0)))))</f>
        <v>N/A</v>
      </c>
      <c r="P204" s="101" t="str">
        <f>IF(OR($O204='Auto Responses'!$J$5,$L204='Auto Responses'!$J$5),'Auto Responses'!$J$5,$O204*$L204)</f>
        <v>N/A</v>
      </c>
      <c r="Q204" s="101">
        <f t="shared" si="22"/>
        <v>0</v>
      </c>
      <c r="R204" s="101">
        <f t="shared" si="26"/>
        <v>0</v>
      </c>
      <c r="S204" s="101">
        <f t="shared" si="23"/>
        <v>0</v>
      </c>
      <c r="T204" s="101">
        <f t="shared" si="24"/>
        <v>0</v>
      </c>
      <c r="U204" s="101">
        <f t="shared" si="27"/>
        <v>59</v>
      </c>
      <c r="V204" s="101">
        <f t="shared" si="25"/>
        <v>0</v>
      </c>
    </row>
    <row r="205" spans="1:22" ht="57" customHeight="1" x14ac:dyDescent="0.2">
      <c r="A205" s="4" t="str">
        <f>Questions!$A205</f>
        <v>HIPA-19</v>
      </c>
      <c r="B205" s="4" t="str">
        <f t="shared" si="21"/>
        <v>HIPA</v>
      </c>
      <c r="C205" s="4" t="str">
        <f>VLOOKUP($A205,Questions!$A$3:$L$333,2,0)&amp;""</f>
        <v>Is there a limit to the number of groups to which a user can be assigned?</v>
      </c>
      <c r="D205" s="4" t="str">
        <f>VLOOKUP($A205,Questions!$A$3:$L$333,11,0)&amp;""</f>
        <v/>
      </c>
      <c r="E205" s="4" t="str">
        <f>VLOOKUP($A205,Questions!$A$3:$L$333,12,0)&amp;""</f>
        <v>Case-specific</v>
      </c>
      <c r="F205" s="4" t="str">
        <f>VLOOKUP($A205,'Institution Evaluation'!$A$56:$K$345,3,0)&amp;""</f>
        <v>N/A</v>
      </c>
      <c r="G205" s="4" t="str">
        <f>VLOOKUP($A205,'Institution Evaluation'!$A$56:$K$345,7,0)&amp;""</f>
        <v>Yes</v>
      </c>
      <c r="H205" s="4" t="str">
        <f>VLOOKUP($A205,'Institution Evaluation'!$A$56:$K$345,8,0)&amp;""</f>
        <v/>
      </c>
      <c r="I205" s="4" t="str">
        <f>VLOOKUP($A205,'Institution Evaluation'!$A$56:$K$345,9,0)&amp;""</f>
        <v>Standard Importance</v>
      </c>
      <c r="J205" s="4" t="str">
        <f>VLOOKUP($A205,'Institution Evaluation'!$A$56:$K$345,10,0)&amp;""</f>
        <v/>
      </c>
      <c r="K205" s="4">
        <f>IF($I205='Auto Responses'!$J$11,20,IF($I205='Auto Responses'!$J$13,5,10))</f>
        <v>10</v>
      </c>
      <c r="L205" s="101">
        <f>IF($E205='Auto Responses'!$L$13, 'Auto Responses'!$J$5,IF(AND($D205='Auto Responses'!$J$27,$H205=""),'Auto Responses'!$J$5,IF(AND($D205='Auto Responses'!$J$27,$H205='Auto Responses'!$J$7),1,IF(AND($D205='Auto Responses'!$J$27,$H205='Auto Responses'!$J$8),0,IF(OR(AND($F205=$G205,$H205=""),$H205='Auto Responses'!$J$7),1,0)))))</f>
        <v>0</v>
      </c>
      <c r="M205" s="4" t="str">
        <f>VLOOKUP($A205,'Institution Evaluation'!$A$56:$K$345,11,0)&amp;""</f>
        <v>FALSE</v>
      </c>
      <c r="N205" s="4">
        <f>IF($J205='Auto Responses'!$J$11,1,IF(AND($J205="",$I205='Auto Responses'!$J$11),1,0))</f>
        <v>0</v>
      </c>
      <c r="O205" s="101" t="str">
        <f>IF(OR($F$21='Auto Responses'!$J$4,$E205='Auto Responses'!$L$13,$F205='Auto Responses'!$J$5),'Auto Responses'!$J$5,IF($J205="",$K205,IF($J205='Auto Responses'!$J$13,5,IF($J205='Auto Responses'!$J$12,10,IF($J205='Auto Responses'!$J$11,20,0)))))</f>
        <v>N/A</v>
      </c>
      <c r="P205" s="101" t="str">
        <f>IF(OR($O205='Auto Responses'!$J$5,$L205='Auto Responses'!$J$5),'Auto Responses'!$J$5,$O205*$L205)</f>
        <v>N/A</v>
      </c>
      <c r="Q205" s="101">
        <f t="shared" si="22"/>
        <v>0</v>
      </c>
      <c r="R205" s="101">
        <f t="shared" si="26"/>
        <v>0</v>
      </c>
      <c r="S205" s="101">
        <f t="shared" si="23"/>
        <v>0</v>
      </c>
      <c r="T205" s="101">
        <f t="shared" si="24"/>
        <v>0</v>
      </c>
      <c r="U205" s="101">
        <f t="shared" si="27"/>
        <v>59</v>
      </c>
      <c r="V205" s="101">
        <f t="shared" si="25"/>
        <v>0</v>
      </c>
    </row>
    <row r="206" spans="1:22" ht="57" customHeight="1" x14ac:dyDescent="0.2">
      <c r="A206" s="4" t="str">
        <f>Questions!$A206</f>
        <v>HIPA-20</v>
      </c>
      <c r="B206" s="4" t="str">
        <f t="shared" si="21"/>
        <v>HIPA</v>
      </c>
      <c r="C206" s="4" t="str">
        <f>VLOOKUP($A206,Questions!$A$3:$L$333,2,0)&amp;""</f>
        <v>Do accounts used for solution provider-supplied remote support abide by the same authentication policies and access logging as the rest of the system?</v>
      </c>
      <c r="D206" s="4" t="str">
        <f>VLOOKUP($A206,Questions!$A$3:$L$333,11,0)&amp;""</f>
        <v/>
      </c>
      <c r="E206" s="4" t="str">
        <f>VLOOKUP($A206,Questions!$A$3:$L$333,12,0)&amp;""</f>
        <v>Case-specific</v>
      </c>
      <c r="F206" s="4" t="str">
        <f>VLOOKUP($A206,'Institution Evaluation'!$A$56:$K$345,3,0)&amp;""</f>
        <v>N/A</v>
      </c>
      <c r="G206" s="4" t="str">
        <f>VLOOKUP($A206,'Institution Evaluation'!$A$56:$K$345,7,0)&amp;""</f>
        <v>Yes</v>
      </c>
      <c r="H206" s="4" t="str">
        <f>VLOOKUP($A206,'Institution Evaluation'!$A$56:$K$345,8,0)&amp;""</f>
        <v/>
      </c>
      <c r="I206" s="4" t="str">
        <f>VLOOKUP($A206,'Institution Evaluation'!$A$56:$K$345,9,0)&amp;""</f>
        <v>Standard Importance</v>
      </c>
      <c r="J206" s="4" t="str">
        <f>VLOOKUP($A206,'Institution Evaluation'!$A$56:$K$345,10,0)&amp;""</f>
        <v/>
      </c>
      <c r="K206" s="4">
        <f>IF($I206='Auto Responses'!$J$11,20,IF($I206='Auto Responses'!$J$13,5,10))</f>
        <v>10</v>
      </c>
      <c r="L206" s="101">
        <f>IF($E206='Auto Responses'!$L$13, 'Auto Responses'!$J$5,IF(AND($D206='Auto Responses'!$J$27,$H206=""),'Auto Responses'!$J$5,IF(AND($D206='Auto Responses'!$J$27,$H206='Auto Responses'!$J$7),1,IF(AND($D206='Auto Responses'!$J$27,$H206='Auto Responses'!$J$8),0,IF(OR(AND($F206=$G206,$H206=""),$H206='Auto Responses'!$J$7),1,0)))))</f>
        <v>0</v>
      </c>
      <c r="M206" s="4" t="str">
        <f>VLOOKUP($A206,'Institution Evaluation'!$A$56:$K$345,11,0)&amp;""</f>
        <v>FALSE</v>
      </c>
      <c r="N206" s="4">
        <f>IF($J206='Auto Responses'!$J$11,1,IF(AND($J206="",$I206='Auto Responses'!$J$11),1,0))</f>
        <v>0</v>
      </c>
      <c r="O206" s="101" t="str">
        <f>IF(OR($F$21='Auto Responses'!$J$4,$E206='Auto Responses'!$L$13,$F206='Auto Responses'!$J$5),'Auto Responses'!$J$5,IF($J206="",$K206,IF($J206='Auto Responses'!$J$13,5,IF($J206='Auto Responses'!$J$12,10,IF($J206='Auto Responses'!$J$11,20,0)))))</f>
        <v>N/A</v>
      </c>
      <c r="P206" s="101" t="str">
        <f>IF(OR($O206='Auto Responses'!$J$5,$L206='Auto Responses'!$J$5),'Auto Responses'!$J$5,$O206*$L206)</f>
        <v>N/A</v>
      </c>
      <c r="Q206" s="101">
        <f t="shared" si="22"/>
        <v>0</v>
      </c>
      <c r="R206" s="101">
        <f t="shared" si="26"/>
        <v>0</v>
      </c>
      <c r="S206" s="101">
        <f t="shared" si="23"/>
        <v>0</v>
      </c>
      <c r="T206" s="101">
        <f t="shared" si="24"/>
        <v>0</v>
      </c>
      <c r="U206" s="101">
        <f t="shared" si="27"/>
        <v>59</v>
      </c>
      <c r="V206" s="101">
        <f t="shared" si="25"/>
        <v>0</v>
      </c>
    </row>
    <row r="207" spans="1:22" ht="57" customHeight="1" x14ac:dyDescent="0.2">
      <c r="A207" s="4" t="str">
        <f>Questions!$A207</f>
        <v>HIPA-21</v>
      </c>
      <c r="B207" s="4" t="str">
        <f t="shared" si="21"/>
        <v>HIPA</v>
      </c>
      <c r="C207" s="4" t="str">
        <f>VLOOKUP($A207,Questions!$A$3:$L$333,2,0)&amp;""</f>
        <v>Does the application log record access including specific user, date/time of access, and originating IP or device?</v>
      </c>
      <c r="D207" s="4" t="str">
        <f>VLOOKUP($A207,Questions!$A$3:$L$333,11,0)&amp;""</f>
        <v/>
      </c>
      <c r="E207" s="4" t="str">
        <f>VLOOKUP($A207,Questions!$A$3:$L$333,12,0)&amp;""</f>
        <v>Case-specific</v>
      </c>
      <c r="F207" s="4" t="str">
        <f>VLOOKUP($A207,'Institution Evaluation'!$A$56:$K$345,3,0)&amp;""</f>
        <v>N/A</v>
      </c>
      <c r="G207" s="4" t="str">
        <f>VLOOKUP($A207,'Institution Evaluation'!$A$56:$K$345,7,0)&amp;""</f>
        <v>Yes</v>
      </c>
      <c r="H207" s="4" t="str">
        <f>VLOOKUP($A207,'Institution Evaluation'!$A$56:$K$345,8,0)&amp;""</f>
        <v/>
      </c>
      <c r="I207" s="4" t="str">
        <f>VLOOKUP($A207,'Institution Evaluation'!$A$56:$K$345,9,0)&amp;""</f>
        <v>Standard Importance</v>
      </c>
      <c r="J207" s="4" t="str">
        <f>VLOOKUP($A207,'Institution Evaluation'!$A$56:$K$345,10,0)&amp;""</f>
        <v/>
      </c>
      <c r="K207" s="4">
        <f>IF($I207='Auto Responses'!$J$11,20,IF($I207='Auto Responses'!$J$13,5,10))</f>
        <v>10</v>
      </c>
      <c r="L207" s="101">
        <f>IF($E207='Auto Responses'!$L$13, 'Auto Responses'!$J$5,IF(AND($D207='Auto Responses'!$J$27,$H207=""),'Auto Responses'!$J$5,IF(AND($D207='Auto Responses'!$J$27,$H207='Auto Responses'!$J$7),1,IF(AND($D207='Auto Responses'!$J$27,$H207='Auto Responses'!$J$8),0,IF(OR(AND($F207=$G207,$H207=""),$H207='Auto Responses'!$J$7),1,0)))))</f>
        <v>0</v>
      </c>
      <c r="M207" s="4" t="str">
        <f>VLOOKUP($A207,'Institution Evaluation'!$A$56:$K$345,11,0)&amp;""</f>
        <v>FALSE</v>
      </c>
      <c r="N207" s="4">
        <f>IF($J207='Auto Responses'!$J$11,1,IF(AND($J207="",$I207='Auto Responses'!$J$11),1,0))</f>
        <v>0</v>
      </c>
      <c r="O207" s="101" t="str">
        <f>IF(OR($F$21='Auto Responses'!$J$4,$E207='Auto Responses'!$L$13,$F207='Auto Responses'!$J$5),'Auto Responses'!$J$5,IF($J207="",$K207,IF($J207='Auto Responses'!$J$13,5,IF($J207='Auto Responses'!$J$12,10,IF($J207='Auto Responses'!$J$11,20,0)))))</f>
        <v>N/A</v>
      </c>
      <c r="P207" s="101" t="str">
        <f>IF(OR($O207='Auto Responses'!$J$5,$L207='Auto Responses'!$J$5),'Auto Responses'!$J$5,$O207*$L207)</f>
        <v>N/A</v>
      </c>
      <c r="Q207" s="101">
        <f t="shared" si="22"/>
        <v>0</v>
      </c>
      <c r="R207" s="101">
        <f t="shared" si="26"/>
        <v>0</v>
      </c>
      <c r="S207" s="101">
        <f t="shared" si="23"/>
        <v>0</v>
      </c>
      <c r="T207" s="101">
        <f t="shared" si="24"/>
        <v>0</v>
      </c>
      <c r="U207" s="101">
        <f t="shared" si="27"/>
        <v>59</v>
      </c>
      <c r="V207" s="101">
        <f t="shared" si="25"/>
        <v>0</v>
      </c>
    </row>
    <row r="208" spans="1:22" ht="57" customHeight="1" x14ac:dyDescent="0.2">
      <c r="A208" s="4" t="str">
        <f>Questions!$A208</f>
        <v>HIPA-22</v>
      </c>
      <c r="B208" s="4" t="str">
        <f t="shared" si="21"/>
        <v>HIPA</v>
      </c>
      <c r="C208" s="4" t="str">
        <f>VLOOKUP($A208,Questions!$A$3:$L$333,2,0)&amp;""</f>
        <v>Does the application log administrative activity, such as user account access changes and password changes, including specific user, date/time of changes, and originating IP or device?</v>
      </c>
      <c r="D208" s="4" t="str">
        <f>VLOOKUP($A208,Questions!$A$3:$L$333,11,0)&amp;""</f>
        <v/>
      </c>
      <c r="E208" s="4" t="str">
        <f>VLOOKUP($A208,Questions!$A$3:$L$333,12,0)&amp;""</f>
        <v>Case-specific</v>
      </c>
      <c r="F208" s="4" t="str">
        <f>VLOOKUP($A208,'Institution Evaluation'!$A$56:$K$345,3,0)&amp;""</f>
        <v>N/A</v>
      </c>
      <c r="G208" s="4" t="str">
        <f>VLOOKUP($A208,'Institution Evaluation'!$A$56:$K$345,7,0)&amp;""</f>
        <v>Yes</v>
      </c>
      <c r="H208" s="4" t="str">
        <f>VLOOKUP($A208,'Institution Evaluation'!$A$56:$K$345,8,0)&amp;""</f>
        <v/>
      </c>
      <c r="I208" s="4" t="str">
        <f>VLOOKUP($A208,'Institution Evaluation'!$A$56:$K$345,9,0)&amp;""</f>
        <v>Standard Importance</v>
      </c>
      <c r="J208" s="4" t="str">
        <f>VLOOKUP($A208,'Institution Evaluation'!$A$56:$K$345,10,0)&amp;""</f>
        <v/>
      </c>
      <c r="K208" s="4">
        <f>IF($I208='Auto Responses'!$J$11,20,IF($I208='Auto Responses'!$J$13,5,10))</f>
        <v>10</v>
      </c>
      <c r="L208" s="101">
        <f>IF($E208='Auto Responses'!$L$13, 'Auto Responses'!$J$5,IF(AND($D208='Auto Responses'!$J$27,$H208=""),'Auto Responses'!$J$5,IF(AND($D208='Auto Responses'!$J$27,$H208='Auto Responses'!$J$7),1,IF(AND($D208='Auto Responses'!$J$27,$H208='Auto Responses'!$J$8),0,IF(OR(AND($F208=$G208,$H208=""),$H208='Auto Responses'!$J$7),1,0)))))</f>
        <v>0</v>
      </c>
      <c r="M208" s="4" t="str">
        <f>VLOOKUP($A208,'Institution Evaluation'!$A$56:$K$345,11,0)&amp;""</f>
        <v>FALSE</v>
      </c>
      <c r="N208" s="4">
        <f>IF($J208='Auto Responses'!$J$11,1,IF(AND($J208="",$I208='Auto Responses'!$J$11),1,0))</f>
        <v>0</v>
      </c>
      <c r="O208" s="101" t="str">
        <f>IF(OR($F$21='Auto Responses'!$J$4,$E208='Auto Responses'!$L$13,$F208='Auto Responses'!$J$5),'Auto Responses'!$J$5,IF($J208="",$K208,IF($J208='Auto Responses'!$J$13,5,IF($J208='Auto Responses'!$J$12,10,IF($J208='Auto Responses'!$J$11,20,0)))))</f>
        <v>N/A</v>
      </c>
      <c r="P208" s="101" t="str">
        <f>IF(OR($O208='Auto Responses'!$J$5,$L208='Auto Responses'!$J$5),'Auto Responses'!$J$5,$O208*$L208)</f>
        <v>N/A</v>
      </c>
      <c r="Q208" s="101">
        <f t="shared" si="22"/>
        <v>0</v>
      </c>
      <c r="R208" s="101">
        <f t="shared" si="26"/>
        <v>0</v>
      </c>
      <c r="S208" s="101">
        <f t="shared" si="23"/>
        <v>0</v>
      </c>
      <c r="T208" s="101">
        <f t="shared" si="24"/>
        <v>0</v>
      </c>
      <c r="U208" s="101">
        <f t="shared" si="27"/>
        <v>59</v>
      </c>
      <c r="V208" s="101">
        <f t="shared" si="25"/>
        <v>0</v>
      </c>
    </row>
    <row r="209" spans="1:22" ht="57" customHeight="1" x14ac:dyDescent="0.2">
      <c r="A209" s="4" t="str">
        <f>Questions!$A209</f>
        <v>HIPA-23</v>
      </c>
      <c r="B209" s="4" t="str">
        <f t="shared" si="21"/>
        <v>HIPA</v>
      </c>
      <c r="C209" s="4" t="str">
        <f>VLOOKUP($A209,Questions!$A$3:$L$333,2,0)&amp;""</f>
        <v>Do you retain logs for at least as long as required by HIPAA regulations?</v>
      </c>
      <c r="D209" s="4" t="str">
        <f>VLOOKUP($A209,Questions!$A$3:$L$333,11,0)&amp;""</f>
        <v/>
      </c>
      <c r="E209" s="4" t="str">
        <f>VLOOKUP($A209,Questions!$A$3:$L$333,12,0)&amp;""</f>
        <v>Case-specific</v>
      </c>
      <c r="F209" s="4" t="str">
        <f>VLOOKUP($A209,'Institution Evaluation'!$A$56:$K$345,3,0)&amp;""</f>
        <v>N/A</v>
      </c>
      <c r="G209" s="4" t="str">
        <f>VLOOKUP($A209,'Institution Evaluation'!$A$56:$K$345,7,0)&amp;""</f>
        <v>Yes</v>
      </c>
      <c r="H209" s="4" t="str">
        <f>VLOOKUP($A209,'Institution Evaluation'!$A$56:$K$345,8,0)&amp;""</f>
        <v/>
      </c>
      <c r="I209" s="4" t="str">
        <f>VLOOKUP($A209,'Institution Evaluation'!$A$56:$K$345,9,0)&amp;""</f>
        <v>Standard Importance</v>
      </c>
      <c r="J209" s="4" t="str">
        <f>VLOOKUP($A209,'Institution Evaluation'!$A$56:$K$345,10,0)&amp;""</f>
        <v/>
      </c>
      <c r="K209" s="4">
        <f>IF($I209='Auto Responses'!$J$11,20,IF($I209='Auto Responses'!$J$13,5,10))</f>
        <v>10</v>
      </c>
      <c r="L209" s="101">
        <f>IF($E209='Auto Responses'!$L$13, 'Auto Responses'!$J$5,IF(AND($D209='Auto Responses'!$J$27,$H209=""),'Auto Responses'!$J$5,IF(AND($D209='Auto Responses'!$J$27,$H209='Auto Responses'!$J$7),1,IF(AND($D209='Auto Responses'!$J$27,$H209='Auto Responses'!$J$8),0,IF(OR(AND($F209=$G209,$H209=""),$H209='Auto Responses'!$J$7),1,0)))))</f>
        <v>0</v>
      </c>
      <c r="M209" s="4" t="str">
        <f>VLOOKUP($A209,'Institution Evaluation'!$A$56:$K$345,11,0)&amp;""</f>
        <v>FALSE</v>
      </c>
      <c r="N209" s="4">
        <f>IF($J209='Auto Responses'!$J$11,1,IF(AND($J209="",$I209='Auto Responses'!$J$11),1,0))</f>
        <v>0</v>
      </c>
      <c r="O209" s="101" t="str">
        <f>IF(OR($F$21='Auto Responses'!$J$4,$E209='Auto Responses'!$L$13,$F209='Auto Responses'!$J$5),'Auto Responses'!$J$5,IF($J209="",$K209,IF($J209='Auto Responses'!$J$13,5,IF($J209='Auto Responses'!$J$12,10,IF($J209='Auto Responses'!$J$11,20,0)))))</f>
        <v>N/A</v>
      </c>
      <c r="P209" s="101" t="str">
        <f>IF(OR($O209='Auto Responses'!$J$5,$L209='Auto Responses'!$J$5),'Auto Responses'!$J$5,$O209*$L209)</f>
        <v>N/A</v>
      </c>
      <c r="Q209" s="101">
        <f t="shared" si="22"/>
        <v>0</v>
      </c>
      <c r="R209" s="101">
        <f t="shared" si="26"/>
        <v>0</v>
      </c>
      <c r="S209" s="101">
        <f t="shared" si="23"/>
        <v>0</v>
      </c>
      <c r="T209" s="101">
        <f t="shared" si="24"/>
        <v>0</v>
      </c>
      <c r="U209" s="101">
        <f t="shared" si="27"/>
        <v>59</v>
      </c>
      <c r="V209" s="101">
        <f t="shared" si="25"/>
        <v>0</v>
      </c>
    </row>
    <row r="210" spans="1:22" ht="57" customHeight="1" x14ac:dyDescent="0.2">
      <c r="A210" s="4" t="str">
        <f>Questions!$A210</f>
        <v>HIPA-24</v>
      </c>
      <c r="B210" s="4" t="str">
        <f t="shared" si="21"/>
        <v>HIPA</v>
      </c>
      <c r="C210" s="4" t="str">
        <f>VLOOKUP($A210,Questions!$A$3:$L$333,2,0)&amp;""</f>
        <v>Can the application logs be archived?</v>
      </c>
      <c r="D210" s="4" t="str">
        <f>VLOOKUP($A210,Questions!$A$3:$L$333,11,0)&amp;""</f>
        <v/>
      </c>
      <c r="E210" s="4" t="str">
        <f>VLOOKUP($A210,Questions!$A$3:$L$333,12,0)&amp;""</f>
        <v>Case-specific</v>
      </c>
      <c r="F210" s="4" t="str">
        <f>VLOOKUP($A210,'Institution Evaluation'!$A$56:$K$345,3,0)&amp;""</f>
        <v>N/A</v>
      </c>
      <c r="G210" s="4" t="str">
        <f>VLOOKUP($A210,'Institution Evaluation'!$A$56:$K$345,7,0)&amp;""</f>
        <v>Yes</v>
      </c>
      <c r="H210" s="4" t="str">
        <f>VLOOKUP($A210,'Institution Evaluation'!$A$56:$K$345,8,0)&amp;""</f>
        <v/>
      </c>
      <c r="I210" s="4" t="str">
        <f>VLOOKUP($A210,'Institution Evaluation'!$A$56:$K$345,9,0)&amp;""</f>
        <v>Standard Importance</v>
      </c>
      <c r="J210" s="4" t="str">
        <f>VLOOKUP($A210,'Institution Evaluation'!$A$56:$K$345,10,0)&amp;""</f>
        <v/>
      </c>
      <c r="K210" s="4">
        <f>IF($I210='Auto Responses'!$J$11,20,IF($I210='Auto Responses'!$J$13,5,10))</f>
        <v>10</v>
      </c>
      <c r="L210" s="101">
        <f>IF($E210='Auto Responses'!$L$13, 'Auto Responses'!$J$5,IF(AND($D210='Auto Responses'!$J$27,$H210=""),'Auto Responses'!$J$5,IF(AND($D210='Auto Responses'!$J$27,$H210='Auto Responses'!$J$7),1,IF(AND($D210='Auto Responses'!$J$27,$H210='Auto Responses'!$J$8),0,IF(OR(AND($F210=$G210,$H210=""),$H210='Auto Responses'!$J$7),1,0)))))</f>
        <v>0</v>
      </c>
      <c r="M210" s="4" t="str">
        <f>VLOOKUP($A210,'Institution Evaluation'!$A$56:$K$345,11,0)&amp;""</f>
        <v>FALSE</v>
      </c>
      <c r="N210" s="4">
        <f>IF($J210='Auto Responses'!$J$11,1,IF(AND($J210="",$I210='Auto Responses'!$J$11),1,0))</f>
        <v>0</v>
      </c>
      <c r="O210" s="101" t="str">
        <f>IF(OR($F$21='Auto Responses'!$J$4,$E210='Auto Responses'!$L$13,$F210='Auto Responses'!$J$5),'Auto Responses'!$J$5,IF($J210="",$K210,IF($J210='Auto Responses'!$J$13,5,IF($J210='Auto Responses'!$J$12,10,IF($J210='Auto Responses'!$J$11,20,0)))))</f>
        <v>N/A</v>
      </c>
      <c r="P210" s="101" t="str">
        <f>IF(OR($O210='Auto Responses'!$J$5,$L210='Auto Responses'!$J$5),'Auto Responses'!$J$5,$O210*$L210)</f>
        <v>N/A</v>
      </c>
      <c r="Q210" s="101">
        <f t="shared" si="22"/>
        <v>0</v>
      </c>
      <c r="R210" s="101">
        <f t="shared" si="26"/>
        <v>0</v>
      </c>
      <c r="S210" s="101">
        <f t="shared" si="23"/>
        <v>0</v>
      </c>
      <c r="T210" s="101">
        <f t="shared" si="24"/>
        <v>0</v>
      </c>
      <c r="U210" s="101">
        <f t="shared" si="27"/>
        <v>59</v>
      </c>
      <c r="V210" s="101">
        <f t="shared" si="25"/>
        <v>0</v>
      </c>
    </row>
    <row r="211" spans="1:22" ht="57" customHeight="1" x14ac:dyDescent="0.2">
      <c r="A211" s="4" t="str">
        <f>Questions!$A211</f>
        <v>HIPA-25</v>
      </c>
      <c r="B211" s="4" t="str">
        <f t="shared" si="21"/>
        <v>HIPA</v>
      </c>
      <c r="C211" s="4" t="str">
        <f>VLOOKUP($A211,Questions!$A$3:$L$333,2,0)&amp;""</f>
        <v>Can the application logs be saved externally?</v>
      </c>
      <c r="D211" s="4" t="str">
        <f>VLOOKUP($A211,Questions!$A$3:$L$333,11,0)&amp;""</f>
        <v/>
      </c>
      <c r="E211" s="4" t="str">
        <f>VLOOKUP($A211,Questions!$A$3:$L$333,12,0)&amp;""</f>
        <v>Case-specific</v>
      </c>
      <c r="F211" s="4" t="str">
        <f>VLOOKUP($A211,'Institution Evaluation'!$A$56:$K$345,3,0)&amp;""</f>
        <v>N/A</v>
      </c>
      <c r="G211" s="4" t="str">
        <f>VLOOKUP($A211,'Institution Evaluation'!$A$56:$K$345,7,0)&amp;""</f>
        <v>Yes</v>
      </c>
      <c r="H211" s="4" t="str">
        <f>VLOOKUP($A211,'Institution Evaluation'!$A$56:$K$345,8,0)&amp;""</f>
        <v/>
      </c>
      <c r="I211" s="4" t="str">
        <f>VLOOKUP($A211,'Institution Evaluation'!$A$56:$K$345,9,0)&amp;""</f>
        <v>Standard Importance</v>
      </c>
      <c r="J211" s="4" t="str">
        <f>VLOOKUP($A211,'Institution Evaluation'!$A$56:$K$345,10,0)&amp;""</f>
        <v/>
      </c>
      <c r="K211" s="4">
        <f>IF($I211='Auto Responses'!$J$11,20,IF($I211='Auto Responses'!$J$13,5,10))</f>
        <v>10</v>
      </c>
      <c r="L211" s="101">
        <f>IF($E211='Auto Responses'!$L$13, 'Auto Responses'!$J$5,IF(AND($D211='Auto Responses'!$J$27,$H211=""),'Auto Responses'!$J$5,IF(AND($D211='Auto Responses'!$J$27,$H211='Auto Responses'!$J$7),1,IF(AND($D211='Auto Responses'!$J$27,$H211='Auto Responses'!$J$8),0,IF(OR(AND($F211=$G211,$H211=""),$H211='Auto Responses'!$J$7),1,0)))))</f>
        <v>0</v>
      </c>
      <c r="M211" s="4" t="str">
        <f>VLOOKUP($A211,'Institution Evaluation'!$A$56:$K$345,11,0)&amp;""</f>
        <v>FALSE</v>
      </c>
      <c r="N211" s="4">
        <f>IF($J211='Auto Responses'!$J$11,1,IF(AND($J211="",$I211='Auto Responses'!$J$11),1,0))</f>
        <v>0</v>
      </c>
      <c r="O211" s="101" t="str">
        <f>IF(OR($F$21='Auto Responses'!$J$4,$E211='Auto Responses'!$L$13,$F211='Auto Responses'!$J$5),'Auto Responses'!$J$5,IF($J211="",$K211,IF($J211='Auto Responses'!$J$13,5,IF($J211='Auto Responses'!$J$12,10,IF($J211='Auto Responses'!$J$11,20,0)))))</f>
        <v>N/A</v>
      </c>
      <c r="P211" s="101" t="str">
        <f>IF(OR($O211='Auto Responses'!$J$5,$L211='Auto Responses'!$J$5),'Auto Responses'!$J$5,$O211*$L211)</f>
        <v>N/A</v>
      </c>
      <c r="Q211" s="101">
        <f t="shared" si="22"/>
        <v>0</v>
      </c>
      <c r="R211" s="101">
        <f t="shared" si="26"/>
        <v>0</v>
      </c>
      <c r="S211" s="101">
        <f t="shared" si="23"/>
        <v>0</v>
      </c>
      <c r="T211" s="101">
        <f t="shared" si="24"/>
        <v>0</v>
      </c>
      <c r="U211" s="101">
        <f t="shared" si="27"/>
        <v>59</v>
      </c>
      <c r="V211" s="101">
        <f t="shared" si="25"/>
        <v>0</v>
      </c>
    </row>
    <row r="212" spans="1:22" ht="57" customHeight="1" x14ac:dyDescent="0.2">
      <c r="A212" s="4" t="str">
        <f>Questions!$A212</f>
        <v>HIPA-26</v>
      </c>
      <c r="B212" s="4" t="str">
        <f t="shared" si="21"/>
        <v>HIPA</v>
      </c>
      <c r="C212" s="4" t="str">
        <f>VLOOKUP($A212,Questions!$A$3:$L$333,2,0)&amp;""</f>
        <v>Do you have a disaster recovery plan and emergency mode operation plan?</v>
      </c>
      <c r="D212" s="4" t="str">
        <f>VLOOKUP($A212,Questions!$A$3:$L$333,11,0)&amp;""</f>
        <v/>
      </c>
      <c r="E212" s="4" t="str">
        <f>VLOOKUP($A212,Questions!$A$3:$L$333,12,0)&amp;""</f>
        <v>Case-specific</v>
      </c>
      <c r="F212" s="4" t="str">
        <f>VLOOKUP($A212,'Institution Evaluation'!$A$56:$K$345,3,0)&amp;""</f>
        <v>N/A</v>
      </c>
      <c r="G212" s="4" t="str">
        <f>VLOOKUP($A212,'Institution Evaluation'!$A$56:$K$345,7,0)&amp;""</f>
        <v>Yes</v>
      </c>
      <c r="H212" s="4" t="str">
        <f>VLOOKUP($A212,'Institution Evaluation'!$A$56:$K$345,8,0)&amp;""</f>
        <v/>
      </c>
      <c r="I212" s="4" t="str">
        <f>VLOOKUP($A212,'Institution Evaluation'!$A$56:$K$345,9,0)&amp;""</f>
        <v>Standard Importance</v>
      </c>
      <c r="J212" s="4" t="str">
        <f>VLOOKUP($A212,'Institution Evaluation'!$A$56:$K$345,10,0)&amp;""</f>
        <v/>
      </c>
      <c r="K212" s="4">
        <f>IF($I212='Auto Responses'!$J$11,20,IF($I212='Auto Responses'!$J$13,5,10))</f>
        <v>10</v>
      </c>
      <c r="L212" s="101">
        <f>IF($E212='Auto Responses'!$L$13, 'Auto Responses'!$J$5,IF(AND($D212='Auto Responses'!$J$27,$H212=""),'Auto Responses'!$J$5,IF(AND($D212='Auto Responses'!$J$27,$H212='Auto Responses'!$J$7),1,IF(AND($D212='Auto Responses'!$J$27,$H212='Auto Responses'!$J$8),0,IF(OR(AND($F212=$G212,$H212=""),$H212='Auto Responses'!$J$7),1,0)))))</f>
        <v>0</v>
      </c>
      <c r="M212" s="4" t="str">
        <f>VLOOKUP($A212,'Institution Evaluation'!$A$56:$K$345,11,0)&amp;""</f>
        <v>FALSE</v>
      </c>
      <c r="N212" s="4">
        <f>IF($J212='Auto Responses'!$J$11,1,IF(AND($J212="",$I212='Auto Responses'!$J$11),1,0))</f>
        <v>0</v>
      </c>
      <c r="O212" s="101" t="str">
        <f>IF(OR($F$21='Auto Responses'!$J$4,$E212='Auto Responses'!$L$13,$F212='Auto Responses'!$J$5),'Auto Responses'!$J$5,IF($J212="",$K212,IF($J212='Auto Responses'!$J$13,5,IF($J212='Auto Responses'!$J$12,10,IF($J212='Auto Responses'!$J$11,20,0)))))</f>
        <v>N/A</v>
      </c>
      <c r="P212" s="101" t="str">
        <f>IF(OR($O212='Auto Responses'!$J$5,$L212='Auto Responses'!$J$5),'Auto Responses'!$J$5,$O212*$L212)</f>
        <v>N/A</v>
      </c>
      <c r="Q212" s="101">
        <f t="shared" si="22"/>
        <v>0</v>
      </c>
      <c r="R212" s="101">
        <f t="shared" si="26"/>
        <v>0</v>
      </c>
      <c r="S212" s="101">
        <f t="shared" si="23"/>
        <v>0</v>
      </c>
      <c r="T212" s="101">
        <f t="shared" si="24"/>
        <v>0</v>
      </c>
      <c r="U212" s="101">
        <f t="shared" si="27"/>
        <v>59</v>
      </c>
      <c r="V212" s="101">
        <f t="shared" si="25"/>
        <v>0</v>
      </c>
    </row>
    <row r="213" spans="1:22" ht="57" customHeight="1" x14ac:dyDescent="0.2">
      <c r="A213" s="4" t="str">
        <f>Questions!$A213</f>
        <v>HIPA-27</v>
      </c>
      <c r="B213" s="4" t="str">
        <f t="shared" si="21"/>
        <v>HIPA</v>
      </c>
      <c r="C213" s="4" t="str">
        <f>VLOOKUP($A213,Questions!$A$3:$L$333,2,0)&amp;""</f>
        <v>Can you provide a HIPAA compliance attestation document?</v>
      </c>
      <c r="D213" s="4" t="str">
        <f>VLOOKUP($A213,Questions!$A$3:$L$333,11,0)&amp;""</f>
        <v/>
      </c>
      <c r="E213" s="4" t="str">
        <f>VLOOKUP($A213,Questions!$A$3:$L$333,12,0)&amp;""</f>
        <v>Case-specific</v>
      </c>
      <c r="F213" s="4" t="str">
        <f>VLOOKUP($A213,'Institution Evaluation'!$A$56:$K$345,3,0)&amp;""</f>
        <v>N/A</v>
      </c>
      <c r="G213" s="4" t="str">
        <f>VLOOKUP($A213,'Institution Evaluation'!$A$56:$K$345,7,0)&amp;""</f>
        <v>Yes</v>
      </c>
      <c r="H213" s="4" t="str">
        <f>VLOOKUP($A213,'Institution Evaluation'!$A$56:$K$345,8,0)&amp;""</f>
        <v/>
      </c>
      <c r="I213" s="4" t="str">
        <f>VLOOKUP($A213,'Institution Evaluation'!$A$56:$K$345,9,0)&amp;""</f>
        <v>Standard Importance</v>
      </c>
      <c r="J213" s="4" t="str">
        <f>VLOOKUP($A213,'Institution Evaluation'!$A$56:$K$345,10,0)&amp;""</f>
        <v/>
      </c>
      <c r="K213" s="4">
        <f>IF($I213='Auto Responses'!$J$11,20,IF($I213='Auto Responses'!$J$13,5,10))</f>
        <v>10</v>
      </c>
      <c r="L213" s="101">
        <f>IF($E213='Auto Responses'!$L$13, 'Auto Responses'!$J$5,IF(AND($D213='Auto Responses'!$J$27,$H213=""),'Auto Responses'!$J$5,IF(AND($D213='Auto Responses'!$J$27,$H213='Auto Responses'!$J$7),1,IF(AND($D213='Auto Responses'!$J$27,$H213='Auto Responses'!$J$8),0,IF(OR(AND($F213=$G213,$H213=""),$H213='Auto Responses'!$J$7),1,0)))))</f>
        <v>0</v>
      </c>
      <c r="M213" s="4" t="str">
        <f>VLOOKUP($A213,'Institution Evaluation'!$A$56:$K$345,11,0)&amp;""</f>
        <v>FALSE</v>
      </c>
      <c r="N213" s="4">
        <f>IF($J213='Auto Responses'!$J$11,1,IF(AND($J213="",$I213='Auto Responses'!$J$11),1,0))</f>
        <v>0</v>
      </c>
      <c r="O213" s="101" t="str">
        <f>IF(OR($F$21='Auto Responses'!$J$4,$E213='Auto Responses'!$L$13,$F213='Auto Responses'!$J$5),'Auto Responses'!$J$5,IF($J213="",$K213,IF($J213='Auto Responses'!$J$13,5,IF($J213='Auto Responses'!$J$12,10,IF($J213='Auto Responses'!$J$11,20,0)))))</f>
        <v>N/A</v>
      </c>
      <c r="P213" s="101" t="str">
        <f>IF(OR($O213='Auto Responses'!$J$5,$L213='Auto Responses'!$J$5),'Auto Responses'!$J$5,$O213*$L213)</f>
        <v>N/A</v>
      </c>
      <c r="Q213" s="101">
        <f t="shared" si="22"/>
        <v>0</v>
      </c>
      <c r="R213" s="101">
        <f t="shared" si="26"/>
        <v>0</v>
      </c>
      <c r="S213" s="101">
        <f t="shared" si="23"/>
        <v>0</v>
      </c>
      <c r="T213" s="101">
        <f t="shared" si="24"/>
        <v>0</v>
      </c>
      <c r="U213" s="101">
        <f t="shared" si="27"/>
        <v>59</v>
      </c>
      <c r="V213" s="101">
        <f t="shared" si="25"/>
        <v>0</v>
      </c>
    </row>
    <row r="214" spans="1:22" ht="57" customHeight="1" x14ac:dyDescent="0.2">
      <c r="A214" s="4" t="str">
        <f>Questions!$A214</f>
        <v>HIPA-28</v>
      </c>
      <c r="B214" s="4" t="str">
        <f t="shared" si="21"/>
        <v>HIPA</v>
      </c>
      <c r="C214" s="4" t="str">
        <f>VLOOKUP($A214,Questions!$A$3:$L$333,2,0)&amp;""</f>
        <v>Are you willing to enter into a Business Associate Agreement (BAA)?</v>
      </c>
      <c r="D214" s="4" t="str">
        <f>VLOOKUP($A214,Questions!$A$3:$L$333,11,0)&amp;""</f>
        <v/>
      </c>
      <c r="E214" s="4" t="str">
        <f>VLOOKUP($A214,Questions!$A$3:$L$333,12,0)&amp;""</f>
        <v>Case-specific</v>
      </c>
      <c r="F214" s="4" t="str">
        <f>VLOOKUP($A214,'Institution Evaluation'!$A$56:$K$345,3,0)&amp;""</f>
        <v>N/A</v>
      </c>
      <c r="G214" s="4" t="str">
        <f>VLOOKUP($A214,'Institution Evaluation'!$A$56:$K$345,7,0)&amp;""</f>
        <v>Yes</v>
      </c>
      <c r="H214" s="4" t="str">
        <f>VLOOKUP($A214,'Institution Evaluation'!$A$56:$K$345,8,0)&amp;""</f>
        <v/>
      </c>
      <c r="I214" s="4" t="str">
        <f>VLOOKUP($A214,'Institution Evaluation'!$A$56:$K$345,9,0)&amp;""</f>
        <v>Standard Importance</v>
      </c>
      <c r="J214" s="4" t="str">
        <f>VLOOKUP($A214,'Institution Evaluation'!$A$56:$K$345,10,0)&amp;""</f>
        <v/>
      </c>
      <c r="K214" s="4">
        <f>IF($I214='Auto Responses'!$J$11,20,IF($I214='Auto Responses'!$J$13,5,10))</f>
        <v>10</v>
      </c>
      <c r="L214" s="101">
        <f>IF($E214='Auto Responses'!$L$13, 'Auto Responses'!$J$5,IF(AND($D214='Auto Responses'!$J$27,$H214=""),'Auto Responses'!$J$5,IF(AND($D214='Auto Responses'!$J$27,$H214='Auto Responses'!$J$7),1,IF(AND($D214='Auto Responses'!$J$27,$H214='Auto Responses'!$J$8),0,IF(OR(AND($F214=$G214,$H214=""),$H214='Auto Responses'!$J$7),1,0)))))</f>
        <v>0</v>
      </c>
      <c r="M214" s="4" t="str">
        <f>VLOOKUP($A214,'Institution Evaluation'!$A$56:$K$345,11,0)&amp;""</f>
        <v>FALSE</v>
      </c>
      <c r="N214" s="4">
        <f>IF($J214='Auto Responses'!$J$11,1,IF(AND($J214="",$I214='Auto Responses'!$J$11),1,0))</f>
        <v>0</v>
      </c>
      <c r="O214" s="101" t="str">
        <f>IF(OR($F$21='Auto Responses'!$J$4,$E214='Auto Responses'!$L$13,$F214='Auto Responses'!$J$5),'Auto Responses'!$J$5,IF($J214="",$K214,IF($J214='Auto Responses'!$J$13,5,IF($J214='Auto Responses'!$J$12,10,IF($J214='Auto Responses'!$J$11,20,0)))))</f>
        <v>N/A</v>
      </c>
      <c r="P214" s="101" t="str">
        <f>IF(OR($O214='Auto Responses'!$J$5,$L214='Auto Responses'!$J$5),'Auto Responses'!$J$5,$O214*$L214)</f>
        <v>N/A</v>
      </c>
      <c r="Q214" s="101">
        <f t="shared" si="22"/>
        <v>0</v>
      </c>
      <c r="R214" s="101">
        <f t="shared" si="26"/>
        <v>0</v>
      </c>
      <c r="S214" s="101">
        <f t="shared" si="23"/>
        <v>0</v>
      </c>
      <c r="T214" s="101">
        <f t="shared" si="24"/>
        <v>0</v>
      </c>
      <c r="U214" s="101">
        <f t="shared" si="27"/>
        <v>59</v>
      </c>
      <c r="V214" s="101">
        <f t="shared" si="25"/>
        <v>0</v>
      </c>
    </row>
    <row r="215" spans="1:22" ht="57" customHeight="1" x14ac:dyDescent="0.2">
      <c r="A215" s="4" t="str">
        <f>Questions!$A215</f>
        <v>HIPA-29</v>
      </c>
      <c r="B215" s="4" t="str">
        <f t="shared" si="21"/>
        <v>HIPA</v>
      </c>
      <c r="C215" s="4" t="str">
        <f>VLOOKUP($A215,Questions!$A$3:$L$333,2,0)&amp;""</f>
        <v>Do your data backup and retention policies and practices meet HIPAA requirements?</v>
      </c>
      <c r="D215" s="4" t="str">
        <f>VLOOKUP($A215,Questions!$A$3:$L$333,11,0)&amp;""</f>
        <v/>
      </c>
      <c r="E215" s="4" t="str">
        <f>VLOOKUP($A215,Questions!$A$3:$L$333,12,0)&amp;""</f>
        <v>Case-specific</v>
      </c>
      <c r="F215" s="4" t="str">
        <f>VLOOKUP($A215,'Institution Evaluation'!$A$56:$K$345,3,0)&amp;""</f>
        <v>N/A</v>
      </c>
      <c r="G215" s="4" t="str">
        <f>VLOOKUP($A215,'Institution Evaluation'!$A$56:$K$345,7,0)&amp;""</f>
        <v>Yes</v>
      </c>
      <c r="H215" s="4" t="str">
        <f>VLOOKUP($A215,'Institution Evaluation'!$A$56:$K$345,8,0)&amp;""</f>
        <v/>
      </c>
      <c r="I215" s="4" t="str">
        <f>VLOOKUP($A215,'Institution Evaluation'!$A$56:$K$345,9,0)&amp;""</f>
        <v>Minor Importance</v>
      </c>
      <c r="J215" s="4" t="str">
        <f>VLOOKUP($A215,'Institution Evaluation'!$A$56:$K$345,10,0)&amp;""</f>
        <v/>
      </c>
      <c r="K215" s="4">
        <f>IF($I215='Auto Responses'!$J$11,20,IF($I215='Auto Responses'!$J$13,5,10))</f>
        <v>5</v>
      </c>
      <c r="L215" s="101">
        <f>IF($E215='Auto Responses'!$L$13, 'Auto Responses'!$J$5,IF(AND($D215='Auto Responses'!$J$27,$H215=""),'Auto Responses'!$J$5,IF(AND($D215='Auto Responses'!$J$27,$H215='Auto Responses'!$J$7),1,IF(AND($D215='Auto Responses'!$J$27,$H215='Auto Responses'!$J$8),0,IF(OR(AND($F215=$G215,$H215=""),$H215='Auto Responses'!$J$7),1,0)))))</f>
        <v>0</v>
      </c>
      <c r="M215" s="4" t="str">
        <f>VLOOKUP($A215,'Institution Evaluation'!$A$56:$K$345,11,0)&amp;""</f>
        <v>FALSE</v>
      </c>
      <c r="N215" s="4">
        <f>IF($J215='Auto Responses'!$J$11,1,IF(AND($J215="",$I215='Auto Responses'!$J$11),1,0))</f>
        <v>0</v>
      </c>
      <c r="O215" s="101" t="str">
        <f>IF(OR($F$21='Auto Responses'!$J$4,$E215='Auto Responses'!$L$13,$F215='Auto Responses'!$J$5),'Auto Responses'!$J$5,IF($J215="",$K215,IF($J215='Auto Responses'!$J$13,5,IF($J215='Auto Responses'!$J$12,10,IF($J215='Auto Responses'!$J$11,20,0)))))</f>
        <v>N/A</v>
      </c>
      <c r="P215" s="101" t="str">
        <f>IF(OR($O215='Auto Responses'!$J$5,$L215='Auto Responses'!$J$5),'Auto Responses'!$J$5,$O215*$L215)</f>
        <v>N/A</v>
      </c>
      <c r="Q215" s="101">
        <f t="shared" si="22"/>
        <v>0</v>
      </c>
      <c r="R215" s="101">
        <f t="shared" si="26"/>
        <v>0</v>
      </c>
      <c r="S215" s="101">
        <f t="shared" si="23"/>
        <v>0</v>
      </c>
      <c r="T215" s="101">
        <f t="shared" si="24"/>
        <v>0</v>
      </c>
      <c r="U215" s="101">
        <f t="shared" si="27"/>
        <v>59</v>
      </c>
      <c r="V215" s="101">
        <f t="shared" si="25"/>
        <v>0</v>
      </c>
    </row>
    <row r="216" spans="1:22" ht="57" customHeight="1" x14ac:dyDescent="0.2">
      <c r="A216" s="4" t="str">
        <f>Questions!$A216</f>
        <v>PCID-01</v>
      </c>
      <c r="B216" s="4" t="str">
        <f t="shared" si="21"/>
        <v>PCID</v>
      </c>
      <c r="C216" s="4" t="str">
        <f>VLOOKUP($A216,Questions!$A$3:$L$333,2,0)&amp;""</f>
        <v>Do you have a current, executed within the past year, Attestation of Compliance (AoC) or Report on Compliance (RoC)?*</v>
      </c>
      <c r="D216" s="4" t="str">
        <f>VLOOKUP($A216,Questions!$A$3:$L$333,11,0)&amp;""</f>
        <v/>
      </c>
      <c r="E216" s="4" t="str">
        <f>VLOOKUP($A216,Questions!$A$3:$L$333,12,0)&amp;""</f>
        <v>Case-Specific</v>
      </c>
      <c r="F216" s="4" t="str">
        <f>VLOOKUP($A216,'Institution Evaluation'!$A$56:$K$345,3,0)&amp;""</f>
        <v>N/A</v>
      </c>
      <c r="G216" s="4" t="str">
        <f>VLOOKUP($A216,'Institution Evaluation'!$A$56:$K$345,7,0)&amp;""</f>
        <v>Yes</v>
      </c>
      <c r="H216" s="4" t="str">
        <f>VLOOKUP($A216,'Institution Evaluation'!$A$56:$K$345,8,0)&amp;""</f>
        <v/>
      </c>
      <c r="I216" s="4" t="str">
        <f>VLOOKUP($A216,'Institution Evaluation'!$A$56:$K$345,9,0)&amp;""</f>
        <v>Critical Importance</v>
      </c>
      <c r="J216" s="4" t="str">
        <f>VLOOKUP($A216,'Institution Evaluation'!$A$56:$K$345,10,0)&amp;""</f>
        <v/>
      </c>
      <c r="K216" s="4">
        <f>IF($I216='Auto Responses'!$J$11,20,IF($I216='Auto Responses'!$J$13,5,10))</f>
        <v>20</v>
      </c>
      <c r="L216" s="101">
        <f>IF($E216='Auto Responses'!$L$13, 'Auto Responses'!$J$5,IF(AND($D216='Auto Responses'!$J$27,$H216=""),'Auto Responses'!$J$5,IF(AND($D216='Auto Responses'!$J$27,$H216='Auto Responses'!$J$7),1,IF(AND($D216='Auto Responses'!$J$27,$H216='Auto Responses'!$J$8),0,IF(OR(AND($F216=$G216,$H216=""),$H216='Auto Responses'!$J$7),1,0)))))</f>
        <v>0</v>
      </c>
      <c r="M216" s="4" t="str">
        <f>VLOOKUP($A216,'Institution Evaluation'!$A$56:$K$345,11,0)&amp;""</f>
        <v>FALSE</v>
      </c>
      <c r="N216" s="4">
        <f>IF($J216='Auto Responses'!$J$11,1,IF(AND($J216="",$I216='Auto Responses'!$J$11),1,0))</f>
        <v>1</v>
      </c>
      <c r="O216" s="101" t="str">
        <f>IF(OR($F$22='Auto Responses'!$J$4,$E216='Auto Responses'!$L$13,$F216='Auto Responses'!$J$5),'Auto Responses'!$J$5,IF($J216="",$K216,IF($J216='Auto Responses'!$J$13,5,IF($J216='Auto Responses'!$J$12,10,IF($J216='Auto Responses'!$J$11,20,0)))))</f>
        <v>N/A</v>
      </c>
      <c r="P216" s="101" t="str">
        <f>IF(OR($O216='Auto Responses'!$J$5,$L216='Auto Responses'!$J$5),'Auto Responses'!$J$5,$O216*$L216)</f>
        <v>N/A</v>
      </c>
      <c r="Q216" s="101">
        <f t="shared" si="22"/>
        <v>0</v>
      </c>
      <c r="R216" s="101">
        <f t="shared" si="26"/>
        <v>0</v>
      </c>
      <c r="S216" s="101">
        <f t="shared" si="23"/>
        <v>0</v>
      </c>
      <c r="T216" s="101">
        <f t="shared" si="24"/>
        <v>1</v>
      </c>
      <c r="U216" s="101">
        <f t="shared" si="27"/>
        <v>60</v>
      </c>
      <c r="V216" s="101">
        <f t="shared" si="25"/>
        <v>60</v>
      </c>
    </row>
    <row r="217" spans="1:22" ht="57" customHeight="1" x14ac:dyDescent="0.2">
      <c r="A217" s="4" t="str">
        <f>Questions!$A217</f>
        <v>PCID-02</v>
      </c>
      <c r="B217" s="4" t="str">
        <f t="shared" si="21"/>
        <v>PCID</v>
      </c>
      <c r="C217" s="4" t="str">
        <f>VLOOKUP($A217,Questions!$A$3:$L$333,2,0)&amp;""</f>
        <v>Is the application listed as an approved Payment Application Data Security Standard (PA-DSS) application?*</v>
      </c>
      <c r="D217" s="4" t="str">
        <f>VLOOKUP($A217,Questions!$A$3:$L$333,11,0)&amp;""</f>
        <v/>
      </c>
      <c r="E217" s="4" t="str">
        <f>VLOOKUP($A217,Questions!$A$3:$L$333,12,0)&amp;""</f>
        <v>Case-Specific</v>
      </c>
      <c r="F217" s="4" t="str">
        <f>VLOOKUP($A217,'Institution Evaluation'!$A$56:$K$345,3,0)&amp;""</f>
        <v>N/A</v>
      </c>
      <c r="G217" s="4" t="str">
        <f>VLOOKUP($A217,'Institution Evaluation'!$A$56:$K$345,7,0)&amp;""</f>
        <v>No</v>
      </c>
      <c r="H217" s="4" t="str">
        <f>VLOOKUP($A217,'Institution Evaluation'!$A$56:$K$345,8,0)&amp;""</f>
        <v/>
      </c>
      <c r="I217" s="4" t="str">
        <f>VLOOKUP($A217,'Institution Evaluation'!$A$56:$K$345,9,0)&amp;""</f>
        <v>Critical Importance</v>
      </c>
      <c r="J217" s="4" t="str">
        <f>VLOOKUP($A217,'Institution Evaluation'!$A$56:$K$345,10,0)&amp;""</f>
        <v/>
      </c>
      <c r="K217" s="4">
        <f>IF($I217='Auto Responses'!$J$11,20,IF($I217='Auto Responses'!$J$13,5,10))</f>
        <v>20</v>
      </c>
      <c r="L217" s="101">
        <f>IF($E217='Auto Responses'!$L$13, 'Auto Responses'!$J$5,IF(AND($D217='Auto Responses'!$J$27,$H217=""),'Auto Responses'!$J$5,IF(AND($D217='Auto Responses'!$J$27,$H217='Auto Responses'!$J$7),1,IF(AND($D217='Auto Responses'!$J$27,$H217='Auto Responses'!$J$8),0,IF(OR(AND($F217=$G217,$H217=""),$H217='Auto Responses'!$J$7),1,0)))))</f>
        <v>0</v>
      </c>
      <c r="M217" s="4" t="str">
        <f>VLOOKUP($A217,'Institution Evaluation'!$A$56:$K$345,11,0)&amp;""</f>
        <v>FALSE</v>
      </c>
      <c r="N217" s="4">
        <f>IF($J217='Auto Responses'!$J$11,1,IF(AND($J217="",$I217='Auto Responses'!$J$11),1,0))</f>
        <v>1</v>
      </c>
      <c r="O217" s="101" t="str">
        <f>IF(OR($F$22='Auto Responses'!$J$4,$E217='Auto Responses'!$L$13,$F217='Auto Responses'!$J$5),'Auto Responses'!$J$5,IF($J217="",$K217,IF($J217='Auto Responses'!$J$13,5,IF($J217='Auto Responses'!$J$12,10,IF($J217='Auto Responses'!$J$11,20,0)))))</f>
        <v>N/A</v>
      </c>
      <c r="P217" s="101" t="str">
        <f>IF(OR($O217='Auto Responses'!$J$5,$L217='Auto Responses'!$J$5),'Auto Responses'!$J$5,$O217*$L217)</f>
        <v>N/A</v>
      </c>
      <c r="Q217" s="101">
        <f t="shared" si="22"/>
        <v>0</v>
      </c>
      <c r="R217" s="101">
        <f t="shared" si="26"/>
        <v>0</v>
      </c>
      <c r="S217" s="101">
        <f t="shared" si="23"/>
        <v>0</v>
      </c>
      <c r="T217" s="101">
        <f t="shared" si="24"/>
        <v>1</v>
      </c>
      <c r="U217" s="101">
        <f t="shared" si="27"/>
        <v>61</v>
      </c>
      <c r="V217" s="101">
        <f t="shared" si="25"/>
        <v>61</v>
      </c>
    </row>
    <row r="218" spans="1:22" ht="57" customHeight="1" x14ac:dyDescent="0.2">
      <c r="A218" s="4" t="str">
        <f>Questions!$A218</f>
        <v>PCID-03</v>
      </c>
      <c r="B218" s="4" t="str">
        <f t="shared" si="21"/>
        <v>PCID</v>
      </c>
      <c r="C218" s="4" t="str">
        <f>VLOOKUP($A218,Questions!$A$3:$L$333,2,0)&amp;""</f>
        <v>Does the system or solutions use a third party to collect, store, process, or transmit cardholder (payment/credit/debt card) data?*</v>
      </c>
      <c r="D218" s="4" t="str">
        <f>VLOOKUP($A218,Questions!$A$3:$L$333,11,0)&amp;""</f>
        <v/>
      </c>
      <c r="E218" s="4" t="str">
        <f>VLOOKUP($A218,Questions!$A$3:$L$333,12,0)&amp;""</f>
        <v>Case-Specific</v>
      </c>
      <c r="F218" s="4" t="str">
        <f>VLOOKUP($A218,'Institution Evaluation'!$A$56:$K$345,3,0)&amp;""</f>
        <v>N/A</v>
      </c>
      <c r="G218" s="4" t="str">
        <f>VLOOKUP($A218,'Institution Evaluation'!$A$56:$K$345,7,0)&amp;""</f>
        <v>No</v>
      </c>
      <c r="H218" s="4" t="str">
        <f>VLOOKUP($A218,'Institution Evaluation'!$A$56:$K$345,8,0)&amp;""</f>
        <v/>
      </c>
      <c r="I218" s="4" t="str">
        <f>VLOOKUP($A218,'Institution Evaluation'!$A$56:$K$345,9,0)&amp;""</f>
        <v>Critical Importance</v>
      </c>
      <c r="J218" s="4" t="str">
        <f>VLOOKUP($A218,'Institution Evaluation'!$A$56:$K$345,10,0)&amp;""</f>
        <v/>
      </c>
      <c r="K218" s="4">
        <f>IF($I218='Auto Responses'!$J$11,20,IF($I218='Auto Responses'!$J$13,5,10))</f>
        <v>20</v>
      </c>
      <c r="L218" s="101">
        <f>IF($E218='Auto Responses'!$L$13, 'Auto Responses'!$J$5,IF(AND($D218='Auto Responses'!$J$27,$H218=""),'Auto Responses'!$J$5,IF(AND($D218='Auto Responses'!$J$27,$H218='Auto Responses'!$J$7),1,IF(AND($D218='Auto Responses'!$J$27,$H218='Auto Responses'!$J$8),0,IF(OR(AND($F218=$G218,$H218=""),$H218='Auto Responses'!$J$7),1,0)))))</f>
        <v>0</v>
      </c>
      <c r="M218" s="4" t="str">
        <f>VLOOKUP($A218,'Institution Evaluation'!$A$56:$K$345,11,0)&amp;""</f>
        <v>FALSE</v>
      </c>
      <c r="N218" s="4">
        <f>IF($J218='Auto Responses'!$J$11,1,IF(AND($J218="",$I218='Auto Responses'!$J$11),1,0))</f>
        <v>1</v>
      </c>
      <c r="O218" s="101" t="str">
        <f>IF(OR($F$22='Auto Responses'!$J$4,$E218='Auto Responses'!$L$13,$F218='Auto Responses'!$J$5),'Auto Responses'!$J$5,IF($J218="",$K218,IF($J218='Auto Responses'!$J$13,5,IF($J218='Auto Responses'!$J$12,10,IF($J218='Auto Responses'!$J$11,20,0)))))</f>
        <v>N/A</v>
      </c>
      <c r="P218" s="101" t="str">
        <f>IF(OR($O218='Auto Responses'!$J$5,$L218='Auto Responses'!$J$5),'Auto Responses'!$J$5,$O218*$L218)</f>
        <v>N/A</v>
      </c>
      <c r="Q218" s="101">
        <f t="shared" si="22"/>
        <v>0</v>
      </c>
      <c r="R218" s="101">
        <f t="shared" si="26"/>
        <v>0</v>
      </c>
      <c r="S218" s="101">
        <f t="shared" si="23"/>
        <v>0</v>
      </c>
      <c r="T218" s="101">
        <f t="shared" si="24"/>
        <v>1</v>
      </c>
      <c r="U218" s="101">
        <f t="shared" si="27"/>
        <v>62</v>
      </c>
      <c r="V218" s="101">
        <f t="shared" si="25"/>
        <v>62</v>
      </c>
    </row>
    <row r="219" spans="1:22" ht="57" customHeight="1" x14ac:dyDescent="0.2">
      <c r="A219" s="4" t="str">
        <f>Questions!$A219</f>
        <v>PCID-04</v>
      </c>
      <c r="B219" s="4" t="str">
        <f t="shared" si="21"/>
        <v>PCID</v>
      </c>
      <c r="C219" s="4" t="str">
        <f>VLOOKUP($A219,Questions!$A$3:$L$333,2,0)&amp;""</f>
        <v>Do your systems or solutions store, process, or transmit cardholder (payment/credit/debt card) data?</v>
      </c>
      <c r="D219" s="4" t="str">
        <f>VLOOKUP($A219,Questions!$A$3:$L$333,11,0)&amp;""</f>
        <v/>
      </c>
      <c r="E219" s="4" t="str">
        <f>VLOOKUP($A219,Questions!$A$3:$L$333,12,0)&amp;""</f>
        <v>Case-Specific</v>
      </c>
      <c r="F219" s="4" t="str">
        <f>VLOOKUP($A219,'Institution Evaluation'!$A$56:$K$345,3,0)&amp;""</f>
        <v>N/A</v>
      </c>
      <c r="G219" s="4" t="str">
        <f>VLOOKUP($A219,'Institution Evaluation'!$A$56:$K$345,7,0)&amp;""</f>
        <v>Yes</v>
      </c>
      <c r="H219" s="4" t="str">
        <f>VLOOKUP($A219,'Institution Evaluation'!$A$56:$K$345,8,0)&amp;""</f>
        <v/>
      </c>
      <c r="I219" s="4" t="str">
        <f>VLOOKUP($A219,'Institution Evaluation'!$A$56:$K$345,9,0)&amp;""</f>
        <v>Standard Importance</v>
      </c>
      <c r="J219" s="4" t="str">
        <f>VLOOKUP($A219,'Institution Evaluation'!$A$56:$K$345,10,0)&amp;""</f>
        <v/>
      </c>
      <c r="K219" s="4">
        <f>IF($I219='Auto Responses'!$J$11,20,IF($I219='Auto Responses'!$J$13,5,10))</f>
        <v>10</v>
      </c>
      <c r="L219" s="101">
        <f>IF($E219='Auto Responses'!$L$13, 'Auto Responses'!$J$5,IF(AND($D219='Auto Responses'!$J$27,$H219=""),'Auto Responses'!$J$5,IF(AND($D219='Auto Responses'!$J$27,$H219='Auto Responses'!$J$7),1,IF(AND($D219='Auto Responses'!$J$27,$H219='Auto Responses'!$J$8),0,IF(OR(AND($F219=$G219,$H219=""),$H219='Auto Responses'!$J$7),1,0)))))</f>
        <v>0</v>
      </c>
      <c r="M219" s="4" t="str">
        <f>VLOOKUP($A219,'Institution Evaluation'!$A$56:$K$345,11,0)&amp;""</f>
        <v>FALSE</v>
      </c>
      <c r="N219" s="4">
        <f>IF($J219='Auto Responses'!$J$11,1,IF(AND($J219="",$I219='Auto Responses'!$J$11),1,0))</f>
        <v>0</v>
      </c>
      <c r="O219" s="101" t="str">
        <f>IF(OR($F$22='Auto Responses'!$J$4,$E219='Auto Responses'!$L$13,$F219='Auto Responses'!$J$5),'Auto Responses'!$J$5,IF($J219="",$K219,IF($J219='Auto Responses'!$J$13,5,IF($J219='Auto Responses'!$J$12,10,IF($J219='Auto Responses'!$J$11,20,0)))))</f>
        <v>N/A</v>
      </c>
      <c r="P219" s="101" t="str">
        <f>IF(OR($O219='Auto Responses'!$J$5,$L219='Auto Responses'!$J$5),'Auto Responses'!$J$5,$O219*$L219)</f>
        <v>N/A</v>
      </c>
      <c r="Q219" s="101">
        <f t="shared" si="22"/>
        <v>0</v>
      </c>
      <c r="R219" s="101">
        <f t="shared" si="26"/>
        <v>0</v>
      </c>
      <c r="S219" s="101">
        <f t="shared" si="23"/>
        <v>0</v>
      </c>
      <c r="T219" s="101">
        <f t="shared" si="24"/>
        <v>0</v>
      </c>
      <c r="U219" s="101">
        <f t="shared" si="27"/>
        <v>62</v>
      </c>
      <c r="V219" s="101">
        <f t="shared" si="25"/>
        <v>0</v>
      </c>
    </row>
    <row r="220" spans="1:22" ht="57" customHeight="1" x14ac:dyDescent="0.2">
      <c r="A220" s="4" t="str">
        <f>Questions!$A220</f>
        <v>PCID-05</v>
      </c>
      <c r="B220" s="4" t="str">
        <f t="shared" si="21"/>
        <v>PCID</v>
      </c>
      <c r="C220" s="4" t="str">
        <f>VLOOKUP($A220,Questions!$A$3:$L$333,2,0)&amp;""</f>
        <v>Are you compliant with the Payment Card Industry Data Security Standard (PCI DSS)?</v>
      </c>
      <c r="D220" s="4" t="str">
        <f>VLOOKUP($A220,Questions!$A$3:$L$333,11,0)&amp;""</f>
        <v/>
      </c>
      <c r="E220" s="4" t="str">
        <f>VLOOKUP($A220,Questions!$A$3:$L$333,12,0)&amp;""</f>
        <v>Case-Specific</v>
      </c>
      <c r="F220" s="4" t="str">
        <f>VLOOKUP($A220,'Institution Evaluation'!$A$56:$K$345,3,0)&amp;""</f>
        <v>N/A</v>
      </c>
      <c r="G220" s="4" t="str">
        <f>VLOOKUP($A220,'Institution Evaluation'!$A$56:$K$345,7,0)&amp;""</f>
        <v>Yes</v>
      </c>
      <c r="H220" s="4" t="str">
        <f>VLOOKUP($A220,'Institution Evaluation'!$A$56:$K$345,8,0)&amp;""</f>
        <v/>
      </c>
      <c r="I220" s="4" t="str">
        <f>VLOOKUP($A220,'Institution Evaluation'!$A$56:$K$345,9,0)&amp;""</f>
        <v>Standard Importance</v>
      </c>
      <c r="J220" s="4" t="str">
        <f>VLOOKUP($A220,'Institution Evaluation'!$A$56:$K$345,10,0)&amp;""</f>
        <v/>
      </c>
      <c r="K220" s="4">
        <f>IF($I220='Auto Responses'!$J$11,20,IF($I220='Auto Responses'!$J$13,5,10))</f>
        <v>10</v>
      </c>
      <c r="L220" s="101">
        <f>IF($E220='Auto Responses'!$L$13, 'Auto Responses'!$J$5,IF(AND($D220='Auto Responses'!$J$27,$H220=""),'Auto Responses'!$J$5,IF(AND($D220='Auto Responses'!$J$27,$H220='Auto Responses'!$J$7),1,IF(AND($D220='Auto Responses'!$J$27,$H220='Auto Responses'!$J$8),0,IF(OR(AND($F220=$G220,$H220=""),$H220='Auto Responses'!$J$7),1,0)))))</f>
        <v>0</v>
      </c>
      <c r="M220" s="4" t="str">
        <f>VLOOKUP($A220,'Institution Evaluation'!$A$56:$K$345,11,0)&amp;""</f>
        <v>FALSE</v>
      </c>
      <c r="N220" s="4">
        <f>IF($J220='Auto Responses'!$J$11,1,IF(AND($J220="",$I220='Auto Responses'!$J$11),1,0))</f>
        <v>0</v>
      </c>
      <c r="O220" s="101" t="str">
        <f>IF(OR($F$22='Auto Responses'!$J$4,$E220='Auto Responses'!$L$13,$F220='Auto Responses'!$J$5),'Auto Responses'!$J$5,IF($J220="",$K220,IF($J220='Auto Responses'!$J$13,5,IF($J220='Auto Responses'!$J$12,10,IF($J220='Auto Responses'!$J$11,20,0)))))</f>
        <v>N/A</v>
      </c>
      <c r="P220" s="101" t="str">
        <f>IF(OR($O220='Auto Responses'!$J$5,$L220='Auto Responses'!$J$5),'Auto Responses'!$J$5,$O220*$L220)</f>
        <v>N/A</v>
      </c>
      <c r="Q220" s="101">
        <f t="shared" si="22"/>
        <v>0</v>
      </c>
      <c r="R220" s="101">
        <f t="shared" si="26"/>
        <v>0</v>
      </c>
      <c r="S220" s="101">
        <f t="shared" si="23"/>
        <v>0</v>
      </c>
      <c r="T220" s="101">
        <f t="shared" si="24"/>
        <v>0</v>
      </c>
      <c r="U220" s="101">
        <f t="shared" si="27"/>
        <v>62</v>
      </c>
      <c r="V220" s="101">
        <f t="shared" si="25"/>
        <v>0</v>
      </c>
    </row>
    <row r="221" spans="1:22" ht="57" customHeight="1" x14ac:dyDescent="0.2">
      <c r="A221" s="4" t="str">
        <f>Questions!$A221</f>
        <v>PCID-06</v>
      </c>
      <c r="B221" s="4" t="str">
        <f t="shared" si="21"/>
        <v>PCID</v>
      </c>
      <c r="C221" s="4" t="str">
        <f>VLOOKUP($A221,Questions!$A$3:$L$333,2,0)&amp;""</f>
        <v>Are you classified as a service provider?</v>
      </c>
      <c r="D221" s="4" t="str">
        <f>VLOOKUP($A221,Questions!$A$3:$L$333,11,0)&amp;""</f>
        <v/>
      </c>
      <c r="E221" s="4" t="str">
        <f>VLOOKUP($A221,Questions!$A$3:$L$333,12,0)&amp;""</f>
        <v>Case-Specific</v>
      </c>
      <c r="F221" s="4" t="str">
        <f>VLOOKUP($A221,'Institution Evaluation'!$A$56:$K$345,3,0)&amp;""</f>
        <v>N/A</v>
      </c>
      <c r="G221" s="4" t="str">
        <f>VLOOKUP($A221,'Institution Evaluation'!$A$56:$K$345,7,0)&amp;""</f>
        <v>Yes</v>
      </c>
      <c r="H221" s="4" t="str">
        <f>VLOOKUP($A221,'Institution Evaluation'!$A$56:$K$345,8,0)&amp;""</f>
        <v/>
      </c>
      <c r="I221" s="4" t="str">
        <f>VLOOKUP($A221,'Institution Evaluation'!$A$56:$K$345,9,0)&amp;""</f>
        <v>Standard Importance</v>
      </c>
      <c r="J221" s="4" t="str">
        <f>VLOOKUP($A221,'Institution Evaluation'!$A$56:$K$345,10,0)&amp;""</f>
        <v/>
      </c>
      <c r="K221" s="4">
        <f>IF($I221='Auto Responses'!$J$11,20,IF($I221='Auto Responses'!$J$13,5,10))</f>
        <v>10</v>
      </c>
      <c r="L221" s="101">
        <f>IF($E221='Auto Responses'!$L$13, 'Auto Responses'!$J$5,IF(AND($D221='Auto Responses'!$J$27,$H221=""),'Auto Responses'!$J$5,IF(AND($D221='Auto Responses'!$J$27,$H221='Auto Responses'!$J$7),1,IF(AND($D221='Auto Responses'!$J$27,$H221='Auto Responses'!$J$8),0,IF(OR(AND($F221=$G221,$H221=""),$H221='Auto Responses'!$J$7),1,0)))))</f>
        <v>0</v>
      </c>
      <c r="M221" s="4" t="str">
        <f>VLOOKUP($A221,'Institution Evaluation'!$A$56:$K$345,11,0)&amp;""</f>
        <v>FALSE</v>
      </c>
      <c r="N221" s="4">
        <f>IF($J221='Auto Responses'!$J$11,1,IF(AND($J221="",$I221='Auto Responses'!$J$11),1,0))</f>
        <v>0</v>
      </c>
      <c r="O221" s="101" t="str">
        <f>IF(OR($F$22='Auto Responses'!$J$4,$E221='Auto Responses'!$L$13,$F221='Auto Responses'!$J$5),'Auto Responses'!$J$5,IF($J221="",$K221,IF($J221='Auto Responses'!$J$13,5,IF($J221='Auto Responses'!$J$12,10,IF($J221='Auto Responses'!$J$11,20,0)))))</f>
        <v>N/A</v>
      </c>
      <c r="P221" s="101" t="str">
        <f>IF(OR($O221='Auto Responses'!$J$5,$L221='Auto Responses'!$J$5),'Auto Responses'!$J$5,$O221*$L221)</f>
        <v>N/A</v>
      </c>
      <c r="Q221" s="101">
        <f t="shared" si="22"/>
        <v>0</v>
      </c>
      <c r="R221" s="101">
        <f t="shared" si="26"/>
        <v>0</v>
      </c>
      <c r="S221" s="101">
        <f t="shared" si="23"/>
        <v>0</v>
      </c>
      <c r="T221" s="101">
        <f t="shared" si="24"/>
        <v>0</v>
      </c>
      <c r="U221" s="101">
        <f t="shared" si="27"/>
        <v>62</v>
      </c>
      <c r="V221" s="101">
        <f t="shared" si="25"/>
        <v>0</v>
      </c>
    </row>
    <row r="222" spans="1:22" ht="57" customHeight="1" x14ac:dyDescent="0.2">
      <c r="A222" s="4" t="str">
        <f>Questions!$A222</f>
        <v>PCID-07</v>
      </c>
      <c r="B222" s="4" t="str">
        <f t="shared" si="21"/>
        <v>PCID</v>
      </c>
      <c r="C222" s="4" t="str">
        <f>VLOOKUP($A222,Questions!$A$3:$L$333,2,0)&amp;""</f>
        <v>Are you on the list of Visa approved service providers?</v>
      </c>
      <c r="D222" s="4" t="str">
        <f>VLOOKUP($A222,Questions!$A$3:$L$333,11,0)&amp;""</f>
        <v/>
      </c>
      <c r="E222" s="4" t="str">
        <f>VLOOKUP($A222,Questions!$A$3:$L$333,12,0)&amp;""</f>
        <v>Case-Specific</v>
      </c>
      <c r="F222" s="4" t="str">
        <f>VLOOKUP($A222,'Institution Evaluation'!$A$56:$K$345,3,0)&amp;""</f>
        <v>N/A</v>
      </c>
      <c r="G222" s="4" t="str">
        <f>VLOOKUP($A222,'Institution Evaluation'!$A$56:$K$345,7,0)&amp;""</f>
        <v>Yes</v>
      </c>
      <c r="H222" s="4" t="str">
        <f>VLOOKUP($A222,'Institution Evaluation'!$A$56:$K$345,8,0)&amp;""</f>
        <v/>
      </c>
      <c r="I222" s="4" t="str">
        <f>VLOOKUP($A222,'Institution Evaluation'!$A$56:$K$345,9,0)&amp;""</f>
        <v>Standard Importance</v>
      </c>
      <c r="J222" s="4" t="str">
        <f>VLOOKUP($A222,'Institution Evaluation'!$A$56:$K$345,10,0)&amp;""</f>
        <v/>
      </c>
      <c r="K222" s="4">
        <f>IF($I222='Auto Responses'!$J$11,20,IF($I222='Auto Responses'!$J$13,5,10))</f>
        <v>10</v>
      </c>
      <c r="L222" s="101">
        <f>IF($E222='Auto Responses'!$L$13, 'Auto Responses'!$J$5,IF(AND($D222='Auto Responses'!$J$27,$H222=""),'Auto Responses'!$J$5,IF(AND($D222='Auto Responses'!$J$27,$H222='Auto Responses'!$J$7),1,IF(AND($D222='Auto Responses'!$J$27,$H222='Auto Responses'!$J$8),0,IF(OR(AND($F222=$G222,$H222=""),$H222='Auto Responses'!$J$7),1,0)))))</f>
        <v>0</v>
      </c>
      <c r="M222" s="4" t="str">
        <f>VLOOKUP($A222,'Institution Evaluation'!$A$56:$K$345,11,0)&amp;""</f>
        <v>FALSE</v>
      </c>
      <c r="N222" s="4">
        <f>IF($J222='Auto Responses'!$J$11,1,IF(AND($J222="",$I222='Auto Responses'!$J$11),1,0))</f>
        <v>0</v>
      </c>
      <c r="O222" s="101" t="str">
        <f>IF(OR($F$22='Auto Responses'!$J$4,$E222='Auto Responses'!$L$13,$F222='Auto Responses'!$J$5),'Auto Responses'!$J$5,IF($J222="",$K222,IF($J222='Auto Responses'!$J$13,5,IF($J222='Auto Responses'!$J$12,10,IF($J222='Auto Responses'!$J$11,20,0)))))</f>
        <v>N/A</v>
      </c>
      <c r="P222" s="101" t="str">
        <f>IF(OR($O222='Auto Responses'!$J$5,$L222='Auto Responses'!$J$5),'Auto Responses'!$J$5,$O222*$L222)</f>
        <v>N/A</v>
      </c>
      <c r="Q222" s="101">
        <f t="shared" si="22"/>
        <v>0</v>
      </c>
      <c r="R222" s="101">
        <f t="shared" si="26"/>
        <v>0</v>
      </c>
      <c r="S222" s="101">
        <f t="shared" si="23"/>
        <v>0</v>
      </c>
      <c r="T222" s="101">
        <f t="shared" si="24"/>
        <v>0</v>
      </c>
      <c r="U222" s="101">
        <f t="shared" si="27"/>
        <v>62</v>
      </c>
      <c r="V222" s="101">
        <f t="shared" si="25"/>
        <v>0</v>
      </c>
    </row>
    <row r="223" spans="1:22" ht="57" customHeight="1" x14ac:dyDescent="0.2">
      <c r="A223" s="4" t="str">
        <f>Questions!$A223</f>
        <v>PCID-08</v>
      </c>
      <c r="B223" s="4" t="str">
        <f t="shared" si="21"/>
        <v>PCID</v>
      </c>
      <c r="C223" s="4" t="str">
        <f>VLOOKUP($A223,Questions!$A$3:$L$333,2,0)&amp;""</f>
        <v>Are you classified as a merchant? If so, what level (1, 2, 3, 4)?</v>
      </c>
      <c r="D223" s="4" t="str">
        <f>VLOOKUP($A223,Questions!$A$3:$L$333,11,0)&amp;""</f>
        <v/>
      </c>
      <c r="E223" s="4" t="str">
        <f>VLOOKUP($A223,Questions!$A$3:$L$333,12,0)&amp;""</f>
        <v>Case-Specific</v>
      </c>
      <c r="F223" s="4" t="str">
        <f>VLOOKUP($A223,'Institution Evaluation'!$A$56:$K$345,3,0)&amp;""</f>
        <v>N/A</v>
      </c>
      <c r="G223" s="4" t="str">
        <f>VLOOKUP($A223,'Institution Evaluation'!$A$56:$K$345,7,0)&amp;""</f>
        <v>Yes</v>
      </c>
      <c r="H223" s="4" t="str">
        <f>VLOOKUP($A223,'Institution Evaluation'!$A$56:$K$345,8,0)&amp;""</f>
        <v/>
      </c>
      <c r="I223" s="4" t="str">
        <f>VLOOKUP($A223,'Institution Evaluation'!$A$56:$K$345,9,0)&amp;""</f>
        <v>Standard Importance</v>
      </c>
      <c r="J223" s="4" t="str">
        <f>VLOOKUP($A223,'Institution Evaluation'!$A$56:$K$345,10,0)&amp;""</f>
        <v/>
      </c>
      <c r="K223" s="4">
        <f>IF($I223='Auto Responses'!$J$11,20,IF($I223='Auto Responses'!$J$13,5,10))</f>
        <v>10</v>
      </c>
      <c r="L223" s="101">
        <f>IF($E223='Auto Responses'!$L$13, 'Auto Responses'!$J$5,IF(AND($D223='Auto Responses'!$J$27,$H223=""),'Auto Responses'!$J$5,IF(AND($D223='Auto Responses'!$J$27,$H223='Auto Responses'!$J$7),1,IF(AND($D223='Auto Responses'!$J$27,$H223='Auto Responses'!$J$8),0,IF(OR(AND($F223=$G223,$H223=""),$H223='Auto Responses'!$J$7),1,0)))))</f>
        <v>0</v>
      </c>
      <c r="M223" s="4" t="str">
        <f>VLOOKUP($A223,'Institution Evaluation'!$A$56:$K$345,11,0)&amp;""</f>
        <v>FALSE</v>
      </c>
      <c r="N223" s="4">
        <f>IF($J223='Auto Responses'!$J$11,1,IF(AND($J223="",$I223='Auto Responses'!$J$11),1,0))</f>
        <v>0</v>
      </c>
      <c r="O223" s="101" t="str">
        <f>IF(OR($F$22='Auto Responses'!$J$4,$E223='Auto Responses'!$L$13,$F223='Auto Responses'!$J$5),'Auto Responses'!$J$5,IF($J223="",$K223,IF($J223='Auto Responses'!$J$13,5,IF($J223='Auto Responses'!$J$12,10,IF($J223='Auto Responses'!$J$11,20,0)))))</f>
        <v>N/A</v>
      </c>
      <c r="P223" s="101" t="str">
        <f>IF(OR($O223='Auto Responses'!$J$5,$L223='Auto Responses'!$J$5),'Auto Responses'!$J$5,$O223*$L223)</f>
        <v>N/A</v>
      </c>
      <c r="Q223" s="101">
        <f t="shared" si="22"/>
        <v>0</v>
      </c>
      <c r="R223" s="101">
        <f t="shared" si="26"/>
        <v>0</v>
      </c>
      <c r="S223" s="101">
        <f t="shared" si="23"/>
        <v>0</v>
      </c>
      <c r="T223" s="101">
        <f t="shared" si="24"/>
        <v>0</v>
      </c>
      <c r="U223" s="101">
        <f t="shared" si="27"/>
        <v>62</v>
      </c>
      <c r="V223" s="101">
        <f t="shared" si="25"/>
        <v>0</v>
      </c>
    </row>
    <row r="224" spans="1:22" ht="57" customHeight="1" x14ac:dyDescent="0.2">
      <c r="A224" s="4" t="str">
        <f>Questions!$A224</f>
        <v>PCID-09</v>
      </c>
      <c r="B224" s="4" t="str">
        <f t="shared" si="21"/>
        <v>PCID</v>
      </c>
      <c r="C224" s="4" t="str">
        <f>VLOOKUP($A224,Questions!$A$3:$L$333,2,0)&amp;""</f>
        <v>Describe the architecture employed by the system to verify and authorize credit card transactions.</v>
      </c>
      <c r="D224" s="4" t="str">
        <f>VLOOKUP($A224,Questions!$A$3:$L$333,11,0)&amp;""</f>
        <v/>
      </c>
      <c r="E224" s="4" t="str">
        <f>VLOOKUP($A224,Questions!$A$3:$L$333,12,0)&amp;""</f>
        <v>Not scored</v>
      </c>
      <c r="F224" s="4" t="str">
        <f>VLOOKUP($A224,'Institution Evaluation'!$A$56:$K$345,3,0)&amp;""</f>
        <v>N/A</v>
      </c>
      <c r="G224" s="4" t="str">
        <f>VLOOKUP($A224,'Institution Evaluation'!$A$56:$K$345,7,0)&amp;""</f>
        <v>Not scored</v>
      </c>
      <c r="H224" s="4" t="str">
        <f>VLOOKUP($A224,'Institution Evaluation'!$A$56:$K$345,8,0)&amp;""</f>
        <v/>
      </c>
      <c r="I224" s="4" t="str">
        <f>VLOOKUP($A224,'Institution Evaluation'!$A$56:$K$345,9,0)&amp;""</f>
        <v/>
      </c>
      <c r="J224" s="4" t="str">
        <f>VLOOKUP($A224,'Institution Evaluation'!$A$56:$K$345,10,0)&amp;""</f>
        <v/>
      </c>
      <c r="K224" s="4">
        <f>IF($I224='Auto Responses'!$J$11,20,IF($I224='Auto Responses'!$J$13,5,10))</f>
        <v>10</v>
      </c>
      <c r="L224" s="101" t="str">
        <f>IF($E224='Auto Responses'!$L$13, 'Auto Responses'!$J$5,IF(AND($D224='Auto Responses'!$J$27,$H224=""),'Auto Responses'!$J$5,IF(AND($D224='Auto Responses'!$J$27,$H224='Auto Responses'!$J$7),1,IF(AND($D224='Auto Responses'!$J$27,$H224='Auto Responses'!$J$8),0,IF(OR(AND($F224=$G224,$H224=""),$H224='Auto Responses'!$J$7),1,0)))))</f>
        <v>N/A</v>
      </c>
      <c r="M224" s="4" t="str">
        <f>VLOOKUP($A224,'Institution Evaluation'!$A$56:$K$345,11,0)&amp;""</f>
        <v>FALSE</v>
      </c>
      <c r="N224" s="4">
        <f>IF($J224='Auto Responses'!$J$11,1,IF(AND($J224="",$I224='Auto Responses'!$J$11),1,0))</f>
        <v>0</v>
      </c>
      <c r="O224" s="101" t="str">
        <f>IF(OR($F$22='Auto Responses'!$J$4,$E224='Auto Responses'!$L$13,$F224='Auto Responses'!$J$5),'Auto Responses'!$J$5,IF($J224="",$K224,IF($J224='Auto Responses'!$J$13,5,IF($J224='Auto Responses'!$J$12,10,IF($J224='Auto Responses'!$J$11,20,0)))))</f>
        <v>N/A</v>
      </c>
      <c r="P224" s="101" t="str">
        <f>IF(OR($O224='Auto Responses'!$J$5,$L224='Auto Responses'!$J$5),'Auto Responses'!$J$5,$O224*$L224)</f>
        <v>N/A</v>
      </c>
      <c r="Q224" s="101">
        <f t="shared" si="22"/>
        <v>0</v>
      </c>
      <c r="R224" s="101">
        <f t="shared" si="26"/>
        <v>0</v>
      </c>
      <c r="S224" s="101">
        <f t="shared" si="23"/>
        <v>0</v>
      </c>
      <c r="T224" s="101">
        <f t="shared" si="24"/>
        <v>0</v>
      </c>
      <c r="U224" s="101">
        <f t="shared" si="27"/>
        <v>62</v>
      </c>
      <c r="V224" s="101">
        <f t="shared" si="25"/>
        <v>0</v>
      </c>
    </row>
    <row r="225" spans="1:22" ht="57" customHeight="1" x14ac:dyDescent="0.2">
      <c r="A225" s="4" t="str">
        <f>Questions!$A225</f>
        <v>PCID-10</v>
      </c>
      <c r="B225" s="4" t="str">
        <f t="shared" si="21"/>
        <v>PCID</v>
      </c>
      <c r="C225" s="4" t="str">
        <f>VLOOKUP($A225,Questions!$A$3:$L$333,2,0)&amp;""</f>
        <v>What payment processors/gateways does the system support?</v>
      </c>
      <c r="D225" s="4" t="str">
        <f>VLOOKUP($A225,Questions!$A$3:$L$333,11,0)&amp;""</f>
        <v/>
      </c>
      <c r="E225" s="4" t="str">
        <f>VLOOKUP($A225,Questions!$A$3:$L$333,12,0)&amp;""</f>
        <v>Not scored</v>
      </c>
      <c r="F225" s="4" t="str">
        <f>VLOOKUP($A225,'Institution Evaluation'!$A$56:$K$345,3,0)&amp;""</f>
        <v>N/A</v>
      </c>
      <c r="G225" s="4" t="str">
        <f>VLOOKUP($A225,'Institution Evaluation'!$A$56:$K$345,7,0)&amp;""</f>
        <v>Not scored</v>
      </c>
      <c r="H225" s="4" t="str">
        <f>VLOOKUP($A225,'Institution Evaluation'!$A$56:$K$345,8,0)&amp;""</f>
        <v/>
      </c>
      <c r="I225" s="4" t="str">
        <f>VLOOKUP($A225,'Institution Evaluation'!$A$56:$K$345,9,0)&amp;""</f>
        <v/>
      </c>
      <c r="J225" s="4" t="str">
        <f>VLOOKUP($A225,'Institution Evaluation'!$A$56:$K$345,10,0)&amp;""</f>
        <v/>
      </c>
      <c r="K225" s="4">
        <f>IF($I225='Auto Responses'!$J$11,20,IF($I225='Auto Responses'!$J$13,5,10))</f>
        <v>10</v>
      </c>
      <c r="L225" s="101" t="str">
        <f>IF($E225='Auto Responses'!$L$13, 'Auto Responses'!$J$5,IF(AND($D225='Auto Responses'!$J$27,$H225=""),'Auto Responses'!$J$5,IF(AND($D225='Auto Responses'!$J$27,$H225='Auto Responses'!$J$7),1,IF(AND($D225='Auto Responses'!$J$27,$H225='Auto Responses'!$J$8),0,IF(OR(AND($F225=$G225,$H225=""),$H225='Auto Responses'!$J$7),1,0)))))</f>
        <v>N/A</v>
      </c>
      <c r="M225" s="4" t="str">
        <f>VLOOKUP($A225,'Institution Evaluation'!$A$56:$K$345,11,0)&amp;""</f>
        <v>FALSE</v>
      </c>
      <c r="N225" s="4">
        <f>IF($J225='Auto Responses'!$J$11,1,IF(AND($J225="",$I225='Auto Responses'!$J$11),1,0))</f>
        <v>0</v>
      </c>
      <c r="O225" s="101" t="str">
        <f>IF(OR($F$22='Auto Responses'!$J$4,$E225='Auto Responses'!$L$13,$F225='Auto Responses'!$J$5),'Auto Responses'!$J$5,IF($J225="",$K225,IF($J225='Auto Responses'!$J$13,5,IF($J225='Auto Responses'!$J$12,10,IF($J225='Auto Responses'!$J$11,20,0)))))</f>
        <v>N/A</v>
      </c>
      <c r="P225" s="101" t="str">
        <f>IF(OR($O225='Auto Responses'!$J$5,$L225='Auto Responses'!$J$5),'Auto Responses'!$J$5,$O225*$L225)</f>
        <v>N/A</v>
      </c>
      <c r="Q225" s="101">
        <f t="shared" si="22"/>
        <v>0</v>
      </c>
      <c r="R225" s="101">
        <f t="shared" si="26"/>
        <v>0</v>
      </c>
      <c r="S225" s="101">
        <f t="shared" si="23"/>
        <v>0</v>
      </c>
      <c r="T225" s="101">
        <f t="shared" si="24"/>
        <v>0</v>
      </c>
      <c r="U225" s="101">
        <f t="shared" si="27"/>
        <v>62</v>
      </c>
      <c r="V225" s="101">
        <f t="shared" si="25"/>
        <v>0</v>
      </c>
    </row>
    <row r="226" spans="1:22" ht="57" customHeight="1" x14ac:dyDescent="0.2">
      <c r="A226" s="4" t="str">
        <f>Questions!$A226</f>
        <v>PCID-11</v>
      </c>
      <c r="B226" s="4" t="str">
        <f t="shared" si="21"/>
        <v>PCID</v>
      </c>
      <c r="C226" s="4" t="str">
        <f>VLOOKUP($A226,Questions!$A$3:$L$333,2,0)&amp;""</f>
        <v>Can the application be installed in a PCI DSS–compliant manner?</v>
      </c>
      <c r="D226" s="4" t="str">
        <f>VLOOKUP($A226,Questions!$A$3:$L$333,11,0)&amp;""</f>
        <v/>
      </c>
      <c r="E226" s="4" t="str">
        <f>VLOOKUP($A226,Questions!$A$3:$L$333,12,0)&amp;""</f>
        <v>Case-Specific</v>
      </c>
      <c r="F226" s="4" t="str">
        <f>VLOOKUP($A226,'Institution Evaluation'!$A$56:$K$345,3,0)&amp;""</f>
        <v>N/A</v>
      </c>
      <c r="G226" s="4" t="str">
        <f>VLOOKUP($A226,'Institution Evaluation'!$A$56:$K$345,7,0)&amp;""</f>
        <v>Yes</v>
      </c>
      <c r="H226" s="4" t="str">
        <f>VLOOKUP($A226,'Institution Evaluation'!$A$56:$K$345,8,0)&amp;""</f>
        <v/>
      </c>
      <c r="I226" s="4" t="str">
        <f>VLOOKUP($A226,'Institution Evaluation'!$A$56:$K$345,9,0)&amp;""</f>
        <v>Minor Importance</v>
      </c>
      <c r="J226" s="4" t="str">
        <f>VLOOKUP($A226,'Institution Evaluation'!$A$56:$K$345,10,0)&amp;""</f>
        <v/>
      </c>
      <c r="K226" s="4">
        <f>IF($I226='Auto Responses'!$J$11,20,IF($I226='Auto Responses'!$J$13,5,10))</f>
        <v>5</v>
      </c>
      <c r="L226" s="101">
        <f>IF($E226='Auto Responses'!$L$13, 'Auto Responses'!$J$5,IF(AND($D226='Auto Responses'!$J$27,$H226=""),'Auto Responses'!$J$5,IF(AND($D226='Auto Responses'!$J$27,$H226='Auto Responses'!$J$7),1,IF(AND($D226='Auto Responses'!$J$27,$H226='Auto Responses'!$J$8),0,IF(OR(AND($F226=$G226,$H226=""),$H226='Auto Responses'!$J$7),1,0)))))</f>
        <v>0</v>
      </c>
      <c r="M226" s="4" t="str">
        <f>VLOOKUP($A226,'Institution Evaluation'!$A$56:$K$345,11,0)&amp;""</f>
        <v>FALSE</v>
      </c>
      <c r="N226" s="4">
        <f>IF($J226='Auto Responses'!$J$11,1,IF(AND($J226="",$I226='Auto Responses'!$J$11),1,0))</f>
        <v>0</v>
      </c>
      <c r="O226" s="101" t="str">
        <f>IF(OR($F$22='Auto Responses'!$J$4,$E226='Auto Responses'!$L$13,$F226='Auto Responses'!$J$5),'Auto Responses'!$J$5,IF($J226="",$K226,IF($J226='Auto Responses'!$J$13,5,IF($J226='Auto Responses'!$J$12,10,IF($J226='Auto Responses'!$J$11,20,0)))))</f>
        <v>N/A</v>
      </c>
      <c r="P226" s="101" t="str">
        <f>IF(OR($O226='Auto Responses'!$J$5,$L226='Auto Responses'!$J$5),'Auto Responses'!$J$5,$O226*$L226)</f>
        <v>N/A</v>
      </c>
      <c r="Q226" s="101">
        <f t="shared" si="22"/>
        <v>0</v>
      </c>
      <c r="R226" s="101">
        <f t="shared" si="26"/>
        <v>0</v>
      </c>
      <c r="S226" s="101">
        <f t="shared" si="23"/>
        <v>0</v>
      </c>
      <c r="T226" s="101">
        <f t="shared" si="24"/>
        <v>0</v>
      </c>
      <c r="U226" s="101">
        <f t="shared" si="27"/>
        <v>62</v>
      </c>
      <c r="V226" s="101">
        <f t="shared" si="25"/>
        <v>0</v>
      </c>
    </row>
    <row r="227" spans="1:22" ht="71.25" customHeight="1" x14ac:dyDescent="0.2">
      <c r="A227" s="4" t="str">
        <f>Questions!$A227</f>
        <v>PCID-12</v>
      </c>
      <c r="B227" s="4" t="str">
        <f t="shared" si="21"/>
        <v>PCID</v>
      </c>
      <c r="C227" s="4" t="str">
        <f>VLOOKUP($A227,Questions!$A$3:$L$333,2,0)&amp;""</f>
        <v>Include documentation describing the system's abilities to comply with the PCI DSS and any features or capabilities of the system that must be added or changed in order to operate in compliance with the standards.</v>
      </c>
      <c r="D227" s="4" t="str">
        <f>VLOOKUP($A227,Questions!$A$3:$L$333,11,0)&amp;""</f>
        <v/>
      </c>
      <c r="E227" s="4" t="str">
        <f>VLOOKUP($A227,Questions!$A$3:$L$333,12,0)&amp;""</f>
        <v>Not scored</v>
      </c>
      <c r="F227" s="4" t="str">
        <f>VLOOKUP($A227,'Institution Evaluation'!$A$56:$K$345,3,0)&amp;""</f>
        <v>N/A</v>
      </c>
      <c r="G227" s="4" t="str">
        <f>VLOOKUP($A227,'Institution Evaluation'!$A$56:$K$345,7,0)&amp;""</f>
        <v>Not scored</v>
      </c>
      <c r="H227" s="4" t="str">
        <f>VLOOKUP($A227,'Institution Evaluation'!$A$56:$K$345,8,0)&amp;""</f>
        <v/>
      </c>
      <c r="I227" s="4" t="str">
        <f>VLOOKUP($A227,'Institution Evaluation'!$A$56:$K$345,9,0)&amp;""</f>
        <v/>
      </c>
      <c r="J227" s="4" t="str">
        <f>VLOOKUP($A227,'Institution Evaluation'!$A$56:$K$345,10,0)&amp;""</f>
        <v/>
      </c>
      <c r="K227" s="4">
        <f>IF($I227='Auto Responses'!$J$11,20,IF($I227='Auto Responses'!$J$13,5,10))</f>
        <v>10</v>
      </c>
      <c r="L227" s="101" t="str">
        <f>IF($E227='Auto Responses'!$L$13, 'Auto Responses'!$J$5,IF(AND($D227='Auto Responses'!$J$27,$H227=""),'Auto Responses'!$J$5,IF(AND($D227='Auto Responses'!$J$27,$H227='Auto Responses'!$J$7),1,IF(AND($D227='Auto Responses'!$J$27,$H227='Auto Responses'!$J$8),0,IF(OR(AND($F227=$G227,$H227=""),$H227='Auto Responses'!$J$7),1,0)))))</f>
        <v>N/A</v>
      </c>
      <c r="M227" s="4" t="str">
        <f>VLOOKUP($A227,'Institution Evaluation'!$A$56:$K$345,11,0)&amp;""</f>
        <v>FALSE</v>
      </c>
      <c r="N227" s="4">
        <f>IF($J227='Auto Responses'!$J$11,1,IF(AND($J227="",$I227='Auto Responses'!$J$11),1,0))</f>
        <v>0</v>
      </c>
      <c r="O227" s="101" t="str">
        <f>IF(OR($F$22='Auto Responses'!$J$4,$E227='Auto Responses'!$L$13,$F227='Auto Responses'!$J$5),'Auto Responses'!$J$5,IF($J227="",$K227,IF($J227='Auto Responses'!$J$13,5,IF($J227='Auto Responses'!$J$12,10,IF($J227='Auto Responses'!$J$11,20,0)))))</f>
        <v>N/A</v>
      </c>
      <c r="P227" s="101" t="str">
        <f>IF(OR($O227='Auto Responses'!$J$5,$L227='Auto Responses'!$J$5),'Auto Responses'!$J$5,$O227*$L227)</f>
        <v>N/A</v>
      </c>
      <c r="Q227" s="101">
        <f t="shared" si="22"/>
        <v>0</v>
      </c>
      <c r="R227" s="101">
        <f t="shared" si="26"/>
        <v>0</v>
      </c>
      <c r="S227" s="101">
        <f t="shared" si="23"/>
        <v>0</v>
      </c>
      <c r="T227" s="101">
        <f t="shared" si="24"/>
        <v>0</v>
      </c>
      <c r="U227" s="101">
        <f t="shared" si="27"/>
        <v>62</v>
      </c>
      <c r="V227" s="101">
        <f t="shared" si="25"/>
        <v>0</v>
      </c>
    </row>
    <row r="228" spans="1:22" ht="57" customHeight="1" x14ac:dyDescent="0.2">
      <c r="A228" s="4" t="str">
        <f>Questions!$A228</f>
        <v>OPEM-01</v>
      </c>
      <c r="B228" s="4" t="str">
        <f t="shared" si="21"/>
        <v>OPEM</v>
      </c>
      <c r="C228" s="4" t="str">
        <f>VLOOKUP($A228,Questions!$A$3:$L$333,2,0)&amp;""</f>
        <v>Do you support role-based access control (RBAC) for system administrators?</v>
      </c>
      <c r="D228" s="4" t="str">
        <f>VLOOKUP($A228,Questions!$A$3:$L$333,11,0)&amp;""</f>
        <v/>
      </c>
      <c r="E228" s="4" t="str">
        <f>VLOOKUP($A228,Questions!$A$3:$L$333,12,0)&amp;""</f>
        <v>Case-Specific</v>
      </c>
      <c r="F228" s="4" t="str">
        <f>VLOOKUP($A228,'Institution Evaluation'!$A$56:$K$345,3,0)&amp;""</f>
        <v>Yes</v>
      </c>
      <c r="G228" s="4" t="str">
        <f>VLOOKUP($A228,'Institution Evaluation'!$A$56:$K$345,7,0)&amp;""</f>
        <v>Yes</v>
      </c>
      <c r="H228" s="4" t="str">
        <f>VLOOKUP($A228,'Institution Evaluation'!$A$56:$K$345,8,0)&amp;""</f>
        <v/>
      </c>
      <c r="I228" s="4" t="str">
        <f>VLOOKUP($A228,'Institution Evaluation'!$A$56:$K$345,9,0)&amp;""</f>
        <v>Standard Importance</v>
      </c>
      <c r="J228" s="4" t="str">
        <f>VLOOKUP($A228,'Institution Evaluation'!$A$56:$K$345,10,0)&amp;""</f>
        <v/>
      </c>
      <c r="K228" s="4">
        <f>IF($I228='Auto Responses'!$J$11,20,IF($I228='Auto Responses'!$J$13,5,10))</f>
        <v>10</v>
      </c>
      <c r="L228" s="101">
        <f>IF($E228='Auto Responses'!$L$13, 'Auto Responses'!$J$5,IF(AND($D228='Auto Responses'!$J$27,$H228=""),'Auto Responses'!$J$5,IF(AND($D228='Auto Responses'!$J$27,$H228='Auto Responses'!$J$7),1,IF(AND($D228='Auto Responses'!$J$27,$H228='Auto Responses'!$J$8),0,IF(OR(AND($F228=$G228,$H228=""),$H228='Auto Responses'!$J$7),1,0)))))</f>
        <v>1</v>
      </c>
      <c r="M228" s="4" t="str">
        <f>VLOOKUP($A228,'Institution Evaluation'!$A$56:$K$345,11,0)&amp;""</f>
        <v>FALSE</v>
      </c>
      <c r="N228" s="4">
        <f>IF($J228='Auto Responses'!$J$11,1,IF(AND($J228="",$I228='Auto Responses'!$J$11),1,0))</f>
        <v>0</v>
      </c>
      <c r="O228" s="101" t="str">
        <f>IF(OR($F$23='Auto Responses'!$J$4,$E228='Auto Responses'!$L$13,$F228='Auto Responses'!$J$5),'Auto Responses'!$J$5,IF($J228="",$K228,IF($J228='Auto Responses'!$J$13,5,IF($J228='Auto Responses'!$J$12,10,IF($J228='Auto Responses'!$J$11,20,0)))))</f>
        <v>N/A</v>
      </c>
      <c r="P228" s="101" t="str">
        <f>IF(OR($O228='Auto Responses'!$J$5,$L228='Auto Responses'!$J$5),'Auto Responses'!$J$5,$O228*$L228)</f>
        <v>N/A</v>
      </c>
      <c r="Q228" s="101">
        <f t="shared" si="22"/>
        <v>0</v>
      </c>
      <c r="R228" s="101">
        <f t="shared" si="26"/>
        <v>0</v>
      </c>
      <c r="S228" s="101">
        <f t="shared" si="23"/>
        <v>0</v>
      </c>
      <c r="T228" s="101">
        <f t="shared" si="24"/>
        <v>0</v>
      </c>
      <c r="U228" s="101">
        <f t="shared" si="27"/>
        <v>62</v>
      </c>
      <c r="V228" s="101">
        <f t="shared" si="25"/>
        <v>0</v>
      </c>
    </row>
    <row r="229" spans="1:22" ht="57" customHeight="1" x14ac:dyDescent="0.2">
      <c r="A229" s="4" t="str">
        <f>Questions!$A229</f>
        <v>OPEM-02</v>
      </c>
      <c r="B229" s="4" t="str">
        <f t="shared" si="21"/>
        <v>OPEM</v>
      </c>
      <c r="C229" s="4" t="str">
        <f>VLOOKUP($A229,Questions!$A$3:$L$333,2,0)&amp;""</f>
        <v>Can your employees access customer systems remotely?</v>
      </c>
      <c r="D229" s="4" t="str">
        <f>VLOOKUP($A229,Questions!$A$3:$L$333,11,0)&amp;""</f>
        <v/>
      </c>
      <c r="E229" s="4" t="str">
        <f>VLOOKUP($A229,Questions!$A$3:$L$333,12,0)&amp;""</f>
        <v>Case-Specific</v>
      </c>
      <c r="F229" s="4" t="str">
        <f>VLOOKUP($A229,'Institution Evaluation'!$A$56:$K$345,3,0)&amp;""</f>
        <v>Yes</v>
      </c>
      <c r="G229" s="4" t="str">
        <f>VLOOKUP($A229,'Institution Evaluation'!$A$56:$K$345,7,0)&amp;""</f>
        <v>No</v>
      </c>
      <c r="H229" s="4" t="str">
        <f>VLOOKUP($A229,'Institution Evaluation'!$A$56:$K$345,8,0)&amp;""</f>
        <v/>
      </c>
      <c r="I229" s="4" t="str">
        <f>VLOOKUP($A229,'Institution Evaluation'!$A$56:$K$345,9,0)&amp;""</f>
        <v>Standard Importance</v>
      </c>
      <c r="J229" s="4" t="str">
        <f>VLOOKUP($A229,'Institution Evaluation'!$A$56:$K$345,10,0)&amp;""</f>
        <v/>
      </c>
      <c r="K229" s="4">
        <f>IF($I229='Auto Responses'!$J$11,20,IF($I229='Auto Responses'!$J$13,5,10))</f>
        <v>10</v>
      </c>
      <c r="L229" s="101">
        <f>IF($E229='Auto Responses'!$L$13, 'Auto Responses'!$J$5,IF(AND($D229='Auto Responses'!$J$27,$H229=""),'Auto Responses'!$J$5,IF(AND($D229='Auto Responses'!$J$27,$H229='Auto Responses'!$J$7),1,IF(AND($D229='Auto Responses'!$J$27,$H229='Auto Responses'!$J$8),0,IF(OR(AND($F229=$G229,$H229=""),$H229='Auto Responses'!$J$7),1,0)))))</f>
        <v>0</v>
      </c>
      <c r="M229" s="4" t="str">
        <f>VLOOKUP($A229,'Institution Evaluation'!$A$56:$K$345,11,0)&amp;""</f>
        <v>FALSE</v>
      </c>
      <c r="N229" s="4">
        <f>IF($J229='Auto Responses'!$J$11,1,IF(AND($J229="",$I229='Auto Responses'!$J$11),1,0))</f>
        <v>0</v>
      </c>
      <c r="O229" s="101" t="str">
        <f>IF(OR($F$23='Auto Responses'!$J$4,$E229='Auto Responses'!$L$13,$F229='Auto Responses'!$J$5),'Auto Responses'!$J$5,IF($J229="",$K229,IF($J229='Auto Responses'!$J$13,5,IF($J229='Auto Responses'!$J$12,10,IF($J229='Auto Responses'!$J$11,20,0)))))</f>
        <v>N/A</v>
      </c>
      <c r="P229" s="101" t="str">
        <f>IF(OR($O229='Auto Responses'!$J$5,$L229='Auto Responses'!$J$5),'Auto Responses'!$J$5,$O229*$L229)</f>
        <v>N/A</v>
      </c>
      <c r="Q229" s="101">
        <f t="shared" si="22"/>
        <v>0</v>
      </c>
      <c r="R229" s="101">
        <f t="shared" si="26"/>
        <v>0</v>
      </c>
      <c r="S229" s="101">
        <f t="shared" si="23"/>
        <v>0</v>
      </c>
      <c r="T229" s="101">
        <f t="shared" si="24"/>
        <v>0</v>
      </c>
      <c r="U229" s="101">
        <f t="shared" si="27"/>
        <v>62</v>
      </c>
      <c r="V229" s="101">
        <f t="shared" si="25"/>
        <v>0</v>
      </c>
    </row>
    <row r="230" spans="1:22" ht="57" customHeight="1" x14ac:dyDescent="0.2">
      <c r="A230" s="4" t="str">
        <f>Questions!$A230</f>
        <v>OPEM-03</v>
      </c>
      <c r="B230" s="4" t="str">
        <f t="shared" si="21"/>
        <v>OPEM</v>
      </c>
      <c r="C230" s="4" t="str">
        <f>VLOOKUP($A230,Questions!$A$3:$L$333,2,0)&amp;""</f>
        <v>Can you provide overall system and/or application architecture diagrams including a full description of the data communications architecture for all components of the system?</v>
      </c>
      <c r="D230" s="4" t="str">
        <f>VLOOKUP($A230,Questions!$A$3:$L$333,11,0)&amp;""</f>
        <v/>
      </c>
      <c r="E230" s="4" t="str">
        <f>VLOOKUP($A230,Questions!$A$3:$L$333,12,0)&amp;""</f>
        <v>Case-Specific</v>
      </c>
      <c r="F230" s="4" t="str">
        <f>VLOOKUP($A230,'Institution Evaluation'!$A$56:$K$345,3,0)&amp;""</f>
        <v>Yes</v>
      </c>
      <c r="G230" s="4" t="str">
        <f>VLOOKUP($A230,'Institution Evaluation'!$A$56:$K$345,7,0)&amp;""</f>
        <v>Yes</v>
      </c>
      <c r="H230" s="4" t="str">
        <f>VLOOKUP($A230,'Institution Evaluation'!$A$56:$K$345,8,0)&amp;""</f>
        <v/>
      </c>
      <c r="I230" s="4" t="str">
        <f>VLOOKUP($A230,'Institution Evaluation'!$A$56:$K$345,9,0)&amp;""</f>
        <v>Standard Importance</v>
      </c>
      <c r="J230" s="4" t="str">
        <f>VLOOKUP($A230,'Institution Evaluation'!$A$56:$K$345,10,0)&amp;""</f>
        <v/>
      </c>
      <c r="K230" s="4">
        <f>IF($I230='Auto Responses'!$J$11,20,IF($I230='Auto Responses'!$J$13,5,10))</f>
        <v>10</v>
      </c>
      <c r="L230" s="101">
        <f>IF($E230='Auto Responses'!$L$13, 'Auto Responses'!$J$5,IF(AND($D230='Auto Responses'!$J$27,$H230=""),'Auto Responses'!$J$5,IF(AND($D230='Auto Responses'!$J$27,$H230='Auto Responses'!$J$7),1,IF(AND($D230='Auto Responses'!$J$27,$H230='Auto Responses'!$J$8),0,IF(OR(AND($F230=$G230,$H230=""),$H230='Auto Responses'!$J$7),1,0)))))</f>
        <v>1</v>
      </c>
      <c r="M230" s="4" t="str">
        <f>VLOOKUP($A230,'Institution Evaluation'!$A$56:$K$345,11,0)&amp;""</f>
        <v>FALSE</v>
      </c>
      <c r="N230" s="4">
        <f>IF($J230='Auto Responses'!$J$11,1,IF(AND($J230="",$I230='Auto Responses'!$J$11),1,0))</f>
        <v>0</v>
      </c>
      <c r="O230" s="101" t="str">
        <f>IF(OR($F$23='Auto Responses'!$J$4,$E230='Auto Responses'!$L$13,$F230='Auto Responses'!$J$5),'Auto Responses'!$J$5,IF($J230="",$K230,IF($J230='Auto Responses'!$J$13,5,IF($J230='Auto Responses'!$J$12,10,IF($J230='Auto Responses'!$J$11,20,0)))))</f>
        <v>N/A</v>
      </c>
      <c r="P230" s="101" t="str">
        <f>IF(OR($O230='Auto Responses'!$J$5,$L230='Auto Responses'!$J$5),'Auto Responses'!$J$5,$O230*$L230)</f>
        <v>N/A</v>
      </c>
      <c r="Q230" s="101">
        <f t="shared" si="22"/>
        <v>0</v>
      </c>
      <c r="R230" s="101">
        <f t="shared" si="26"/>
        <v>0</v>
      </c>
      <c r="S230" s="101">
        <f t="shared" si="23"/>
        <v>0</v>
      </c>
      <c r="T230" s="101">
        <f t="shared" si="24"/>
        <v>0</v>
      </c>
      <c r="U230" s="101">
        <f t="shared" si="27"/>
        <v>62</v>
      </c>
      <c r="V230" s="101">
        <f t="shared" si="25"/>
        <v>0</v>
      </c>
    </row>
    <row r="231" spans="1:22" ht="57" customHeight="1" x14ac:dyDescent="0.2">
      <c r="A231" s="4" t="str">
        <f>Questions!$A231</f>
        <v>OPEM-04</v>
      </c>
      <c r="B231" s="4" t="str">
        <f t="shared" si="21"/>
        <v>OPEM</v>
      </c>
      <c r="C231" s="4" t="str">
        <f>VLOOKUP($A231,Questions!$A$3:$L$333,2,0)&amp;""</f>
        <v>Do you require remote management of the system?</v>
      </c>
      <c r="D231" s="4" t="str">
        <f>VLOOKUP($A231,Questions!$A$3:$L$333,11,0)&amp;""</f>
        <v/>
      </c>
      <c r="E231" s="4" t="str">
        <f>VLOOKUP($A231,Questions!$A$3:$L$333,12,0)&amp;""</f>
        <v>Case-Specific</v>
      </c>
      <c r="F231" s="4" t="str">
        <f>VLOOKUP($A231,'Institution Evaluation'!$A$56:$K$345,3,0)&amp;""</f>
        <v>Yes</v>
      </c>
      <c r="G231" s="4" t="str">
        <f>VLOOKUP($A231,'Institution Evaluation'!$A$56:$K$345,7,0)&amp;""</f>
        <v>No</v>
      </c>
      <c r="H231" s="4" t="str">
        <f>VLOOKUP($A231,'Institution Evaluation'!$A$56:$K$345,8,0)&amp;""</f>
        <v/>
      </c>
      <c r="I231" s="4" t="str">
        <f>VLOOKUP($A231,'Institution Evaluation'!$A$56:$K$345,9,0)&amp;""</f>
        <v>Standard Importance</v>
      </c>
      <c r="J231" s="4" t="str">
        <f>VLOOKUP($A231,'Institution Evaluation'!$A$56:$K$345,10,0)&amp;""</f>
        <v/>
      </c>
      <c r="K231" s="4">
        <f>IF($I231='Auto Responses'!$J$11,20,IF($I231='Auto Responses'!$J$13,5,10))</f>
        <v>10</v>
      </c>
      <c r="L231" s="101">
        <f>IF($E231='Auto Responses'!$L$13, 'Auto Responses'!$J$5,IF(AND($D231='Auto Responses'!$J$27,$H231=""),'Auto Responses'!$J$5,IF(AND($D231='Auto Responses'!$J$27,$H231='Auto Responses'!$J$7),1,IF(AND($D231='Auto Responses'!$J$27,$H231='Auto Responses'!$J$8),0,IF(OR(AND($F231=$G231,$H231=""),$H231='Auto Responses'!$J$7),1,0)))))</f>
        <v>0</v>
      </c>
      <c r="M231" s="4" t="str">
        <f>VLOOKUP($A231,'Institution Evaluation'!$A$56:$K$345,11,0)&amp;""</f>
        <v>FALSE</v>
      </c>
      <c r="N231" s="4">
        <f>IF($J231='Auto Responses'!$J$11,1,IF(AND($J231="",$I231='Auto Responses'!$J$11),1,0))</f>
        <v>0</v>
      </c>
      <c r="O231" s="101" t="str">
        <f>IF(OR($F$23='Auto Responses'!$J$4,$E231='Auto Responses'!$L$13,$F231='Auto Responses'!$J$5),'Auto Responses'!$J$5,IF($J231="",$K231,IF($J231='Auto Responses'!$J$13,5,IF($J231='Auto Responses'!$J$12,10,IF($J231='Auto Responses'!$J$11,20,0)))))</f>
        <v>N/A</v>
      </c>
      <c r="P231" s="101" t="str">
        <f>IF(OR($O231='Auto Responses'!$J$5,$L231='Auto Responses'!$J$5),'Auto Responses'!$J$5,$O231*$L231)</f>
        <v>N/A</v>
      </c>
      <c r="Q231" s="101">
        <f t="shared" si="22"/>
        <v>0</v>
      </c>
      <c r="R231" s="101">
        <f t="shared" si="26"/>
        <v>0</v>
      </c>
      <c r="S231" s="101">
        <f t="shared" si="23"/>
        <v>0</v>
      </c>
      <c r="T231" s="101">
        <f t="shared" si="24"/>
        <v>0</v>
      </c>
      <c r="U231" s="101">
        <f t="shared" si="27"/>
        <v>62</v>
      </c>
      <c r="V231" s="101">
        <f t="shared" si="25"/>
        <v>0</v>
      </c>
    </row>
    <row r="232" spans="1:22" ht="57" customHeight="1" x14ac:dyDescent="0.2">
      <c r="A232" s="4" t="str">
        <f>Questions!$A232</f>
        <v>OPEM-05</v>
      </c>
      <c r="B232" s="4" t="str">
        <f t="shared" si="21"/>
        <v>OPEM</v>
      </c>
      <c r="C232" s="4" t="str">
        <f>VLOOKUP($A232,Questions!$A$3:$L$333,2,0)&amp;""</f>
        <v>If you answered "yes" to OPEM-04, are your remote actions and changes logged or otherwise visible to the campus?</v>
      </c>
      <c r="D232" s="4" t="str">
        <f>VLOOKUP($A232,Questions!$A$3:$L$333,11,0)&amp;""</f>
        <v/>
      </c>
      <c r="E232" s="4" t="str">
        <f>VLOOKUP($A232,Questions!$A$3:$L$333,12,0)&amp;""</f>
        <v>Case-Specific</v>
      </c>
      <c r="F232" s="4" t="str">
        <f>VLOOKUP($A232,'Institution Evaluation'!$A$56:$K$345,3,0)&amp;""</f>
        <v>Yes</v>
      </c>
      <c r="G232" s="4" t="str">
        <f>VLOOKUP($A232,'Institution Evaluation'!$A$56:$K$345,7,0)&amp;""</f>
        <v>Yes</v>
      </c>
      <c r="H232" s="4" t="str">
        <f>VLOOKUP($A232,'Institution Evaluation'!$A$56:$K$345,8,0)&amp;""</f>
        <v/>
      </c>
      <c r="I232" s="4" t="str">
        <f>VLOOKUP($A232,'Institution Evaluation'!$A$56:$K$345,9,0)&amp;""</f>
        <v>Standard Importance</v>
      </c>
      <c r="J232" s="4" t="str">
        <f>VLOOKUP($A232,'Institution Evaluation'!$A$56:$K$345,10,0)&amp;""</f>
        <v/>
      </c>
      <c r="K232" s="4">
        <f>IF($I232='Auto Responses'!$J$11,20,IF($I232='Auto Responses'!$J$13,5,10))</f>
        <v>10</v>
      </c>
      <c r="L232" s="101">
        <f>IF($E232='Auto Responses'!$L$13, 'Auto Responses'!$J$5,IF(AND($D232='Auto Responses'!$J$27,$H232=""),'Auto Responses'!$J$5,IF(AND($D232='Auto Responses'!$J$27,$H232='Auto Responses'!$J$7),1,IF(AND($D232='Auto Responses'!$J$27,$H232='Auto Responses'!$J$8),0,IF(OR(AND($F232=$G232,$H232=""),$H232='Auto Responses'!$J$7),1,0)))))</f>
        <v>1</v>
      </c>
      <c r="M232" s="4" t="str">
        <f>VLOOKUP($A232,'Institution Evaluation'!$A$56:$K$345,11,0)&amp;""</f>
        <v>FALSE</v>
      </c>
      <c r="N232" s="4">
        <f>IF($J232='Auto Responses'!$J$11,1,IF(AND($J232="",$I232='Auto Responses'!$J$11),1,0))</f>
        <v>0</v>
      </c>
      <c r="O232" s="101" t="str">
        <f>IF(OR($F$23='Auto Responses'!$J$4,$E232='Auto Responses'!$L$13,$F232='Auto Responses'!$J$5),'Auto Responses'!$J$5,IF($J232="",$K232,IF($J232='Auto Responses'!$J$13,5,IF($J232='Auto Responses'!$J$12,10,IF($J232='Auto Responses'!$J$11,20,0)))))</f>
        <v>N/A</v>
      </c>
      <c r="P232" s="101" t="str">
        <f>IF(OR($O232='Auto Responses'!$J$5,$L232='Auto Responses'!$J$5),'Auto Responses'!$J$5,$O232*$L232)</f>
        <v>N/A</v>
      </c>
      <c r="Q232" s="101">
        <f t="shared" si="22"/>
        <v>0</v>
      </c>
      <c r="R232" s="101">
        <f t="shared" si="26"/>
        <v>0</v>
      </c>
      <c r="S232" s="101">
        <f t="shared" si="23"/>
        <v>0</v>
      </c>
      <c r="T232" s="101">
        <f t="shared" si="24"/>
        <v>0</v>
      </c>
      <c r="U232" s="101">
        <f t="shared" si="27"/>
        <v>62</v>
      </c>
      <c r="V232" s="101">
        <f t="shared" si="25"/>
        <v>0</v>
      </c>
    </row>
    <row r="233" spans="1:22" ht="57" customHeight="1" x14ac:dyDescent="0.2">
      <c r="A233" s="4" t="str">
        <f>Questions!$A233</f>
        <v>OPEM-06</v>
      </c>
      <c r="B233" s="4" t="str">
        <f t="shared" si="21"/>
        <v>OPEM</v>
      </c>
      <c r="C233" s="4" t="str">
        <f>VLOOKUP($A233,Questions!$A$3:$L$333,2,0)&amp;""</f>
        <v>If you maintain remote access to the system, will you handle data in a FERPA-compliant manner?</v>
      </c>
      <c r="D233" s="4" t="str">
        <f>VLOOKUP($A233,Questions!$A$3:$L$333,11,0)&amp;""</f>
        <v/>
      </c>
      <c r="E233" s="4" t="str">
        <f>VLOOKUP($A233,Questions!$A$3:$L$333,12,0)&amp;""</f>
        <v>Case-Specific</v>
      </c>
      <c r="F233" s="4" t="str">
        <f>VLOOKUP($A233,'Institution Evaluation'!$A$56:$K$345,3,0)&amp;""</f>
        <v>Yes</v>
      </c>
      <c r="G233" s="4" t="str">
        <f>VLOOKUP($A233,'Institution Evaluation'!$A$56:$K$345,7,0)&amp;""</f>
        <v>Yes</v>
      </c>
      <c r="H233" s="4" t="str">
        <f>VLOOKUP($A233,'Institution Evaluation'!$A$56:$K$345,8,0)&amp;""</f>
        <v/>
      </c>
      <c r="I233" s="4" t="str">
        <f>VLOOKUP($A233,'Institution Evaluation'!$A$56:$K$345,9,0)&amp;""</f>
        <v>Standard Importance</v>
      </c>
      <c r="J233" s="4" t="str">
        <f>VLOOKUP($A233,'Institution Evaluation'!$A$56:$K$345,10,0)&amp;""</f>
        <v/>
      </c>
      <c r="K233" s="4">
        <f>IF($I233='Auto Responses'!$J$11,20,IF($I233='Auto Responses'!$J$13,5,10))</f>
        <v>10</v>
      </c>
      <c r="L233" s="101">
        <f>IF($E233='Auto Responses'!$L$13, 'Auto Responses'!$J$5,IF(AND($D233='Auto Responses'!$J$27,$H233=""),'Auto Responses'!$J$5,IF(AND($D233='Auto Responses'!$J$27,$H233='Auto Responses'!$J$7),1,IF(AND($D233='Auto Responses'!$J$27,$H233='Auto Responses'!$J$8),0,IF(OR(AND($F233=$G233,$H233=""),$H233='Auto Responses'!$J$7),1,0)))))</f>
        <v>1</v>
      </c>
      <c r="M233" s="4" t="str">
        <f>VLOOKUP($A233,'Institution Evaluation'!$A$56:$K$345,11,0)&amp;""</f>
        <v>FALSE</v>
      </c>
      <c r="N233" s="4">
        <f>IF($J233='Auto Responses'!$J$11,1,IF(AND($J233="",$I233='Auto Responses'!$J$11),1,0))</f>
        <v>0</v>
      </c>
      <c r="O233" s="101" t="str">
        <f>IF(OR($F$23='Auto Responses'!$J$4,$E233='Auto Responses'!$L$13,$F233='Auto Responses'!$J$5),'Auto Responses'!$J$5,IF($J233="",$K233,IF($J233='Auto Responses'!$J$13,5,IF($J233='Auto Responses'!$J$12,10,IF($J233='Auto Responses'!$J$11,20,0)))))</f>
        <v>N/A</v>
      </c>
      <c r="P233" s="101" t="str">
        <f>IF(OR($O233='Auto Responses'!$J$5,$L233='Auto Responses'!$J$5),'Auto Responses'!$J$5,$O233*$L233)</f>
        <v>N/A</v>
      </c>
      <c r="Q233" s="101">
        <f t="shared" si="22"/>
        <v>0</v>
      </c>
      <c r="R233" s="101">
        <f t="shared" si="26"/>
        <v>0</v>
      </c>
      <c r="S233" s="101">
        <f t="shared" si="23"/>
        <v>0</v>
      </c>
      <c r="T233" s="101">
        <f t="shared" si="24"/>
        <v>0</v>
      </c>
      <c r="U233" s="101">
        <f t="shared" si="27"/>
        <v>62</v>
      </c>
      <c r="V233" s="101">
        <f t="shared" si="25"/>
        <v>0</v>
      </c>
    </row>
    <row r="234" spans="1:22" ht="57" customHeight="1" x14ac:dyDescent="0.2">
      <c r="A234" s="4" t="str">
        <f>Questions!$A234</f>
        <v>OPEM-07</v>
      </c>
      <c r="B234" s="4" t="str">
        <f t="shared" si="21"/>
        <v>OPEM</v>
      </c>
      <c r="C234" s="4" t="str">
        <f>VLOOKUP($A234,Questions!$A$3:$L$333,2,0)&amp;""</f>
        <v>Do you support campus status monitoring through SNMPv3 or other means?</v>
      </c>
      <c r="D234" s="4" t="str">
        <f>VLOOKUP($A234,Questions!$A$3:$L$333,11,0)&amp;""</f>
        <v/>
      </c>
      <c r="E234" s="4" t="str">
        <f>VLOOKUP($A234,Questions!$A$3:$L$333,12,0)&amp;""</f>
        <v>Case-Specific</v>
      </c>
      <c r="F234" s="4" t="str">
        <f>VLOOKUP($A234,'Institution Evaluation'!$A$56:$K$345,3,0)&amp;""</f>
        <v>N/A</v>
      </c>
      <c r="G234" s="4" t="str">
        <f>VLOOKUP($A234,'Institution Evaluation'!$A$56:$K$345,7,0)&amp;""</f>
        <v>Yes</v>
      </c>
      <c r="H234" s="4" t="str">
        <f>VLOOKUP($A234,'Institution Evaluation'!$A$56:$K$345,8,0)&amp;""</f>
        <v/>
      </c>
      <c r="I234" s="4" t="str">
        <f>VLOOKUP($A234,'Institution Evaluation'!$A$56:$K$345,9,0)&amp;""</f>
        <v>Standard Importance</v>
      </c>
      <c r="J234" s="4" t="str">
        <f>VLOOKUP($A234,'Institution Evaluation'!$A$56:$K$345,10,0)&amp;""</f>
        <v/>
      </c>
      <c r="K234" s="4">
        <f>IF($I234='Auto Responses'!$J$11,20,IF($I234='Auto Responses'!$J$13,5,10))</f>
        <v>10</v>
      </c>
      <c r="L234" s="101">
        <f>IF($E234='Auto Responses'!$L$13, 'Auto Responses'!$J$5,IF(AND($D234='Auto Responses'!$J$27,$H234=""),'Auto Responses'!$J$5,IF(AND($D234='Auto Responses'!$J$27,$H234='Auto Responses'!$J$7),1,IF(AND($D234='Auto Responses'!$J$27,$H234='Auto Responses'!$J$8),0,IF(OR(AND($F234=$G234,$H234=""),$H234='Auto Responses'!$J$7),1,0)))))</f>
        <v>0</v>
      </c>
      <c r="M234" s="4" t="str">
        <f>VLOOKUP($A234,'Institution Evaluation'!$A$56:$K$345,11,0)&amp;""</f>
        <v>FALSE</v>
      </c>
      <c r="N234" s="4">
        <f>IF($J234='Auto Responses'!$J$11,1,IF(AND($J234="",$I234='Auto Responses'!$J$11),1,0))</f>
        <v>0</v>
      </c>
      <c r="O234" s="101" t="str">
        <f>IF(OR($F$23='Auto Responses'!$J$4,$E234='Auto Responses'!$L$13,$F234='Auto Responses'!$J$5),'Auto Responses'!$J$5,IF($J234="",$K234,IF($J234='Auto Responses'!$J$13,5,IF($J234='Auto Responses'!$J$12,10,IF($J234='Auto Responses'!$J$11,20,0)))))</f>
        <v>N/A</v>
      </c>
      <c r="P234" s="101" t="str">
        <f>IF(OR($O234='Auto Responses'!$J$5,$L234='Auto Responses'!$J$5),'Auto Responses'!$J$5,$O234*$L234)</f>
        <v>N/A</v>
      </c>
      <c r="Q234" s="101">
        <f t="shared" si="22"/>
        <v>0</v>
      </c>
      <c r="R234" s="101">
        <f t="shared" si="26"/>
        <v>0</v>
      </c>
      <c r="S234" s="101">
        <f t="shared" si="23"/>
        <v>0</v>
      </c>
      <c r="T234" s="101">
        <f t="shared" si="24"/>
        <v>0</v>
      </c>
      <c r="U234" s="101">
        <f t="shared" si="27"/>
        <v>62</v>
      </c>
      <c r="V234" s="101">
        <f t="shared" si="25"/>
        <v>0</v>
      </c>
    </row>
    <row r="235" spans="1:22" ht="57" customHeight="1" x14ac:dyDescent="0.2">
      <c r="A235" s="4" t="str">
        <f>Questions!$A235</f>
        <v>OPEM-08</v>
      </c>
      <c r="B235" s="4" t="str">
        <f t="shared" si="21"/>
        <v>OPEM</v>
      </c>
      <c r="C235" s="4" t="str">
        <f>VLOOKUP($A235,Questions!$A$3:$L$333,2,0)&amp;""</f>
        <v>Describe or provide a reference to any other safeguards used to monitor for malicious activity.</v>
      </c>
      <c r="D235" s="4" t="str">
        <f>VLOOKUP($A235,Questions!$A$3:$L$333,11,0)&amp;""</f>
        <v/>
      </c>
      <c r="E235" s="4" t="str">
        <f>VLOOKUP($A235,Questions!$A$3:$L$333,12,0)&amp;""</f>
        <v>Not scored</v>
      </c>
      <c r="F235" s="4" t="str">
        <f>VLOOKUP($A235,'Institution Evaluation'!$A$56:$K$345,3,0)&amp;""</f>
        <v>Yes</v>
      </c>
      <c r="G235" s="4" t="str">
        <f>VLOOKUP($A235,'Institution Evaluation'!$A$56:$K$345,7,0)&amp;""</f>
        <v>Not scored</v>
      </c>
      <c r="H235" s="4" t="str">
        <f>VLOOKUP($A235,'Institution Evaluation'!$A$56:$K$345,8,0)&amp;""</f>
        <v/>
      </c>
      <c r="I235" s="4" t="str">
        <f>VLOOKUP($A235,'Institution Evaluation'!$A$56:$K$345,9,0)&amp;""</f>
        <v/>
      </c>
      <c r="J235" s="4" t="str">
        <f>VLOOKUP($A235,'Institution Evaluation'!$A$56:$K$345,10,0)&amp;""</f>
        <v/>
      </c>
      <c r="K235" s="4">
        <f>IF($I235='Auto Responses'!$J$11,20,IF($I235='Auto Responses'!$J$13,5,10))</f>
        <v>10</v>
      </c>
      <c r="L235" s="101" t="str">
        <f>IF($E235='Auto Responses'!$L$13, 'Auto Responses'!$J$5,IF(AND($D235='Auto Responses'!$J$27,$H235=""),'Auto Responses'!$J$5,IF(AND($D235='Auto Responses'!$J$27,$H235='Auto Responses'!$J$7),1,IF(AND($D235='Auto Responses'!$J$27,$H235='Auto Responses'!$J$8),0,IF(OR(AND($F235=$G235,$H235=""),$H235='Auto Responses'!$J$7),1,0)))))</f>
        <v>N/A</v>
      </c>
      <c r="M235" s="4" t="str">
        <f>VLOOKUP($A235,'Institution Evaluation'!$A$56:$K$345,11,0)&amp;""</f>
        <v>FALSE</v>
      </c>
      <c r="N235" s="4">
        <f>IF($J235='Auto Responses'!$J$11,1,IF(AND($J235="",$I235='Auto Responses'!$J$11),1,0))</f>
        <v>0</v>
      </c>
      <c r="O235" s="101" t="str">
        <f>IF(OR($F$23='Auto Responses'!$J$4,$E235='Auto Responses'!$L$13,$F235='Auto Responses'!$J$5),'Auto Responses'!$J$5,IF($J235="",$K235,IF($J235='Auto Responses'!$J$13,5,IF($J235='Auto Responses'!$J$12,10,IF($J235='Auto Responses'!$J$11,20,0)))))</f>
        <v>N/A</v>
      </c>
      <c r="P235" s="101" t="str">
        <f>IF(OR($O235='Auto Responses'!$J$5,$L235='Auto Responses'!$J$5),'Auto Responses'!$J$5,$O235*$L235)</f>
        <v>N/A</v>
      </c>
      <c r="Q235" s="101">
        <f t="shared" si="22"/>
        <v>0</v>
      </c>
      <c r="R235" s="101">
        <f t="shared" si="26"/>
        <v>0</v>
      </c>
      <c r="S235" s="101">
        <f t="shared" si="23"/>
        <v>0</v>
      </c>
      <c r="T235" s="101">
        <f t="shared" si="24"/>
        <v>0</v>
      </c>
      <c r="U235" s="101">
        <f t="shared" si="27"/>
        <v>62</v>
      </c>
      <c r="V235" s="101">
        <f t="shared" si="25"/>
        <v>0</v>
      </c>
    </row>
    <row r="236" spans="1:22" ht="57" customHeight="1" x14ac:dyDescent="0.2">
      <c r="A236" s="4" t="str">
        <f>Questions!$A236</f>
        <v>OPEM-09</v>
      </c>
      <c r="B236" s="4" t="str">
        <f t="shared" si="21"/>
        <v>OPEM</v>
      </c>
      <c r="C236" s="4" t="str">
        <f>VLOOKUP($A236,Questions!$A$3:$L$333,2,0)&amp;""</f>
        <v>Describe how long your organization has conducted business in this area.</v>
      </c>
      <c r="D236" s="4" t="str">
        <f>VLOOKUP($A236,Questions!$A$3:$L$333,11,0)&amp;""</f>
        <v/>
      </c>
      <c r="E236" s="4" t="str">
        <f>VLOOKUP($A236,Questions!$A$3:$L$333,12,0)&amp;""</f>
        <v>Not scored</v>
      </c>
      <c r="F236" s="4" t="str">
        <f>VLOOKUP($A236,'Institution Evaluation'!$A$56:$K$345,3,0)&amp;""</f>
        <v>Yes</v>
      </c>
      <c r="G236" s="4" t="str">
        <f>VLOOKUP($A236,'Institution Evaluation'!$A$56:$K$345,7,0)&amp;""</f>
        <v>Not scored</v>
      </c>
      <c r="H236" s="4" t="str">
        <f>VLOOKUP($A236,'Institution Evaluation'!$A$56:$K$345,8,0)&amp;""</f>
        <v/>
      </c>
      <c r="I236" s="4" t="str">
        <f>VLOOKUP($A236,'Institution Evaluation'!$A$56:$K$345,9,0)&amp;""</f>
        <v/>
      </c>
      <c r="J236" s="4" t="str">
        <f>VLOOKUP($A236,'Institution Evaluation'!$A$56:$K$345,10,0)&amp;""</f>
        <v/>
      </c>
      <c r="K236" s="4">
        <f>IF($I236='Auto Responses'!$J$11,20,IF($I236='Auto Responses'!$J$13,5,10))</f>
        <v>10</v>
      </c>
      <c r="L236" s="101" t="str">
        <f>IF($E236='Auto Responses'!$L$13, 'Auto Responses'!$J$5,IF(AND($D236='Auto Responses'!$J$27,$H236=""),'Auto Responses'!$J$5,IF(AND($D236='Auto Responses'!$J$27,$H236='Auto Responses'!$J$7),1,IF(AND($D236='Auto Responses'!$J$27,$H236='Auto Responses'!$J$8),0,IF(OR(AND($F236=$G236,$H236=""),$H236='Auto Responses'!$J$7),1,0)))))</f>
        <v>N/A</v>
      </c>
      <c r="M236" s="4" t="str">
        <f>VLOOKUP($A236,'Institution Evaluation'!$A$56:$K$345,11,0)&amp;""</f>
        <v>FALSE</v>
      </c>
      <c r="N236" s="4">
        <f>IF($J236='Auto Responses'!$J$11,1,IF(AND($J236="",$I236='Auto Responses'!$J$11),1,0))</f>
        <v>0</v>
      </c>
      <c r="O236" s="101" t="str">
        <f>IF(OR($F$23='Auto Responses'!$J$4,$E236='Auto Responses'!$L$13,$F236='Auto Responses'!$J$5),'Auto Responses'!$J$5,IF($J236="",$K236,IF($J236='Auto Responses'!$J$13,5,IF($J236='Auto Responses'!$J$12,10,IF($J236='Auto Responses'!$J$11,20,0)))))</f>
        <v>N/A</v>
      </c>
      <c r="P236" s="101" t="str">
        <f>IF(OR($O236='Auto Responses'!$J$5,$L236='Auto Responses'!$J$5),'Auto Responses'!$J$5,$O236*$L236)</f>
        <v>N/A</v>
      </c>
      <c r="Q236" s="101">
        <f t="shared" si="22"/>
        <v>0</v>
      </c>
      <c r="R236" s="101">
        <f t="shared" si="26"/>
        <v>0</v>
      </c>
      <c r="S236" s="101">
        <f t="shared" si="23"/>
        <v>0</v>
      </c>
      <c r="T236" s="101">
        <f t="shared" si="24"/>
        <v>0</v>
      </c>
      <c r="U236" s="101">
        <f t="shared" si="27"/>
        <v>62</v>
      </c>
      <c r="V236" s="101">
        <f t="shared" si="25"/>
        <v>0</v>
      </c>
    </row>
    <row r="237" spans="1:22" ht="57" customHeight="1" x14ac:dyDescent="0.2">
      <c r="A237" s="4" t="str">
        <f>Questions!$A237</f>
        <v>OPEM-10</v>
      </c>
      <c r="B237" s="4" t="str">
        <f t="shared" si="21"/>
        <v>OPEM</v>
      </c>
      <c r="C237" s="4" t="str">
        <f>VLOOKUP($A237,Questions!$A$3:$L$333,2,0)&amp;""</f>
        <v>Do you have existing higher education customers?</v>
      </c>
      <c r="D237" s="4" t="str">
        <f>VLOOKUP($A237,Questions!$A$3:$L$333,11,0)&amp;""</f>
        <v/>
      </c>
      <c r="E237" s="4" t="str">
        <f>VLOOKUP($A237,Questions!$A$3:$L$333,12,0)&amp;""</f>
        <v>Case-Specific</v>
      </c>
      <c r="F237" s="4" t="str">
        <f>VLOOKUP($A237,'Institution Evaluation'!$A$56:$K$345,3,0)&amp;""</f>
        <v>Yes</v>
      </c>
      <c r="G237" s="4" t="str">
        <f>VLOOKUP($A237,'Institution Evaluation'!$A$56:$K$345,7,0)&amp;""</f>
        <v>Yes</v>
      </c>
      <c r="H237" s="4" t="str">
        <f>VLOOKUP($A237,'Institution Evaluation'!$A$56:$K$345,8,0)&amp;""</f>
        <v/>
      </c>
      <c r="I237" s="4" t="str">
        <f>VLOOKUP($A237,'Institution Evaluation'!$A$56:$K$345,9,0)&amp;""</f>
        <v>Minor Importance</v>
      </c>
      <c r="J237" s="4" t="str">
        <f>VLOOKUP($A237,'Institution Evaluation'!$A$56:$K$345,10,0)&amp;""</f>
        <v/>
      </c>
      <c r="K237" s="4">
        <f>IF($I237='Auto Responses'!$J$11,20,IF($I237='Auto Responses'!$J$13,5,10))</f>
        <v>5</v>
      </c>
      <c r="L237" s="101">
        <f>IF($E237='Auto Responses'!$L$13, 'Auto Responses'!$J$5,IF(AND($D237='Auto Responses'!$J$27,$H237=""),'Auto Responses'!$J$5,IF(AND($D237='Auto Responses'!$J$27,$H237='Auto Responses'!$J$7),1,IF(AND($D237='Auto Responses'!$J$27,$H237='Auto Responses'!$J$8),0,IF(OR(AND($F237=$G237,$H237=""),$H237='Auto Responses'!$J$7),1,0)))))</f>
        <v>1</v>
      </c>
      <c r="M237" s="4" t="str">
        <f>VLOOKUP($A237,'Institution Evaluation'!$A$56:$K$345,11,0)&amp;""</f>
        <v>FALSE</v>
      </c>
      <c r="N237" s="4">
        <f>IF($J237='Auto Responses'!$J$11,1,IF(AND($J237="",$I237='Auto Responses'!$J$11),1,0))</f>
        <v>0</v>
      </c>
      <c r="O237" s="101" t="str">
        <f>IF(OR($F$23='Auto Responses'!$J$4,$E237='Auto Responses'!$L$13,$F237='Auto Responses'!$J$5),'Auto Responses'!$J$5,IF($J237="",$K237,IF($J237='Auto Responses'!$J$13,5,IF($J237='Auto Responses'!$J$12,10,IF($J237='Auto Responses'!$J$11,20,0)))))</f>
        <v>N/A</v>
      </c>
      <c r="P237" s="101" t="str">
        <f>IF(OR($O237='Auto Responses'!$J$5,$L237='Auto Responses'!$J$5),'Auto Responses'!$J$5,$O237*$L237)</f>
        <v>N/A</v>
      </c>
      <c r="Q237" s="101">
        <f t="shared" si="22"/>
        <v>0</v>
      </c>
      <c r="R237" s="101">
        <f t="shared" si="26"/>
        <v>0</v>
      </c>
      <c r="S237" s="101">
        <f t="shared" si="23"/>
        <v>0</v>
      </c>
      <c r="T237" s="101">
        <f t="shared" si="24"/>
        <v>0</v>
      </c>
      <c r="U237" s="101">
        <f t="shared" si="27"/>
        <v>62</v>
      </c>
      <c r="V237" s="101">
        <f t="shared" si="25"/>
        <v>0</v>
      </c>
    </row>
    <row r="238" spans="1:22" ht="57" customHeight="1" x14ac:dyDescent="0.2">
      <c r="A238" s="4" t="str">
        <f>Questions!$A238</f>
        <v>PRGN-01</v>
      </c>
      <c r="B238" s="4" t="str">
        <f t="shared" si="21"/>
        <v>PRGN</v>
      </c>
      <c r="C238" s="4" t="str">
        <f>VLOOKUP($A238,Questions!$A$3:$L$333,2,0)&amp;""</f>
        <v>Does your solution process FERPA-related data?</v>
      </c>
      <c r="D238" s="4" t="str">
        <f>VLOOKUP($A238,Questions!$A$3:$L$333,11,0)&amp;""</f>
        <v>NA</v>
      </c>
      <c r="E238" s="4" t="str">
        <f>VLOOKUP($A238,Questions!$A$3:$L$333,12,0)&amp;""</f>
        <v>Not scored</v>
      </c>
      <c r="F238" s="4" t="str">
        <f>VLOOKUP($A238,'Privacy Analyst Evaluation'!$A$46:$K$120,3,0)&amp;""</f>
        <v>Yes</v>
      </c>
      <c r="G238" s="4" t="str">
        <f>VLOOKUP($A238,'Privacy Analyst Evaluation'!$A$46:$K$120,7,0)&amp;""</f>
        <v>Not scored</v>
      </c>
      <c r="H238" s="4" t="str">
        <f>VLOOKUP($A238,'Privacy Analyst Evaluation'!$A$46:$K$120,8,0)&amp;""</f>
        <v/>
      </c>
      <c r="I238" s="4" t="str">
        <f>VLOOKUP($A238,'Privacy Analyst Evaluation'!$A$46:$K$120,9,0)&amp;""</f>
        <v/>
      </c>
      <c r="J238" s="4" t="str">
        <f>VLOOKUP($A238,'Privacy Analyst Evaluation'!$A$46:$K$120,10,0)&amp;""</f>
        <v/>
      </c>
      <c r="K238" s="4">
        <f>IF($I238='Auto Responses'!$J$11,20,IF($I238='Auto Responses'!$J$13,5,10))</f>
        <v>10</v>
      </c>
      <c r="L238" s="101" t="str">
        <f>IF($E238='Auto Responses'!$L$13, 'Auto Responses'!$J$5,IF(AND($D238='Auto Responses'!$J$27,$H238=""),'Auto Responses'!$J$5,IF(AND($D238='Auto Responses'!$J$27,$H238='Auto Responses'!$J$7),1,IF(AND($D238='Auto Responses'!$J$27,$H238='Auto Responses'!$J$8),0,IF(OR(AND($F238=$G238,$H238=""),$H238='Auto Responses'!$J$7),1,0)))))</f>
        <v>N/A</v>
      </c>
      <c r="M238" s="4" t="str">
        <f>VLOOKUP($A238,'Privacy Analyst Evaluation'!$A$46:$K$120,11,0)&amp;""</f>
        <v>FALSE</v>
      </c>
      <c r="N238" s="4">
        <f>IF($J238='Auto Responses'!$J$11,1,IF(AND($J238="",$I238='Auto Responses'!$J$11),1,0))</f>
        <v>0</v>
      </c>
      <c r="O238" s="101" t="str">
        <f>IF(OR($E238='Auto Responses'!$L$13,$F$24='Auto Responses'!$J$4,$F238='Auto Responses'!$J$5),'Auto Responses'!$J$5,IF($J238="",$K238,IF($J238='Auto Responses'!$J$13,5,IF($J238='Auto Responses'!$J$12,10,IF($J238='Auto Responses'!$J$11,20,0)))))</f>
        <v>N/A</v>
      </c>
      <c r="P238" s="101" t="str">
        <f>IF(OR($O238='Auto Responses'!$J$5,$L238='Auto Responses'!$J$5),'Auto Responses'!$J$5,$O238*$L238)</f>
        <v>N/A</v>
      </c>
      <c r="Q238" s="101">
        <f t="shared" si="22"/>
        <v>0</v>
      </c>
      <c r="R238" s="101">
        <f t="shared" si="26"/>
        <v>0</v>
      </c>
      <c r="S238" s="101">
        <f t="shared" si="23"/>
        <v>0</v>
      </c>
      <c r="T238" s="101">
        <f t="shared" si="24"/>
        <v>0</v>
      </c>
      <c r="U238" s="101">
        <f t="shared" si="27"/>
        <v>62</v>
      </c>
      <c r="V238" s="101">
        <f t="shared" si="25"/>
        <v>0</v>
      </c>
    </row>
    <row r="239" spans="1:22" ht="57" customHeight="1" x14ac:dyDescent="0.2">
      <c r="A239" s="4" t="str">
        <f>Questions!$A239</f>
        <v>PRGN-02</v>
      </c>
      <c r="B239" s="4" t="str">
        <f t="shared" si="21"/>
        <v>PRGN</v>
      </c>
      <c r="C239" s="4" t="str">
        <f>VLOOKUP($A239,Questions!$A$3:$L$333,2,0)&amp;""</f>
        <v>Does your solution process GDPR-related or PIPL-related data?</v>
      </c>
      <c r="D239" s="4" t="str">
        <f>VLOOKUP($A239,Questions!$A$3:$L$333,11,0)&amp;""</f>
        <v>NA</v>
      </c>
      <c r="E239" s="4" t="str">
        <f>VLOOKUP($A239,Questions!$A$3:$L$333,12,0)&amp;""</f>
        <v>Not scored</v>
      </c>
      <c r="F239" s="4" t="str">
        <f>VLOOKUP($A239,'Privacy Analyst Evaluation'!$A$46:$K$120,3,0)&amp;""</f>
        <v>Yes</v>
      </c>
      <c r="G239" s="4" t="str">
        <f>VLOOKUP($A239,'Privacy Analyst Evaluation'!$A$46:$K$120,7,0)&amp;""</f>
        <v>Not scored</v>
      </c>
      <c r="H239" s="4" t="str">
        <f>VLOOKUP($A239,'Privacy Analyst Evaluation'!$A$46:$K$120,8,0)&amp;""</f>
        <v/>
      </c>
      <c r="I239" s="4" t="str">
        <f>VLOOKUP($A239,'Privacy Analyst Evaluation'!$A$46:$K$120,9,0)&amp;""</f>
        <v/>
      </c>
      <c r="J239" s="4" t="str">
        <f>VLOOKUP($A239,'Privacy Analyst Evaluation'!$A$46:$K$120,10,0)&amp;""</f>
        <v/>
      </c>
      <c r="K239" s="4">
        <f>IF($I239='Auto Responses'!$J$11,20,IF($I239='Auto Responses'!$J$13,5,10))</f>
        <v>10</v>
      </c>
      <c r="L239" s="101" t="str">
        <f>IF($E239='Auto Responses'!$L$13, 'Auto Responses'!$J$5,IF(AND($D239='Auto Responses'!$J$27,$H239=""),'Auto Responses'!$J$5,IF(AND($D239='Auto Responses'!$J$27,$H239='Auto Responses'!$J$7),1,IF(AND($D239='Auto Responses'!$J$27,$H239='Auto Responses'!$J$8),0,IF(OR(AND($F239=$G239,$H239=""),$H239='Auto Responses'!$J$7),1,0)))))</f>
        <v>N/A</v>
      </c>
      <c r="M239" s="4" t="str">
        <f>VLOOKUP($A239,'Privacy Analyst Evaluation'!$A$46:$K$120,11,0)&amp;""</f>
        <v>FALSE</v>
      </c>
      <c r="N239" s="4">
        <f>IF($J239='Auto Responses'!$J$11,1,IF(AND($J239="",$I239='Auto Responses'!$J$11),1,0))</f>
        <v>0</v>
      </c>
      <c r="O239" s="101" t="str">
        <f>IF(OR($E239='Auto Responses'!$L$13,$F$24='Auto Responses'!$J$4,$F239='Auto Responses'!$J$5),'Auto Responses'!$J$5,IF($J239="",$K239,IF($J239='Auto Responses'!$J$13,5,IF($J239='Auto Responses'!$J$12,10,IF($J239='Auto Responses'!$J$11,20,0)))))</f>
        <v>N/A</v>
      </c>
      <c r="P239" s="101" t="str">
        <f>IF(OR($O239='Auto Responses'!$J$5,$L239='Auto Responses'!$J$5),'Auto Responses'!$J$5,$O239*$L239)</f>
        <v>N/A</v>
      </c>
      <c r="Q239" s="101">
        <f t="shared" si="22"/>
        <v>0</v>
      </c>
      <c r="R239" s="101">
        <f t="shared" si="26"/>
        <v>0</v>
      </c>
      <c r="S239" s="101">
        <f t="shared" si="23"/>
        <v>0</v>
      </c>
      <c r="T239" s="101">
        <f t="shared" si="24"/>
        <v>0</v>
      </c>
      <c r="U239" s="101">
        <f t="shared" si="27"/>
        <v>62</v>
      </c>
      <c r="V239" s="101">
        <f t="shared" si="25"/>
        <v>0</v>
      </c>
    </row>
    <row r="240" spans="1:22" ht="57" customHeight="1" x14ac:dyDescent="0.2">
      <c r="A240" s="4" t="str">
        <f>Questions!$A240</f>
        <v>PRGN-03</v>
      </c>
      <c r="B240" s="4" t="str">
        <f t="shared" si="21"/>
        <v>PRGN</v>
      </c>
      <c r="C240" s="4" t="str">
        <f>VLOOKUP($A240,Questions!$A$3:$L$333,2,0)&amp;""</f>
        <v>Does your solution process personal data regulated by state law(s) (e.g., CCPA)?</v>
      </c>
      <c r="D240" s="4" t="str">
        <f>VLOOKUP($A240,Questions!$A$3:$L$333,11,0)&amp;""</f>
        <v>NA</v>
      </c>
      <c r="E240" s="4" t="str">
        <f>VLOOKUP($A240,Questions!$A$3:$L$333,12,0)&amp;""</f>
        <v>Not scored</v>
      </c>
      <c r="F240" s="4" t="str">
        <f>VLOOKUP($A240,'Privacy Analyst Evaluation'!$A$46:$K$120,3,0)&amp;""</f>
        <v>Yes</v>
      </c>
      <c r="G240" s="4" t="str">
        <f>VLOOKUP($A240,'Privacy Analyst Evaluation'!$A$46:$K$120,7,0)&amp;""</f>
        <v>Not scored</v>
      </c>
      <c r="H240" s="4" t="str">
        <f>VLOOKUP($A240,'Privacy Analyst Evaluation'!$A$46:$K$120,8,0)&amp;""</f>
        <v/>
      </c>
      <c r="I240" s="4" t="str">
        <f>VLOOKUP($A240,'Privacy Analyst Evaluation'!$A$46:$K$120,9,0)&amp;""</f>
        <v/>
      </c>
      <c r="J240" s="4" t="str">
        <f>VLOOKUP($A240,'Privacy Analyst Evaluation'!$A$46:$K$120,10,0)&amp;""</f>
        <v/>
      </c>
      <c r="K240" s="4">
        <f>IF($I240='Auto Responses'!$J$11,20,IF($I240='Auto Responses'!$J$13,5,10))</f>
        <v>10</v>
      </c>
      <c r="L240" s="101" t="str">
        <f>IF($E240='Auto Responses'!$L$13, 'Auto Responses'!$J$5,IF(AND($D240='Auto Responses'!$J$27,$H240=""),'Auto Responses'!$J$5,IF(AND($D240='Auto Responses'!$J$27,$H240='Auto Responses'!$J$7),1,IF(AND($D240='Auto Responses'!$J$27,$H240='Auto Responses'!$J$8),0,IF(OR(AND($F240=$G240,$H240=""),$H240='Auto Responses'!$J$7),1,0)))))</f>
        <v>N/A</v>
      </c>
      <c r="M240" s="4" t="str">
        <f>VLOOKUP($A240,'Privacy Analyst Evaluation'!$A$46:$K$120,11,0)&amp;""</f>
        <v>FALSE</v>
      </c>
      <c r="N240" s="4">
        <f>IF($J240='Auto Responses'!$J$11,1,IF(AND($J240="",$I240='Auto Responses'!$J$11),1,0))</f>
        <v>0</v>
      </c>
      <c r="O240" s="101" t="str">
        <f>IF(OR($E240='Auto Responses'!$L$13,$F$24='Auto Responses'!$J$4,$F240='Auto Responses'!$J$5),'Auto Responses'!$J$5,IF($J240="",$K240,IF($J240='Auto Responses'!$J$13,5,IF($J240='Auto Responses'!$J$12,10,IF($J240='Auto Responses'!$J$11,20,0)))))</f>
        <v>N/A</v>
      </c>
      <c r="P240" s="101" t="str">
        <f>IF(OR($O240='Auto Responses'!$J$5,$L240='Auto Responses'!$J$5),'Auto Responses'!$J$5,$O240*$L240)</f>
        <v>N/A</v>
      </c>
      <c r="Q240" s="101">
        <f t="shared" si="22"/>
        <v>0</v>
      </c>
      <c r="R240" s="101">
        <f t="shared" si="26"/>
        <v>0</v>
      </c>
      <c r="S240" s="101">
        <f t="shared" si="23"/>
        <v>0</v>
      </c>
      <c r="T240" s="101">
        <f t="shared" si="24"/>
        <v>0</v>
      </c>
      <c r="U240" s="101">
        <f t="shared" si="27"/>
        <v>62</v>
      </c>
      <c r="V240" s="101">
        <f t="shared" si="25"/>
        <v>0</v>
      </c>
    </row>
    <row r="241" spans="1:22" ht="57" customHeight="1" x14ac:dyDescent="0.2">
      <c r="A241" s="4" t="str">
        <f>Questions!$A241</f>
        <v>PRGN-04</v>
      </c>
      <c r="B241" s="4" t="str">
        <f t="shared" si="21"/>
        <v>PRGN</v>
      </c>
      <c r="C241" s="4" t="str">
        <f>VLOOKUP($A241,Questions!$A$3:$L$333,2,0)&amp;""</f>
        <v>Does your solution process user-provided data that may contain regulated information?</v>
      </c>
      <c r="D241" s="4" t="str">
        <f>VLOOKUP($A241,Questions!$A$3:$L$333,11,0)&amp;""</f>
        <v>NA</v>
      </c>
      <c r="E241" s="4" t="str">
        <f>VLOOKUP($A241,Questions!$A$3:$L$333,12,0)&amp;""</f>
        <v>Not scored</v>
      </c>
      <c r="F241" s="4" t="str">
        <f>VLOOKUP($A241,'Privacy Analyst Evaluation'!$A$46:$K$120,3,0)&amp;""</f>
        <v>Yes</v>
      </c>
      <c r="G241" s="4" t="str">
        <f>VLOOKUP($A241,'Privacy Analyst Evaluation'!$A$46:$K$120,7,0)&amp;""</f>
        <v>Not scored</v>
      </c>
      <c r="H241" s="4" t="str">
        <f>VLOOKUP($A241,'Privacy Analyst Evaluation'!$A$46:$K$120,8,0)&amp;""</f>
        <v/>
      </c>
      <c r="I241" s="4" t="str">
        <f>VLOOKUP($A241,'Privacy Analyst Evaluation'!$A$46:$K$120,9,0)&amp;""</f>
        <v/>
      </c>
      <c r="J241" s="4" t="str">
        <f>VLOOKUP($A241,'Privacy Analyst Evaluation'!$A$46:$K$120,10,0)&amp;""</f>
        <v/>
      </c>
      <c r="K241" s="4">
        <f>IF($I241='Auto Responses'!$J$11,20,IF($I241='Auto Responses'!$J$13,5,10))</f>
        <v>10</v>
      </c>
      <c r="L241" s="101" t="str">
        <f>IF($E241='Auto Responses'!$L$13, 'Auto Responses'!$J$5,IF(AND($D241='Auto Responses'!$J$27,$H241=""),'Auto Responses'!$J$5,IF(AND($D241='Auto Responses'!$J$27,$H241='Auto Responses'!$J$7),1,IF(AND($D241='Auto Responses'!$J$27,$H241='Auto Responses'!$J$8),0,IF(OR(AND($F241=$G241,$H241=""),$H241='Auto Responses'!$J$7),1,0)))))</f>
        <v>N/A</v>
      </c>
      <c r="M241" s="4" t="str">
        <f>VLOOKUP($A241,'Privacy Analyst Evaluation'!$A$46:$K$120,11,0)&amp;""</f>
        <v>FALSE</v>
      </c>
      <c r="N241" s="4">
        <f>IF($J241='Auto Responses'!$J$11,1,IF(AND($J241="",$I241='Auto Responses'!$J$11),1,0))</f>
        <v>0</v>
      </c>
      <c r="O241" s="101" t="str">
        <f>IF(OR($E241='Auto Responses'!$L$13,$F$24='Auto Responses'!$J$4,$F241='Auto Responses'!$J$5),'Auto Responses'!$J$5,IF($J241="",$K241,IF($J241='Auto Responses'!$J$13,5,IF($J241='Auto Responses'!$J$12,10,IF($J241='Auto Responses'!$J$11,20,0)))))</f>
        <v>N/A</v>
      </c>
      <c r="P241" s="101" t="str">
        <f>IF(OR($O241='Auto Responses'!$J$5,$L241='Auto Responses'!$J$5),'Auto Responses'!$J$5,$O241*$L241)</f>
        <v>N/A</v>
      </c>
      <c r="Q241" s="101">
        <f t="shared" si="22"/>
        <v>0</v>
      </c>
      <c r="R241" s="101">
        <f t="shared" si="26"/>
        <v>0</v>
      </c>
      <c r="S241" s="101">
        <f t="shared" si="23"/>
        <v>0</v>
      </c>
      <c r="T241" s="101">
        <f t="shared" si="24"/>
        <v>0</v>
      </c>
      <c r="U241" s="101">
        <f t="shared" si="27"/>
        <v>62</v>
      </c>
      <c r="V241" s="101">
        <f t="shared" si="25"/>
        <v>0</v>
      </c>
    </row>
    <row r="242" spans="1:22" ht="57" customHeight="1" x14ac:dyDescent="0.2">
      <c r="A242" s="4" t="str">
        <f>Questions!$A242</f>
        <v>PRGN-05</v>
      </c>
      <c r="B242" s="4" t="str">
        <f t="shared" si="21"/>
        <v>PRGN</v>
      </c>
      <c r="C242" s="4" t="str">
        <f>VLOOKUP($A242,Questions!$A$3:$L$333,2,0)&amp;""</f>
        <v>Web Link to Product/Service Privacy Notice</v>
      </c>
      <c r="D242" s="4" t="str">
        <f>VLOOKUP($A242,Questions!$A$3:$L$333,11,0)&amp;""</f>
        <v/>
      </c>
      <c r="E242" s="4" t="str">
        <f>VLOOKUP($A242,Questions!$A$3:$L$333,12,0)&amp;""</f>
        <v>Not scored</v>
      </c>
      <c r="F242" s="4" t="str">
        <f>VLOOKUP($A242,'Privacy Analyst Evaluation'!$A$46:$K$120,3,0)&amp;""</f>
        <v>Yes</v>
      </c>
      <c r="G242" s="4" t="str">
        <f>VLOOKUP($A242,'Privacy Analyst Evaluation'!$A$46:$K$120,7,0)&amp;""</f>
        <v>Not scored</v>
      </c>
      <c r="H242" s="4" t="str">
        <f>VLOOKUP($A242,'Privacy Analyst Evaluation'!$A$46:$K$120,8,0)&amp;""</f>
        <v/>
      </c>
      <c r="I242" s="4" t="str">
        <f>VLOOKUP($A242,'Privacy Analyst Evaluation'!$A$46:$K$120,9,0)&amp;""</f>
        <v/>
      </c>
      <c r="J242" s="4" t="str">
        <f>VLOOKUP($A242,'Privacy Analyst Evaluation'!$A$46:$K$120,10,0)&amp;""</f>
        <v/>
      </c>
      <c r="K242" s="4">
        <f>IF($I242='Auto Responses'!$J$11,20,IF($I242='Auto Responses'!$J$13,5,10))</f>
        <v>10</v>
      </c>
      <c r="L242" s="101" t="str">
        <f>IF($E242='Auto Responses'!$L$13, 'Auto Responses'!$J$5,IF(AND($D242='Auto Responses'!$J$27,$H242=""),'Auto Responses'!$J$5,IF(AND($D242='Auto Responses'!$J$27,$H242='Auto Responses'!$J$7),1,IF(AND($D242='Auto Responses'!$J$27,$H242='Auto Responses'!$J$8),0,IF(OR(AND($F242=$G242,$H242=""),$H242='Auto Responses'!$J$7),1,0)))))</f>
        <v>N/A</v>
      </c>
      <c r="M242" s="4" t="str">
        <f>VLOOKUP($A242,'Privacy Analyst Evaluation'!$A$46:$K$120,11,0)&amp;""</f>
        <v>FALSE</v>
      </c>
      <c r="N242" s="4">
        <f>IF($J242='Auto Responses'!$J$11,1,IF(AND($J242="",$I242='Auto Responses'!$J$11),1,0))</f>
        <v>0</v>
      </c>
      <c r="O242" s="101" t="str">
        <f>IF(OR($E242='Auto Responses'!$L$13,$F$24='Auto Responses'!$J$4,$F242='Auto Responses'!$J$5),'Auto Responses'!$J$5,IF($J242="",$K242,IF($J242='Auto Responses'!$J$13,5,IF($J242='Auto Responses'!$J$12,10,IF($J242='Auto Responses'!$J$11,20,0)))))</f>
        <v>N/A</v>
      </c>
      <c r="P242" s="101" t="str">
        <f>IF(OR($O242='Auto Responses'!$J$5,$L242='Auto Responses'!$J$5),'Auto Responses'!$J$5,$O242*$L242)</f>
        <v>N/A</v>
      </c>
      <c r="Q242" s="101">
        <f t="shared" si="22"/>
        <v>0</v>
      </c>
      <c r="R242" s="101">
        <f t="shared" si="26"/>
        <v>0</v>
      </c>
      <c r="S242" s="101">
        <f t="shared" si="23"/>
        <v>0</v>
      </c>
      <c r="T242" s="101">
        <f t="shared" si="24"/>
        <v>0</v>
      </c>
      <c r="U242" s="101">
        <f t="shared" si="27"/>
        <v>62</v>
      </c>
      <c r="V242" s="101">
        <f t="shared" si="25"/>
        <v>0</v>
      </c>
    </row>
    <row r="243" spans="1:22" ht="71.25" customHeight="1" x14ac:dyDescent="0.2">
      <c r="A243" s="4" t="str">
        <f>Questions!$A243</f>
        <v>PCOM-01</v>
      </c>
      <c r="B243" s="4" t="str">
        <f t="shared" si="21"/>
        <v>PCOM</v>
      </c>
      <c r="C243" s="4" t="str">
        <f>VLOOKUP($A243,Questions!$A$3:$L$333,2,0)&amp;""</f>
        <v>Have you had a personal data breach in the past three years that involved reporting to a governmental agency, notice to individuals (including voluntary notice), or notice to another organization or institution?*</v>
      </c>
      <c r="D243" s="4" t="str">
        <f>VLOOKUP($A243,Questions!$A$3:$L$333,11,0)&amp;""</f>
        <v/>
      </c>
      <c r="E243" s="4" t="str">
        <f>VLOOKUP($A243,Questions!$A$3:$L$333,12,0)&amp;""</f>
        <v>Privacy</v>
      </c>
      <c r="F243" s="4" t="str">
        <f>VLOOKUP($A243,'Privacy Analyst Evaluation'!$A$46:$K$120,3,0)&amp;""</f>
        <v>No</v>
      </c>
      <c r="G243" s="4" t="str">
        <f>VLOOKUP($A243,'Privacy Analyst Evaluation'!$A$46:$K$120,7,0)&amp;""</f>
        <v>No</v>
      </c>
      <c r="H243" s="4" t="str">
        <f>VLOOKUP($A243,'Privacy Analyst Evaluation'!$A$46:$K$120,8,0)&amp;""</f>
        <v/>
      </c>
      <c r="I243" s="4" t="str">
        <f>VLOOKUP($A243,'Privacy Analyst Evaluation'!$A$46:$K$120,9,0)&amp;""</f>
        <v>Critical Importance</v>
      </c>
      <c r="J243" s="4" t="str">
        <f>VLOOKUP($A243,'Privacy Analyst Evaluation'!$A$46:$K$120,10,0)&amp;""</f>
        <v/>
      </c>
      <c r="K243" s="4">
        <f>IF($I243='Auto Responses'!$J$11,20,IF($I243='Auto Responses'!$J$13,5,10))</f>
        <v>20</v>
      </c>
      <c r="L243" s="101">
        <f>IF($E243='Auto Responses'!$L$13, 'Auto Responses'!$J$5,IF(AND($D243='Auto Responses'!$J$27,$H243=""),'Auto Responses'!$J$5,IF(AND($D243='Auto Responses'!$J$27,$H243='Auto Responses'!$J$7),1,IF(AND($D243='Auto Responses'!$J$27,$H243='Auto Responses'!$J$8),0,IF(OR(AND($F243=$G243,$H243=""),$H243='Auto Responses'!$J$7),1,0)))))</f>
        <v>1</v>
      </c>
      <c r="M243" s="4" t="str">
        <f>VLOOKUP($A243,'Privacy Analyst Evaluation'!$A$46:$K$120,11,0)&amp;""</f>
        <v>FALSE</v>
      </c>
      <c r="N243" s="4">
        <f>IF($J243='Auto Responses'!$J$11,1,IF(AND($J243="",$I243='Auto Responses'!$J$11),1,0))</f>
        <v>1</v>
      </c>
      <c r="O243" s="101">
        <f>IF(OR($E243='Auto Responses'!$L$13,$F$24='Auto Responses'!$J$4,$F243='Auto Responses'!$J$5),'Auto Responses'!$J$5,IF($J243="",$K243,IF($J243='Auto Responses'!$J$13,5,IF($J243='Auto Responses'!$J$12,10,IF($J243='Auto Responses'!$J$11,20,0)))))</f>
        <v>20</v>
      </c>
      <c r="P243" s="101">
        <f>IF(OR($O243='Auto Responses'!$J$5,$L243='Auto Responses'!$J$5),'Auto Responses'!$J$5,$O243*$L243)</f>
        <v>20</v>
      </c>
      <c r="Q243" s="101">
        <f t="shared" si="22"/>
        <v>0</v>
      </c>
      <c r="R243" s="101">
        <f t="shared" si="26"/>
        <v>0</v>
      </c>
      <c r="S243" s="101">
        <f t="shared" si="23"/>
        <v>0</v>
      </c>
      <c r="T243" s="101">
        <f t="shared" si="24"/>
        <v>1</v>
      </c>
      <c r="U243" s="101">
        <f t="shared" si="27"/>
        <v>63</v>
      </c>
      <c r="V243" s="101">
        <f t="shared" si="25"/>
        <v>63</v>
      </c>
    </row>
    <row r="244" spans="1:22" ht="57" customHeight="1" x14ac:dyDescent="0.2">
      <c r="A244" s="4" t="str">
        <f>Questions!$A244</f>
        <v>PCOM-02</v>
      </c>
      <c r="B244" s="4" t="str">
        <f t="shared" si="21"/>
        <v>PCOM</v>
      </c>
      <c r="C244" s="4" t="str">
        <f>VLOOKUP($A244,Questions!$A$3:$L$333,2,0)&amp;""</f>
        <v>Use this area to share information about your privacy practices that will assist those who are assessing your company data privacy program.*</v>
      </c>
      <c r="D244" s="4" t="str">
        <f>VLOOKUP($A244,Questions!$A$3:$L$333,11,0)&amp;""</f>
        <v/>
      </c>
      <c r="E244" s="4" t="str">
        <f>VLOOKUP($A244,Questions!$A$3:$L$333,12,0)&amp;""</f>
        <v>Not scored</v>
      </c>
      <c r="F244" s="4" t="str">
        <f>VLOOKUP($A244,'Privacy Analyst Evaluation'!$A$46:$K$120,3,0)&amp;""</f>
        <v>Yes</v>
      </c>
      <c r="G244" s="4" t="str">
        <f>VLOOKUP($A244,'Privacy Analyst Evaluation'!$A$46:$K$120,7,0)&amp;""</f>
        <v>Not scored</v>
      </c>
      <c r="H244" s="4" t="str">
        <f>VLOOKUP($A244,'Privacy Analyst Evaluation'!$A$46:$K$120,8,0)&amp;""</f>
        <v/>
      </c>
      <c r="I244" s="4" t="str">
        <f>VLOOKUP($A244,'Privacy Analyst Evaluation'!$A$46:$K$120,9,0)&amp;""</f>
        <v/>
      </c>
      <c r="J244" s="4" t="str">
        <f>VLOOKUP($A244,'Privacy Analyst Evaluation'!$A$46:$K$120,10,0)&amp;""</f>
        <v/>
      </c>
      <c r="K244" s="4">
        <f>IF($I244='Auto Responses'!$J$11,20,IF($I244='Auto Responses'!$J$13,5,10))</f>
        <v>10</v>
      </c>
      <c r="L244" s="101" t="str">
        <f>IF($E244='Auto Responses'!$L$13, 'Auto Responses'!$J$5,IF(AND($D244='Auto Responses'!$J$27,$H244=""),'Auto Responses'!$J$5,IF(AND($D244='Auto Responses'!$J$27,$H244='Auto Responses'!$J$7),1,IF(AND($D244='Auto Responses'!$J$27,$H244='Auto Responses'!$J$8),0,IF(OR(AND($F244=$G244,$H244=""),$H244='Auto Responses'!$J$7),1,0)))))</f>
        <v>N/A</v>
      </c>
      <c r="M244" s="4" t="str">
        <f>VLOOKUP($A244,'Privacy Analyst Evaluation'!$A$46:$K$120,11,0)&amp;""</f>
        <v>FALSE</v>
      </c>
      <c r="N244" s="4">
        <f>IF($J244='Auto Responses'!$J$11,1,IF(AND($J244="",$I244='Auto Responses'!$J$11),1,0))</f>
        <v>0</v>
      </c>
      <c r="O244" s="101" t="str">
        <f>IF(OR($E244='Auto Responses'!$L$13,$F$24='Auto Responses'!$J$4,$F244='Auto Responses'!$J$5),'Auto Responses'!$J$5,IF($J244="",$K244,IF($J244='Auto Responses'!$J$13,5,IF($J244='Auto Responses'!$J$12,10,IF($J244='Auto Responses'!$J$11,20,0)))))</f>
        <v>N/A</v>
      </c>
      <c r="P244" s="101" t="str">
        <f>IF(OR($O244='Auto Responses'!$J$5,$L244='Auto Responses'!$J$5),'Auto Responses'!$J$5,$O244*$L244)</f>
        <v>N/A</v>
      </c>
      <c r="Q244" s="101">
        <f t="shared" si="22"/>
        <v>0</v>
      </c>
      <c r="R244" s="101">
        <f t="shared" si="26"/>
        <v>0</v>
      </c>
      <c r="S244" s="101">
        <f t="shared" si="23"/>
        <v>0</v>
      </c>
      <c r="T244" s="101">
        <f t="shared" si="24"/>
        <v>0</v>
      </c>
      <c r="U244" s="101">
        <f t="shared" si="27"/>
        <v>63</v>
      </c>
      <c r="V244" s="101">
        <f t="shared" si="25"/>
        <v>0</v>
      </c>
    </row>
    <row r="245" spans="1:22" ht="57" customHeight="1" x14ac:dyDescent="0.2">
      <c r="A245" s="4" t="str">
        <f>Questions!$A245</f>
        <v>PCOM-03</v>
      </c>
      <c r="B245" s="4" t="str">
        <f t="shared" si="21"/>
        <v>PCOM</v>
      </c>
      <c r="C245" s="4" t="str">
        <f>VLOOKUP($A245,Questions!$A$3:$L$333,2,0)&amp;""</f>
        <v>Have you had any violations of your internal privacy policies or violations of applicable privacy law in the past 36 months?</v>
      </c>
      <c r="D245" s="4" t="str">
        <f>VLOOKUP($A245,Questions!$A$3:$L$333,11,0)&amp;""</f>
        <v/>
      </c>
      <c r="E245" s="4" t="str">
        <f>VLOOKUP($A245,Questions!$A$3:$L$333,12,0)&amp;""</f>
        <v>Privacy</v>
      </c>
      <c r="F245" s="4" t="str">
        <f>VLOOKUP($A245,'Privacy Analyst Evaluation'!$A$46:$K$120,3,0)&amp;""</f>
        <v>No</v>
      </c>
      <c r="G245" s="4" t="str">
        <f>VLOOKUP($A245,'Privacy Analyst Evaluation'!$A$46:$K$120,7,0)&amp;""</f>
        <v>No</v>
      </c>
      <c r="H245" s="4" t="str">
        <f>VLOOKUP($A245,'Privacy Analyst Evaluation'!$A$46:$K$120,8,0)&amp;""</f>
        <v/>
      </c>
      <c r="I245" s="4" t="str">
        <f>VLOOKUP($A245,'Privacy Analyst Evaluation'!$A$46:$K$120,9,0)&amp;""</f>
        <v>Minor Importance</v>
      </c>
      <c r="J245" s="4" t="str">
        <f>VLOOKUP($A245,'Privacy Analyst Evaluation'!$A$46:$K$120,10,0)&amp;""</f>
        <v/>
      </c>
      <c r="K245" s="4">
        <f>IF($I245='Auto Responses'!$J$11,20,IF($I245='Auto Responses'!$J$13,5,10))</f>
        <v>5</v>
      </c>
      <c r="L245" s="101">
        <f>IF($E245='Auto Responses'!$L$13, 'Auto Responses'!$J$5,IF(AND($D245='Auto Responses'!$J$27,$H245=""),'Auto Responses'!$J$5,IF(AND($D245='Auto Responses'!$J$27,$H245='Auto Responses'!$J$7),1,IF(AND($D245='Auto Responses'!$J$27,$H245='Auto Responses'!$J$8),0,IF(OR(AND($F245=$G245,$H245=""),$H245='Auto Responses'!$J$7),1,0)))))</f>
        <v>1</v>
      </c>
      <c r="M245" s="4" t="str">
        <f>VLOOKUP($A245,'Privacy Analyst Evaluation'!$A$46:$K$120,11,0)&amp;""</f>
        <v>FALSE</v>
      </c>
      <c r="N245" s="4">
        <f>IF($J245='Auto Responses'!$J$11,1,IF(AND($J245="",$I245='Auto Responses'!$J$11),1,0))</f>
        <v>0</v>
      </c>
      <c r="O245" s="101">
        <f>IF(OR($E245='Auto Responses'!$L$13,$F$24='Auto Responses'!$J$4,$F245='Auto Responses'!$J$5),'Auto Responses'!$J$5,IF($J245="",$K245,IF($J245='Auto Responses'!$J$13,5,IF($J245='Auto Responses'!$J$12,10,IF($J245='Auto Responses'!$J$11,20,0)))))</f>
        <v>5</v>
      </c>
      <c r="P245" s="101">
        <f>IF(OR($O245='Auto Responses'!$J$5,$L245='Auto Responses'!$J$5),'Auto Responses'!$J$5,$O245*$L245)</f>
        <v>5</v>
      </c>
      <c r="Q245" s="101">
        <f t="shared" si="22"/>
        <v>0</v>
      </c>
      <c r="R245" s="101">
        <f t="shared" si="26"/>
        <v>0</v>
      </c>
      <c r="S245" s="101">
        <f t="shared" si="23"/>
        <v>0</v>
      </c>
      <c r="T245" s="101">
        <f t="shared" si="24"/>
        <v>0</v>
      </c>
      <c r="U245" s="101">
        <f t="shared" si="27"/>
        <v>63</v>
      </c>
      <c r="V245" s="101">
        <f t="shared" si="25"/>
        <v>0</v>
      </c>
    </row>
    <row r="246" spans="1:22" ht="57" customHeight="1" x14ac:dyDescent="0.2">
      <c r="A246" s="4" t="str">
        <f>Questions!$A246</f>
        <v>PCOM-04</v>
      </c>
      <c r="B246" s="4" t="str">
        <f t="shared" si="21"/>
        <v>PCOM</v>
      </c>
      <c r="C246" s="4" t="str">
        <f>VLOOKUP($A246,Questions!$A$3:$L$333,2,0)&amp;""</f>
        <v>Do you have a dedicated data privacy staff or office?</v>
      </c>
      <c r="D246" s="4" t="str">
        <f>VLOOKUP($A246,Questions!$A$3:$L$333,11,0)&amp;""</f>
        <v/>
      </c>
      <c r="E246" s="4" t="str">
        <f>VLOOKUP($A246,Questions!$A$3:$L$333,12,0)&amp;""</f>
        <v>Privacy</v>
      </c>
      <c r="F246" s="4" t="str">
        <f>VLOOKUP($A246,'Privacy Analyst Evaluation'!$A$46:$K$120,3,0)&amp;""</f>
        <v>Yes</v>
      </c>
      <c r="G246" s="4" t="str">
        <f>VLOOKUP($A246,'Privacy Analyst Evaluation'!$A$46:$K$120,7,0)&amp;""</f>
        <v>Yes</v>
      </c>
      <c r="H246" s="4" t="str">
        <f>VLOOKUP($A246,'Privacy Analyst Evaluation'!$A$46:$K$120,8,0)&amp;""</f>
        <v/>
      </c>
      <c r="I246" s="4" t="str">
        <f>VLOOKUP($A246,'Privacy Analyst Evaluation'!$A$46:$K$120,9,0)&amp;""</f>
        <v>Minor Importance</v>
      </c>
      <c r="J246" s="4" t="str">
        <f>VLOOKUP($A246,'Privacy Analyst Evaluation'!$A$46:$K$120,10,0)&amp;""</f>
        <v/>
      </c>
      <c r="K246" s="4">
        <f>IF($I246='Auto Responses'!$J$11,20,IF($I246='Auto Responses'!$J$13,5,10))</f>
        <v>5</v>
      </c>
      <c r="L246" s="101">
        <f>IF($E246='Auto Responses'!$L$13, 'Auto Responses'!$J$5,IF(AND($D246='Auto Responses'!$J$27,$H246=""),'Auto Responses'!$J$5,IF(AND($D246='Auto Responses'!$J$27,$H246='Auto Responses'!$J$7),1,IF(AND($D246='Auto Responses'!$J$27,$H246='Auto Responses'!$J$8),0,IF(OR(AND($F246=$G246,$H246=""),$H246='Auto Responses'!$J$7),1,0)))))</f>
        <v>1</v>
      </c>
      <c r="M246" s="4" t="str">
        <f>VLOOKUP($A246,'Privacy Analyst Evaluation'!$A$46:$K$120,11,0)&amp;""</f>
        <v>FALSE</v>
      </c>
      <c r="N246" s="4">
        <f>IF($J246='Auto Responses'!$J$11,1,IF(AND($J246="",$I246='Auto Responses'!$J$11),1,0))</f>
        <v>0</v>
      </c>
      <c r="O246" s="101">
        <f>IF(OR($E246='Auto Responses'!$L$13,$F$24='Auto Responses'!$J$4,$F246='Auto Responses'!$J$5),'Auto Responses'!$J$5,IF($J246="",$K246,IF($J246='Auto Responses'!$J$13,5,IF($J246='Auto Responses'!$J$12,10,IF($J246='Auto Responses'!$J$11,20,0)))))</f>
        <v>5</v>
      </c>
      <c r="P246" s="101">
        <f>IF(OR($O246='Auto Responses'!$J$5,$L246='Auto Responses'!$J$5),'Auto Responses'!$J$5,$O246*$L246)</f>
        <v>5</v>
      </c>
      <c r="Q246" s="101">
        <f t="shared" si="22"/>
        <v>0</v>
      </c>
      <c r="R246" s="101">
        <f t="shared" si="26"/>
        <v>0</v>
      </c>
      <c r="S246" s="101">
        <f t="shared" si="23"/>
        <v>0</v>
      </c>
      <c r="T246" s="101">
        <f t="shared" si="24"/>
        <v>0</v>
      </c>
      <c r="U246" s="101">
        <f t="shared" si="27"/>
        <v>63</v>
      </c>
      <c r="V246" s="101">
        <f t="shared" si="25"/>
        <v>0</v>
      </c>
    </row>
    <row r="247" spans="1:22" ht="57" customHeight="1" x14ac:dyDescent="0.2">
      <c r="A247" s="4" t="str">
        <f>Questions!$A247</f>
        <v>PDOC-01</v>
      </c>
      <c r="B247" s="4" t="str">
        <f t="shared" si="21"/>
        <v>PDOC</v>
      </c>
      <c r="C247" s="4" t="str">
        <f>VLOOKUP($A247,Questions!$A$3:$L$333,2,0)&amp;""</f>
        <v>If you have completed a SOC 2 audit, does it include the Privacy Trust Service Principle?</v>
      </c>
      <c r="D247" s="4" t="str">
        <f>VLOOKUP($A247,Questions!$A$3:$L$333,11,0)&amp;""</f>
        <v/>
      </c>
      <c r="E247" s="4" t="str">
        <f>VLOOKUP($A247,Questions!$A$3:$L$333,12,0)&amp;""</f>
        <v>Not scored</v>
      </c>
      <c r="F247" s="4" t="str">
        <f>VLOOKUP($A247,'Privacy Analyst Evaluation'!$A$46:$K$120,3,0)&amp;""</f>
        <v>Yes</v>
      </c>
      <c r="G247" s="4" t="str">
        <f>VLOOKUP($A247,'Privacy Analyst Evaluation'!$A$46:$K$120,7,0)&amp;""</f>
        <v>Not scored</v>
      </c>
      <c r="H247" s="4" t="str">
        <f>VLOOKUP($A247,'Privacy Analyst Evaluation'!$A$46:$K$120,8,0)&amp;""</f>
        <v/>
      </c>
      <c r="I247" s="4" t="str">
        <f>VLOOKUP($A247,'Privacy Analyst Evaluation'!$A$46:$K$120,9,0)&amp;""</f>
        <v/>
      </c>
      <c r="J247" s="4" t="str">
        <f>VLOOKUP($A247,'Privacy Analyst Evaluation'!$A$46:$K$120,10,0)&amp;""</f>
        <v/>
      </c>
      <c r="K247" s="4">
        <f>IF($I247='Auto Responses'!$J$11,20,IF($I247='Auto Responses'!$J$13,5,10))</f>
        <v>10</v>
      </c>
      <c r="L247" s="101" t="str">
        <f>IF($E247='Auto Responses'!$L$13, 'Auto Responses'!$J$5,IF(AND($D247='Auto Responses'!$J$27,$H247=""),'Auto Responses'!$J$5,IF(AND($D247='Auto Responses'!$J$27,$H247='Auto Responses'!$J$7),1,IF(AND($D247='Auto Responses'!$J$27,$H247='Auto Responses'!$J$8),0,IF(OR(AND($F247=$G247,$H247=""),$H247='Auto Responses'!$J$7),1,0)))))</f>
        <v>N/A</v>
      </c>
      <c r="M247" s="4" t="str">
        <f>VLOOKUP($A247,'Privacy Analyst Evaluation'!$A$46:$K$120,11,0)&amp;""</f>
        <v>FALSE</v>
      </c>
      <c r="N247" s="4">
        <f>IF($J247='Auto Responses'!$J$11,1,IF(AND($J247="",$I247='Auto Responses'!$J$11),1,0))</f>
        <v>0</v>
      </c>
      <c r="O247" s="101" t="str">
        <f>IF(OR($E247='Auto Responses'!$L$13,$F247='Auto Responses'!$J$5,$F$24='Auto Responses'!$J$4),'Auto Responses'!$J$5,IF($J247="",$K247,IF($J247='Auto Responses'!$J$13,5,IF($J247='Auto Responses'!$J$12,10,IF($J247='Auto Responses'!$J$11,20,0)))))</f>
        <v>N/A</v>
      </c>
      <c r="P247" s="101" t="str">
        <f>IF(OR($O247='Auto Responses'!$J$5,$L247='Auto Responses'!$J$5),'Auto Responses'!$J$5,$O247*$L247)</f>
        <v>N/A</v>
      </c>
      <c r="Q247" s="101">
        <f t="shared" si="22"/>
        <v>0</v>
      </c>
      <c r="R247" s="101">
        <f t="shared" si="26"/>
        <v>0</v>
      </c>
      <c r="S247" s="101">
        <f t="shared" si="23"/>
        <v>0</v>
      </c>
      <c r="T247" s="101">
        <f t="shared" si="24"/>
        <v>0</v>
      </c>
      <c r="U247" s="101">
        <f t="shared" si="27"/>
        <v>63</v>
      </c>
      <c r="V247" s="101">
        <f t="shared" si="25"/>
        <v>0</v>
      </c>
    </row>
    <row r="248" spans="1:22" ht="57" customHeight="1" x14ac:dyDescent="0.2">
      <c r="A248" s="4" t="str">
        <f>Questions!$A248</f>
        <v>PDOC-02</v>
      </c>
      <c r="B248" s="4" t="str">
        <f t="shared" si="21"/>
        <v>PDOC</v>
      </c>
      <c r="C248" s="4" t="str">
        <f>VLOOKUP($A248,Questions!$A$3:$L$333,2,0)&amp;""</f>
        <v>Do you conform with a specific industry-standard privacy framework (e.g., NIST Privacy Framework, GDPR, ISO 27701)?</v>
      </c>
      <c r="D248" s="4" t="str">
        <f>VLOOKUP($A248,Questions!$A$3:$L$333,11,0)&amp;""</f>
        <v/>
      </c>
      <c r="E248" s="4" t="str">
        <f>VLOOKUP($A248,Questions!$A$3:$L$333,12,0)&amp;""</f>
        <v>Not scored</v>
      </c>
      <c r="F248" s="4" t="str">
        <f>VLOOKUP($A248,'Privacy Analyst Evaluation'!$A$46:$K$120,3,0)&amp;""</f>
        <v>Yes</v>
      </c>
      <c r="G248" s="4" t="str">
        <f>VLOOKUP($A248,'Privacy Analyst Evaluation'!$A$46:$K$120,7,0)&amp;""</f>
        <v>Not scored</v>
      </c>
      <c r="H248" s="4" t="str">
        <f>VLOOKUP($A248,'Privacy Analyst Evaluation'!$A$46:$K$120,8,0)&amp;""</f>
        <v/>
      </c>
      <c r="I248" s="4" t="str">
        <f>VLOOKUP($A248,'Privacy Analyst Evaluation'!$A$46:$K$120,9,0)&amp;""</f>
        <v/>
      </c>
      <c r="J248" s="4" t="str">
        <f>VLOOKUP($A248,'Privacy Analyst Evaluation'!$A$46:$K$120,10,0)&amp;""</f>
        <v/>
      </c>
      <c r="K248" s="4">
        <f>IF($I248='Auto Responses'!$J$11,20,IF($I248='Auto Responses'!$J$13,5,10))</f>
        <v>10</v>
      </c>
      <c r="L248" s="101" t="str">
        <f>IF($E248='Auto Responses'!$L$13, 'Auto Responses'!$J$5,IF(AND($D248='Auto Responses'!$J$27,$H248=""),'Auto Responses'!$J$5,IF(AND($D248='Auto Responses'!$J$27,$H248='Auto Responses'!$J$7),1,IF(AND($D248='Auto Responses'!$J$27,$H248='Auto Responses'!$J$8),0,IF(OR(AND($F248=$G248,$H248=""),$H248='Auto Responses'!$J$7),1,0)))))</f>
        <v>N/A</v>
      </c>
      <c r="M248" s="4" t="str">
        <f>VLOOKUP($A248,'Privacy Analyst Evaluation'!$A$46:$K$120,11,0)&amp;""</f>
        <v>FALSE</v>
      </c>
      <c r="N248" s="4">
        <f>IF($J248='Auto Responses'!$J$11,1,IF(AND($J248="",$I248='Auto Responses'!$J$11),1,0))</f>
        <v>0</v>
      </c>
      <c r="O248" s="101" t="str">
        <f>IF(OR($E248='Auto Responses'!$L$13,$F248='Auto Responses'!$J$5,$F$24='Auto Responses'!$J$4),'Auto Responses'!$J$5,IF($J248="",$K248,IF($J248='Auto Responses'!$J$13,5,IF($J248='Auto Responses'!$J$12,10,IF($J248='Auto Responses'!$J$11,20,0)))))</f>
        <v>N/A</v>
      </c>
      <c r="P248" s="101" t="str">
        <f>IF(OR($O248='Auto Responses'!$J$5,$L248='Auto Responses'!$J$5),'Auto Responses'!$J$5,$O248*$L248)</f>
        <v>N/A</v>
      </c>
      <c r="Q248" s="101">
        <f t="shared" si="22"/>
        <v>0</v>
      </c>
      <c r="R248" s="101">
        <f t="shared" si="26"/>
        <v>0</v>
      </c>
      <c r="S248" s="101">
        <f t="shared" si="23"/>
        <v>0</v>
      </c>
      <c r="T248" s="101">
        <f t="shared" si="24"/>
        <v>0</v>
      </c>
      <c r="U248" s="101">
        <f t="shared" si="27"/>
        <v>63</v>
      </c>
      <c r="V248" s="101">
        <f t="shared" si="25"/>
        <v>0</v>
      </c>
    </row>
    <row r="249" spans="1:22" ht="57" customHeight="1" x14ac:dyDescent="0.2">
      <c r="A249" s="4" t="str">
        <f>Questions!$A249</f>
        <v>PDOC-03</v>
      </c>
      <c r="B249" s="4" t="str">
        <f t="shared" si="21"/>
        <v>PDOC</v>
      </c>
      <c r="C249" s="4" t="str">
        <f>VLOOKUP($A249,Questions!$A$3:$L$333,2,0)&amp;""</f>
        <v>Does your employee onboarding and offboarding policy include training of employees on information security and data privacy?</v>
      </c>
      <c r="D249" s="4" t="str">
        <f>VLOOKUP($A249,Questions!$A$3:$L$333,11,0)&amp;""</f>
        <v/>
      </c>
      <c r="E249" s="4" t="str">
        <f>VLOOKUP($A249,Questions!$A$3:$L$333,12,0)&amp;""</f>
        <v>Privacy</v>
      </c>
      <c r="F249" s="4" t="str">
        <f>VLOOKUP($A249,'Privacy Analyst Evaluation'!$A$46:$K$120,3,0)&amp;""</f>
        <v>Yes</v>
      </c>
      <c r="G249" s="4" t="str">
        <f>VLOOKUP($A249,'Privacy Analyst Evaluation'!$A$46:$K$120,7,0)&amp;""</f>
        <v>Yes</v>
      </c>
      <c r="H249" s="4" t="str">
        <f>VLOOKUP($A249,'Privacy Analyst Evaluation'!$A$46:$K$120,8,0)&amp;""</f>
        <v/>
      </c>
      <c r="I249" s="4" t="str">
        <f>VLOOKUP($A249,'Privacy Analyst Evaluation'!$A$46:$K$120,9,0)&amp;""</f>
        <v>Standard Importance</v>
      </c>
      <c r="J249" s="4" t="str">
        <f>VLOOKUP($A249,'Privacy Analyst Evaluation'!$A$46:$K$120,10,0)&amp;""</f>
        <v/>
      </c>
      <c r="K249" s="4">
        <f>IF($I249='Auto Responses'!$J$11,20,IF($I249='Auto Responses'!$J$13,5,10))</f>
        <v>10</v>
      </c>
      <c r="L249" s="101">
        <f>IF($E249='Auto Responses'!$L$13, 'Auto Responses'!$J$5,IF(AND($D249='Auto Responses'!$J$27,$H249=""),'Auto Responses'!$J$5,IF(AND($D249='Auto Responses'!$J$27,$H249='Auto Responses'!$J$7),1,IF(AND($D249='Auto Responses'!$J$27,$H249='Auto Responses'!$J$8),0,IF(OR(AND($F249=$G249,$H249=""),$H249='Auto Responses'!$J$7),1,0)))))</f>
        <v>1</v>
      </c>
      <c r="M249" s="4" t="str">
        <f>VLOOKUP($A249,'Privacy Analyst Evaluation'!$A$46:$K$120,11,0)&amp;""</f>
        <v>FALSE</v>
      </c>
      <c r="N249" s="4">
        <f>IF($J249='Auto Responses'!$J$11,1,IF(AND($J249="",$I249='Auto Responses'!$J$11),1,0))</f>
        <v>0</v>
      </c>
      <c r="O249" s="101">
        <f>IF(OR($E249='Auto Responses'!$L$13,$F249='Auto Responses'!$J$5,$F$24='Auto Responses'!$J$4),'Auto Responses'!$J$5,IF($J249="",$K249,IF($J249='Auto Responses'!$J$13,5,IF($J249='Auto Responses'!$J$12,10,IF($J249='Auto Responses'!$J$11,20,0)))))</f>
        <v>10</v>
      </c>
      <c r="P249" s="101">
        <f>IF(OR($O249='Auto Responses'!$J$5,$L249='Auto Responses'!$J$5),'Auto Responses'!$J$5,$O249*$L249)</f>
        <v>10</v>
      </c>
      <c r="Q249" s="101">
        <f t="shared" si="22"/>
        <v>0</v>
      </c>
      <c r="R249" s="101">
        <f t="shared" si="26"/>
        <v>0</v>
      </c>
      <c r="S249" s="101">
        <f t="shared" si="23"/>
        <v>0</v>
      </c>
      <c r="T249" s="101">
        <f t="shared" si="24"/>
        <v>0</v>
      </c>
      <c r="U249" s="101">
        <f t="shared" si="27"/>
        <v>63</v>
      </c>
      <c r="V249" s="101">
        <f t="shared" si="25"/>
        <v>0</v>
      </c>
    </row>
    <row r="250" spans="1:22" ht="57" customHeight="1" x14ac:dyDescent="0.2">
      <c r="A250" s="4" t="str">
        <f>Questions!$A250</f>
        <v>PTHP-01</v>
      </c>
      <c r="B250" s="4" t="str">
        <f t="shared" si="21"/>
        <v>PTHP</v>
      </c>
      <c r="C250" s="4" t="str">
        <f>VLOOKUP($A250,Questions!$A$3:$L$333,2,0)&amp;""</f>
        <v>Do you have contractual agreements with third parties that require them to maintain standards and to comply with all regulatory requirements?*</v>
      </c>
      <c r="D250" s="4" t="str">
        <f>VLOOKUP($A250,Questions!$A$3:$L$333,11,0)&amp;""</f>
        <v/>
      </c>
      <c r="E250" s="4" t="str">
        <f>VLOOKUP($A250,Questions!$A$3:$L$333,12,0)&amp;""</f>
        <v>Privacy</v>
      </c>
      <c r="F250" s="4" t="str">
        <f>VLOOKUP($A250,'Privacy Analyst Evaluation'!$A$46:$K$120,3,0)&amp;""</f>
        <v>Yes</v>
      </c>
      <c r="G250" s="4" t="str">
        <f>VLOOKUP($A250,'Privacy Analyst Evaluation'!$A$46:$K$120,7,0)&amp;""</f>
        <v>Yes</v>
      </c>
      <c r="H250" s="4" t="str">
        <f>VLOOKUP($A250,'Privacy Analyst Evaluation'!$A$46:$K$120,8,0)&amp;""</f>
        <v/>
      </c>
      <c r="I250" s="4" t="str">
        <f>VLOOKUP($A250,'Privacy Analyst Evaluation'!$A$46:$K$120,9,0)&amp;""</f>
        <v>Critical Importance</v>
      </c>
      <c r="J250" s="4" t="str">
        <f>VLOOKUP($A250,'Privacy Analyst Evaluation'!$A$46:$K$120,10,0)&amp;""</f>
        <v/>
      </c>
      <c r="K250" s="4">
        <f>IF($I250='Auto Responses'!$J$11,20,IF($I250='Auto Responses'!$J$13,5,10))</f>
        <v>20</v>
      </c>
      <c r="L250" s="101">
        <f>IF($E250='Auto Responses'!$L$13, 'Auto Responses'!$J$5,IF(AND($D250='Auto Responses'!$J$27,$H250=""),'Auto Responses'!$J$5,IF(AND($D250='Auto Responses'!$J$27,$H250='Auto Responses'!$J$7),1,IF(AND($D250='Auto Responses'!$J$27,$H250='Auto Responses'!$J$8),0,IF(OR(AND($F250=$G250,$H250=""),$H250='Auto Responses'!$J$7),1,0)))))</f>
        <v>1</v>
      </c>
      <c r="M250" s="4" t="str">
        <f>VLOOKUP($A250,'Privacy Analyst Evaluation'!$A$46:$K$120,11,0)&amp;""</f>
        <v>FALSE</v>
      </c>
      <c r="N250" s="4">
        <f>IF($J250='Auto Responses'!$J$11,1,IF(AND($J250="",$I250='Auto Responses'!$J$11),1,0))</f>
        <v>1</v>
      </c>
      <c r="O250" s="101">
        <f>IF(OR($E250='Auto Responses'!$L$13,$F$24='Auto Responses'!$J$4,$F250='Auto Responses'!$J$5),'Auto Responses'!$J$5,IF($J250="",$K250,IF($J250='Auto Responses'!$J$13,5,IF($J250='Auto Responses'!$J$12,10,IF($J250='Auto Responses'!$J$11,20,0)))))</f>
        <v>20</v>
      </c>
      <c r="P250" s="101">
        <f>IF(OR($O250='Auto Responses'!$J$5,$L250='Auto Responses'!$J$5),'Auto Responses'!$J$5,$O250*$L250)</f>
        <v>20</v>
      </c>
      <c r="Q250" s="101">
        <f t="shared" si="22"/>
        <v>0</v>
      </c>
      <c r="R250" s="101">
        <f t="shared" si="26"/>
        <v>0</v>
      </c>
      <c r="S250" s="101">
        <f t="shared" si="23"/>
        <v>0</v>
      </c>
      <c r="T250" s="101">
        <f t="shared" si="24"/>
        <v>1</v>
      </c>
      <c r="U250" s="101">
        <f t="shared" si="27"/>
        <v>64</v>
      </c>
      <c r="V250" s="101">
        <f t="shared" si="25"/>
        <v>64</v>
      </c>
    </row>
    <row r="251" spans="1:22" ht="85.5" customHeight="1" x14ac:dyDescent="0.2">
      <c r="A251" s="4" t="str">
        <f>Questions!$A251</f>
        <v>PTHP-02</v>
      </c>
      <c r="B251" s="4" t="str">
        <f t="shared" si="21"/>
        <v>PTHP</v>
      </c>
      <c r="C251" s="4" t="str">
        <f>VLOOKUP($A251,Questions!$A$3:$L$333,2,0)&amp;""</f>
        <v>Do you perform privacy impact assessments of third parties that collect, process, or have access to personal data to ensure they meet industry and regulatory standards and to mitigate harmful, unethical, or discriminatory impacts on data subjects?</v>
      </c>
      <c r="D251" s="4" t="str">
        <f>VLOOKUP($A251,Questions!$A$3:$L$333,11,0)&amp;""</f>
        <v/>
      </c>
      <c r="E251" s="4" t="str">
        <f>VLOOKUP($A251,Questions!$A$3:$L$333,12,0)&amp;""</f>
        <v>Privacy</v>
      </c>
      <c r="F251" s="4" t="str">
        <f>VLOOKUP($A251,'Privacy Analyst Evaluation'!$A$46:$K$120,3,0)&amp;""</f>
        <v>Yes</v>
      </c>
      <c r="G251" s="4" t="str">
        <f>VLOOKUP($A251,'Privacy Analyst Evaluation'!$A$46:$K$120,7,0)&amp;""</f>
        <v>Yes</v>
      </c>
      <c r="H251" s="4" t="str">
        <f>VLOOKUP($A251,'Privacy Analyst Evaluation'!$A$46:$K$120,8,0)&amp;""</f>
        <v/>
      </c>
      <c r="I251" s="4" t="str">
        <f>VLOOKUP($A251,'Privacy Analyst Evaluation'!$A$46:$K$120,9,0)&amp;""</f>
        <v>Minor Importance</v>
      </c>
      <c r="J251" s="4" t="str">
        <f>VLOOKUP($A251,'Privacy Analyst Evaluation'!$A$46:$K$120,10,0)&amp;""</f>
        <v/>
      </c>
      <c r="K251" s="4">
        <f>IF($I251='Auto Responses'!$J$11,20,IF($I251='Auto Responses'!$J$13,5,10))</f>
        <v>5</v>
      </c>
      <c r="L251" s="101">
        <f>IF($E251='Auto Responses'!$L$13, 'Auto Responses'!$J$5,IF(AND($D251='Auto Responses'!$J$27,$H251=""),'Auto Responses'!$J$5,IF(AND($D251='Auto Responses'!$J$27,$H251='Auto Responses'!$J$7),1,IF(AND($D251='Auto Responses'!$J$27,$H251='Auto Responses'!$J$8),0,IF(OR(AND($F251=$G251,$H251=""),$H251='Auto Responses'!$J$7),1,0)))))</f>
        <v>1</v>
      </c>
      <c r="M251" s="4" t="str">
        <f>VLOOKUP($A251,'Privacy Analyst Evaluation'!$A$46:$K$120,11,0)&amp;""</f>
        <v>FALSE</v>
      </c>
      <c r="N251" s="4">
        <f>IF($J251='Auto Responses'!$J$11,1,IF(AND($J251="",$I251='Auto Responses'!$J$11),1,0))</f>
        <v>0</v>
      </c>
      <c r="O251" s="101">
        <f>IF(OR($E251='Auto Responses'!$L$13,$F$24='Auto Responses'!$J$4,$F251='Auto Responses'!$J$5),'Auto Responses'!$J$5,IF($J251="",$K251,IF($J251='Auto Responses'!$J$13,5,IF($J251='Auto Responses'!$J$12,10,IF($J251='Auto Responses'!$J$11,20,0)))))</f>
        <v>5</v>
      </c>
      <c r="P251" s="101">
        <f>IF(OR($O251='Auto Responses'!$J$5,$L251='Auto Responses'!$J$5),'Auto Responses'!$J$5,$O251*$L251)</f>
        <v>5</v>
      </c>
      <c r="Q251" s="101">
        <f t="shared" si="22"/>
        <v>0</v>
      </c>
      <c r="R251" s="101">
        <f t="shared" si="26"/>
        <v>0</v>
      </c>
      <c r="S251" s="101">
        <f t="shared" si="23"/>
        <v>0</v>
      </c>
      <c r="T251" s="101">
        <f t="shared" si="24"/>
        <v>0</v>
      </c>
      <c r="U251" s="101">
        <f t="shared" si="27"/>
        <v>64</v>
      </c>
      <c r="V251" s="101">
        <f t="shared" si="25"/>
        <v>0</v>
      </c>
    </row>
    <row r="252" spans="1:22" ht="57" customHeight="1" x14ac:dyDescent="0.2">
      <c r="A252" s="4" t="str">
        <f>Questions!$A252</f>
        <v>PCHG-01</v>
      </c>
      <c r="B252" s="4" t="str">
        <f t="shared" si="21"/>
        <v>PCHG</v>
      </c>
      <c r="C252" s="4" t="str">
        <f>VLOOKUP($A252,Questions!$A$3:$L$333,2,0)&amp;""</f>
        <v>Does your change management process include privacy review and approval?</v>
      </c>
      <c r="D252" s="4" t="str">
        <f>VLOOKUP($A252,Questions!$A$3:$L$333,11,0)&amp;""</f>
        <v/>
      </c>
      <c r="E252" s="4" t="str">
        <f>VLOOKUP($A252,Questions!$A$3:$L$333,12,0)&amp;""</f>
        <v>Privacy</v>
      </c>
      <c r="F252" s="4" t="str">
        <f>VLOOKUP($A252,'Privacy Analyst Evaluation'!$A$46:$K$120,3,0)&amp;""</f>
        <v>Yes</v>
      </c>
      <c r="G252" s="4" t="str">
        <f>VLOOKUP($A252,'Privacy Analyst Evaluation'!$A$46:$K$120,7,0)&amp;""</f>
        <v>Yes</v>
      </c>
      <c r="H252" s="4" t="str">
        <f>VLOOKUP($A252,'Privacy Analyst Evaluation'!$A$46:$K$120,8,0)&amp;""</f>
        <v/>
      </c>
      <c r="I252" s="4" t="str">
        <f>VLOOKUP($A252,'Privacy Analyst Evaluation'!$A$46:$K$120,9,0)&amp;""</f>
        <v>Standard Importance</v>
      </c>
      <c r="J252" s="4" t="str">
        <f>VLOOKUP($A252,'Privacy Analyst Evaluation'!$A$46:$K$120,10,0)&amp;""</f>
        <v/>
      </c>
      <c r="K252" s="4">
        <f>IF($I252='Auto Responses'!$J$11,20,IF($I252='Auto Responses'!$J$13,5,10))</f>
        <v>10</v>
      </c>
      <c r="L252" s="101">
        <f>IF($E252='Auto Responses'!$L$13, 'Auto Responses'!$J$5,IF(AND($D252='Auto Responses'!$J$27,$H252=""),'Auto Responses'!$J$5,IF(AND($D252='Auto Responses'!$J$27,$H252='Auto Responses'!$J$7),1,IF(AND($D252='Auto Responses'!$J$27,$H252='Auto Responses'!$J$8),0,IF(OR(AND($F252=$G252,$H252=""),$H252='Auto Responses'!$J$7),1,0)))))</f>
        <v>1</v>
      </c>
      <c r="M252" s="4" t="str">
        <f>VLOOKUP($A252,'Privacy Analyst Evaluation'!$A$46:$K$120,11,0)&amp;""</f>
        <v>FALSE</v>
      </c>
      <c r="N252" s="4">
        <f>IF($J252='Auto Responses'!$J$11,1,IF(AND($J252="",$I252='Auto Responses'!$J$11),1,0))</f>
        <v>0</v>
      </c>
      <c r="O252" s="101">
        <f>IF(OR($E252='Auto Responses'!$L$13,$F$24='Auto Responses'!$J$4,$F252='Auto Responses'!$J$5),'Auto Responses'!$J$5,IF($J252="",$K252,IF($J252='Auto Responses'!$J$13,5,IF($J252='Auto Responses'!$J$12,10,IF($J252='Auto Responses'!$J$11,20,0)))))</f>
        <v>10</v>
      </c>
      <c r="P252" s="101">
        <f>IF(OR($O252='Auto Responses'!$J$5,$L252='Auto Responses'!$J$5),'Auto Responses'!$J$5,$O252*$L252)</f>
        <v>10</v>
      </c>
      <c r="Q252" s="101">
        <f t="shared" si="22"/>
        <v>0</v>
      </c>
      <c r="R252" s="101">
        <f t="shared" si="26"/>
        <v>0</v>
      </c>
      <c r="S252" s="101">
        <f t="shared" si="23"/>
        <v>0</v>
      </c>
      <c r="T252" s="101">
        <f t="shared" si="24"/>
        <v>0</v>
      </c>
      <c r="U252" s="101">
        <f t="shared" si="27"/>
        <v>64</v>
      </c>
      <c r="V252" s="101">
        <f t="shared" si="25"/>
        <v>0</v>
      </c>
    </row>
    <row r="253" spans="1:22" ht="57" customHeight="1" x14ac:dyDescent="0.2">
      <c r="A253" s="4" t="str">
        <f>Questions!$A253</f>
        <v>PCHG-02</v>
      </c>
      <c r="B253" s="4" t="str">
        <f t="shared" si="21"/>
        <v>PCHG</v>
      </c>
      <c r="C253" s="4" t="str">
        <f>VLOOKUP($A253,Questions!$A$3:$L$333,2,0)&amp;""</f>
        <v>Do you have policy and procedure, currently implemented, guiding how privacy risks are mitigated until they can be resolved?</v>
      </c>
      <c r="D253" s="4" t="str">
        <f>VLOOKUP($A253,Questions!$A$3:$L$333,11,0)&amp;""</f>
        <v/>
      </c>
      <c r="E253" s="4" t="str">
        <f>VLOOKUP($A253,Questions!$A$3:$L$333,12,0)&amp;""</f>
        <v>Privacy</v>
      </c>
      <c r="F253" s="4" t="str">
        <f>VLOOKUP($A253,'Privacy Analyst Evaluation'!$A$46:$K$120,3,0)&amp;""</f>
        <v>Yes</v>
      </c>
      <c r="G253" s="4" t="str">
        <f>VLOOKUP($A253,'Privacy Analyst Evaluation'!$A$46:$K$120,7,0)&amp;""</f>
        <v>Yes</v>
      </c>
      <c r="H253" s="4" t="str">
        <f>VLOOKUP($A253,'Privacy Analyst Evaluation'!$A$46:$K$120,8,0)&amp;""</f>
        <v/>
      </c>
      <c r="I253" s="4" t="str">
        <f>VLOOKUP($A253,'Privacy Analyst Evaluation'!$A$46:$K$120,9,0)&amp;""</f>
        <v>Minor Importance</v>
      </c>
      <c r="J253" s="4" t="str">
        <f>VLOOKUP($A253,'Privacy Analyst Evaluation'!$A$46:$K$120,10,0)&amp;""</f>
        <v/>
      </c>
      <c r="K253" s="4">
        <f>IF($I253='Auto Responses'!$J$11,20,IF($I253='Auto Responses'!$J$13,5,10))</f>
        <v>5</v>
      </c>
      <c r="L253" s="101">
        <f>IF($E253='Auto Responses'!$L$13, 'Auto Responses'!$J$5,IF(AND($D253='Auto Responses'!$J$27,$H253=""),'Auto Responses'!$J$5,IF(AND($D253='Auto Responses'!$J$27,$H253='Auto Responses'!$J$7),1,IF(AND($D253='Auto Responses'!$J$27,$H253='Auto Responses'!$J$8),0,IF(OR(AND($F253=$G253,$H253=""),$H253='Auto Responses'!$J$7),1,0)))))</f>
        <v>1</v>
      </c>
      <c r="M253" s="4" t="str">
        <f>VLOOKUP($A253,'Privacy Analyst Evaluation'!$A$46:$K$120,11,0)&amp;""</f>
        <v>FALSE</v>
      </c>
      <c r="N253" s="4">
        <f>IF($J253='Auto Responses'!$J$11,1,IF(AND($J253="",$I253='Auto Responses'!$J$11),1,0))</f>
        <v>0</v>
      </c>
      <c r="O253" s="101">
        <f>IF(OR($E253='Auto Responses'!$L$13,$F$24='Auto Responses'!$J$4,$F253='Auto Responses'!$J$5),'Auto Responses'!$J$5,IF($J253="",$K253,IF($J253='Auto Responses'!$J$13,5,IF($J253='Auto Responses'!$J$12,10,IF($J253='Auto Responses'!$J$11,20,0)))))</f>
        <v>5</v>
      </c>
      <c r="P253" s="101">
        <f>IF(OR($O253='Auto Responses'!$J$5,$L253='Auto Responses'!$J$5),'Auto Responses'!$J$5,$O253*$L253)</f>
        <v>5</v>
      </c>
      <c r="Q253" s="101">
        <f t="shared" si="22"/>
        <v>0</v>
      </c>
      <c r="R253" s="101">
        <f t="shared" si="26"/>
        <v>0</v>
      </c>
      <c r="S253" s="101">
        <f t="shared" si="23"/>
        <v>0</v>
      </c>
      <c r="T253" s="101">
        <f t="shared" si="24"/>
        <v>0</v>
      </c>
      <c r="U253" s="101">
        <f t="shared" si="27"/>
        <v>64</v>
      </c>
      <c r="V253" s="101">
        <f t="shared" si="25"/>
        <v>0</v>
      </c>
    </row>
    <row r="254" spans="1:22" ht="57" customHeight="1" x14ac:dyDescent="0.2">
      <c r="A254" s="4" t="str">
        <f>Questions!$A254</f>
        <v>PDAT-01</v>
      </c>
      <c r="B254" s="4" t="str">
        <f t="shared" si="21"/>
        <v>PDAT</v>
      </c>
      <c r="C254" s="4" t="str">
        <f>VLOOKUP($A254,Questions!$A$3:$L$333,2,0)&amp;""</f>
        <v>Do you collect, process, or store demographic information?*</v>
      </c>
      <c r="D254" s="4" t="str">
        <f>VLOOKUP($A254,Questions!$A$3:$L$333,11,0)&amp;""</f>
        <v/>
      </c>
      <c r="E254" s="4" t="str">
        <f>VLOOKUP($A254,Questions!$A$3:$L$333,12,0)&amp;""</f>
        <v>Privacy</v>
      </c>
      <c r="F254" s="4" t="str">
        <f>VLOOKUP($A254,'Privacy Analyst Evaluation'!$A$46:$K$120,3,0)&amp;""</f>
        <v>Yes</v>
      </c>
      <c r="G254" s="4" t="str">
        <f>VLOOKUP($A254,'Privacy Analyst Evaluation'!$A$46:$K$120,7,0)&amp;""</f>
        <v>No</v>
      </c>
      <c r="H254" s="4" t="str">
        <f>VLOOKUP($A254,'Privacy Analyst Evaluation'!$A$46:$K$120,8,0)&amp;""</f>
        <v/>
      </c>
      <c r="I254" s="4" t="str">
        <f>VLOOKUP($A254,'Privacy Analyst Evaluation'!$A$46:$K$120,9,0)&amp;""</f>
        <v>Critical Importance</v>
      </c>
      <c r="J254" s="4" t="str">
        <f>VLOOKUP($A254,'Privacy Analyst Evaluation'!$A$46:$K$120,10,0)&amp;""</f>
        <v/>
      </c>
      <c r="K254" s="4">
        <f>IF($I254='Auto Responses'!$J$11,20,IF($I254='Auto Responses'!$J$13,5,10))</f>
        <v>20</v>
      </c>
      <c r="L254" s="101">
        <f>IF($E254='Auto Responses'!$L$13, 'Auto Responses'!$J$5,IF(AND($D254='Auto Responses'!$J$27,$H254=""),'Auto Responses'!$J$5,IF(AND($D254='Auto Responses'!$J$27,$H254='Auto Responses'!$J$7),1,IF(AND($D254='Auto Responses'!$J$27,$H254='Auto Responses'!$J$8),0,IF(OR(AND($F254=$G254,$H254=""),$H254='Auto Responses'!$J$7),1,0)))))</f>
        <v>0</v>
      </c>
      <c r="M254" s="4" t="str">
        <f>VLOOKUP($A254,'Privacy Analyst Evaluation'!$A$46:$K$120,11,0)&amp;""</f>
        <v>FALSE</v>
      </c>
      <c r="N254" s="4">
        <f>IF($J254='Auto Responses'!$J$11,1,IF(AND($J254="",$I254='Auto Responses'!$J$11),1,0))</f>
        <v>1</v>
      </c>
      <c r="O254" s="101">
        <f>IF(OR($E254='Auto Responses'!$L$13,$F$24='Auto Responses'!$J$4,$F254='Auto Responses'!$J$5),'Auto Responses'!$J$5,IF($J254="",$K254,IF($J254='Auto Responses'!$J$13,5,IF($J254='Auto Responses'!$J$12,10,IF($J254='Auto Responses'!$J$11,20,0)))))</f>
        <v>20</v>
      </c>
      <c r="P254" s="101">
        <f>IF(OR($O254='Auto Responses'!$J$5,$L254='Auto Responses'!$J$5),'Auto Responses'!$J$5,$O254*$L254)</f>
        <v>0</v>
      </c>
      <c r="Q254" s="101">
        <f t="shared" si="22"/>
        <v>0</v>
      </c>
      <c r="R254" s="101">
        <f t="shared" si="26"/>
        <v>0</v>
      </c>
      <c r="S254" s="101">
        <f t="shared" si="23"/>
        <v>0</v>
      </c>
      <c r="T254" s="101">
        <f t="shared" si="24"/>
        <v>1</v>
      </c>
      <c r="U254" s="101">
        <f t="shared" si="27"/>
        <v>65</v>
      </c>
      <c r="V254" s="101">
        <f t="shared" si="25"/>
        <v>65</v>
      </c>
    </row>
    <row r="255" spans="1:22" ht="57" customHeight="1" x14ac:dyDescent="0.2">
      <c r="A255" s="4" t="str">
        <f>Questions!$A255</f>
        <v>PDAT-02</v>
      </c>
      <c r="B255" s="4" t="str">
        <f t="shared" si="21"/>
        <v>PDAT</v>
      </c>
      <c r="C255" s="4" t="str">
        <f>VLOOKUP($A255,Questions!$A$3:$L$333,2,0)&amp;""</f>
        <v>Do you capture or create genetic, biometric, or behaviometric information (e.g., facial recognition or fingerprints)?*</v>
      </c>
      <c r="D255" s="4" t="str">
        <f>VLOOKUP($A255,Questions!$A$3:$L$333,11,0)&amp;""</f>
        <v/>
      </c>
      <c r="E255" s="4" t="str">
        <f>VLOOKUP($A255,Questions!$A$3:$L$333,12,0)&amp;""</f>
        <v>Privacy</v>
      </c>
      <c r="F255" s="4" t="str">
        <f>VLOOKUP($A255,'Privacy Analyst Evaluation'!$A$46:$K$120,3,0)&amp;""</f>
        <v>No</v>
      </c>
      <c r="G255" s="4" t="str">
        <f>VLOOKUP($A255,'Privacy Analyst Evaluation'!$A$46:$K$120,7,0)&amp;""</f>
        <v>No</v>
      </c>
      <c r="H255" s="4" t="str">
        <f>VLOOKUP($A255,'Privacy Analyst Evaluation'!$A$46:$K$120,8,0)&amp;""</f>
        <v/>
      </c>
      <c r="I255" s="4" t="str">
        <f>VLOOKUP($A255,'Privacy Analyst Evaluation'!$A$46:$K$120,9,0)&amp;""</f>
        <v>Critical Importance</v>
      </c>
      <c r="J255" s="4" t="str">
        <f>VLOOKUP($A255,'Privacy Analyst Evaluation'!$A$46:$K$120,10,0)&amp;""</f>
        <v/>
      </c>
      <c r="K255" s="4">
        <f>IF($I255='Auto Responses'!$J$11,20,IF($I255='Auto Responses'!$J$13,5,10))</f>
        <v>20</v>
      </c>
      <c r="L255" s="101">
        <f>IF($E255='Auto Responses'!$L$13, 'Auto Responses'!$J$5,IF(AND($D255='Auto Responses'!$J$27,$H255=""),'Auto Responses'!$J$5,IF(AND($D255='Auto Responses'!$J$27,$H255='Auto Responses'!$J$7),1,IF(AND($D255='Auto Responses'!$J$27,$H255='Auto Responses'!$J$8),0,IF(OR(AND($F255=$G255,$H255=""),$H255='Auto Responses'!$J$7),1,0)))))</f>
        <v>1</v>
      </c>
      <c r="M255" s="4" t="str">
        <f>VLOOKUP($A255,'Privacy Analyst Evaluation'!$A$46:$K$120,11,0)&amp;""</f>
        <v>FALSE</v>
      </c>
      <c r="N255" s="4">
        <f>IF($J255='Auto Responses'!$J$11,1,IF(AND($J255="",$I255='Auto Responses'!$J$11),1,0))</f>
        <v>1</v>
      </c>
      <c r="O255" s="101">
        <f>IF(OR($E255='Auto Responses'!$L$13,$F$24='Auto Responses'!$J$4,$F255='Auto Responses'!$J$5),'Auto Responses'!$J$5,IF($J255="",$K255,IF($J255='Auto Responses'!$J$13,5,IF($J255='Auto Responses'!$J$12,10,IF($J255='Auto Responses'!$J$11,20,0)))))</f>
        <v>20</v>
      </c>
      <c r="P255" s="101">
        <f>IF(OR($O255='Auto Responses'!$J$5,$L255='Auto Responses'!$J$5),'Auto Responses'!$J$5,$O255*$L255)</f>
        <v>20</v>
      </c>
      <c r="Q255" s="101">
        <f t="shared" si="22"/>
        <v>0</v>
      </c>
      <c r="R255" s="101">
        <f t="shared" si="26"/>
        <v>0</v>
      </c>
      <c r="S255" s="101">
        <f t="shared" si="23"/>
        <v>0</v>
      </c>
      <c r="T255" s="101">
        <f t="shared" si="24"/>
        <v>1</v>
      </c>
      <c r="U255" s="101">
        <f t="shared" si="27"/>
        <v>66</v>
      </c>
      <c r="V255" s="101">
        <f t="shared" si="25"/>
        <v>66</v>
      </c>
    </row>
    <row r="256" spans="1:22" ht="57" customHeight="1" x14ac:dyDescent="0.2">
      <c r="A256" s="4" t="str">
        <f>Questions!$A256</f>
        <v>PDAT-03</v>
      </c>
      <c r="B256" s="4" t="str">
        <f t="shared" si="21"/>
        <v>PDAT</v>
      </c>
      <c r="C256" s="4" t="str">
        <f>VLOOKUP($A256,Questions!$A$3:$L$333,2,0)&amp;""</f>
        <v>Do you combine institutional data (including "de-identified," "anonymized," or otherwise masked data) with personal data from any other sources?*</v>
      </c>
      <c r="D256" s="4" t="str">
        <f>VLOOKUP($A256,Questions!$A$3:$L$333,11,0)&amp;""</f>
        <v/>
      </c>
      <c r="E256" s="4" t="str">
        <f>VLOOKUP($A256,Questions!$A$3:$L$333,12,0)&amp;""</f>
        <v>Privacy</v>
      </c>
      <c r="F256" s="4" t="str">
        <f>VLOOKUP($A256,'Privacy Analyst Evaluation'!$A$46:$K$120,3,0)&amp;""</f>
        <v>No</v>
      </c>
      <c r="G256" s="4" t="str">
        <f>VLOOKUP($A256,'Privacy Analyst Evaluation'!$A$46:$K$120,7,0)&amp;""</f>
        <v>No</v>
      </c>
      <c r="H256" s="4" t="str">
        <f>VLOOKUP($A256,'Privacy Analyst Evaluation'!$A$46:$K$120,8,0)&amp;""</f>
        <v/>
      </c>
      <c r="I256" s="4" t="str">
        <f>VLOOKUP($A256,'Privacy Analyst Evaluation'!$A$46:$K$120,9,0)&amp;""</f>
        <v>Critical Importance</v>
      </c>
      <c r="J256" s="4" t="str">
        <f>VLOOKUP($A256,'Privacy Analyst Evaluation'!$A$46:$K$120,10,0)&amp;""</f>
        <v/>
      </c>
      <c r="K256" s="4">
        <f>IF($I256='Auto Responses'!$J$11,20,IF($I256='Auto Responses'!$J$13,5,10))</f>
        <v>20</v>
      </c>
      <c r="L256" s="101">
        <f>IF($E256='Auto Responses'!$L$13, 'Auto Responses'!$J$5,IF(AND($D256='Auto Responses'!$J$27,$H256=""),'Auto Responses'!$J$5,IF(AND($D256='Auto Responses'!$J$27,$H256='Auto Responses'!$J$7),1,IF(AND($D256='Auto Responses'!$J$27,$H256='Auto Responses'!$J$8),0,IF(OR(AND($F256=$G256,$H256=""),$H256='Auto Responses'!$J$7),1,0)))))</f>
        <v>1</v>
      </c>
      <c r="M256" s="4" t="str">
        <f>VLOOKUP($A256,'Privacy Analyst Evaluation'!$A$46:$K$120,11,0)&amp;""</f>
        <v>FALSE</v>
      </c>
      <c r="N256" s="4">
        <f>IF($J256='Auto Responses'!$J$11,1,IF(AND($J256="",$I256='Auto Responses'!$J$11),1,0))</f>
        <v>1</v>
      </c>
      <c r="O256" s="101">
        <f>IF(OR($E256='Auto Responses'!$L$13,$F$24='Auto Responses'!$J$4,$F256='Auto Responses'!$J$5),'Auto Responses'!$J$5,IF($J256="",$K256,IF($J256='Auto Responses'!$J$13,5,IF($J256='Auto Responses'!$J$12,10,IF($J256='Auto Responses'!$J$11,20,0)))))</f>
        <v>20</v>
      </c>
      <c r="P256" s="101">
        <f>IF(OR($O256='Auto Responses'!$J$5,$L256='Auto Responses'!$J$5),'Auto Responses'!$J$5,$O256*$L256)</f>
        <v>20</v>
      </c>
      <c r="Q256" s="101">
        <f t="shared" si="22"/>
        <v>0</v>
      </c>
      <c r="R256" s="101">
        <f t="shared" si="26"/>
        <v>0</v>
      </c>
      <c r="S256" s="101">
        <f t="shared" si="23"/>
        <v>0</v>
      </c>
      <c r="T256" s="101">
        <f t="shared" si="24"/>
        <v>1</v>
      </c>
      <c r="U256" s="101">
        <f t="shared" si="27"/>
        <v>67</v>
      </c>
      <c r="V256" s="101">
        <f t="shared" si="25"/>
        <v>67</v>
      </c>
    </row>
    <row r="257" spans="1:22" ht="57" customHeight="1" x14ac:dyDescent="0.2">
      <c r="A257" s="4" t="str">
        <f>Questions!$A257</f>
        <v>PDAT-04</v>
      </c>
      <c r="B257" s="4" t="str">
        <f t="shared" si="21"/>
        <v>PDAT</v>
      </c>
      <c r="C257" s="4" t="str">
        <f>VLOOKUP($A257,Questions!$A$3:$L$333,2,0)&amp;""</f>
        <v>Is institutional data coming into or going out of the United States at any point during collection, processing, storage, or archiving?</v>
      </c>
      <c r="D257" s="4" t="str">
        <f>VLOOKUP($A257,Questions!$A$3:$L$333,11,0)&amp;""</f>
        <v/>
      </c>
      <c r="E257" s="4" t="str">
        <f>VLOOKUP($A257,Questions!$A$3:$L$333,12,0)&amp;""</f>
        <v>Privacy</v>
      </c>
      <c r="F257" s="4" t="str">
        <f>VLOOKUP($A257,'Privacy Analyst Evaluation'!$A$46:$K$120,3,0)&amp;""</f>
        <v>Yes</v>
      </c>
      <c r="G257" s="4" t="str">
        <f>VLOOKUP($A257,'Privacy Analyst Evaluation'!$A$46:$K$120,7,0)&amp;""</f>
        <v>No</v>
      </c>
      <c r="H257" s="4" t="str">
        <f>VLOOKUP($A257,'Privacy Analyst Evaluation'!$A$46:$K$120,8,0)&amp;""</f>
        <v/>
      </c>
      <c r="I257" s="4" t="str">
        <f>VLOOKUP($A257,'Privacy Analyst Evaluation'!$A$46:$K$120,9,0)&amp;""</f>
        <v>Minor Importance</v>
      </c>
      <c r="J257" s="4" t="str">
        <f>VLOOKUP($A257,'Privacy Analyst Evaluation'!$A$46:$K$120,10,0)&amp;""</f>
        <v/>
      </c>
      <c r="K257" s="4">
        <f>IF($I257='Auto Responses'!$J$11,20,IF($I257='Auto Responses'!$J$13,5,10))</f>
        <v>5</v>
      </c>
      <c r="L257" s="101">
        <f>IF($E257='Auto Responses'!$L$13, 'Auto Responses'!$J$5,IF(AND($D257='Auto Responses'!$J$27,$H257=""),'Auto Responses'!$J$5,IF(AND($D257='Auto Responses'!$J$27,$H257='Auto Responses'!$J$7),1,IF(AND($D257='Auto Responses'!$J$27,$H257='Auto Responses'!$J$8),0,IF(OR(AND($F257=$G257,$H257=""),$H257='Auto Responses'!$J$7),1,0)))))</f>
        <v>0</v>
      </c>
      <c r="M257" s="4" t="str">
        <f>VLOOKUP($A257,'Privacy Analyst Evaluation'!$A$46:$K$120,11,0)&amp;""</f>
        <v>FALSE</v>
      </c>
      <c r="N257" s="4">
        <f>IF($J257='Auto Responses'!$J$11,1,IF(AND($J257="",$I257='Auto Responses'!$J$11),1,0))</f>
        <v>0</v>
      </c>
      <c r="O257" s="101">
        <f>IF(OR($E257='Auto Responses'!$L$13,$F$24='Auto Responses'!$J$4,$F257='Auto Responses'!$J$5),'Auto Responses'!$J$5,IF($J257="",$K257,IF($J257='Auto Responses'!$J$13,5,IF($J257='Auto Responses'!$J$12,10,IF($J257='Auto Responses'!$J$11,20,0)))))</f>
        <v>5</v>
      </c>
      <c r="P257" s="101">
        <f>IF(OR($O257='Auto Responses'!$J$5,$L257='Auto Responses'!$J$5),'Auto Responses'!$J$5,$O257*$L257)</f>
        <v>0</v>
      </c>
      <c r="Q257" s="101">
        <f t="shared" si="22"/>
        <v>0</v>
      </c>
      <c r="R257" s="101">
        <f t="shared" si="26"/>
        <v>0</v>
      </c>
      <c r="S257" s="101">
        <f t="shared" si="23"/>
        <v>0</v>
      </c>
      <c r="T257" s="101">
        <f t="shared" si="24"/>
        <v>0</v>
      </c>
      <c r="U257" s="101">
        <f t="shared" si="27"/>
        <v>67</v>
      </c>
      <c r="V257" s="101">
        <f t="shared" si="25"/>
        <v>0</v>
      </c>
    </row>
    <row r="258" spans="1:22" ht="57" customHeight="1" x14ac:dyDescent="0.2">
      <c r="A258" s="4" t="str">
        <f>Questions!$A258</f>
        <v>PDAT-05</v>
      </c>
      <c r="B258" s="4" t="str">
        <f t="shared" si="21"/>
        <v>PDAT</v>
      </c>
      <c r="C258" s="4" t="str">
        <f>VLOOKUP($A258,Questions!$A$3:$L$333,2,0)&amp;""</f>
        <v>Do you capture device information (e.g., IP address, MAC address)?</v>
      </c>
      <c r="D258" s="4" t="str">
        <f>VLOOKUP($A258,Questions!$A$3:$L$333,11,0)&amp;""</f>
        <v/>
      </c>
      <c r="E258" s="4" t="str">
        <f>VLOOKUP($A258,Questions!$A$3:$L$333,12,0)&amp;""</f>
        <v>Privacy</v>
      </c>
      <c r="F258" s="4" t="str">
        <f>VLOOKUP($A258,'Privacy Analyst Evaluation'!$A$46:$K$120,3,0)&amp;""</f>
        <v>Yes</v>
      </c>
      <c r="G258" s="4" t="str">
        <f>VLOOKUP($A258,'Privacy Analyst Evaluation'!$A$46:$K$120,7,0)&amp;""</f>
        <v>No</v>
      </c>
      <c r="H258" s="4" t="str">
        <f>VLOOKUP($A258,'Privacy Analyst Evaluation'!$A$46:$K$120,8,0)&amp;""</f>
        <v/>
      </c>
      <c r="I258" s="4" t="str">
        <f>VLOOKUP($A258,'Privacy Analyst Evaluation'!$A$46:$K$120,9,0)&amp;""</f>
        <v>Minor Importance</v>
      </c>
      <c r="J258" s="4" t="str">
        <f>VLOOKUP($A258,'Privacy Analyst Evaluation'!$A$46:$K$120,10,0)&amp;""</f>
        <v/>
      </c>
      <c r="K258" s="4">
        <f>IF($I258='Auto Responses'!$J$11,20,IF($I258='Auto Responses'!$J$13,5,10))</f>
        <v>5</v>
      </c>
      <c r="L258" s="101">
        <f>IF($E258='Auto Responses'!$L$13, 'Auto Responses'!$J$5,IF(AND($D258='Auto Responses'!$J$27,$H258=""),'Auto Responses'!$J$5,IF(AND($D258='Auto Responses'!$J$27,$H258='Auto Responses'!$J$7),1,IF(AND($D258='Auto Responses'!$J$27,$H258='Auto Responses'!$J$8),0,IF(OR(AND($F258=$G258,$H258=""),$H258='Auto Responses'!$J$7),1,0)))))</f>
        <v>0</v>
      </c>
      <c r="M258" s="4" t="str">
        <f>VLOOKUP($A258,'Privacy Analyst Evaluation'!$A$46:$K$120,11,0)&amp;""</f>
        <v>FALSE</v>
      </c>
      <c r="N258" s="4">
        <f>IF($J258='Auto Responses'!$J$11,1,IF(AND($J258="",$I258='Auto Responses'!$J$11),1,0))</f>
        <v>0</v>
      </c>
      <c r="O258" s="101">
        <f>IF(OR($E258='Auto Responses'!$L$13,$F$24='Auto Responses'!$J$4,$F258='Auto Responses'!$J$5),'Auto Responses'!$J$5,IF($J258="",$K258,IF($J258='Auto Responses'!$J$13,5,IF($J258='Auto Responses'!$J$12,10,IF($J258='Auto Responses'!$J$11,20,0)))))</f>
        <v>5</v>
      </c>
      <c r="P258" s="101">
        <f>IF(OR($O258='Auto Responses'!$J$5,$L258='Auto Responses'!$J$5),'Auto Responses'!$J$5,$O258*$L258)</f>
        <v>0</v>
      </c>
      <c r="Q258" s="101">
        <f t="shared" si="22"/>
        <v>0</v>
      </c>
      <c r="R258" s="101">
        <f t="shared" si="26"/>
        <v>0</v>
      </c>
      <c r="S258" s="101">
        <f t="shared" si="23"/>
        <v>0</v>
      </c>
      <c r="T258" s="101">
        <f t="shared" si="24"/>
        <v>0</v>
      </c>
      <c r="U258" s="101">
        <f t="shared" si="27"/>
        <v>67</v>
      </c>
      <c r="V258" s="101">
        <f t="shared" si="25"/>
        <v>0</v>
      </c>
    </row>
    <row r="259" spans="1:22" ht="57" customHeight="1" x14ac:dyDescent="0.2">
      <c r="A259" s="4" t="str">
        <f>Questions!$A259</f>
        <v>PDAT-06</v>
      </c>
      <c r="B259" s="4" t="str">
        <f t="shared" ref="B259:B322" si="28">LEFT(A259,4)</f>
        <v>PDAT</v>
      </c>
      <c r="C259" s="4" t="str">
        <f>VLOOKUP($A259,Questions!$A$3:$L$333,2,0)&amp;""</f>
        <v>Does any part of this service/project involve a web/app tracking component (e.g., use of web-tracking pixels, cookies)?</v>
      </c>
      <c r="D259" s="4" t="str">
        <f>VLOOKUP($A259,Questions!$A$3:$L$333,11,0)&amp;""</f>
        <v/>
      </c>
      <c r="E259" s="4" t="str">
        <f>VLOOKUP($A259,Questions!$A$3:$L$333,12,0)&amp;""</f>
        <v>Privacy</v>
      </c>
      <c r="F259" s="4" t="str">
        <f>VLOOKUP($A259,'Privacy Analyst Evaluation'!$A$46:$K$120,3,0)&amp;""</f>
        <v>Yes</v>
      </c>
      <c r="G259" s="4" t="str">
        <f>VLOOKUP($A259,'Privacy Analyst Evaluation'!$A$46:$K$120,7,0)&amp;""</f>
        <v>No</v>
      </c>
      <c r="H259" s="4" t="str">
        <f>VLOOKUP($A259,'Privacy Analyst Evaluation'!$A$46:$K$120,8,0)&amp;""</f>
        <v/>
      </c>
      <c r="I259" s="4" t="str">
        <f>VLOOKUP($A259,'Privacy Analyst Evaluation'!$A$46:$K$120,9,0)&amp;""</f>
        <v>Minor Importance</v>
      </c>
      <c r="J259" s="4" t="str">
        <f>VLOOKUP($A259,'Privacy Analyst Evaluation'!$A$46:$K$120,10,0)&amp;""</f>
        <v/>
      </c>
      <c r="K259" s="4">
        <f>IF($I259='Auto Responses'!$J$11,20,IF($I259='Auto Responses'!$J$13,5,10))</f>
        <v>5</v>
      </c>
      <c r="L259" s="101">
        <f>IF($E259='Auto Responses'!$L$13, 'Auto Responses'!$J$5,IF(AND($D259='Auto Responses'!$J$27,$H259=""),'Auto Responses'!$J$5,IF(AND($D259='Auto Responses'!$J$27,$H259='Auto Responses'!$J$7),1,IF(AND($D259='Auto Responses'!$J$27,$H259='Auto Responses'!$J$8),0,IF(OR(AND($F259=$G259,$H259=""),$H259='Auto Responses'!$J$7),1,0)))))</f>
        <v>0</v>
      </c>
      <c r="M259" s="4" t="str">
        <f>VLOOKUP($A259,'Privacy Analyst Evaluation'!$A$46:$K$120,11,0)&amp;""</f>
        <v>FALSE</v>
      </c>
      <c r="N259" s="4">
        <f>IF($J259='Auto Responses'!$J$11,1,IF(AND($J259="",$I259='Auto Responses'!$J$11),1,0))</f>
        <v>0</v>
      </c>
      <c r="O259" s="101">
        <f>IF(OR($E259='Auto Responses'!$L$13,$F$24='Auto Responses'!$J$4,$F259='Auto Responses'!$J$5),'Auto Responses'!$J$5,IF($J259="",$K259,IF($J259='Auto Responses'!$J$13,5,IF($J259='Auto Responses'!$J$12,10,IF($J259='Auto Responses'!$J$11,20,0)))))</f>
        <v>5</v>
      </c>
      <c r="P259" s="101">
        <f>IF(OR($O259='Auto Responses'!$J$5,$L259='Auto Responses'!$J$5),'Auto Responses'!$J$5,$O259*$L259)</f>
        <v>0</v>
      </c>
      <c r="Q259" s="101">
        <f t="shared" ref="Q259:Q322" si="29">IF(M259="TRUE",1,0)</f>
        <v>0</v>
      </c>
      <c r="R259" s="101">
        <f t="shared" si="26"/>
        <v>0</v>
      </c>
      <c r="S259" s="101">
        <f t="shared" ref="S259:S322" si="30">IF(Q259=0,0,R259)</f>
        <v>0</v>
      </c>
      <c r="T259" s="101">
        <f t="shared" ref="T259:T322" si="31">IF(N259=1,1,0)</f>
        <v>0</v>
      </c>
      <c r="U259" s="101">
        <f t="shared" si="27"/>
        <v>67</v>
      </c>
      <c r="V259" s="101">
        <f t="shared" ref="V259:V322" si="32">IF(T259=0,0,U259)</f>
        <v>0</v>
      </c>
    </row>
    <row r="260" spans="1:22" ht="57" customHeight="1" x14ac:dyDescent="0.2">
      <c r="A260" s="4" t="str">
        <f>Questions!$A260</f>
        <v>PDAT-07</v>
      </c>
      <c r="B260" s="4" t="str">
        <f t="shared" si="28"/>
        <v>PDAT</v>
      </c>
      <c r="C260" s="4" t="str">
        <f>VLOOKUP($A260,Questions!$A$3:$L$333,2,0)&amp;""</f>
        <v>Does your staff (or a third party) have access to institutional data (e.g., financial, PHI, or other sensitive information) through any means?</v>
      </c>
      <c r="D260" s="4" t="str">
        <f>VLOOKUP($A260,Questions!$A$3:$L$333,11,0)&amp;""</f>
        <v/>
      </c>
      <c r="E260" s="4" t="str">
        <f>VLOOKUP($A260,Questions!$A$3:$L$333,12,0)&amp;""</f>
        <v>Privacy</v>
      </c>
      <c r="F260" s="4" t="str">
        <f>VLOOKUP($A260,'Privacy Analyst Evaluation'!$A$46:$K$120,3,0)&amp;""</f>
        <v>Limited and controlled</v>
      </c>
      <c r="G260" s="4" t="str">
        <f>VLOOKUP($A260,'Privacy Analyst Evaluation'!$A$46:$K$120,7,0)&amp;""</f>
        <v>No</v>
      </c>
      <c r="H260" s="4" t="str">
        <f>VLOOKUP($A260,'Privacy Analyst Evaluation'!$A$46:$K$120,8,0)&amp;""</f>
        <v/>
      </c>
      <c r="I260" s="4" t="str">
        <f>VLOOKUP($A260,'Privacy Analyst Evaluation'!$A$46:$K$120,9,0)&amp;""</f>
        <v>Minor Importance</v>
      </c>
      <c r="J260" s="4" t="str">
        <f>VLOOKUP($A260,'Privacy Analyst Evaluation'!$A$46:$K$120,10,0)&amp;""</f>
        <v/>
      </c>
      <c r="K260" s="4">
        <f>IF($I260='Auto Responses'!$J$11,20,IF($I260='Auto Responses'!$J$13,5,10))</f>
        <v>5</v>
      </c>
      <c r="L260" s="101">
        <f>IF($E260='Auto Responses'!$L$13, 'Auto Responses'!$J$5,IF(AND($D260='Auto Responses'!$J$27,$H260=""),'Auto Responses'!$J$5,IF(AND($D260='Auto Responses'!$J$27,$H260='Auto Responses'!$J$7),1,IF(AND($D260='Auto Responses'!$J$27,$H260='Auto Responses'!$J$8),0,IF(OR(AND($F260=$G260,$H260=""),$H260='Auto Responses'!$J$7),1,0)))))</f>
        <v>0</v>
      </c>
      <c r="M260" s="4" t="str">
        <f>VLOOKUP($A260,'Privacy Analyst Evaluation'!$A$46:$K$120,11,0)&amp;""</f>
        <v>FALSE</v>
      </c>
      <c r="N260" s="4">
        <f>IF($J260='Auto Responses'!$J$11,1,IF(AND($J260="",$I260='Auto Responses'!$J$11),1,0))</f>
        <v>0</v>
      </c>
      <c r="O260" s="101">
        <f>IF(OR($E260='Auto Responses'!$L$13,$F$24='Auto Responses'!$J$4,$F260='Auto Responses'!$J$5),'Auto Responses'!$J$5,IF($J260="",$K260,IF($J260='Auto Responses'!$J$13,5,IF($J260='Auto Responses'!$J$12,10,IF($J260='Auto Responses'!$J$11,20,0)))))</f>
        <v>5</v>
      </c>
      <c r="P260" s="101">
        <f>IF(OR($O260='Auto Responses'!$J$5,$L260='Auto Responses'!$J$5),'Auto Responses'!$J$5,$O260*$L260)</f>
        <v>0</v>
      </c>
      <c r="Q260" s="101">
        <f t="shared" si="29"/>
        <v>0</v>
      </c>
      <c r="R260" s="101">
        <f t="shared" ref="R260:R323" si="33">R259+Q260</f>
        <v>0</v>
      </c>
      <c r="S260" s="101">
        <f t="shared" si="30"/>
        <v>0</v>
      </c>
      <c r="T260" s="101">
        <f t="shared" si="31"/>
        <v>0</v>
      </c>
      <c r="U260" s="101">
        <f t="shared" ref="U260:U323" si="34">U259+T260</f>
        <v>67</v>
      </c>
      <c r="V260" s="101">
        <f t="shared" si="32"/>
        <v>0</v>
      </c>
    </row>
    <row r="261" spans="1:22" ht="57" customHeight="1" x14ac:dyDescent="0.2">
      <c r="A261" s="4" t="str">
        <f>Questions!$A261</f>
        <v>PDAT-08</v>
      </c>
      <c r="B261" s="4" t="str">
        <f t="shared" si="28"/>
        <v>PDAT</v>
      </c>
      <c r="C261" s="4" t="str">
        <f>VLOOKUP($A261,Questions!$A$3:$L$333,2,0)&amp;""</f>
        <v>Will you handle personal data in a manner compliant with all relevant laws, regulations, and applicable institution policies?</v>
      </c>
      <c r="D261" s="4" t="str">
        <f>VLOOKUP($A261,Questions!$A$3:$L$333,11,0)&amp;""</f>
        <v/>
      </c>
      <c r="E261" s="4" t="str">
        <f>VLOOKUP($A261,Questions!$A$3:$L$333,12,0)&amp;""</f>
        <v>Not scored</v>
      </c>
      <c r="F261" s="4" t="str">
        <f>VLOOKUP($A261,'Privacy Analyst Evaluation'!$A$46:$K$120,3,0)&amp;""</f>
        <v>Yes</v>
      </c>
      <c r="G261" s="4" t="str">
        <f>VLOOKUP($A261,'Privacy Analyst Evaluation'!$A$46:$K$120,7,0)&amp;""</f>
        <v>Not scored</v>
      </c>
      <c r="H261" s="4" t="str">
        <f>VLOOKUP($A261,'Privacy Analyst Evaluation'!$A$46:$K$120,8,0)&amp;""</f>
        <v/>
      </c>
      <c r="I261" s="4" t="str">
        <f>VLOOKUP($A261,'Privacy Analyst Evaluation'!$A$46:$K$120,9,0)&amp;""</f>
        <v/>
      </c>
      <c r="J261" s="4" t="str">
        <f>VLOOKUP($A261,'Privacy Analyst Evaluation'!$A$46:$K$120,10,0)&amp;""</f>
        <v/>
      </c>
      <c r="K261" s="4">
        <f>IF($I261='Auto Responses'!$J$11,20,IF($I261='Auto Responses'!$J$13,5,10))</f>
        <v>10</v>
      </c>
      <c r="L261" s="101" t="str">
        <f>IF($E261='Auto Responses'!$L$13, 'Auto Responses'!$J$5,IF(AND($D261='Auto Responses'!$J$27,$H261=""),'Auto Responses'!$J$5,IF(AND($D261='Auto Responses'!$J$27,$H261='Auto Responses'!$J$7),1,IF(AND($D261='Auto Responses'!$J$27,$H261='Auto Responses'!$J$8),0,IF(OR(AND($F261=$G261,$H261=""),$H261='Auto Responses'!$J$7),1,0)))))</f>
        <v>N/A</v>
      </c>
      <c r="M261" s="4" t="str">
        <f>VLOOKUP($A261,'Privacy Analyst Evaluation'!$A$46:$K$120,11,0)&amp;""</f>
        <v>FALSE</v>
      </c>
      <c r="N261" s="4">
        <f>IF($J261='Auto Responses'!$J$11,1,IF(AND($J261="",$I261='Auto Responses'!$J$11),1,0))</f>
        <v>0</v>
      </c>
      <c r="O261" s="101" t="str">
        <f>IF(OR($E261='Auto Responses'!$L$13,$F$24='Auto Responses'!$J$4,$F261='Auto Responses'!$J$5),'Auto Responses'!$J$5,IF($J261="",$K261,IF($J261='Auto Responses'!$J$13,5,IF($J261='Auto Responses'!$J$12,10,IF($J261='Auto Responses'!$J$11,20,0)))))</f>
        <v>N/A</v>
      </c>
      <c r="P261" s="101" t="str">
        <f>IF(OR($O261='Auto Responses'!$J$5,$L261='Auto Responses'!$J$5),'Auto Responses'!$J$5,$O261*$L261)</f>
        <v>N/A</v>
      </c>
      <c r="Q261" s="101">
        <f t="shared" si="29"/>
        <v>0</v>
      </c>
      <c r="R261" s="101">
        <f t="shared" si="33"/>
        <v>0</v>
      </c>
      <c r="S261" s="101">
        <f t="shared" si="30"/>
        <v>0</v>
      </c>
      <c r="T261" s="101">
        <f t="shared" si="31"/>
        <v>0</v>
      </c>
      <c r="U261" s="101">
        <f t="shared" si="34"/>
        <v>67</v>
      </c>
      <c r="V261" s="101">
        <f t="shared" si="32"/>
        <v>0</v>
      </c>
    </row>
    <row r="262" spans="1:22" ht="57" customHeight="1" x14ac:dyDescent="0.2">
      <c r="A262" s="4" t="str">
        <f>Questions!$A262</f>
        <v>PRPO-01</v>
      </c>
      <c r="B262" s="4" t="str">
        <f t="shared" si="28"/>
        <v>PRPO</v>
      </c>
      <c r="C262" s="4" t="str">
        <f>VLOOKUP($A262,Questions!$A$3:$L$333,2,0)&amp;""</f>
        <v>Do you have a documented privacy management process?</v>
      </c>
      <c r="D262" s="4" t="str">
        <f>VLOOKUP($A262,Questions!$A$3:$L$333,11,0)&amp;""</f>
        <v/>
      </c>
      <c r="E262" s="4" t="str">
        <f>VLOOKUP($A262,Questions!$A$3:$L$333,12,0)&amp;""</f>
        <v>Privacy</v>
      </c>
      <c r="F262" s="4" t="str">
        <f>VLOOKUP($A262,'Privacy Analyst Evaluation'!$A$46:$K$120,3,0)&amp;""</f>
        <v>Yes</v>
      </c>
      <c r="G262" s="4" t="str">
        <f>VLOOKUP($A262,'Privacy Analyst Evaluation'!$A$46:$K$120,7,0)&amp;""</f>
        <v>Yes</v>
      </c>
      <c r="H262" s="4" t="str">
        <f>VLOOKUP($A262,'Privacy Analyst Evaluation'!$A$46:$K$120,8,0)&amp;""</f>
        <v/>
      </c>
      <c r="I262" s="4" t="str">
        <f>VLOOKUP($A262,'Privacy Analyst Evaluation'!$A$46:$K$120,9,0)&amp;""</f>
        <v>Minor Importance</v>
      </c>
      <c r="J262" s="4" t="str">
        <f>VLOOKUP($A262,'Privacy Analyst Evaluation'!$A$46:$K$120,10,0)&amp;""</f>
        <v/>
      </c>
      <c r="K262" s="4">
        <f>IF($I262='Auto Responses'!$J$11,20,IF($I262='Auto Responses'!$J$13,5,10))</f>
        <v>5</v>
      </c>
      <c r="L262" s="101">
        <f>IF($E262='Auto Responses'!$L$13, 'Auto Responses'!$J$5,IF(AND($D262='Auto Responses'!$J$27,$H262=""),'Auto Responses'!$J$5,IF(AND($D262='Auto Responses'!$J$27,$H262='Auto Responses'!$J$7),1,IF(AND($D262='Auto Responses'!$J$27,$H262='Auto Responses'!$J$8),0,IF(OR(AND($F262=$G262,$H262=""),$H262='Auto Responses'!$J$7),1,0)))))</f>
        <v>1</v>
      </c>
      <c r="M262" s="4" t="str">
        <f>VLOOKUP($A262,'Privacy Analyst Evaluation'!$A$46:$K$120,11,0)&amp;""</f>
        <v>FALSE</v>
      </c>
      <c r="N262" s="4">
        <f>IF($J262='Auto Responses'!$J$11,1,IF(AND($J262="",$I262='Auto Responses'!$J$11),1,0))</f>
        <v>0</v>
      </c>
      <c r="O262" s="101">
        <f>IF(OR($E262='Auto Responses'!$L$13,$F$24='Auto Responses'!$J$4,$F262='Auto Responses'!$J$5),'Auto Responses'!$J$5,IF($J262="",$K262,IF($J262='Auto Responses'!$J$13,5,IF($J262='Auto Responses'!$J$12,10,IF($J262='Auto Responses'!$J$11,20,0)))))</f>
        <v>5</v>
      </c>
      <c r="P262" s="101">
        <f>IF(OR($O262='Auto Responses'!$J$5,$L262='Auto Responses'!$J$5),'Auto Responses'!$J$5,$O262*$L262)</f>
        <v>5</v>
      </c>
      <c r="Q262" s="101">
        <f t="shared" si="29"/>
        <v>0</v>
      </c>
      <c r="R262" s="101">
        <f t="shared" si="33"/>
        <v>0</v>
      </c>
      <c r="S262" s="101">
        <f t="shared" si="30"/>
        <v>0</v>
      </c>
      <c r="T262" s="101">
        <f t="shared" si="31"/>
        <v>0</v>
      </c>
      <c r="U262" s="101">
        <f t="shared" si="34"/>
        <v>67</v>
      </c>
      <c r="V262" s="101">
        <f t="shared" si="32"/>
        <v>0</v>
      </c>
    </row>
    <row r="263" spans="1:22" ht="57" customHeight="1" x14ac:dyDescent="0.2">
      <c r="A263" s="4" t="str">
        <f>Questions!$A263</f>
        <v>PRPO-02</v>
      </c>
      <c r="B263" s="4" t="str">
        <f t="shared" si="28"/>
        <v>PRPO</v>
      </c>
      <c r="C263" s="4" t="str">
        <f>VLOOKUP($A263,Questions!$A$3:$L$333,2,0)&amp;""</f>
        <v>Are privacy principles designed into the product lifecycle (i.e., privacy-by-design)?</v>
      </c>
      <c r="D263" s="4" t="str">
        <f>VLOOKUP($A263,Questions!$A$3:$L$333,11,0)&amp;""</f>
        <v/>
      </c>
      <c r="E263" s="4" t="str">
        <f>VLOOKUP($A263,Questions!$A$3:$L$333,12,0)&amp;""</f>
        <v>Privacy</v>
      </c>
      <c r="F263" s="4" t="str">
        <f>VLOOKUP($A263,'Privacy Analyst Evaluation'!$A$46:$K$120,3,0)&amp;""</f>
        <v>Yes</v>
      </c>
      <c r="G263" s="4" t="str">
        <f>VLOOKUP($A263,'Privacy Analyst Evaluation'!$A$46:$K$120,7,0)&amp;""</f>
        <v>Yes</v>
      </c>
      <c r="H263" s="4" t="str">
        <f>VLOOKUP($A263,'Privacy Analyst Evaluation'!$A$46:$K$120,8,0)&amp;""</f>
        <v/>
      </c>
      <c r="I263" s="4" t="str">
        <f>VLOOKUP($A263,'Privacy Analyst Evaluation'!$A$46:$K$120,9,0)&amp;""</f>
        <v>Minor Importance</v>
      </c>
      <c r="J263" s="4" t="str">
        <f>VLOOKUP($A263,'Privacy Analyst Evaluation'!$A$46:$K$120,10,0)&amp;""</f>
        <v/>
      </c>
      <c r="K263" s="4">
        <f>IF($I263='Auto Responses'!$J$11,20,IF($I263='Auto Responses'!$J$13,5,10))</f>
        <v>5</v>
      </c>
      <c r="L263" s="101">
        <f>IF($E263='Auto Responses'!$L$13, 'Auto Responses'!$J$5,IF(AND($D263='Auto Responses'!$J$27,$H263=""),'Auto Responses'!$J$5,IF(AND($D263='Auto Responses'!$J$27,$H263='Auto Responses'!$J$7),1,IF(AND($D263='Auto Responses'!$J$27,$H263='Auto Responses'!$J$8),0,IF(OR(AND($F263=$G263,$H263=""),$H263='Auto Responses'!$J$7),1,0)))))</f>
        <v>1</v>
      </c>
      <c r="M263" s="4" t="str">
        <f>VLOOKUP($A263,'Privacy Analyst Evaluation'!$A$46:$K$120,11,0)&amp;""</f>
        <v>FALSE</v>
      </c>
      <c r="N263" s="4">
        <f>IF($J263='Auto Responses'!$J$11,1,IF(AND($J263="",$I263='Auto Responses'!$J$11),1,0))</f>
        <v>0</v>
      </c>
      <c r="O263" s="101">
        <f>IF(OR($E263='Auto Responses'!$L$13,$F$24='Auto Responses'!$J$4,$F263='Auto Responses'!$J$5),'Auto Responses'!$J$5,IF($J263="",$K263,IF($J263='Auto Responses'!$J$13,5,IF($J263='Auto Responses'!$J$12,10,IF($J263='Auto Responses'!$J$11,20,0)))))</f>
        <v>5</v>
      </c>
      <c r="P263" s="101">
        <f>IF(OR($O263='Auto Responses'!$J$5,$L263='Auto Responses'!$J$5),'Auto Responses'!$J$5,$O263*$L263)</f>
        <v>5</v>
      </c>
      <c r="Q263" s="101">
        <f t="shared" si="29"/>
        <v>0</v>
      </c>
      <c r="R263" s="101">
        <f t="shared" si="33"/>
        <v>0</v>
      </c>
      <c r="S263" s="101">
        <f t="shared" si="30"/>
        <v>0</v>
      </c>
      <c r="T263" s="101">
        <f t="shared" si="31"/>
        <v>0</v>
      </c>
      <c r="U263" s="101">
        <f t="shared" si="34"/>
        <v>67</v>
      </c>
      <c r="V263" s="101">
        <f t="shared" si="32"/>
        <v>0</v>
      </c>
    </row>
    <row r="264" spans="1:22" ht="57" customHeight="1" x14ac:dyDescent="0.2">
      <c r="A264" s="4" t="str">
        <f>Questions!$A264</f>
        <v>PRPO-03</v>
      </c>
      <c r="B264" s="4" t="str">
        <f t="shared" si="28"/>
        <v>PRPO</v>
      </c>
      <c r="C264" s="4" t="str">
        <f>VLOOKUP($A264,Questions!$A$3:$L$333,2,0)&amp;""</f>
        <v>Will you comply with applicable breach notification laws?</v>
      </c>
      <c r="D264" s="4" t="str">
        <f>VLOOKUP($A264,Questions!$A$3:$L$333,11,0)&amp;""</f>
        <v/>
      </c>
      <c r="E264" s="4" t="str">
        <f>VLOOKUP($A264,Questions!$A$3:$L$333,12,0)&amp;""</f>
        <v>Privacy</v>
      </c>
      <c r="F264" s="4" t="str">
        <f>VLOOKUP($A264,'Privacy Analyst Evaluation'!$A$46:$K$120,3,0)&amp;""</f>
        <v>Yes</v>
      </c>
      <c r="G264" s="4" t="str">
        <f>VLOOKUP($A264,'Privacy Analyst Evaluation'!$A$46:$K$120,7,0)&amp;""</f>
        <v>Yes</v>
      </c>
      <c r="H264" s="4" t="str">
        <f>VLOOKUP($A264,'Privacy Analyst Evaluation'!$A$46:$K$120,8,0)&amp;""</f>
        <v/>
      </c>
      <c r="I264" s="4" t="str">
        <f>VLOOKUP($A264,'Privacy Analyst Evaluation'!$A$46:$K$120,9,0)&amp;""</f>
        <v>Standard Importance</v>
      </c>
      <c r="J264" s="4" t="str">
        <f>VLOOKUP($A264,'Privacy Analyst Evaluation'!$A$46:$K$120,10,0)&amp;""</f>
        <v/>
      </c>
      <c r="K264" s="4">
        <f>IF($I264='Auto Responses'!$J$11,20,IF($I264='Auto Responses'!$J$13,5,10))</f>
        <v>10</v>
      </c>
      <c r="L264" s="101">
        <f>IF($E264='Auto Responses'!$L$13, 'Auto Responses'!$J$5,IF(AND($D264='Auto Responses'!$J$27,$H264=""),'Auto Responses'!$J$5,IF(AND($D264='Auto Responses'!$J$27,$H264='Auto Responses'!$J$7),1,IF(AND($D264='Auto Responses'!$J$27,$H264='Auto Responses'!$J$8),0,IF(OR(AND($F264=$G264,$H264=""),$H264='Auto Responses'!$J$7),1,0)))))</f>
        <v>1</v>
      </c>
      <c r="M264" s="4" t="str">
        <f>VLOOKUP($A264,'Privacy Analyst Evaluation'!$A$46:$K$120,11,0)&amp;""</f>
        <v>FALSE</v>
      </c>
      <c r="N264" s="4">
        <f>IF($J264='Auto Responses'!$J$11,1,IF(AND($J264="",$I264='Auto Responses'!$J$11),1,0))</f>
        <v>0</v>
      </c>
      <c r="O264" s="101">
        <f>IF(OR($E264='Auto Responses'!$L$13,$F$24='Auto Responses'!$J$4,$F264='Auto Responses'!$J$5),'Auto Responses'!$J$5,IF($J264="",$K264,IF($J264='Auto Responses'!$J$13,5,IF($J264='Auto Responses'!$J$12,10,IF($J264='Auto Responses'!$J$11,20,0)))))</f>
        <v>10</v>
      </c>
      <c r="P264" s="101">
        <f>IF(OR($O264='Auto Responses'!$J$5,$L264='Auto Responses'!$J$5),'Auto Responses'!$J$5,$O264*$L264)</f>
        <v>10</v>
      </c>
      <c r="Q264" s="101">
        <f t="shared" si="29"/>
        <v>0</v>
      </c>
      <c r="R264" s="101">
        <f t="shared" si="33"/>
        <v>0</v>
      </c>
      <c r="S264" s="101">
        <f t="shared" si="30"/>
        <v>0</v>
      </c>
      <c r="T264" s="101">
        <f t="shared" si="31"/>
        <v>0</v>
      </c>
      <c r="U264" s="101">
        <f t="shared" si="34"/>
        <v>67</v>
      </c>
      <c r="V264" s="101">
        <f t="shared" si="32"/>
        <v>0</v>
      </c>
    </row>
    <row r="265" spans="1:22" ht="57" customHeight="1" x14ac:dyDescent="0.2">
      <c r="A265" s="4" t="str">
        <f>Questions!$A265</f>
        <v>PRPO-04</v>
      </c>
      <c r="B265" s="4" t="str">
        <f t="shared" si="28"/>
        <v>PRPO</v>
      </c>
      <c r="C265" s="4" t="str">
        <f>VLOOKUP($A265,Questions!$A$3:$L$333,2,0)&amp;""</f>
        <v>Will you comply with the institution's policies regarding user privacy and data protection?</v>
      </c>
      <c r="D265" s="4" t="str">
        <f>VLOOKUP($A265,Questions!$A$3:$L$333,11,0)&amp;""</f>
        <v/>
      </c>
      <c r="E265" s="4" t="str">
        <f>VLOOKUP($A265,Questions!$A$3:$L$333,12,0)&amp;""</f>
        <v>Privacy</v>
      </c>
      <c r="F265" s="4" t="str">
        <f>VLOOKUP($A265,'Privacy Analyst Evaluation'!$A$46:$K$120,3,0)&amp;""</f>
        <v>Yes</v>
      </c>
      <c r="G265" s="4" t="str">
        <f>VLOOKUP($A265,'Privacy Analyst Evaluation'!$A$46:$K$120,7,0)&amp;""</f>
        <v>Yes</v>
      </c>
      <c r="H265" s="4" t="str">
        <f>VLOOKUP($A265,'Privacy Analyst Evaluation'!$A$46:$K$120,8,0)&amp;""</f>
        <v/>
      </c>
      <c r="I265" s="4" t="str">
        <f>VLOOKUP($A265,'Privacy Analyst Evaluation'!$A$46:$K$120,9,0)&amp;""</f>
        <v>Minor Importance</v>
      </c>
      <c r="J265" s="4" t="str">
        <f>VLOOKUP($A265,'Privacy Analyst Evaluation'!$A$46:$K$120,10,0)&amp;""</f>
        <v/>
      </c>
      <c r="K265" s="4">
        <f>IF($I265='Auto Responses'!$J$11,20,IF($I265='Auto Responses'!$J$13,5,10))</f>
        <v>5</v>
      </c>
      <c r="L265" s="101">
        <f>IF($E265='Auto Responses'!$L$13, 'Auto Responses'!$J$5,IF(AND($D265='Auto Responses'!$J$27,$H265=""),'Auto Responses'!$J$5,IF(AND($D265='Auto Responses'!$J$27,$H265='Auto Responses'!$J$7),1,IF(AND($D265='Auto Responses'!$J$27,$H265='Auto Responses'!$J$8),0,IF(OR(AND($F265=$G265,$H265=""),$H265='Auto Responses'!$J$7),1,0)))))</f>
        <v>1</v>
      </c>
      <c r="M265" s="4" t="str">
        <f>VLOOKUP($A265,'Privacy Analyst Evaluation'!$A$46:$K$120,11,0)&amp;""</f>
        <v>FALSE</v>
      </c>
      <c r="N265" s="4">
        <f>IF($J265='Auto Responses'!$J$11,1,IF(AND($J265="",$I265='Auto Responses'!$J$11),1,0))</f>
        <v>0</v>
      </c>
      <c r="O265" s="101">
        <f>IF(OR($E265='Auto Responses'!$L$13,$F$24='Auto Responses'!$J$4,$F265='Auto Responses'!$J$5),'Auto Responses'!$J$5,IF($J265="",$K265,IF($J265='Auto Responses'!$J$13,5,IF($J265='Auto Responses'!$J$12,10,IF($J265='Auto Responses'!$J$11,20,0)))))</f>
        <v>5</v>
      </c>
      <c r="P265" s="101">
        <f>IF(OR($O265='Auto Responses'!$J$5,$L265='Auto Responses'!$J$5),'Auto Responses'!$J$5,$O265*$L265)</f>
        <v>5</v>
      </c>
      <c r="Q265" s="101">
        <f t="shared" si="29"/>
        <v>0</v>
      </c>
      <c r="R265" s="101">
        <f t="shared" si="33"/>
        <v>0</v>
      </c>
      <c r="S265" s="101">
        <f t="shared" si="30"/>
        <v>0</v>
      </c>
      <c r="T265" s="101">
        <f t="shared" si="31"/>
        <v>0</v>
      </c>
      <c r="U265" s="101">
        <f t="shared" si="34"/>
        <v>67</v>
      </c>
      <c r="V265" s="101">
        <f t="shared" si="32"/>
        <v>0</v>
      </c>
    </row>
    <row r="266" spans="1:22" ht="57" customHeight="1" x14ac:dyDescent="0.2">
      <c r="A266" s="4" t="str">
        <f>Questions!$A266</f>
        <v>PRPO-05</v>
      </c>
      <c r="B266" s="4" t="str">
        <f t="shared" si="28"/>
        <v>PRPO</v>
      </c>
      <c r="C266" s="4" t="str">
        <f>VLOOKUP($A266,Questions!$A$3:$L$333,2,0)&amp;""</f>
        <v>Is your company subject to the laws and regulations of the institution's geographic region?</v>
      </c>
      <c r="D266" s="4" t="str">
        <f>VLOOKUP($A266,Questions!$A$3:$L$333,11,0)&amp;""</f>
        <v/>
      </c>
      <c r="E266" s="4" t="str">
        <f>VLOOKUP($A266,Questions!$A$3:$L$333,12,0)&amp;""</f>
        <v>Privacy</v>
      </c>
      <c r="F266" s="4" t="str">
        <f>VLOOKUP($A266,'Privacy Analyst Evaluation'!$A$46:$K$120,3,0)&amp;""</f>
        <v>Yes</v>
      </c>
      <c r="G266" s="4" t="str">
        <f>VLOOKUP($A266,'Privacy Analyst Evaluation'!$A$46:$K$120,7,0)&amp;""</f>
        <v>Yes</v>
      </c>
      <c r="H266" s="4" t="str">
        <f>VLOOKUP($A266,'Privacy Analyst Evaluation'!$A$46:$K$120,8,0)&amp;""</f>
        <v/>
      </c>
      <c r="I266" s="4" t="str">
        <f>VLOOKUP($A266,'Privacy Analyst Evaluation'!$A$46:$K$120,9,0)&amp;""</f>
        <v>Minor Importance</v>
      </c>
      <c r="J266" s="4" t="str">
        <f>VLOOKUP($A266,'Privacy Analyst Evaluation'!$A$46:$K$120,10,0)&amp;""</f>
        <v/>
      </c>
      <c r="K266" s="4">
        <f>IF($I266='Auto Responses'!$J$11,20,IF($I266='Auto Responses'!$J$13,5,10))</f>
        <v>5</v>
      </c>
      <c r="L266" s="101">
        <f>IF($E266='Auto Responses'!$L$13, 'Auto Responses'!$J$5,IF(AND($D266='Auto Responses'!$J$27,$H266=""),'Auto Responses'!$J$5,IF(AND($D266='Auto Responses'!$J$27,$H266='Auto Responses'!$J$7),1,IF(AND($D266='Auto Responses'!$J$27,$H266='Auto Responses'!$J$8),0,IF(OR(AND($F266=$G266,$H266=""),$H266='Auto Responses'!$J$7),1,0)))))</f>
        <v>1</v>
      </c>
      <c r="M266" s="4" t="str">
        <f>VLOOKUP($A266,'Privacy Analyst Evaluation'!$A$46:$K$120,11,0)&amp;""</f>
        <v>FALSE</v>
      </c>
      <c r="N266" s="4">
        <f>IF($J266='Auto Responses'!$J$11,1,IF(AND($J266="",$I266='Auto Responses'!$J$11),1,0))</f>
        <v>0</v>
      </c>
      <c r="O266" s="101">
        <f>IF(OR($E266='Auto Responses'!$L$13,$F$24='Auto Responses'!$J$4,$F266='Auto Responses'!$J$5),'Auto Responses'!$J$5,IF($J266="",$K266,IF($J266='Auto Responses'!$J$13,5,IF($J266='Auto Responses'!$J$12,10,IF($J266='Auto Responses'!$J$11,20,0)))))</f>
        <v>5</v>
      </c>
      <c r="P266" s="101">
        <f>IF(OR($O266='Auto Responses'!$J$5,$L266='Auto Responses'!$J$5),'Auto Responses'!$J$5,$O266*$L266)</f>
        <v>5</v>
      </c>
      <c r="Q266" s="101">
        <f t="shared" si="29"/>
        <v>0</v>
      </c>
      <c r="R266" s="101">
        <f t="shared" si="33"/>
        <v>0</v>
      </c>
      <c r="S266" s="101">
        <f t="shared" si="30"/>
        <v>0</v>
      </c>
      <c r="T266" s="101">
        <f t="shared" si="31"/>
        <v>0</v>
      </c>
      <c r="U266" s="101">
        <f t="shared" si="34"/>
        <v>67</v>
      </c>
      <c r="V266" s="101">
        <f t="shared" si="32"/>
        <v>0</v>
      </c>
    </row>
    <row r="267" spans="1:22" ht="57" customHeight="1" x14ac:dyDescent="0.2">
      <c r="A267" s="4" t="str">
        <f>Questions!$A267</f>
        <v>PRPO-06</v>
      </c>
      <c r="B267" s="4" t="str">
        <f t="shared" si="28"/>
        <v>PRPO</v>
      </c>
      <c r="C267" s="4" t="str">
        <f>VLOOKUP($A267,Questions!$A$3:$L$333,2,0)&amp;""</f>
        <v>Do you have a privacy awareness/training program?*</v>
      </c>
      <c r="D267" s="4" t="str">
        <f>VLOOKUP($A267,Questions!$A$3:$L$333,11,0)&amp;""</f>
        <v/>
      </c>
      <c r="E267" s="4" t="str">
        <f>VLOOKUP($A267,Questions!$A$3:$L$333,12,0)&amp;""</f>
        <v>Privacy</v>
      </c>
      <c r="F267" s="4" t="str">
        <f>VLOOKUP($A267,'Privacy Analyst Evaluation'!$A$46:$K$120,3,0)&amp;""</f>
        <v>Yes</v>
      </c>
      <c r="G267" s="4" t="str">
        <f>VLOOKUP($A267,'Privacy Analyst Evaluation'!$A$46:$K$120,7,0)&amp;""</f>
        <v>Yes</v>
      </c>
      <c r="H267" s="4" t="str">
        <f>VLOOKUP($A267,'Privacy Analyst Evaluation'!$A$46:$K$120,8,0)&amp;""</f>
        <v/>
      </c>
      <c r="I267" s="4" t="str">
        <f>VLOOKUP($A267,'Privacy Analyst Evaluation'!$A$46:$K$120,9,0)&amp;""</f>
        <v>Critical Importance</v>
      </c>
      <c r="J267" s="4" t="str">
        <f>VLOOKUP($A267,'Privacy Analyst Evaluation'!$A$46:$K$120,10,0)&amp;""</f>
        <v/>
      </c>
      <c r="K267" s="4">
        <f>IF($I267='Auto Responses'!$J$11,20,IF($I267='Auto Responses'!$J$13,5,10))</f>
        <v>20</v>
      </c>
      <c r="L267" s="101">
        <f>IF($E267='Auto Responses'!$L$13, 'Auto Responses'!$J$5,IF(AND($D267='Auto Responses'!$J$27,$H267=""),'Auto Responses'!$J$5,IF(AND($D267='Auto Responses'!$J$27,$H267='Auto Responses'!$J$7),1,IF(AND($D267='Auto Responses'!$J$27,$H267='Auto Responses'!$J$8),0,IF(OR(AND($F267=$G267,$H267=""),$H267='Auto Responses'!$J$7),1,0)))))</f>
        <v>1</v>
      </c>
      <c r="M267" s="4" t="str">
        <f>VLOOKUP($A267,'Privacy Analyst Evaluation'!$A$46:$K$120,11,0)&amp;""</f>
        <v>FALSE</v>
      </c>
      <c r="N267" s="4">
        <f>IF($J267='Auto Responses'!$J$11,1,IF(AND($J267="",$I267='Auto Responses'!$J$11),1,0))</f>
        <v>1</v>
      </c>
      <c r="O267" s="101">
        <f>IF(OR($E267='Auto Responses'!$L$13,$F$24='Auto Responses'!$J$4,$F267='Auto Responses'!$J$5),'Auto Responses'!$J$5,IF($J267="",$K267,IF($J267='Auto Responses'!$J$13,5,IF($J267='Auto Responses'!$J$12,10,IF($J267='Auto Responses'!$J$11,20,0)))))</f>
        <v>20</v>
      </c>
      <c r="P267" s="101">
        <f>IF(OR($O267='Auto Responses'!$J$5,$L267='Auto Responses'!$J$5),'Auto Responses'!$J$5,$O267*$L267)</f>
        <v>20</v>
      </c>
      <c r="Q267" s="101">
        <f t="shared" si="29"/>
        <v>0</v>
      </c>
      <c r="R267" s="101">
        <f t="shared" si="33"/>
        <v>0</v>
      </c>
      <c r="S267" s="101">
        <f t="shared" si="30"/>
        <v>0</v>
      </c>
      <c r="T267" s="101">
        <f t="shared" si="31"/>
        <v>1</v>
      </c>
      <c r="U267" s="101">
        <f t="shared" si="34"/>
        <v>68</v>
      </c>
      <c r="V267" s="101">
        <f t="shared" si="32"/>
        <v>68</v>
      </c>
    </row>
    <row r="268" spans="1:22" ht="57" customHeight="1" x14ac:dyDescent="0.2">
      <c r="A268" s="4" t="str">
        <f>Questions!$A268</f>
        <v>PRPO-07</v>
      </c>
      <c r="B268" s="4" t="str">
        <f t="shared" si="28"/>
        <v>PRPO</v>
      </c>
      <c r="C268" s="4" t="str">
        <f>VLOOKUP($A268,Questions!$A$3:$L$333,2,0)&amp;""</f>
        <v>Is privacy awareness training mandatory for all employees?</v>
      </c>
      <c r="D268" s="4" t="str">
        <f>VLOOKUP($A268,Questions!$A$3:$L$333,11,0)&amp;""</f>
        <v/>
      </c>
      <c r="E268" s="4" t="str">
        <f>VLOOKUP($A268,Questions!$A$3:$L$333,12,0)&amp;""</f>
        <v>Privacy</v>
      </c>
      <c r="F268" s="4" t="str">
        <f>VLOOKUP($A268,'Privacy Analyst Evaluation'!$A$46:$K$120,3,0)&amp;""</f>
        <v>Yes</v>
      </c>
      <c r="G268" s="4" t="str">
        <f>VLOOKUP($A268,'Privacy Analyst Evaluation'!$A$46:$K$120,7,0)&amp;""</f>
        <v>Yes</v>
      </c>
      <c r="H268" s="4" t="str">
        <f>VLOOKUP($A268,'Privacy Analyst Evaluation'!$A$46:$K$120,8,0)&amp;""</f>
        <v/>
      </c>
      <c r="I268" s="4" t="str">
        <f>VLOOKUP($A268,'Privacy Analyst Evaluation'!$A$46:$K$120,9,0)&amp;""</f>
        <v>Minor Importance</v>
      </c>
      <c r="J268" s="4" t="str">
        <f>VLOOKUP($A268,'Privacy Analyst Evaluation'!$A$46:$K$120,10,0)&amp;""</f>
        <v/>
      </c>
      <c r="K268" s="4">
        <f>IF($I268='Auto Responses'!$J$11,20,IF($I268='Auto Responses'!$J$13,5,10))</f>
        <v>5</v>
      </c>
      <c r="L268" s="101">
        <f>IF($E268='Auto Responses'!$L$13, 'Auto Responses'!$J$5,IF(AND($D268='Auto Responses'!$J$27,$H268=""),'Auto Responses'!$J$5,IF(AND($D268='Auto Responses'!$J$27,$H268='Auto Responses'!$J$7),1,IF(AND($D268='Auto Responses'!$J$27,$H268='Auto Responses'!$J$8),0,IF(OR(AND($F268=$G268,$H268=""),$H268='Auto Responses'!$J$7),1,0)))))</f>
        <v>1</v>
      </c>
      <c r="M268" s="4" t="str">
        <f>VLOOKUP($A268,'Privacy Analyst Evaluation'!$A$46:$K$120,11,0)&amp;""</f>
        <v>FALSE</v>
      </c>
      <c r="N268" s="4">
        <f>IF($J268='Auto Responses'!$J$11,1,IF(AND($J268="",$I268='Auto Responses'!$J$11),1,0))</f>
        <v>0</v>
      </c>
      <c r="O268" s="101">
        <f>IF(OR($E268='Auto Responses'!$L$13,$F$24='Auto Responses'!$J$4,$F268='Auto Responses'!$J$5),'Auto Responses'!$J$5,IF($J268="",$K268,IF($J268='Auto Responses'!$J$13,5,IF($J268='Auto Responses'!$J$12,10,IF($J268='Auto Responses'!$J$11,20,0)))))</f>
        <v>5</v>
      </c>
      <c r="P268" s="101">
        <f>IF(OR($O268='Auto Responses'!$J$5,$L268='Auto Responses'!$J$5),'Auto Responses'!$J$5,$O268*$L268)</f>
        <v>5</v>
      </c>
      <c r="Q268" s="101">
        <f t="shared" si="29"/>
        <v>0</v>
      </c>
      <c r="R268" s="101">
        <f t="shared" si="33"/>
        <v>0</v>
      </c>
      <c r="S268" s="101">
        <f t="shared" si="30"/>
        <v>0</v>
      </c>
      <c r="T268" s="101">
        <f t="shared" si="31"/>
        <v>0</v>
      </c>
      <c r="U268" s="101">
        <f t="shared" si="34"/>
        <v>68</v>
      </c>
      <c r="V268" s="101">
        <f t="shared" si="32"/>
        <v>0</v>
      </c>
    </row>
    <row r="269" spans="1:22" ht="57" customHeight="1" x14ac:dyDescent="0.2">
      <c r="A269" s="4" t="str">
        <f>Questions!$A269</f>
        <v>PRPO-08</v>
      </c>
      <c r="B269" s="4" t="str">
        <f t="shared" si="28"/>
        <v>PRPO</v>
      </c>
      <c r="C269" s="4" t="str">
        <f>VLOOKUP($A269,Questions!$A$3:$L$333,2,0)&amp;""</f>
        <v>Is AI privacy and ethics awareness/training required for all employees who work with AI?</v>
      </c>
      <c r="D269" s="4" t="str">
        <f>VLOOKUP($A269,Questions!$A$3:$L$333,11,0)&amp;""</f>
        <v/>
      </c>
      <c r="E269" s="4" t="str">
        <f>VLOOKUP($A269,Questions!$A$3:$L$333,12,0)&amp;""</f>
        <v>Privacy</v>
      </c>
      <c r="F269" s="4" t="str">
        <f>VLOOKUP($A269,'Privacy Analyst Evaluation'!$A$46:$K$120,3,0)&amp;""</f>
        <v>Yes</v>
      </c>
      <c r="G269" s="4" t="str">
        <f>VLOOKUP($A269,'Privacy Analyst Evaluation'!$A$46:$K$120,7,0)&amp;""</f>
        <v>Yes</v>
      </c>
      <c r="H269" s="4" t="str">
        <f>VLOOKUP($A269,'Privacy Analyst Evaluation'!$A$46:$K$120,8,0)&amp;""</f>
        <v/>
      </c>
      <c r="I269" s="4" t="str">
        <f>VLOOKUP($A269,'Privacy Analyst Evaluation'!$A$46:$K$120,9,0)&amp;""</f>
        <v>Minor Importance</v>
      </c>
      <c r="J269" s="4" t="str">
        <f>VLOOKUP($A269,'Privacy Analyst Evaluation'!$A$46:$K$120,10,0)&amp;""</f>
        <v/>
      </c>
      <c r="K269" s="4">
        <f>IF($I269='Auto Responses'!$J$11,20,IF($I269='Auto Responses'!$J$13,5,10))</f>
        <v>5</v>
      </c>
      <c r="L269" s="101">
        <f>IF($E269='Auto Responses'!$L$13, 'Auto Responses'!$J$5,IF(AND($D269='Auto Responses'!$J$27,$H269=""),'Auto Responses'!$J$5,IF(AND($D269='Auto Responses'!$J$27,$H269='Auto Responses'!$J$7),1,IF(AND($D269='Auto Responses'!$J$27,$H269='Auto Responses'!$J$8),0,IF(OR(AND($F269=$G269,$H269=""),$H269='Auto Responses'!$J$7),1,0)))))</f>
        <v>1</v>
      </c>
      <c r="M269" s="4" t="str">
        <f>VLOOKUP($A269,'Privacy Analyst Evaluation'!$A$46:$K$120,11,0)&amp;""</f>
        <v>FALSE</v>
      </c>
      <c r="N269" s="4">
        <f>IF($J269='Auto Responses'!$J$11,1,IF(AND($J269="",$I269='Auto Responses'!$J$11),1,0))</f>
        <v>0</v>
      </c>
      <c r="O269" s="101">
        <f>IF(OR($E269='Auto Responses'!$L$13,$F$24='Auto Responses'!$J$4,$F269='Auto Responses'!$J$5),'Auto Responses'!$J$5,IF($J269="",$K269,IF($J269='Auto Responses'!$J$13,5,IF($J269='Auto Responses'!$J$12,10,IF($J269='Auto Responses'!$J$11,20,0)))))</f>
        <v>5</v>
      </c>
      <c r="P269" s="101">
        <f>IF(OR($O269='Auto Responses'!$J$5,$L269='Auto Responses'!$J$5),'Auto Responses'!$J$5,$O269*$L269)</f>
        <v>5</v>
      </c>
      <c r="Q269" s="101">
        <f t="shared" si="29"/>
        <v>0</v>
      </c>
      <c r="R269" s="101">
        <f t="shared" si="33"/>
        <v>0</v>
      </c>
      <c r="S269" s="101">
        <f t="shared" si="30"/>
        <v>0</v>
      </c>
      <c r="T269" s="101">
        <f t="shared" si="31"/>
        <v>0</v>
      </c>
      <c r="U269" s="101">
        <f t="shared" si="34"/>
        <v>68</v>
      </c>
      <c r="V269" s="101">
        <f t="shared" si="32"/>
        <v>0</v>
      </c>
    </row>
    <row r="270" spans="1:22" ht="57" customHeight="1" x14ac:dyDescent="0.2">
      <c r="A270" s="4" t="str">
        <f>Questions!$A270</f>
        <v>PRPO-09</v>
      </c>
      <c r="B270" s="4" t="str">
        <f t="shared" si="28"/>
        <v>PRPO</v>
      </c>
      <c r="C270" s="4" t="str">
        <f>VLOOKUP($A270,Questions!$A$3:$L$333,2,0)&amp;""</f>
        <v>Do you have any decision-making processes that are completely automated (i.e., there is no human involvement)?</v>
      </c>
      <c r="D270" s="4" t="str">
        <f>VLOOKUP($A270,Questions!$A$3:$L$333,11,0)&amp;""</f>
        <v/>
      </c>
      <c r="E270" s="4" t="str">
        <f>VLOOKUP($A270,Questions!$A$3:$L$333,12,0)&amp;""</f>
        <v>Privacy</v>
      </c>
      <c r="F270" s="4" t="str">
        <f>VLOOKUP($A270,'Privacy Analyst Evaluation'!$A$46:$K$120,3,0)&amp;""</f>
        <v>No</v>
      </c>
      <c r="G270" s="4" t="str">
        <f>VLOOKUP($A270,'Privacy Analyst Evaluation'!$A$46:$K$120,7,0)&amp;""</f>
        <v>No</v>
      </c>
      <c r="H270" s="4" t="str">
        <f>VLOOKUP($A270,'Privacy Analyst Evaluation'!$A$46:$K$120,8,0)&amp;""</f>
        <v/>
      </c>
      <c r="I270" s="4" t="str">
        <f>VLOOKUP($A270,'Privacy Analyst Evaluation'!$A$46:$K$120,9,0)&amp;""</f>
        <v>Minor Importance</v>
      </c>
      <c r="J270" s="4" t="str">
        <f>VLOOKUP($A270,'Privacy Analyst Evaluation'!$A$46:$K$120,10,0)&amp;""</f>
        <v/>
      </c>
      <c r="K270" s="4">
        <f>IF($I270='Auto Responses'!$J$11,20,IF($I270='Auto Responses'!$J$13,5,10))</f>
        <v>5</v>
      </c>
      <c r="L270" s="101">
        <f>IF($E270='Auto Responses'!$L$13, 'Auto Responses'!$J$5,IF(AND($D270='Auto Responses'!$J$27,$H270=""),'Auto Responses'!$J$5,IF(AND($D270='Auto Responses'!$J$27,$H270='Auto Responses'!$J$7),1,IF(AND($D270='Auto Responses'!$J$27,$H270='Auto Responses'!$J$8),0,IF(OR(AND($F270=$G270,$H270=""),$H270='Auto Responses'!$J$7),1,0)))))</f>
        <v>1</v>
      </c>
      <c r="M270" s="4" t="str">
        <f>VLOOKUP($A270,'Privacy Analyst Evaluation'!$A$46:$K$120,11,0)&amp;""</f>
        <v>FALSE</v>
      </c>
      <c r="N270" s="4">
        <f>IF($J270='Auto Responses'!$J$11,1,IF(AND($J270="",$I270='Auto Responses'!$J$11),1,0))</f>
        <v>0</v>
      </c>
      <c r="O270" s="101">
        <f>IF(OR($E270='Auto Responses'!$L$13,$F$24='Auto Responses'!$J$4,$F270='Auto Responses'!$J$5),'Auto Responses'!$J$5,IF($J270="",$K270,IF($J270='Auto Responses'!$J$13,5,IF($J270='Auto Responses'!$J$12,10,IF($J270='Auto Responses'!$J$11,20,0)))))</f>
        <v>5</v>
      </c>
      <c r="P270" s="101">
        <f>IF(OR($O270='Auto Responses'!$J$5,$L270='Auto Responses'!$J$5),'Auto Responses'!$J$5,$O270*$L270)</f>
        <v>5</v>
      </c>
      <c r="Q270" s="101">
        <f t="shared" si="29"/>
        <v>0</v>
      </c>
      <c r="R270" s="101">
        <f t="shared" si="33"/>
        <v>0</v>
      </c>
      <c r="S270" s="101">
        <f t="shared" si="30"/>
        <v>0</v>
      </c>
      <c r="T270" s="101">
        <f t="shared" si="31"/>
        <v>0</v>
      </c>
      <c r="U270" s="101">
        <f t="shared" si="34"/>
        <v>68</v>
      </c>
      <c r="V270" s="101">
        <f t="shared" si="32"/>
        <v>0</v>
      </c>
    </row>
    <row r="271" spans="1:22" ht="57" customHeight="1" x14ac:dyDescent="0.2">
      <c r="A271" s="4" t="str">
        <f>Questions!$A271</f>
        <v>PRPO-10</v>
      </c>
      <c r="B271" s="4" t="str">
        <f t="shared" si="28"/>
        <v>PRPO</v>
      </c>
      <c r="C271" s="4" t="str">
        <f>VLOOKUP($A271,Questions!$A$3:$L$333,2,0)&amp;""</f>
        <v>Do you have a documented process for managing automated processing, including validations, monitoring, and data subject requests?</v>
      </c>
      <c r="D271" s="4" t="str">
        <f>VLOOKUP($A271,Questions!$A$3:$L$333,11,0)&amp;""</f>
        <v/>
      </c>
      <c r="E271" s="4" t="str">
        <f>VLOOKUP($A271,Questions!$A$3:$L$333,12,0)&amp;""</f>
        <v>Privacy</v>
      </c>
      <c r="F271" s="4" t="str">
        <f>VLOOKUP($A271,'Privacy Analyst Evaluation'!$A$46:$K$120,3,0)&amp;""</f>
        <v>Yes</v>
      </c>
      <c r="G271" s="4" t="str">
        <f>VLOOKUP($A271,'Privacy Analyst Evaluation'!$A$46:$K$120,7,0)&amp;""</f>
        <v>Yes</v>
      </c>
      <c r="H271" s="4" t="str">
        <f>VLOOKUP($A271,'Privacy Analyst Evaluation'!$A$46:$K$120,8,0)&amp;""</f>
        <v/>
      </c>
      <c r="I271" s="4" t="str">
        <f>VLOOKUP($A271,'Privacy Analyst Evaluation'!$A$46:$K$120,9,0)&amp;""</f>
        <v>Minor Importance</v>
      </c>
      <c r="J271" s="4" t="str">
        <f>VLOOKUP($A271,'Privacy Analyst Evaluation'!$A$46:$K$120,10,0)&amp;""</f>
        <v/>
      </c>
      <c r="K271" s="4">
        <f>IF($I271='Auto Responses'!$J$11,20,IF($I271='Auto Responses'!$J$13,5,10))</f>
        <v>5</v>
      </c>
      <c r="L271" s="101">
        <f>IF($E271='Auto Responses'!$L$13, 'Auto Responses'!$J$5,IF(AND($D271='Auto Responses'!$J$27,$H271=""),'Auto Responses'!$J$5,IF(AND($D271='Auto Responses'!$J$27,$H271='Auto Responses'!$J$7),1,IF(AND($D271='Auto Responses'!$J$27,$H271='Auto Responses'!$J$8),0,IF(OR(AND($F271=$G271,$H271=""),$H271='Auto Responses'!$J$7),1,0)))))</f>
        <v>1</v>
      </c>
      <c r="M271" s="4" t="str">
        <f>VLOOKUP($A271,'Privacy Analyst Evaluation'!$A$46:$K$120,11,0)&amp;""</f>
        <v>FALSE</v>
      </c>
      <c r="N271" s="4">
        <f>IF($J271='Auto Responses'!$J$11,1,IF(AND($J271="",$I271='Auto Responses'!$J$11),1,0))</f>
        <v>0</v>
      </c>
      <c r="O271" s="101">
        <f>IF(OR($E271='Auto Responses'!$L$13,$F$24='Auto Responses'!$J$4,$F271='Auto Responses'!$J$5),'Auto Responses'!$J$5,IF($J271="",$K271,IF($J271='Auto Responses'!$J$13,5,IF($J271='Auto Responses'!$J$12,10,IF($J271='Auto Responses'!$J$11,20,0)))))</f>
        <v>5</v>
      </c>
      <c r="P271" s="101">
        <f>IF(OR($O271='Auto Responses'!$J$5,$L271='Auto Responses'!$J$5),'Auto Responses'!$J$5,$O271*$L271)</f>
        <v>5</v>
      </c>
      <c r="Q271" s="101">
        <f t="shared" si="29"/>
        <v>0</v>
      </c>
      <c r="R271" s="101">
        <f t="shared" si="33"/>
        <v>0</v>
      </c>
      <c r="S271" s="101">
        <f t="shared" si="30"/>
        <v>0</v>
      </c>
      <c r="T271" s="101">
        <f t="shared" si="31"/>
        <v>0</v>
      </c>
      <c r="U271" s="101">
        <f t="shared" si="34"/>
        <v>68</v>
      </c>
      <c r="V271" s="101">
        <f t="shared" si="32"/>
        <v>0</v>
      </c>
    </row>
    <row r="272" spans="1:22" ht="57" customHeight="1" x14ac:dyDescent="0.2">
      <c r="A272" s="4" t="str">
        <f>Questions!$A272</f>
        <v>PRPO-11</v>
      </c>
      <c r="B272" s="4" t="str">
        <f t="shared" si="28"/>
        <v>PRPO</v>
      </c>
      <c r="C272" s="4" t="str">
        <f>VLOOKUP($A272,Questions!$A$3:$L$333,2,0)&amp;""</f>
        <v>Do you have a documented policy for sharing information with law enforcement?</v>
      </c>
      <c r="D272" s="4" t="str">
        <f>VLOOKUP($A272,Questions!$A$3:$L$333,11,0)&amp;""</f>
        <v/>
      </c>
      <c r="E272" s="4" t="str">
        <f>VLOOKUP($A272,Questions!$A$3:$L$333,12,0)&amp;""</f>
        <v>Privacy</v>
      </c>
      <c r="F272" s="4" t="str">
        <f>VLOOKUP($A272,'Privacy Analyst Evaluation'!$A$46:$K$120,3,0)&amp;""</f>
        <v>Yes</v>
      </c>
      <c r="G272" s="4" t="str">
        <f>VLOOKUP($A272,'Privacy Analyst Evaluation'!$A$46:$K$120,7,0)&amp;""</f>
        <v>Yes</v>
      </c>
      <c r="H272" s="4" t="str">
        <f>VLOOKUP($A272,'Privacy Analyst Evaluation'!$A$46:$K$120,8,0)&amp;""</f>
        <v/>
      </c>
      <c r="I272" s="4" t="str">
        <f>VLOOKUP($A272,'Privacy Analyst Evaluation'!$A$46:$K$120,9,0)&amp;""</f>
        <v>Minor Importance</v>
      </c>
      <c r="J272" s="4" t="str">
        <f>VLOOKUP($A272,'Privacy Analyst Evaluation'!$A$46:$K$120,10,0)&amp;""</f>
        <v/>
      </c>
      <c r="K272" s="4">
        <f>IF($I272='Auto Responses'!$J$11,20,IF($I272='Auto Responses'!$J$13,5,10))</f>
        <v>5</v>
      </c>
      <c r="L272" s="101">
        <f>IF($E272='Auto Responses'!$L$13, 'Auto Responses'!$J$5,IF(AND($D272='Auto Responses'!$J$27,$H272=""),'Auto Responses'!$J$5,IF(AND($D272='Auto Responses'!$J$27,$H272='Auto Responses'!$J$7),1,IF(AND($D272='Auto Responses'!$J$27,$H272='Auto Responses'!$J$8),0,IF(OR(AND($F272=$G272,$H272=""),$H272='Auto Responses'!$J$7),1,0)))))</f>
        <v>1</v>
      </c>
      <c r="M272" s="4" t="str">
        <f>VLOOKUP($A272,'Privacy Analyst Evaluation'!$A$46:$K$120,11,0)&amp;""</f>
        <v>FALSE</v>
      </c>
      <c r="N272" s="4">
        <f>IF($J272='Auto Responses'!$J$11,1,IF(AND($J272="",$I272='Auto Responses'!$J$11),1,0))</f>
        <v>0</v>
      </c>
      <c r="O272" s="101">
        <f>IF(OR($E272='Auto Responses'!$L$13,$F$24='Auto Responses'!$J$4,$F272='Auto Responses'!$J$5),'Auto Responses'!$J$5,IF($J272="",$K272,IF($J272='Auto Responses'!$J$13,5,IF($J272='Auto Responses'!$J$12,10,IF($J272='Auto Responses'!$J$11,20,0)))))</f>
        <v>5</v>
      </c>
      <c r="P272" s="101">
        <f>IF(OR($O272='Auto Responses'!$J$5,$L272='Auto Responses'!$J$5),'Auto Responses'!$J$5,$O272*$L272)</f>
        <v>5</v>
      </c>
      <c r="Q272" s="101">
        <f t="shared" si="29"/>
        <v>0</v>
      </c>
      <c r="R272" s="101">
        <f t="shared" si="33"/>
        <v>0</v>
      </c>
      <c r="S272" s="101">
        <f t="shared" si="30"/>
        <v>0</v>
      </c>
      <c r="T272" s="101">
        <f t="shared" si="31"/>
        <v>0</v>
      </c>
      <c r="U272" s="101">
        <f t="shared" si="34"/>
        <v>68</v>
      </c>
      <c r="V272" s="101">
        <f t="shared" si="32"/>
        <v>0</v>
      </c>
    </row>
    <row r="273" spans="1:22" ht="57" customHeight="1" x14ac:dyDescent="0.2">
      <c r="A273" s="4" t="str">
        <f>Questions!$A273</f>
        <v>PRPO-12</v>
      </c>
      <c r="B273" s="4" t="str">
        <f t="shared" si="28"/>
        <v>PRPO</v>
      </c>
      <c r="C273" s="4" t="str">
        <f>VLOOKUP($A273,Questions!$A$3:$L$333,2,0)&amp;""</f>
        <v>Do you share any institutional data with law enforcement without a valid warrant or subpoena?*</v>
      </c>
      <c r="D273" s="4" t="str">
        <f>VLOOKUP($A273,Questions!$A$3:$L$333,11,0)&amp;""</f>
        <v/>
      </c>
      <c r="E273" s="4" t="str">
        <f>VLOOKUP($A273,Questions!$A$3:$L$333,12,0)&amp;""</f>
        <v>Privacy</v>
      </c>
      <c r="F273" s="4" t="str">
        <f>VLOOKUP($A273,'Privacy Analyst Evaluation'!$A$46:$K$120,3,0)&amp;""</f>
        <v>No</v>
      </c>
      <c r="G273" s="4" t="str">
        <f>VLOOKUP($A273,'Privacy Analyst Evaluation'!$A$46:$K$120,7,0)&amp;""</f>
        <v>No</v>
      </c>
      <c r="H273" s="4" t="str">
        <f>VLOOKUP($A273,'Privacy Analyst Evaluation'!$A$46:$K$120,8,0)&amp;""</f>
        <v/>
      </c>
      <c r="I273" s="4" t="str">
        <f>VLOOKUP($A273,'Privacy Analyst Evaluation'!$A$46:$K$120,9,0)&amp;""</f>
        <v>Critical Importance</v>
      </c>
      <c r="J273" s="4" t="str">
        <f>VLOOKUP($A273,'Privacy Analyst Evaluation'!$A$46:$K$120,10,0)&amp;""</f>
        <v/>
      </c>
      <c r="K273" s="4">
        <f>IF($I273='Auto Responses'!$J$11,20,IF($I273='Auto Responses'!$J$13,5,10))</f>
        <v>20</v>
      </c>
      <c r="L273" s="101">
        <f>IF($E273='Auto Responses'!$L$13, 'Auto Responses'!$J$5,IF(AND($D273='Auto Responses'!$J$27,$H273=""),'Auto Responses'!$J$5,IF(AND($D273='Auto Responses'!$J$27,$H273='Auto Responses'!$J$7),1,IF(AND($D273='Auto Responses'!$J$27,$H273='Auto Responses'!$J$8),0,IF(OR(AND($F273=$G273,$H273=""),$H273='Auto Responses'!$J$7),1,0)))))</f>
        <v>1</v>
      </c>
      <c r="M273" s="4" t="str">
        <f>VLOOKUP($A273,'Privacy Analyst Evaluation'!$A$46:$K$120,11,0)&amp;""</f>
        <v>FALSE</v>
      </c>
      <c r="N273" s="4">
        <f>IF($J273='Auto Responses'!$J$11,1,IF(AND($J273="",$I273='Auto Responses'!$J$11),1,0))</f>
        <v>1</v>
      </c>
      <c r="O273" s="101">
        <f>IF(OR($E273='Auto Responses'!$L$13,$F$24='Auto Responses'!$J$4,$F273='Auto Responses'!$J$5),'Auto Responses'!$J$5,IF($J273="",$K273,IF($J273='Auto Responses'!$J$13,5,IF($J273='Auto Responses'!$J$12,10,IF($J273='Auto Responses'!$J$11,20,0)))))</f>
        <v>20</v>
      </c>
      <c r="P273" s="101">
        <f>IF(OR($O273='Auto Responses'!$J$5,$L273='Auto Responses'!$J$5),'Auto Responses'!$J$5,$O273*$L273)</f>
        <v>20</v>
      </c>
      <c r="Q273" s="101">
        <f t="shared" si="29"/>
        <v>0</v>
      </c>
      <c r="R273" s="101">
        <f t="shared" si="33"/>
        <v>0</v>
      </c>
      <c r="S273" s="101">
        <f t="shared" si="30"/>
        <v>0</v>
      </c>
      <c r="T273" s="101">
        <f t="shared" si="31"/>
        <v>1</v>
      </c>
      <c r="U273" s="101">
        <f t="shared" si="34"/>
        <v>69</v>
      </c>
      <c r="V273" s="101">
        <f t="shared" si="32"/>
        <v>69</v>
      </c>
    </row>
    <row r="274" spans="1:22" ht="57" customHeight="1" x14ac:dyDescent="0.2">
      <c r="A274" s="4" t="str">
        <f>Questions!$A274</f>
        <v>PRPO-13</v>
      </c>
      <c r="B274" s="4" t="str">
        <f t="shared" si="28"/>
        <v>PRPO</v>
      </c>
      <c r="C274" s="4" t="str">
        <f>VLOOKUP($A274,Questions!$A$3:$L$333,2,0)&amp;""</f>
        <v>Does your incident response team include a privacy analyst/officer?</v>
      </c>
      <c r="D274" s="4" t="str">
        <f>VLOOKUP($A274,Questions!$A$3:$L$333,11,0)&amp;""</f>
        <v/>
      </c>
      <c r="E274" s="4" t="str">
        <f>VLOOKUP($A274,Questions!$A$3:$L$333,12,0)&amp;""</f>
        <v>Privacy</v>
      </c>
      <c r="F274" s="4" t="str">
        <f>VLOOKUP($A274,'Privacy Analyst Evaluation'!$A$46:$K$120,3,0)&amp;""</f>
        <v>Yes</v>
      </c>
      <c r="G274" s="4" t="str">
        <f>VLOOKUP($A274,'Privacy Analyst Evaluation'!$A$46:$K$120,7,0)&amp;""</f>
        <v>Yes</v>
      </c>
      <c r="H274" s="4" t="str">
        <f>VLOOKUP($A274,'Privacy Analyst Evaluation'!$A$46:$K$120,8,0)&amp;""</f>
        <v/>
      </c>
      <c r="I274" s="4" t="str">
        <f>VLOOKUP($A274,'Privacy Analyst Evaluation'!$A$46:$K$120,9,0)&amp;""</f>
        <v>Minor Importance</v>
      </c>
      <c r="J274" s="4" t="str">
        <f>VLOOKUP($A274,'Privacy Analyst Evaluation'!$A$46:$K$120,10,0)&amp;""</f>
        <v/>
      </c>
      <c r="K274" s="4">
        <f>IF($I274='Auto Responses'!$J$11,20,IF($I274='Auto Responses'!$J$13,5,10))</f>
        <v>5</v>
      </c>
      <c r="L274" s="101">
        <f>IF($E274='Auto Responses'!$L$13, 'Auto Responses'!$J$5,IF(AND($D274='Auto Responses'!$J$27,$H274=""),'Auto Responses'!$J$5,IF(AND($D274='Auto Responses'!$J$27,$H274='Auto Responses'!$J$7),1,IF(AND($D274='Auto Responses'!$J$27,$H274='Auto Responses'!$J$8),0,IF(OR(AND($F274=$G274,$H274=""),$H274='Auto Responses'!$J$7),1,0)))))</f>
        <v>1</v>
      </c>
      <c r="M274" s="4" t="str">
        <f>VLOOKUP($A274,'Privacy Analyst Evaluation'!$A$46:$K$120,11,0)&amp;""</f>
        <v>FALSE</v>
      </c>
      <c r="N274" s="4">
        <f>IF($J274='Auto Responses'!$J$11,1,IF(AND($J274="",$I274='Auto Responses'!$J$11),1,0))</f>
        <v>0</v>
      </c>
      <c r="O274" s="101">
        <f>IF(OR($E274='Auto Responses'!$L$13,$F$24='Auto Responses'!$J$4,$F274='Auto Responses'!$J$5),'Auto Responses'!$J$5,IF($J274="",$K274,IF($J274='Auto Responses'!$J$13,5,IF($J274='Auto Responses'!$J$12,10,IF($J274='Auto Responses'!$J$11,20,0)))))</f>
        <v>5</v>
      </c>
      <c r="P274" s="101">
        <f>IF(OR($O274='Auto Responses'!$J$5,$L274='Auto Responses'!$J$5),'Auto Responses'!$J$5,$O274*$L274)</f>
        <v>5</v>
      </c>
      <c r="Q274" s="101">
        <f t="shared" si="29"/>
        <v>0</v>
      </c>
      <c r="R274" s="101">
        <f t="shared" si="33"/>
        <v>0</v>
      </c>
      <c r="S274" s="101">
        <f t="shared" si="30"/>
        <v>0</v>
      </c>
      <c r="T274" s="101">
        <f t="shared" si="31"/>
        <v>0</v>
      </c>
      <c r="U274" s="101">
        <f t="shared" si="34"/>
        <v>69</v>
      </c>
      <c r="V274" s="101">
        <f t="shared" si="32"/>
        <v>0</v>
      </c>
    </row>
    <row r="275" spans="1:22" ht="57" customHeight="1" x14ac:dyDescent="0.2">
      <c r="A275" s="4" t="str">
        <f>Questions!$A275</f>
        <v>INTL-01</v>
      </c>
      <c r="B275" s="4" t="str">
        <f t="shared" si="28"/>
        <v>INTL</v>
      </c>
      <c r="C275" s="4" t="str">
        <f>VLOOKUP($A275,Questions!$A$3:$L$333,2,0)&amp;""</f>
        <v>Will data be collected from or processed in or stored in the European Economic Area (EEA)?</v>
      </c>
      <c r="D275" s="4" t="str">
        <f>VLOOKUP($A275,Questions!$A$3:$L$333,11,0)&amp;""</f>
        <v/>
      </c>
      <c r="E275" s="4" t="str">
        <f>VLOOKUP($A275,Questions!$A$3:$L$333,12,0)&amp;""</f>
        <v>Privacy</v>
      </c>
      <c r="F275" s="4" t="str">
        <f>VLOOKUP($A275,'Privacy Analyst Evaluation'!$A$46:$K$120,3,0)&amp;""</f>
        <v>Yes</v>
      </c>
      <c r="G275" s="4" t="str">
        <f>VLOOKUP($A275,'Privacy Analyst Evaluation'!$A$46:$K$120,7,0)&amp;""</f>
        <v>No</v>
      </c>
      <c r="H275" s="4" t="str">
        <f>VLOOKUP($A275,'Privacy Analyst Evaluation'!$A$46:$K$120,8,0)&amp;""</f>
        <v/>
      </c>
      <c r="I275" s="4" t="str">
        <f>VLOOKUP($A275,'Privacy Analyst Evaluation'!$A$46:$K$120,9,0)&amp;""</f>
        <v>Standard Importance</v>
      </c>
      <c r="J275" s="4" t="str">
        <f>VLOOKUP($A275,'Privacy Analyst Evaluation'!$A$46:$K$120,10,0)&amp;""</f>
        <v/>
      </c>
      <c r="K275" s="4">
        <f>IF($I275='Auto Responses'!$J$11,20,IF($I275='Auto Responses'!$J$13,5,10))</f>
        <v>10</v>
      </c>
      <c r="L275" s="101">
        <f>IF($E275='Auto Responses'!$L$13, 'Auto Responses'!$J$5,IF(AND($D275='Auto Responses'!$J$27,$H275=""),'Auto Responses'!$J$5,IF(AND($D275='Auto Responses'!$J$27,$H275='Auto Responses'!$J$7),1,IF(AND($D275='Auto Responses'!$J$27,$H275='Auto Responses'!$J$8),0,IF(OR(AND($F275=$G275,$H275=""),$H275='Auto Responses'!$J$7),1,0)))))</f>
        <v>0</v>
      </c>
      <c r="M275" s="4" t="str">
        <f>VLOOKUP($A275,'Privacy Analyst Evaluation'!$A$46:$K$120,11,0)&amp;""</f>
        <v>FALSE</v>
      </c>
      <c r="N275" s="4">
        <f>IF($J275='Auto Responses'!$J$11,1,IF(AND($J275="",$I275='Auto Responses'!$J$11),1,0))</f>
        <v>0</v>
      </c>
      <c r="O275" s="101">
        <f>IF(OR($E275='Auto Responses'!$L$13,$F$24='Auto Responses'!$J$4,$F275='Auto Responses'!$J$5),'Auto Responses'!$J$5,IF($J275="",$K275,IF($J275='Auto Responses'!$J$13,5,IF($J275='Auto Responses'!$J$12,10,IF($J275='Auto Responses'!$J$11,20,0)))))</f>
        <v>10</v>
      </c>
      <c r="P275" s="101">
        <f>IF(OR($O275='Auto Responses'!$J$5,$L275='Auto Responses'!$J$5),'Auto Responses'!$J$5,$O275*$L275)</f>
        <v>0</v>
      </c>
      <c r="Q275" s="101">
        <f t="shared" si="29"/>
        <v>0</v>
      </c>
      <c r="R275" s="101">
        <f t="shared" si="33"/>
        <v>0</v>
      </c>
      <c r="S275" s="101">
        <f t="shared" si="30"/>
        <v>0</v>
      </c>
      <c r="T275" s="101">
        <f t="shared" si="31"/>
        <v>0</v>
      </c>
      <c r="U275" s="101">
        <f t="shared" si="34"/>
        <v>69</v>
      </c>
      <c r="V275" s="101">
        <f t="shared" si="32"/>
        <v>0</v>
      </c>
    </row>
    <row r="276" spans="1:22" ht="57" customHeight="1" x14ac:dyDescent="0.2">
      <c r="A276" s="4" t="str">
        <f>Questions!$A276</f>
        <v>INTL-02</v>
      </c>
      <c r="B276" s="4" t="str">
        <f t="shared" si="28"/>
        <v>INTL</v>
      </c>
      <c r="C276" s="4" t="str">
        <f>VLOOKUP($A276,Questions!$A$3:$L$333,2,0)&amp;""</f>
        <v>Do you have a data protection officer (DPO)?</v>
      </c>
      <c r="D276" s="4" t="str">
        <f>VLOOKUP($A276,Questions!$A$3:$L$333,11,0)&amp;""</f>
        <v/>
      </c>
      <c r="E276" s="4" t="str">
        <f>VLOOKUP($A276,Questions!$A$3:$L$333,12,0)&amp;""</f>
        <v>Privacy</v>
      </c>
      <c r="F276" s="4" t="str">
        <f>VLOOKUP($A276,'Privacy Analyst Evaluation'!$A$46:$K$120,3,0)&amp;""</f>
        <v>Yes</v>
      </c>
      <c r="G276" s="4" t="str">
        <f>VLOOKUP($A276,'Privacy Analyst Evaluation'!$A$46:$K$120,7,0)&amp;""</f>
        <v>Yes</v>
      </c>
      <c r="H276" s="4" t="str">
        <f>VLOOKUP($A276,'Privacy Analyst Evaluation'!$A$46:$K$120,8,0)&amp;""</f>
        <v/>
      </c>
      <c r="I276" s="4" t="str">
        <f>VLOOKUP($A276,'Privacy Analyst Evaluation'!$A$46:$K$120,9,0)&amp;""</f>
        <v>Standard Importance</v>
      </c>
      <c r="J276" s="4" t="str">
        <f>VLOOKUP($A276,'Privacy Analyst Evaluation'!$A$46:$K$120,10,0)&amp;""</f>
        <v/>
      </c>
      <c r="K276" s="4">
        <f>IF($I276='Auto Responses'!$J$11,20,IF($I276='Auto Responses'!$J$13,5,10))</f>
        <v>10</v>
      </c>
      <c r="L276" s="101">
        <f>IF($E276='Auto Responses'!$L$13, 'Auto Responses'!$J$5,IF(AND($D276='Auto Responses'!$J$27,$H276=""),'Auto Responses'!$J$5,IF(AND($D276='Auto Responses'!$J$27,$H276='Auto Responses'!$J$7),1,IF(AND($D276='Auto Responses'!$J$27,$H276='Auto Responses'!$J$8),0,IF(OR(AND($F276=$G276,$H276=""),$H276='Auto Responses'!$J$7),1,0)))))</f>
        <v>1</v>
      </c>
      <c r="M276" s="4" t="str">
        <f>VLOOKUP($A276,'Privacy Analyst Evaluation'!$A$46:$K$120,11,0)&amp;""</f>
        <v>FALSE</v>
      </c>
      <c r="N276" s="4">
        <f>IF($J276='Auto Responses'!$J$11,1,IF(AND($J276="",$I276='Auto Responses'!$J$11),1,0))</f>
        <v>0</v>
      </c>
      <c r="O276" s="101">
        <f>IF(OR($E276='Auto Responses'!$L$13,$F$24='Auto Responses'!$J$4,$F276='Auto Responses'!$J$5),'Auto Responses'!$J$5,IF($J276="",$K276,IF($J276='Auto Responses'!$J$13,5,IF($J276='Auto Responses'!$J$12,10,IF($J276='Auto Responses'!$J$11,20,0)))))</f>
        <v>10</v>
      </c>
      <c r="P276" s="101">
        <f>IF(OR($O276='Auto Responses'!$J$5,$L276='Auto Responses'!$J$5),'Auto Responses'!$J$5,$O276*$L276)</f>
        <v>10</v>
      </c>
      <c r="Q276" s="101">
        <f t="shared" si="29"/>
        <v>0</v>
      </c>
      <c r="R276" s="101">
        <f t="shared" si="33"/>
        <v>0</v>
      </c>
      <c r="S276" s="101">
        <f t="shared" si="30"/>
        <v>0</v>
      </c>
      <c r="T276" s="101">
        <f t="shared" si="31"/>
        <v>0</v>
      </c>
      <c r="U276" s="101">
        <f t="shared" si="34"/>
        <v>69</v>
      </c>
      <c r="V276" s="101">
        <f t="shared" si="32"/>
        <v>0</v>
      </c>
    </row>
    <row r="277" spans="1:22" ht="57" customHeight="1" x14ac:dyDescent="0.2">
      <c r="A277" s="4" t="str">
        <f>Questions!$A277</f>
        <v>INTL-03</v>
      </c>
      <c r="B277" s="4" t="str">
        <f t="shared" si="28"/>
        <v>INTL</v>
      </c>
      <c r="C277" s="4" t="str">
        <f>VLOOKUP($A277,Questions!$A$3:$L$333,2,0)&amp;""</f>
        <v>Will you sign appropriate GDPR Standard Contractual Clauses (SCCs) with the institution?</v>
      </c>
      <c r="D277" s="4" t="str">
        <f>VLOOKUP($A277,Questions!$A$3:$L$333,11,0)&amp;""</f>
        <v/>
      </c>
      <c r="E277" s="4" t="str">
        <f>VLOOKUP($A277,Questions!$A$3:$L$333,12,0)&amp;""</f>
        <v>Privacy</v>
      </c>
      <c r="F277" s="4" t="str">
        <f>VLOOKUP($A277,'Privacy Analyst Evaluation'!$A$46:$K$120,3,0)&amp;""</f>
        <v>Yes</v>
      </c>
      <c r="G277" s="4" t="str">
        <f>VLOOKUP($A277,'Privacy Analyst Evaluation'!$A$46:$K$120,7,0)&amp;""</f>
        <v>Yes</v>
      </c>
      <c r="H277" s="4" t="str">
        <f>VLOOKUP($A277,'Privacy Analyst Evaluation'!$A$46:$K$120,8,0)&amp;""</f>
        <v/>
      </c>
      <c r="I277" s="4" t="str">
        <f>VLOOKUP($A277,'Privacy Analyst Evaluation'!$A$46:$K$120,9,0)&amp;""</f>
        <v>Standard Importance</v>
      </c>
      <c r="J277" s="4" t="str">
        <f>VLOOKUP($A277,'Privacy Analyst Evaluation'!$A$46:$K$120,10,0)&amp;""</f>
        <v/>
      </c>
      <c r="K277" s="4">
        <f>IF($I277='Auto Responses'!$J$11,20,IF($I277='Auto Responses'!$J$13,5,10))</f>
        <v>10</v>
      </c>
      <c r="L277" s="101">
        <f>IF($E277='Auto Responses'!$L$13, 'Auto Responses'!$J$5,IF(AND($D277='Auto Responses'!$J$27,$H277=""),'Auto Responses'!$J$5,IF(AND($D277='Auto Responses'!$J$27,$H277='Auto Responses'!$J$7),1,IF(AND($D277='Auto Responses'!$J$27,$H277='Auto Responses'!$J$8),0,IF(OR(AND($F277=$G277,$H277=""),$H277='Auto Responses'!$J$7),1,0)))))</f>
        <v>1</v>
      </c>
      <c r="M277" s="4" t="str">
        <f>VLOOKUP($A277,'Privacy Analyst Evaluation'!$A$46:$K$120,11,0)&amp;""</f>
        <v>FALSE</v>
      </c>
      <c r="N277" s="4">
        <f>IF($J277='Auto Responses'!$J$11,1,IF(AND($J277="",$I277='Auto Responses'!$J$11),1,0))</f>
        <v>0</v>
      </c>
      <c r="O277" s="101">
        <f>IF(OR($E277='Auto Responses'!$L$13,$F$24='Auto Responses'!$J$4,$F277='Auto Responses'!$J$5),'Auto Responses'!$J$5,IF($J277="",$K277,IF($J277='Auto Responses'!$J$13,5,IF($J277='Auto Responses'!$J$12,10,IF($J277='Auto Responses'!$J$11,20,0)))))</f>
        <v>10</v>
      </c>
      <c r="P277" s="101">
        <f>IF(OR($O277='Auto Responses'!$J$5,$L277='Auto Responses'!$J$5),'Auto Responses'!$J$5,$O277*$L277)</f>
        <v>10</v>
      </c>
      <c r="Q277" s="101">
        <f t="shared" si="29"/>
        <v>0</v>
      </c>
      <c r="R277" s="101">
        <f t="shared" si="33"/>
        <v>0</v>
      </c>
      <c r="S277" s="101">
        <f t="shared" si="30"/>
        <v>0</v>
      </c>
      <c r="T277" s="101">
        <f t="shared" si="31"/>
        <v>0</v>
      </c>
      <c r="U277" s="101">
        <f t="shared" si="34"/>
        <v>69</v>
      </c>
      <c r="V277" s="101">
        <f t="shared" si="32"/>
        <v>0</v>
      </c>
    </row>
    <row r="278" spans="1:22" ht="57" customHeight="1" x14ac:dyDescent="0.2">
      <c r="A278" s="4" t="str">
        <f>Questions!$A278</f>
        <v>INTL-04</v>
      </c>
      <c r="B278" s="4" t="str">
        <f t="shared" si="28"/>
        <v>INTL</v>
      </c>
      <c r="C278" s="4" t="str">
        <f>VLOOKUP($A278,Questions!$A$3:$L$333,2,0)&amp;""</f>
        <v>Will data be collected from or processed in or stored in China?</v>
      </c>
      <c r="D278" s="4" t="str">
        <f>VLOOKUP($A278,Questions!$A$3:$L$333,11,0)&amp;""</f>
        <v/>
      </c>
      <c r="E278" s="4" t="str">
        <f>VLOOKUP($A278,Questions!$A$3:$L$333,12,0)&amp;""</f>
        <v>Privacy</v>
      </c>
      <c r="F278" s="4" t="str">
        <f>VLOOKUP($A278,'Privacy Analyst Evaluation'!$A$46:$K$120,3,0)&amp;""</f>
        <v>No</v>
      </c>
      <c r="G278" s="4" t="str">
        <f>VLOOKUP($A278,'Privacy Analyst Evaluation'!$A$46:$K$120,7,0)&amp;""</f>
        <v>No</v>
      </c>
      <c r="H278" s="4" t="str">
        <f>VLOOKUP($A278,'Privacy Analyst Evaluation'!$A$46:$K$120,8,0)&amp;""</f>
        <v/>
      </c>
      <c r="I278" s="4" t="str">
        <f>VLOOKUP($A278,'Privacy Analyst Evaluation'!$A$46:$K$120,9,0)&amp;""</f>
        <v>Standard Importance</v>
      </c>
      <c r="J278" s="4" t="str">
        <f>VLOOKUP($A278,'Privacy Analyst Evaluation'!$A$46:$K$120,10,0)&amp;""</f>
        <v/>
      </c>
      <c r="K278" s="4">
        <f>IF($I278='Auto Responses'!$J$11,20,IF($I278='Auto Responses'!$J$13,5,10))</f>
        <v>10</v>
      </c>
      <c r="L278" s="101">
        <f>IF($E278='Auto Responses'!$L$13, 'Auto Responses'!$J$5,IF(AND($D278='Auto Responses'!$J$27,$H278=""),'Auto Responses'!$J$5,IF(AND($D278='Auto Responses'!$J$27,$H278='Auto Responses'!$J$7),1,IF(AND($D278='Auto Responses'!$J$27,$H278='Auto Responses'!$J$8),0,IF(OR(AND($F278=$G278,$H278=""),$H278='Auto Responses'!$J$7),1,0)))))</f>
        <v>1</v>
      </c>
      <c r="M278" s="4" t="str">
        <f>VLOOKUP($A278,'Privacy Analyst Evaluation'!$A$46:$K$120,11,0)&amp;""</f>
        <v>FALSE</v>
      </c>
      <c r="N278" s="4">
        <f>IF($J278='Auto Responses'!$J$11,1,IF(AND($J278="",$I278='Auto Responses'!$J$11),1,0))</f>
        <v>0</v>
      </c>
      <c r="O278" s="101">
        <f>IF(OR($E278='Auto Responses'!$L$13,$F$24='Auto Responses'!$J$4,$F278='Auto Responses'!$J$5),'Auto Responses'!$J$5,IF($J278="",$K278,IF($J278='Auto Responses'!$J$13,5,IF($J278='Auto Responses'!$J$12,10,IF($J278='Auto Responses'!$J$11,20,0)))))</f>
        <v>10</v>
      </c>
      <c r="P278" s="101">
        <f>IF(OR($O278='Auto Responses'!$J$5,$L278='Auto Responses'!$J$5),'Auto Responses'!$J$5,$O278*$L278)</f>
        <v>10</v>
      </c>
      <c r="Q278" s="101">
        <f t="shared" si="29"/>
        <v>0</v>
      </c>
      <c r="R278" s="101">
        <f t="shared" si="33"/>
        <v>0</v>
      </c>
      <c r="S278" s="101">
        <f t="shared" si="30"/>
        <v>0</v>
      </c>
      <c r="T278" s="101">
        <f t="shared" si="31"/>
        <v>0</v>
      </c>
      <c r="U278" s="101">
        <f t="shared" si="34"/>
        <v>69</v>
      </c>
      <c r="V278" s="101">
        <f t="shared" si="32"/>
        <v>0</v>
      </c>
    </row>
    <row r="279" spans="1:22" ht="57" customHeight="1" x14ac:dyDescent="0.2">
      <c r="A279" s="4" t="str">
        <f>Questions!$A279</f>
        <v>INTL-05</v>
      </c>
      <c r="B279" s="4" t="str">
        <f t="shared" si="28"/>
        <v>INTL</v>
      </c>
      <c r="C279" s="4" t="str">
        <f>VLOOKUP($A279,Questions!$A$3:$L$333,2,0)&amp;""</f>
        <v>Do you comply with PIPL security, privacy, and data localization requirements?</v>
      </c>
      <c r="D279" s="4" t="str">
        <f>VLOOKUP($A279,Questions!$A$3:$L$333,11,0)&amp;""</f>
        <v/>
      </c>
      <c r="E279" s="4" t="str">
        <f>VLOOKUP($A279,Questions!$A$3:$L$333,12,0)&amp;""</f>
        <v>Privacy</v>
      </c>
      <c r="F279" s="4" t="str">
        <f>VLOOKUP($A279,'Privacy Analyst Evaluation'!$A$46:$K$120,3,0)&amp;""</f>
        <v>N/A</v>
      </c>
      <c r="G279" s="4" t="str">
        <f>VLOOKUP($A279,'Privacy Analyst Evaluation'!$A$46:$K$120,7,0)&amp;""</f>
        <v>Yes</v>
      </c>
      <c r="H279" s="4" t="str">
        <f>VLOOKUP($A279,'Privacy Analyst Evaluation'!$A$46:$K$120,8,0)&amp;""</f>
        <v/>
      </c>
      <c r="I279" s="4" t="str">
        <f>VLOOKUP($A279,'Privacy Analyst Evaluation'!$A$46:$K$120,9,0)&amp;""</f>
        <v>Standard Importance</v>
      </c>
      <c r="J279" s="4" t="str">
        <f>VLOOKUP($A279,'Privacy Analyst Evaluation'!$A$46:$K$120,10,0)&amp;""</f>
        <v/>
      </c>
      <c r="K279" s="4">
        <f>IF($I279='Auto Responses'!$J$11,20,IF($I279='Auto Responses'!$J$13,5,10))</f>
        <v>10</v>
      </c>
      <c r="L279" s="101">
        <f>IF($E279='Auto Responses'!$L$13, 'Auto Responses'!$J$5,IF(AND($D279='Auto Responses'!$J$27,$H279=""),'Auto Responses'!$J$5,IF(AND($D279='Auto Responses'!$J$27,$H279='Auto Responses'!$J$7),1,IF(AND($D279='Auto Responses'!$J$27,$H279='Auto Responses'!$J$8),0,IF(OR(AND($F279=$G279,$H279=""),$H279='Auto Responses'!$J$7),1,0)))))</f>
        <v>0</v>
      </c>
      <c r="M279" s="4" t="str">
        <f>VLOOKUP($A279,'Privacy Analyst Evaluation'!$A$46:$K$120,11,0)&amp;""</f>
        <v>FALSE</v>
      </c>
      <c r="N279" s="4">
        <f>IF($J279='Auto Responses'!$J$11,1,IF(AND($J279="",$I279='Auto Responses'!$J$11),1,0))</f>
        <v>0</v>
      </c>
      <c r="O279" s="101" t="str">
        <f>IF(OR($E279='Auto Responses'!$L$13,$F$24='Auto Responses'!$J$4,$F279='Auto Responses'!$J$5),'Auto Responses'!$J$5,IF($J279="",$K279,IF($J279='Auto Responses'!$J$13,5,IF($J279='Auto Responses'!$J$12,10,IF($J279='Auto Responses'!$J$11,20,0)))))</f>
        <v>N/A</v>
      </c>
      <c r="P279" s="101" t="str">
        <f>IF(OR($O279='Auto Responses'!$J$5,$L279='Auto Responses'!$J$5),'Auto Responses'!$J$5,$O279*$L279)</f>
        <v>N/A</v>
      </c>
      <c r="Q279" s="101">
        <f t="shared" si="29"/>
        <v>0</v>
      </c>
      <c r="R279" s="101">
        <f t="shared" si="33"/>
        <v>0</v>
      </c>
      <c r="S279" s="101">
        <f t="shared" si="30"/>
        <v>0</v>
      </c>
      <c r="T279" s="101">
        <f t="shared" si="31"/>
        <v>0</v>
      </c>
      <c r="U279" s="101">
        <f t="shared" si="34"/>
        <v>69</v>
      </c>
      <c r="V279" s="101">
        <f t="shared" si="32"/>
        <v>0</v>
      </c>
    </row>
    <row r="280" spans="1:22" ht="57" customHeight="1" x14ac:dyDescent="0.2">
      <c r="A280" s="4" t="str">
        <f>Questions!$A280</f>
        <v>DRPV-01</v>
      </c>
      <c r="B280" s="4" t="str">
        <f t="shared" si="28"/>
        <v>DRPV</v>
      </c>
      <c r="C280" s="4" t="str">
        <f>VLOOKUP($A280,Questions!$A$3:$L$333,2,0)&amp;""</f>
        <v>Have you performed a Data Privacy Impact Assessment for the solution/project?</v>
      </c>
      <c r="D280" s="4" t="str">
        <f>VLOOKUP($A280,Questions!$A$3:$L$333,11,0)&amp;""</f>
        <v/>
      </c>
      <c r="E280" s="4" t="str">
        <f>VLOOKUP($A280,Questions!$A$3:$L$333,12,0)&amp;""</f>
        <v>Privacy</v>
      </c>
      <c r="F280" s="4" t="str">
        <f>VLOOKUP($A280,'Privacy Analyst Evaluation'!$A$46:$K$120,3,0)&amp;""</f>
        <v>Yes</v>
      </c>
      <c r="G280" s="4" t="str">
        <f>VLOOKUP($A280,'Privacy Analyst Evaluation'!$A$46:$K$120,7,0)&amp;""</f>
        <v>Yes</v>
      </c>
      <c r="H280" s="4" t="str">
        <f>VLOOKUP($A280,'Privacy Analyst Evaluation'!$A$46:$K$120,8,0)&amp;""</f>
        <v/>
      </c>
      <c r="I280" s="4" t="str">
        <f>VLOOKUP($A280,'Privacy Analyst Evaluation'!$A$46:$K$120,9,0)&amp;""</f>
        <v>Standard Importance</v>
      </c>
      <c r="J280" s="4" t="str">
        <f>VLOOKUP($A280,'Privacy Analyst Evaluation'!$A$46:$K$120,10,0)&amp;""</f>
        <v/>
      </c>
      <c r="K280" s="4">
        <f>IF($I280='Auto Responses'!$J$11,20,IF($I280='Auto Responses'!$J$13,5,10))</f>
        <v>10</v>
      </c>
      <c r="L280" s="101">
        <f>IF($E280='Auto Responses'!$L$13, 'Auto Responses'!$J$5,IF(AND($D280='Auto Responses'!$J$27,$H280=""),'Auto Responses'!$J$5,IF(AND($D280='Auto Responses'!$J$27,$H280='Auto Responses'!$J$7),1,IF(AND($D280='Auto Responses'!$J$27,$H280='Auto Responses'!$J$8),0,IF(OR(AND($F280=$G280,$H280=""),$H280='Auto Responses'!$J$7),1,0)))))</f>
        <v>1</v>
      </c>
      <c r="M280" s="4" t="str">
        <f>VLOOKUP($A280,'Privacy Analyst Evaluation'!$A$46:$K$120,11,0)&amp;""</f>
        <v>FALSE</v>
      </c>
      <c r="N280" s="4">
        <f>IF($J280='Auto Responses'!$J$11,1,IF(AND($J280="",$I280='Auto Responses'!$J$11),1,0))</f>
        <v>0</v>
      </c>
      <c r="O280" s="101">
        <f>IF(OR($E280='Auto Responses'!$L$13,$F$24='Auto Responses'!$J$4,$F280='Auto Responses'!$J$5),'Auto Responses'!$J$5,IF($J280="",$K280,IF($J280='Auto Responses'!$J$13,5,IF($J280='Auto Responses'!$J$12,10,IF($J280='Auto Responses'!$J$11,20,0)))))</f>
        <v>10</v>
      </c>
      <c r="P280" s="101">
        <f>IF(OR($O280='Auto Responses'!$J$5,$L280='Auto Responses'!$J$5),'Auto Responses'!$J$5,$O280*$L280)</f>
        <v>10</v>
      </c>
      <c r="Q280" s="101">
        <f t="shared" si="29"/>
        <v>0</v>
      </c>
      <c r="R280" s="101">
        <f t="shared" si="33"/>
        <v>0</v>
      </c>
      <c r="S280" s="101">
        <f t="shared" si="30"/>
        <v>0</v>
      </c>
      <c r="T280" s="101">
        <f t="shared" si="31"/>
        <v>0</v>
      </c>
      <c r="U280" s="101">
        <f t="shared" si="34"/>
        <v>69</v>
      </c>
      <c r="V280" s="101">
        <f t="shared" si="32"/>
        <v>0</v>
      </c>
    </row>
    <row r="281" spans="1:22" ht="57" customHeight="1" x14ac:dyDescent="0.2">
      <c r="A281" s="4" t="str">
        <f>Questions!$A281</f>
        <v>DRPV-02</v>
      </c>
      <c r="B281" s="4" t="str">
        <f t="shared" si="28"/>
        <v>DRPV</v>
      </c>
      <c r="C281" s="4" t="str">
        <f>VLOOKUP($A281,Questions!$A$3:$L$333,2,0)&amp;""</f>
        <v>Do you provide an end-user privacy notice about privacy policies and procedures that identify the purpose(s) for which personal information is collected, used, retained, and disclosed?</v>
      </c>
      <c r="D281" s="4" t="str">
        <f>VLOOKUP($A281,Questions!$A$3:$L$333,11,0)&amp;""</f>
        <v/>
      </c>
      <c r="E281" s="4" t="str">
        <f>VLOOKUP($A281,Questions!$A$3:$L$333,12,0)&amp;""</f>
        <v>Privacy</v>
      </c>
      <c r="F281" s="4" t="str">
        <f>VLOOKUP($A281,'Privacy Analyst Evaluation'!$A$46:$K$120,3,0)&amp;""</f>
        <v>Yes</v>
      </c>
      <c r="G281" s="4" t="str">
        <f>VLOOKUP($A281,'Privacy Analyst Evaluation'!$A$46:$K$120,7,0)&amp;""</f>
        <v>Yes</v>
      </c>
      <c r="H281" s="4" t="str">
        <f>VLOOKUP($A281,'Privacy Analyst Evaluation'!$A$46:$K$120,8,0)&amp;""</f>
        <v/>
      </c>
      <c r="I281" s="4" t="str">
        <f>VLOOKUP($A281,'Privacy Analyst Evaluation'!$A$46:$K$120,9,0)&amp;""</f>
        <v>Standard Importance</v>
      </c>
      <c r="J281" s="4" t="str">
        <f>VLOOKUP($A281,'Privacy Analyst Evaluation'!$A$46:$K$120,10,0)&amp;""</f>
        <v/>
      </c>
      <c r="K281" s="4">
        <f>IF($I281='Auto Responses'!$J$11,20,IF($I281='Auto Responses'!$J$13,5,10))</f>
        <v>10</v>
      </c>
      <c r="L281" s="101">
        <f>IF($E281='Auto Responses'!$L$13, 'Auto Responses'!$J$5,IF(AND($D281='Auto Responses'!$J$27,$H281=""),'Auto Responses'!$J$5,IF(AND($D281='Auto Responses'!$J$27,$H281='Auto Responses'!$J$7),1,IF(AND($D281='Auto Responses'!$J$27,$H281='Auto Responses'!$J$8),0,IF(OR(AND($F281=$G281,$H281=""),$H281='Auto Responses'!$J$7),1,0)))))</f>
        <v>1</v>
      </c>
      <c r="M281" s="4" t="str">
        <f>VLOOKUP($A281,'Privacy Analyst Evaluation'!$A$46:$K$120,11,0)&amp;""</f>
        <v>FALSE</v>
      </c>
      <c r="N281" s="4">
        <f>IF($J281='Auto Responses'!$J$11,1,IF(AND($J281="",$I281='Auto Responses'!$J$11),1,0))</f>
        <v>0</v>
      </c>
      <c r="O281" s="101">
        <f>IF(OR($E281='Auto Responses'!$L$13,$F$24='Auto Responses'!$J$4,$F281='Auto Responses'!$J$5),'Auto Responses'!$J$5,IF($J281="",$K281,IF($J281='Auto Responses'!$J$13,5,IF($J281='Auto Responses'!$J$12,10,IF($J281='Auto Responses'!$J$11,20,0)))))</f>
        <v>10</v>
      </c>
      <c r="P281" s="101">
        <f>IF(OR($O281='Auto Responses'!$J$5,$L281='Auto Responses'!$J$5),'Auto Responses'!$J$5,$O281*$L281)</f>
        <v>10</v>
      </c>
      <c r="Q281" s="101">
        <f t="shared" si="29"/>
        <v>0</v>
      </c>
      <c r="R281" s="101">
        <f t="shared" si="33"/>
        <v>0</v>
      </c>
      <c r="S281" s="101">
        <f t="shared" si="30"/>
        <v>0</v>
      </c>
      <c r="T281" s="101">
        <f t="shared" si="31"/>
        <v>0</v>
      </c>
      <c r="U281" s="101">
        <f t="shared" si="34"/>
        <v>69</v>
      </c>
      <c r="V281" s="101">
        <f t="shared" si="32"/>
        <v>0</v>
      </c>
    </row>
    <row r="282" spans="1:22" ht="57" customHeight="1" x14ac:dyDescent="0.2">
      <c r="A282" s="4" t="str">
        <f>Questions!$A282</f>
        <v>DRPV-03</v>
      </c>
      <c r="B282" s="4" t="str">
        <f t="shared" si="28"/>
        <v>DRPV</v>
      </c>
      <c r="C282" s="4" t="str">
        <f>VLOOKUP($A282,Questions!$A$3:$L$333,2,0)&amp;""</f>
        <v>Do you describe the choices available to the individual and obtain implicit or explicit consent with respect to the collection, use, and disclosure of personal information?</v>
      </c>
      <c r="D282" s="4" t="str">
        <f>VLOOKUP($A282,Questions!$A$3:$L$333,11,0)&amp;""</f>
        <v/>
      </c>
      <c r="E282" s="4" t="str">
        <f>VLOOKUP($A282,Questions!$A$3:$L$333,12,0)&amp;""</f>
        <v>Privacy</v>
      </c>
      <c r="F282" s="4" t="str">
        <f>VLOOKUP($A282,'Privacy Analyst Evaluation'!$A$46:$K$120,3,0)&amp;""</f>
        <v>Yes</v>
      </c>
      <c r="G282" s="4" t="str">
        <f>VLOOKUP($A282,'Privacy Analyst Evaluation'!$A$46:$K$120,7,0)&amp;""</f>
        <v>Yes</v>
      </c>
      <c r="H282" s="4" t="str">
        <f>VLOOKUP($A282,'Privacy Analyst Evaluation'!$A$46:$K$120,8,0)&amp;""</f>
        <v/>
      </c>
      <c r="I282" s="4" t="str">
        <f>VLOOKUP($A282,'Privacy Analyst Evaluation'!$A$46:$K$120,9,0)&amp;""</f>
        <v>Standard Importance</v>
      </c>
      <c r="J282" s="4" t="str">
        <f>VLOOKUP($A282,'Privacy Analyst Evaluation'!$A$46:$K$120,10,0)&amp;""</f>
        <v/>
      </c>
      <c r="K282" s="4">
        <f>IF($I282='Auto Responses'!$J$11,20,IF($I282='Auto Responses'!$J$13,5,10))</f>
        <v>10</v>
      </c>
      <c r="L282" s="101">
        <f>IF($E282='Auto Responses'!$L$13, 'Auto Responses'!$J$5,IF(AND($D282='Auto Responses'!$J$27,$H282=""),'Auto Responses'!$J$5,IF(AND($D282='Auto Responses'!$J$27,$H282='Auto Responses'!$J$7),1,IF(AND($D282='Auto Responses'!$J$27,$H282='Auto Responses'!$J$8),0,IF(OR(AND($F282=$G282,$H282=""),$H282='Auto Responses'!$J$7),1,0)))))</f>
        <v>1</v>
      </c>
      <c r="M282" s="4" t="str">
        <f>VLOOKUP($A282,'Privacy Analyst Evaluation'!$A$46:$K$120,11,0)&amp;""</f>
        <v>FALSE</v>
      </c>
      <c r="N282" s="4">
        <f>IF($J282='Auto Responses'!$J$11,1,IF(AND($J282="",$I282='Auto Responses'!$J$11),1,0))</f>
        <v>0</v>
      </c>
      <c r="O282" s="101">
        <f>IF(OR($E282='Auto Responses'!$L$13,$F$24='Auto Responses'!$J$4,$F282='Auto Responses'!$J$5),'Auto Responses'!$J$5,IF($J282="",$K282,IF($J282='Auto Responses'!$J$13,5,IF($J282='Auto Responses'!$J$12,10,IF($J282='Auto Responses'!$J$11,20,0)))))</f>
        <v>10</v>
      </c>
      <c r="P282" s="101">
        <f>IF(OR($O282='Auto Responses'!$J$5,$L282='Auto Responses'!$J$5),'Auto Responses'!$J$5,$O282*$L282)</f>
        <v>10</v>
      </c>
      <c r="Q282" s="101">
        <f t="shared" si="29"/>
        <v>0</v>
      </c>
      <c r="R282" s="101">
        <f t="shared" si="33"/>
        <v>0</v>
      </c>
      <c r="S282" s="101">
        <f t="shared" si="30"/>
        <v>0</v>
      </c>
      <c r="T282" s="101">
        <f t="shared" si="31"/>
        <v>0</v>
      </c>
      <c r="U282" s="101">
        <f t="shared" si="34"/>
        <v>69</v>
      </c>
      <c r="V282" s="101">
        <f t="shared" si="32"/>
        <v>0</v>
      </c>
    </row>
    <row r="283" spans="1:22" ht="57" customHeight="1" x14ac:dyDescent="0.2">
      <c r="A283" s="4" t="str">
        <f>Questions!$A283</f>
        <v>DRPV-04</v>
      </c>
      <c r="B283" s="4" t="str">
        <f t="shared" si="28"/>
        <v>DRPV</v>
      </c>
      <c r="C283" s="4" t="str">
        <f>VLOOKUP($A283,Questions!$A$3:$L$333,2,0)&amp;""</f>
        <v>Do you collect personal information only for the purpose(s) identified in the agreement with an institution or, if there is none, the purpose(s) identified in the privacy notice?</v>
      </c>
      <c r="D283" s="4" t="str">
        <f>VLOOKUP($A283,Questions!$A$3:$L$333,11,0)&amp;""</f>
        <v/>
      </c>
      <c r="E283" s="4" t="str">
        <f>VLOOKUP($A283,Questions!$A$3:$L$333,12,0)&amp;""</f>
        <v>Privacy</v>
      </c>
      <c r="F283" s="4" t="str">
        <f>VLOOKUP($A283,'Privacy Analyst Evaluation'!$A$46:$K$120,3,0)&amp;""</f>
        <v>Yes</v>
      </c>
      <c r="G283" s="4" t="str">
        <f>VLOOKUP($A283,'Privacy Analyst Evaluation'!$A$46:$K$120,7,0)&amp;""</f>
        <v>Yes</v>
      </c>
      <c r="H283" s="4" t="str">
        <f>VLOOKUP($A283,'Privacy Analyst Evaluation'!$A$46:$K$120,8,0)&amp;""</f>
        <v/>
      </c>
      <c r="I283" s="4" t="str">
        <f>VLOOKUP($A283,'Privacy Analyst Evaluation'!$A$46:$K$120,9,0)&amp;""</f>
        <v>Standard Importance</v>
      </c>
      <c r="J283" s="4" t="str">
        <f>VLOOKUP($A283,'Privacy Analyst Evaluation'!$A$46:$K$120,10,0)&amp;""</f>
        <v/>
      </c>
      <c r="K283" s="4">
        <f>IF($I283='Auto Responses'!$J$11,20,IF($I283='Auto Responses'!$J$13,5,10))</f>
        <v>10</v>
      </c>
      <c r="L283" s="101">
        <f>IF($E283='Auto Responses'!$L$13, 'Auto Responses'!$J$5,IF(AND($D283='Auto Responses'!$J$27,$H283=""),'Auto Responses'!$J$5,IF(AND($D283='Auto Responses'!$J$27,$H283='Auto Responses'!$J$7),1,IF(AND($D283='Auto Responses'!$J$27,$H283='Auto Responses'!$J$8),0,IF(OR(AND($F283=$G283,$H283=""),$H283='Auto Responses'!$J$7),1,0)))))</f>
        <v>1</v>
      </c>
      <c r="M283" s="4" t="str">
        <f>VLOOKUP($A283,'Privacy Analyst Evaluation'!$A$46:$K$120,11,0)&amp;""</f>
        <v>FALSE</v>
      </c>
      <c r="N283" s="4">
        <f>IF($J283='Auto Responses'!$J$11,1,IF(AND($J283="",$I283='Auto Responses'!$J$11),1,0))</f>
        <v>0</v>
      </c>
      <c r="O283" s="101">
        <f>IF(OR($E283='Auto Responses'!$L$13,$F$24='Auto Responses'!$J$4,$F283='Auto Responses'!$J$5),'Auto Responses'!$J$5,IF($J283="",$K283,IF($J283='Auto Responses'!$J$13,5,IF($J283='Auto Responses'!$J$12,10,IF($J283='Auto Responses'!$J$11,20,0)))))</f>
        <v>10</v>
      </c>
      <c r="P283" s="101">
        <f>IF(OR($O283='Auto Responses'!$J$5,$L283='Auto Responses'!$J$5),'Auto Responses'!$J$5,$O283*$L283)</f>
        <v>10</v>
      </c>
      <c r="Q283" s="101">
        <f t="shared" si="29"/>
        <v>0</v>
      </c>
      <c r="R283" s="101">
        <f t="shared" si="33"/>
        <v>0</v>
      </c>
      <c r="S283" s="101">
        <f t="shared" si="30"/>
        <v>0</v>
      </c>
      <c r="T283" s="101">
        <f t="shared" si="31"/>
        <v>0</v>
      </c>
      <c r="U283" s="101">
        <f t="shared" si="34"/>
        <v>69</v>
      </c>
      <c r="V283" s="101">
        <f t="shared" si="32"/>
        <v>0</v>
      </c>
    </row>
    <row r="284" spans="1:22" ht="57" customHeight="1" x14ac:dyDescent="0.2">
      <c r="A284" s="4" t="str">
        <f>Questions!$A284</f>
        <v>DRPV-05</v>
      </c>
      <c r="B284" s="4" t="str">
        <f t="shared" si="28"/>
        <v>DRPV</v>
      </c>
      <c r="C284" s="4" t="str">
        <f>VLOOKUP($A284,Questions!$A$3:$L$333,2,0)&amp;""</f>
        <v>Do you have a documented list of personal data your service maintains?</v>
      </c>
      <c r="D284" s="4" t="str">
        <f>VLOOKUP($A284,Questions!$A$3:$L$333,11,0)&amp;""</f>
        <v/>
      </c>
      <c r="E284" s="4" t="str">
        <f>VLOOKUP($A284,Questions!$A$3:$L$333,12,0)&amp;""</f>
        <v>Privacy</v>
      </c>
      <c r="F284" s="4" t="str">
        <f>VLOOKUP($A284,'Privacy Analyst Evaluation'!$A$46:$K$120,3,0)&amp;""</f>
        <v>Yes</v>
      </c>
      <c r="G284" s="4" t="str">
        <f>VLOOKUP($A284,'Privacy Analyst Evaluation'!$A$46:$K$120,7,0)&amp;""</f>
        <v>Yes</v>
      </c>
      <c r="H284" s="4" t="str">
        <f>VLOOKUP($A284,'Privacy Analyst Evaluation'!$A$46:$K$120,8,0)&amp;""</f>
        <v/>
      </c>
      <c r="I284" s="4" t="str">
        <f>VLOOKUP($A284,'Privacy Analyst Evaluation'!$A$46:$K$120,9,0)&amp;""</f>
        <v>Standard Importance</v>
      </c>
      <c r="J284" s="4" t="str">
        <f>VLOOKUP($A284,'Privacy Analyst Evaluation'!$A$46:$K$120,10,0)&amp;""</f>
        <v/>
      </c>
      <c r="K284" s="4">
        <f>IF($I284='Auto Responses'!$J$11,20,IF($I284='Auto Responses'!$J$13,5,10))</f>
        <v>10</v>
      </c>
      <c r="L284" s="101">
        <f>IF($E284='Auto Responses'!$L$13, 'Auto Responses'!$J$5,IF(AND($D284='Auto Responses'!$J$27,$H284=""),'Auto Responses'!$J$5,IF(AND($D284='Auto Responses'!$J$27,$H284='Auto Responses'!$J$7),1,IF(AND($D284='Auto Responses'!$J$27,$H284='Auto Responses'!$J$8),0,IF(OR(AND($F284=$G284,$H284=""),$H284='Auto Responses'!$J$7),1,0)))))</f>
        <v>1</v>
      </c>
      <c r="M284" s="4" t="str">
        <f>VLOOKUP($A284,'Privacy Analyst Evaluation'!$A$46:$K$120,11,0)&amp;""</f>
        <v>FALSE</v>
      </c>
      <c r="N284" s="4">
        <f>IF($J284='Auto Responses'!$J$11,1,IF(AND($J284="",$I284='Auto Responses'!$J$11),1,0))</f>
        <v>0</v>
      </c>
      <c r="O284" s="101">
        <f>IF(OR($E284='Auto Responses'!$L$13,$F$24='Auto Responses'!$J$4,$F284='Auto Responses'!$J$5),'Auto Responses'!$J$5,IF($J284="",$K284,IF($J284='Auto Responses'!$J$13,5,IF($J284='Auto Responses'!$J$12,10,IF($J284='Auto Responses'!$J$11,20,0)))))</f>
        <v>10</v>
      </c>
      <c r="P284" s="101">
        <f>IF(OR($O284='Auto Responses'!$J$5,$L284='Auto Responses'!$J$5),'Auto Responses'!$J$5,$O284*$L284)</f>
        <v>10</v>
      </c>
      <c r="Q284" s="101">
        <f t="shared" si="29"/>
        <v>0</v>
      </c>
      <c r="R284" s="101">
        <f t="shared" si="33"/>
        <v>0</v>
      </c>
      <c r="S284" s="101">
        <f t="shared" si="30"/>
        <v>0</v>
      </c>
      <c r="T284" s="101">
        <f t="shared" si="31"/>
        <v>0</v>
      </c>
      <c r="U284" s="101">
        <f t="shared" si="34"/>
        <v>69</v>
      </c>
      <c r="V284" s="101">
        <f t="shared" si="32"/>
        <v>0</v>
      </c>
    </row>
    <row r="285" spans="1:22" ht="57" customHeight="1" x14ac:dyDescent="0.2">
      <c r="A285" s="4" t="str">
        <f>Questions!$A285</f>
        <v>DRPV-06</v>
      </c>
      <c r="B285" s="4" t="str">
        <f t="shared" si="28"/>
        <v>DRPV</v>
      </c>
      <c r="C285" s="4" t="str">
        <f>VLOOKUP($A285,Questions!$A$3:$L$333,2,0)&amp;""</f>
        <v>Do you retain personal information for only as long as necessary to fulfill the stated purpose(s) or as required by law or regulation and thereafter appropriately dispose of such information?</v>
      </c>
      <c r="D285" s="4" t="str">
        <f>VLOOKUP($A285,Questions!$A$3:$L$333,11,0)&amp;""</f>
        <v/>
      </c>
      <c r="E285" s="4" t="str">
        <f>VLOOKUP($A285,Questions!$A$3:$L$333,12,0)&amp;""</f>
        <v>Privacy</v>
      </c>
      <c r="F285" s="4" t="str">
        <f>VLOOKUP($A285,'Privacy Analyst Evaluation'!$A$46:$K$120,3,0)&amp;""</f>
        <v>Yes</v>
      </c>
      <c r="G285" s="4" t="str">
        <f>VLOOKUP($A285,'Privacy Analyst Evaluation'!$A$46:$K$120,7,0)&amp;""</f>
        <v>Yes</v>
      </c>
      <c r="H285" s="4" t="str">
        <f>VLOOKUP($A285,'Privacy Analyst Evaluation'!$A$46:$K$120,8,0)&amp;""</f>
        <v/>
      </c>
      <c r="I285" s="4" t="str">
        <f>VLOOKUP($A285,'Privacy Analyst Evaluation'!$A$46:$K$120,9,0)&amp;""</f>
        <v>Standard Importance</v>
      </c>
      <c r="J285" s="4" t="str">
        <f>VLOOKUP($A285,'Privacy Analyst Evaluation'!$A$46:$K$120,10,0)&amp;""</f>
        <v/>
      </c>
      <c r="K285" s="4">
        <f>IF($I285='Auto Responses'!$J$11,20,IF($I285='Auto Responses'!$J$13,5,10))</f>
        <v>10</v>
      </c>
      <c r="L285" s="101">
        <f>IF($E285='Auto Responses'!$L$13, 'Auto Responses'!$J$5,IF(AND($D285='Auto Responses'!$J$27,$H285=""),'Auto Responses'!$J$5,IF(AND($D285='Auto Responses'!$J$27,$H285='Auto Responses'!$J$7),1,IF(AND($D285='Auto Responses'!$J$27,$H285='Auto Responses'!$J$8),0,IF(OR(AND($F285=$G285,$H285=""),$H285='Auto Responses'!$J$7),1,0)))))</f>
        <v>1</v>
      </c>
      <c r="M285" s="4" t="str">
        <f>VLOOKUP($A285,'Privacy Analyst Evaluation'!$A$46:$K$120,11,0)&amp;""</f>
        <v>FALSE</v>
      </c>
      <c r="N285" s="4">
        <f>IF($J285='Auto Responses'!$J$11,1,IF(AND($J285="",$I285='Auto Responses'!$J$11),1,0))</f>
        <v>0</v>
      </c>
      <c r="O285" s="101">
        <f>IF(OR($E285='Auto Responses'!$L$13,$F$24='Auto Responses'!$J$4,$F285='Auto Responses'!$J$5),'Auto Responses'!$J$5,IF($J285="",$K285,IF($J285='Auto Responses'!$J$13,5,IF($J285='Auto Responses'!$J$12,10,IF($J285='Auto Responses'!$J$11,20,0)))))</f>
        <v>10</v>
      </c>
      <c r="P285" s="101">
        <f>IF(OR($O285='Auto Responses'!$J$5,$L285='Auto Responses'!$J$5),'Auto Responses'!$J$5,$O285*$L285)</f>
        <v>10</v>
      </c>
      <c r="Q285" s="101">
        <f t="shared" si="29"/>
        <v>0</v>
      </c>
      <c r="R285" s="101">
        <f t="shared" si="33"/>
        <v>0</v>
      </c>
      <c r="S285" s="101">
        <f t="shared" si="30"/>
        <v>0</v>
      </c>
      <c r="T285" s="101">
        <f t="shared" si="31"/>
        <v>0</v>
      </c>
      <c r="U285" s="101">
        <f t="shared" si="34"/>
        <v>69</v>
      </c>
      <c r="V285" s="101">
        <f t="shared" si="32"/>
        <v>0</v>
      </c>
    </row>
    <row r="286" spans="1:22" ht="57" customHeight="1" x14ac:dyDescent="0.2">
      <c r="A286" s="4" t="str">
        <f>Questions!$A286</f>
        <v>DRPV-07</v>
      </c>
      <c r="B286" s="4" t="str">
        <f t="shared" si="28"/>
        <v>DRPV</v>
      </c>
      <c r="C286" s="4" t="str">
        <f>VLOOKUP($A286,Questions!$A$3:$L$333,2,0)&amp;""</f>
        <v>Do you provide individuals with access to their personal information for review and update (i.e., data subject rights)?</v>
      </c>
      <c r="D286" s="4" t="str">
        <f>VLOOKUP($A286,Questions!$A$3:$L$333,11,0)&amp;""</f>
        <v/>
      </c>
      <c r="E286" s="4" t="str">
        <f>VLOOKUP($A286,Questions!$A$3:$L$333,12,0)&amp;""</f>
        <v>Privacy</v>
      </c>
      <c r="F286" s="4" t="str">
        <f>VLOOKUP($A286,'Privacy Analyst Evaluation'!$A$46:$K$120,3,0)&amp;""</f>
        <v>Yes</v>
      </c>
      <c r="G286" s="4" t="str">
        <f>VLOOKUP($A286,'Privacy Analyst Evaluation'!$A$46:$K$120,7,0)&amp;""</f>
        <v>Yes</v>
      </c>
      <c r="H286" s="4" t="str">
        <f>VLOOKUP($A286,'Privacy Analyst Evaluation'!$A$46:$K$120,8,0)&amp;""</f>
        <v/>
      </c>
      <c r="I286" s="4" t="str">
        <f>VLOOKUP($A286,'Privacy Analyst Evaluation'!$A$46:$K$120,9,0)&amp;""</f>
        <v>Standard Importance</v>
      </c>
      <c r="J286" s="4" t="str">
        <f>VLOOKUP($A286,'Privacy Analyst Evaluation'!$A$46:$K$120,10,0)&amp;""</f>
        <v/>
      </c>
      <c r="K286" s="4">
        <f>IF($I286='Auto Responses'!$J$11,20,IF($I286='Auto Responses'!$J$13,5,10))</f>
        <v>10</v>
      </c>
      <c r="L286" s="101">
        <f>IF($E286='Auto Responses'!$L$13, 'Auto Responses'!$J$5,IF(AND($D286='Auto Responses'!$J$27,$H286=""),'Auto Responses'!$J$5,IF(AND($D286='Auto Responses'!$J$27,$H286='Auto Responses'!$J$7),1,IF(AND($D286='Auto Responses'!$J$27,$H286='Auto Responses'!$J$8),0,IF(OR(AND($F286=$G286,$H286=""),$H286='Auto Responses'!$J$7),1,0)))))</f>
        <v>1</v>
      </c>
      <c r="M286" s="4" t="str">
        <f>VLOOKUP($A286,'Privacy Analyst Evaluation'!$A$46:$K$120,11,0)&amp;""</f>
        <v>FALSE</v>
      </c>
      <c r="N286" s="4">
        <f>IF($J286='Auto Responses'!$J$11,1,IF(AND($J286="",$I286='Auto Responses'!$J$11),1,0))</f>
        <v>0</v>
      </c>
      <c r="O286" s="101">
        <f>IF(OR($E286='Auto Responses'!$L$13,$F$24='Auto Responses'!$J$4,$F286='Auto Responses'!$J$5),'Auto Responses'!$J$5,IF($J286="",$K286,IF($J286='Auto Responses'!$J$13,5,IF($J286='Auto Responses'!$J$12,10,IF($J286='Auto Responses'!$J$11,20,0)))))</f>
        <v>10</v>
      </c>
      <c r="P286" s="101">
        <f>IF(OR($O286='Auto Responses'!$J$5,$L286='Auto Responses'!$J$5),'Auto Responses'!$J$5,$O286*$L286)</f>
        <v>10</v>
      </c>
      <c r="Q286" s="101">
        <f t="shared" si="29"/>
        <v>0</v>
      </c>
      <c r="R286" s="101">
        <f t="shared" si="33"/>
        <v>0</v>
      </c>
      <c r="S286" s="101">
        <f t="shared" si="30"/>
        <v>0</v>
      </c>
      <c r="T286" s="101">
        <f t="shared" si="31"/>
        <v>0</v>
      </c>
      <c r="U286" s="101">
        <f t="shared" si="34"/>
        <v>69</v>
      </c>
      <c r="V286" s="101">
        <f t="shared" si="32"/>
        <v>0</v>
      </c>
    </row>
    <row r="287" spans="1:22" ht="57" customHeight="1" x14ac:dyDescent="0.2">
      <c r="A287" s="4" t="str">
        <f>Questions!$A287</f>
        <v>DRPV-08</v>
      </c>
      <c r="B287" s="4" t="str">
        <f t="shared" si="28"/>
        <v>DRPV</v>
      </c>
      <c r="C287" s="4" t="str">
        <f>VLOOKUP($A287,Questions!$A$3:$L$333,2,0)&amp;""</f>
        <v>Do you disclose personal information to third parties only for the purpose(s) identified in the privacy notice or with the implicit or explicit consent of the individual?</v>
      </c>
      <c r="D287" s="4" t="str">
        <f>VLOOKUP($A287,Questions!$A$3:$L$333,11,0)&amp;""</f>
        <v/>
      </c>
      <c r="E287" s="4" t="str">
        <f>VLOOKUP($A287,Questions!$A$3:$L$333,12,0)&amp;""</f>
        <v>Privacy</v>
      </c>
      <c r="F287" s="4" t="str">
        <f>VLOOKUP($A287,'Privacy Analyst Evaluation'!$A$46:$K$120,3,0)&amp;""</f>
        <v>Yes</v>
      </c>
      <c r="G287" s="4" t="str">
        <f>VLOOKUP($A287,'Privacy Analyst Evaluation'!$A$46:$K$120,7,0)&amp;""</f>
        <v>Yes</v>
      </c>
      <c r="H287" s="4" t="str">
        <f>VLOOKUP($A287,'Privacy Analyst Evaluation'!$A$46:$K$120,8,0)&amp;""</f>
        <v/>
      </c>
      <c r="I287" s="4" t="str">
        <f>VLOOKUP($A287,'Privacy Analyst Evaluation'!$A$46:$K$120,9,0)&amp;""</f>
        <v>Standard Importance</v>
      </c>
      <c r="J287" s="4" t="str">
        <f>VLOOKUP($A287,'Privacy Analyst Evaluation'!$A$46:$K$120,10,0)&amp;""</f>
        <v/>
      </c>
      <c r="K287" s="4">
        <f>IF($I287='Auto Responses'!$J$11,20,IF($I287='Auto Responses'!$J$13,5,10))</f>
        <v>10</v>
      </c>
      <c r="L287" s="101">
        <f>IF($E287='Auto Responses'!$L$13, 'Auto Responses'!$J$5,IF(AND($D287='Auto Responses'!$J$27,$H287=""),'Auto Responses'!$J$5,IF(AND($D287='Auto Responses'!$J$27,$H287='Auto Responses'!$J$7),1,IF(AND($D287='Auto Responses'!$J$27,$H287='Auto Responses'!$J$8),0,IF(OR(AND($F287=$G287,$H287=""),$H287='Auto Responses'!$J$7),1,0)))))</f>
        <v>1</v>
      </c>
      <c r="M287" s="4" t="str">
        <f>VLOOKUP($A287,'Privacy Analyst Evaluation'!$A$46:$K$120,11,0)&amp;""</f>
        <v>FALSE</v>
      </c>
      <c r="N287" s="4">
        <f>IF($J287='Auto Responses'!$J$11,1,IF(AND($J287="",$I287='Auto Responses'!$J$11),1,0))</f>
        <v>0</v>
      </c>
      <c r="O287" s="101">
        <f>IF(OR($E287='Auto Responses'!$L$13,$F$24='Auto Responses'!$J$4,$F287='Auto Responses'!$J$5),'Auto Responses'!$J$5,IF($J287="",$K287,IF($J287='Auto Responses'!$J$13,5,IF($J287='Auto Responses'!$J$12,10,IF($J287='Auto Responses'!$J$11,20,0)))))</f>
        <v>10</v>
      </c>
      <c r="P287" s="101">
        <f>IF(OR($O287='Auto Responses'!$J$5,$L287='Auto Responses'!$J$5),'Auto Responses'!$J$5,$O287*$L287)</f>
        <v>10</v>
      </c>
      <c r="Q287" s="101">
        <f t="shared" si="29"/>
        <v>0</v>
      </c>
      <c r="R287" s="101">
        <f t="shared" si="33"/>
        <v>0</v>
      </c>
      <c r="S287" s="101">
        <f t="shared" si="30"/>
        <v>0</v>
      </c>
      <c r="T287" s="101">
        <f t="shared" si="31"/>
        <v>0</v>
      </c>
      <c r="U287" s="101">
        <f t="shared" si="34"/>
        <v>69</v>
      </c>
      <c r="V287" s="101">
        <f t="shared" si="32"/>
        <v>0</v>
      </c>
    </row>
    <row r="288" spans="1:22" ht="57" customHeight="1" x14ac:dyDescent="0.2">
      <c r="A288" s="4" t="str">
        <f>Questions!$A288</f>
        <v>DRPV-09</v>
      </c>
      <c r="B288" s="4" t="str">
        <f t="shared" si="28"/>
        <v>DRPV</v>
      </c>
      <c r="C288" s="4" t="str">
        <f>VLOOKUP($A288,Questions!$A$3:$L$333,2,0)&amp;""</f>
        <v>Do you protect personal information against unauthorized access (both physical and logical)?</v>
      </c>
      <c r="D288" s="4" t="str">
        <f>VLOOKUP($A288,Questions!$A$3:$L$333,11,0)&amp;""</f>
        <v/>
      </c>
      <c r="E288" s="4" t="str">
        <f>VLOOKUP($A288,Questions!$A$3:$L$333,12,0)&amp;""</f>
        <v>Privacy</v>
      </c>
      <c r="F288" s="4" t="str">
        <f>VLOOKUP($A288,'Privacy Analyst Evaluation'!$A$46:$K$120,3,0)&amp;""</f>
        <v>Yes</v>
      </c>
      <c r="G288" s="4" t="str">
        <f>VLOOKUP($A288,'Privacy Analyst Evaluation'!$A$46:$K$120,7,0)&amp;""</f>
        <v>Yes</v>
      </c>
      <c r="H288" s="4" t="str">
        <f>VLOOKUP($A288,'Privacy Analyst Evaluation'!$A$46:$K$120,8,0)&amp;""</f>
        <v/>
      </c>
      <c r="I288" s="4" t="str">
        <f>VLOOKUP($A288,'Privacy Analyst Evaluation'!$A$46:$K$120,9,0)&amp;""</f>
        <v>Standard Importance</v>
      </c>
      <c r="J288" s="4" t="str">
        <f>VLOOKUP($A288,'Privacy Analyst Evaluation'!$A$46:$K$120,10,0)&amp;""</f>
        <v/>
      </c>
      <c r="K288" s="4">
        <f>IF($I288='Auto Responses'!$J$11,20,IF($I288='Auto Responses'!$J$13,5,10))</f>
        <v>10</v>
      </c>
      <c r="L288" s="101">
        <f>IF($E288='Auto Responses'!$L$13, 'Auto Responses'!$J$5,IF(AND($D288='Auto Responses'!$J$27,$H288=""),'Auto Responses'!$J$5,IF(AND($D288='Auto Responses'!$J$27,$H288='Auto Responses'!$J$7),1,IF(AND($D288='Auto Responses'!$J$27,$H288='Auto Responses'!$J$8),0,IF(OR(AND($F288=$G288,$H288=""),$H288='Auto Responses'!$J$7),1,0)))))</f>
        <v>1</v>
      </c>
      <c r="M288" s="4" t="str">
        <f>VLOOKUP($A288,'Privacy Analyst Evaluation'!$A$46:$K$120,11,0)&amp;""</f>
        <v>FALSE</v>
      </c>
      <c r="N288" s="4">
        <f>IF($J288='Auto Responses'!$J$11,1,IF(AND($J288="",$I288='Auto Responses'!$J$11),1,0))</f>
        <v>0</v>
      </c>
      <c r="O288" s="101">
        <f>IF(OR($E288='Auto Responses'!$L$13,$F$24='Auto Responses'!$J$4,$F288='Auto Responses'!$J$5),'Auto Responses'!$J$5,IF($J288="",$K288,IF($J288='Auto Responses'!$J$13,5,IF($J288='Auto Responses'!$J$12,10,IF($J288='Auto Responses'!$J$11,20,0)))))</f>
        <v>10</v>
      </c>
      <c r="P288" s="101">
        <f>IF(OR($O288='Auto Responses'!$J$5,$L288='Auto Responses'!$J$5),'Auto Responses'!$J$5,$O288*$L288)</f>
        <v>10</v>
      </c>
      <c r="Q288" s="101">
        <f t="shared" si="29"/>
        <v>0</v>
      </c>
      <c r="R288" s="101">
        <f t="shared" si="33"/>
        <v>0</v>
      </c>
      <c r="S288" s="101">
        <f t="shared" si="30"/>
        <v>0</v>
      </c>
      <c r="T288" s="101">
        <f t="shared" si="31"/>
        <v>0</v>
      </c>
      <c r="U288" s="101">
        <f t="shared" si="34"/>
        <v>69</v>
      </c>
      <c r="V288" s="101">
        <f t="shared" si="32"/>
        <v>0</v>
      </c>
    </row>
    <row r="289" spans="1:22" ht="57" customHeight="1" x14ac:dyDescent="0.2">
      <c r="A289" s="4" t="str">
        <f>Questions!$A289</f>
        <v>DRPV-10</v>
      </c>
      <c r="B289" s="4" t="str">
        <f t="shared" si="28"/>
        <v>DRPV</v>
      </c>
      <c r="C289" s="4" t="str">
        <f>VLOOKUP($A289,Questions!$A$3:$L$333,2,0)&amp;""</f>
        <v>Do you maintain accurate, complete, and relevant personal information for the purposes identified in the privacy notice?</v>
      </c>
      <c r="D289" s="4" t="str">
        <f>VLOOKUP($A289,Questions!$A$3:$L$333,11,0)&amp;""</f>
        <v/>
      </c>
      <c r="E289" s="4" t="str">
        <f>VLOOKUP($A289,Questions!$A$3:$L$333,12,0)&amp;""</f>
        <v>Privacy</v>
      </c>
      <c r="F289" s="4" t="str">
        <f>VLOOKUP($A289,'Privacy Analyst Evaluation'!$A$46:$K$120,3,0)&amp;""</f>
        <v>Yes</v>
      </c>
      <c r="G289" s="4" t="str">
        <f>VLOOKUP($A289,'Privacy Analyst Evaluation'!$A$46:$K$120,7,0)&amp;""</f>
        <v>Yes</v>
      </c>
      <c r="H289" s="4" t="str">
        <f>VLOOKUP($A289,'Privacy Analyst Evaluation'!$A$46:$K$120,8,0)&amp;""</f>
        <v/>
      </c>
      <c r="I289" s="4" t="str">
        <f>VLOOKUP($A289,'Privacy Analyst Evaluation'!$A$46:$K$120,9,0)&amp;""</f>
        <v>Standard Importance</v>
      </c>
      <c r="J289" s="4" t="str">
        <f>VLOOKUP($A289,'Privacy Analyst Evaluation'!$A$46:$K$120,10,0)&amp;""</f>
        <v/>
      </c>
      <c r="K289" s="4">
        <f>IF($I289='Auto Responses'!$J$11,20,IF($I289='Auto Responses'!$J$13,5,10))</f>
        <v>10</v>
      </c>
      <c r="L289" s="101">
        <f>IF($E289='Auto Responses'!$L$13, 'Auto Responses'!$J$5,IF(AND($D289='Auto Responses'!$J$27,$H289=""),'Auto Responses'!$J$5,IF(AND($D289='Auto Responses'!$J$27,$H289='Auto Responses'!$J$7),1,IF(AND($D289='Auto Responses'!$J$27,$H289='Auto Responses'!$J$8),0,IF(OR(AND($F289=$G289,$H289=""),$H289='Auto Responses'!$J$7),1,0)))))</f>
        <v>1</v>
      </c>
      <c r="M289" s="4" t="str">
        <f>VLOOKUP($A289,'Privacy Analyst Evaluation'!$A$46:$K$120,11,0)&amp;""</f>
        <v>FALSE</v>
      </c>
      <c r="N289" s="4">
        <f>IF($J289='Auto Responses'!$J$11,1,IF(AND($J289="",$I289='Auto Responses'!$J$11),1,0))</f>
        <v>0</v>
      </c>
      <c r="O289" s="101">
        <f>IF(OR($E289='Auto Responses'!$L$13,$F$24='Auto Responses'!$J$4,$F289='Auto Responses'!$J$5),'Auto Responses'!$J$5,IF($J289="",$K289,IF($J289='Auto Responses'!$J$13,5,IF($J289='Auto Responses'!$J$12,10,IF($J289='Auto Responses'!$J$11,20,0)))))</f>
        <v>10</v>
      </c>
      <c r="P289" s="101">
        <f>IF(OR($O289='Auto Responses'!$J$5,$L289='Auto Responses'!$J$5),'Auto Responses'!$J$5,$O289*$L289)</f>
        <v>10</v>
      </c>
      <c r="Q289" s="101">
        <f t="shared" si="29"/>
        <v>0</v>
      </c>
      <c r="R289" s="101">
        <f t="shared" si="33"/>
        <v>0</v>
      </c>
      <c r="S289" s="101">
        <f t="shared" si="30"/>
        <v>0</v>
      </c>
      <c r="T289" s="101">
        <f t="shared" si="31"/>
        <v>0</v>
      </c>
      <c r="U289" s="101">
        <f t="shared" si="34"/>
        <v>69</v>
      </c>
      <c r="V289" s="101">
        <f t="shared" si="32"/>
        <v>0</v>
      </c>
    </row>
    <row r="290" spans="1:22" ht="57" customHeight="1" x14ac:dyDescent="0.2">
      <c r="A290" s="4" t="str">
        <f>Questions!$A290</f>
        <v>DRPV-11</v>
      </c>
      <c r="B290" s="4" t="str">
        <f t="shared" si="28"/>
        <v>DRPV</v>
      </c>
      <c r="C290" s="4" t="str">
        <f>VLOOKUP($A290,Questions!$A$3:$L$333,2,0)&amp;""</f>
        <v>Do you have procedures to address privacy-related noncompliance complaints and disputes?</v>
      </c>
      <c r="D290" s="4" t="str">
        <f>VLOOKUP($A290,Questions!$A$3:$L$333,11,0)&amp;""</f>
        <v/>
      </c>
      <c r="E290" s="4" t="str">
        <f>VLOOKUP($A290,Questions!$A$3:$L$333,12,0)&amp;""</f>
        <v>Privacy</v>
      </c>
      <c r="F290" s="4" t="str">
        <f>VLOOKUP($A290,'Privacy Analyst Evaluation'!$A$46:$K$120,3,0)&amp;""</f>
        <v>Yes</v>
      </c>
      <c r="G290" s="4" t="str">
        <f>VLOOKUP($A290,'Privacy Analyst Evaluation'!$A$46:$K$120,7,0)&amp;""</f>
        <v>Yes</v>
      </c>
      <c r="H290" s="4" t="str">
        <f>VLOOKUP($A290,'Privacy Analyst Evaluation'!$A$46:$K$120,8,0)&amp;""</f>
        <v/>
      </c>
      <c r="I290" s="4" t="str">
        <f>VLOOKUP($A290,'Privacy Analyst Evaluation'!$A$46:$K$120,9,0)&amp;""</f>
        <v>Standard Importance</v>
      </c>
      <c r="J290" s="4" t="str">
        <f>VLOOKUP($A290,'Privacy Analyst Evaluation'!$A$46:$K$120,10,0)&amp;""</f>
        <v/>
      </c>
      <c r="K290" s="4">
        <f>IF($I290='Auto Responses'!$J$11,20,IF($I290='Auto Responses'!$J$13,5,10))</f>
        <v>10</v>
      </c>
      <c r="L290" s="101">
        <f>IF($E290='Auto Responses'!$L$13, 'Auto Responses'!$J$5,IF(AND($D290='Auto Responses'!$J$27,$H290=""),'Auto Responses'!$J$5,IF(AND($D290='Auto Responses'!$J$27,$H290='Auto Responses'!$J$7),1,IF(AND($D290='Auto Responses'!$J$27,$H290='Auto Responses'!$J$8),0,IF(OR(AND($F290=$G290,$H290=""),$H290='Auto Responses'!$J$7),1,0)))))</f>
        <v>1</v>
      </c>
      <c r="M290" s="4" t="str">
        <f>VLOOKUP($A290,'Privacy Analyst Evaluation'!$A$46:$K$120,11,0)&amp;""</f>
        <v>FALSE</v>
      </c>
      <c r="N290" s="4">
        <f>IF($J290='Auto Responses'!$J$11,1,IF(AND($J290="",$I290='Auto Responses'!$J$11),1,0))</f>
        <v>0</v>
      </c>
      <c r="O290" s="101">
        <f>IF(OR($E290='Auto Responses'!$L$13,$F$24='Auto Responses'!$J$4,$F290='Auto Responses'!$J$5),'Auto Responses'!$J$5,IF($J290="",$K290,IF($J290='Auto Responses'!$J$13,5,IF($J290='Auto Responses'!$J$12,10,IF($J290='Auto Responses'!$J$11,20,0)))))</f>
        <v>10</v>
      </c>
      <c r="P290" s="101">
        <f>IF(OR($O290='Auto Responses'!$J$5,$L290='Auto Responses'!$J$5),'Auto Responses'!$J$5,$O290*$L290)</f>
        <v>10</v>
      </c>
      <c r="Q290" s="101">
        <f t="shared" si="29"/>
        <v>0</v>
      </c>
      <c r="R290" s="101">
        <f t="shared" si="33"/>
        <v>0</v>
      </c>
      <c r="S290" s="101">
        <f t="shared" si="30"/>
        <v>0</v>
      </c>
      <c r="T290" s="101">
        <f t="shared" si="31"/>
        <v>0</v>
      </c>
      <c r="U290" s="101">
        <f t="shared" si="34"/>
        <v>69</v>
      </c>
      <c r="V290" s="101">
        <f t="shared" si="32"/>
        <v>0</v>
      </c>
    </row>
    <row r="291" spans="1:22" ht="57" customHeight="1" x14ac:dyDescent="0.2">
      <c r="A291" s="4" t="str">
        <f>Questions!$A291</f>
        <v>DRPV-12</v>
      </c>
      <c r="B291" s="4" t="str">
        <f t="shared" si="28"/>
        <v>DRPV</v>
      </c>
      <c r="C291" s="4" t="str">
        <f>VLOOKUP($A291,Questions!$A$3:$L$333,2,0)&amp;""</f>
        <v>Do you "anonymize," "de-identify," or otherwise mask personal data?</v>
      </c>
      <c r="D291" s="4" t="str">
        <f>VLOOKUP($A291,Questions!$A$3:$L$333,11,0)&amp;""</f>
        <v/>
      </c>
      <c r="E291" s="4" t="str">
        <f>VLOOKUP($A291,Questions!$A$3:$L$333,12,0)&amp;""</f>
        <v>Privacy</v>
      </c>
      <c r="F291" s="4" t="str">
        <f>VLOOKUP($A291,'Privacy Analyst Evaluation'!$A$46:$K$120,3,0)&amp;""</f>
        <v>Yes</v>
      </c>
      <c r="G291" s="4" t="str">
        <f>VLOOKUP($A291,'Privacy Analyst Evaluation'!$A$46:$K$120,7,0)&amp;""</f>
        <v>Yes</v>
      </c>
      <c r="H291" s="4" t="str">
        <f>VLOOKUP($A291,'Privacy Analyst Evaluation'!$A$46:$K$120,8,0)&amp;""</f>
        <v/>
      </c>
      <c r="I291" s="4" t="str">
        <f>VLOOKUP($A291,'Privacy Analyst Evaluation'!$A$46:$K$120,9,0)&amp;""</f>
        <v>Standard Importance</v>
      </c>
      <c r="J291" s="4" t="str">
        <f>VLOOKUP($A291,'Privacy Analyst Evaluation'!$A$46:$K$120,10,0)&amp;""</f>
        <v/>
      </c>
      <c r="K291" s="4">
        <f>IF($I291='Auto Responses'!$J$11,20,IF($I291='Auto Responses'!$J$13,5,10))</f>
        <v>10</v>
      </c>
      <c r="L291" s="101">
        <f>IF($E291='Auto Responses'!$L$13, 'Auto Responses'!$J$5,IF(AND($D291='Auto Responses'!$J$27,$H291=""),'Auto Responses'!$J$5,IF(AND($D291='Auto Responses'!$J$27,$H291='Auto Responses'!$J$7),1,IF(AND($D291='Auto Responses'!$J$27,$H291='Auto Responses'!$J$8),0,IF(OR(AND($F291=$G291,$H291=""),$H291='Auto Responses'!$J$7),1,0)))))</f>
        <v>1</v>
      </c>
      <c r="M291" s="4" t="str">
        <f>VLOOKUP($A291,'Privacy Analyst Evaluation'!$A$46:$K$120,11,0)&amp;""</f>
        <v>FALSE</v>
      </c>
      <c r="N291" s="4">
        <f>IF($J291='Auto Responses'!$J$11,1,IF(AND($J291="",$I291='Auto Responses'!$J$11),1,0))</f>
        <v>0</v>
      </c>
      <c r="O291" s="101">
        <f>IF(OR($E291='Auto Responses'!$L$13,$F$24='Auto Responses'!$J$4,$F291='Auto Responses'!$J$5),'Auto Responses'!$J$5,IF($J291="",$K291,IF($J291='Auto Responses'!$J$13,5,IF($J291='Auto Responses'!$J$12,10,IF($J291='Auto Responses'!$J$11,20,0)))))</f>
        <v>10</v>
      </c>
      <c r="P291" s="101">
        <f>IF(OR($O291='Auto Responses'!$J$5,$L291='Auto Responses'!$J$5),'Auto Responses'!$J$5,$O291*$L291)</f>
        <v>10</v>
      </c>
      <c r="Q291" s="101">
        <f t="shared" si="29"/>
        <v>0</v>
      </c>
      <c r="R291" s="101">
        <f t="shared" si="33"/>
        <v>0</v>
      </c>
      <c r="S291" s="101">
        <f t="shared" si="30"/>
        <v>0</v>
      </c>
      <c r="T291" s="101">
        <f t="shared" si="31"/>
        <v>0</v>
      </c>
      <c r="U291" s="101">
        <f t="shared" si="34"/>
        <v>69</v>
      </c>
      <c r="V291" s="101">
        <f t="shared" si="32"/>
        <v>0</v>
      </c>
    </row>
    <row r="292" spans="1:22" ht="99.75" customHeight="1" x14ac:dyDescent="0.2">
      <c r="A292" s="4" t="str">
        <f>Questions!$A292</f>
        <v>DRPV-13</v>
      </c>
      <c r="B292" s="4" t="str">
        <f t="shared" si="28"/>
        <v>DRPV</v>
      </c>
      <c r="C292" s="4" t="str">
        <f>VLOOKUP($A292,Questions!$A$3:$L$333,2,0)&amp;""</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D292" s="4" t="str">
        <f>VLOOKUP($A292,Questions!$A$3:$L$333,11,0)&amp;""</f>
        <v/>
      </c>
      <c r="E292" s="4" t="str">
        <f>VLOOKUP($A292,Questions!$A$3:$L$333,12,0)&amp;""</f>
        <v>Privacy</v>
      </c>
      <c r="F292" s="4" t="str">
        <f>VLOOKUP($A292,'Privacy Analyst Evaluation'!$A$46:$K$120,3,0)&amp;""</f>
        <v>No</v>
      </c>
      <c r="G292" s="4" t="str">
        <f>VLOOKUP($A292,'Privacy Analyst Evaluation'!$A$46:$K$120,7,0)&amp;""</f>
        <v>No</v>
      </c>
      <c r="H292" s="4" t="str">
        <f>VLOOKUP($A292,'Privacy Analyst Evaluation'!$A$46:$K$120,8,0)&amp;""</f>
        <v/>
      </c>
      <c r="I292" s="4" t="str">
        <f>VLOOKUP($A292,'Privacy Analyst Evaluation'!$A$46:$K$120,9,0)&amp;""</f>
        <v>Standard Importance</v>
      </c>
      <c r="J292" s="4" t="str">
        <f>VLOOKUP($A292,'Privacy Analyst Evaluation'!$A$46:$K$120,10,0)&amp;""</f>
        <v/>
      </c>
      <c r="K292" s="4">
        <f>IF($I292='Auto Responses'!$J$11,20,IF($I292='Auto Responses'!$J$13,5,10))</f>
        <v>10</v>
      </c>
      <c r="L292" s="101">
        <f>IF($E292='Auto Responses'!$L$13, 'Auto Responses'!$J$5,IF(AND($D292='Auto Responses'!$J$27,$H292=""),'Auto Responses'!$J$5,IF(AND($D292='Auto Responses'!$J$27,$H292='Auto Responses'!$J$7),1,IF(AND($D292='Auto Responses'!$J$27,$H292='Auto Responses'!$J$8),0,IF(OR(AND($F292=$G292,$H292=""),$H292='Auto Responses'!$J$7),1,0)))))</f>
        <v>1</v>
      </c>
      <c r="M292" s="4" t="str">
        <f>VLOOKUP($A292,'Privacy Analyst Evaluation'!$A$46:$K$120,11,0)&amp;""</f>
        <v>FALSE</v>
      </c>
      <c r="N292" s="4">
        <f>IF($J292='Auto Responses'!$J$11,1,IF(AND($J292="",$I292='Auto Responses'!$J$11),1,0))</f>
        <v>0</v>
      </c>
      <c r="O292" s="101">
        <f>IF(OR($E292='Auto Responses'!$L$13,$F$24='Auto Responses'!$J$4,$F292='Auto Responses'!$J$5),'Auto Responses'!$J$5,IF($J292="",$K292,IF($J292='Auto Responses'!$J$13,5,IF($J292='Auto Responses'!$J$12,10,IF($J292='Auto Responses'!$J$11,20,0)))))</f>
        <v>10</v>
      </c>
      <c r="P292" s="101">
        <f>IF(OR($O292='Auto Responses'!$J$5,$L292='Auto Responses'!$J$5),'Auto Responses'!$J$5,$O292*$L292)</f>
        <v>10</v>
      </c>
      <c r="Q292" s="101">
        <f t="shared" si="29"/>
        <v>0</v>
      </c>
      <c r="R292" s="101">
        <f t="shared" si="33"/>
        <v>0</v>
      </c>
      <c r="S292" s="101">
        <f t="shared" si="30"/>
        <v>0</v>
      </c>
      <c r="T292" s="101">
        <f t="shared" si="31"/>
        <v>0</v>
      </c>
      <c r="U292" s="101">
        <f t="shared" si="34"/>
        <v>69</v>
      </c>
      <c r="V292" s="101">
        <f t="shared" si="32"/>
        <v>0</v>
      </c>
    </row>
    <row r="293" spans="1:22" ht="57" customHeight="1" x14ac:dyDescent="0.2">
      <c r="A293" s="4" t="str">
        <f>Questions!$A293</f>
        <v>DRPV-14</v>
      </c>
      <c r="B293" s="4" t="str">
        <f t="shared" si="28"/>
        <v>DRPV</v>
      </c>
      <c r="C293" s="4" t="str">
        <f>VLOOKUP($A293,Questions!$A$3:$L$333,2,0)&amp;""</f>
        <v>Do you certify stop-processing requests, including any data that is processed by a third party on your behalf?</v>
      </c>
      <c r="D293" s="4" t="str">
        <f>VLOOKUP($A293,Questions!$A$3:$L$333,11,0)&amp;""</f>
        <v/>
      </c>
      <c r="E293" s="4" t="str">
        <f>VLOOKUP($A293,Questions!$A$3:$L$333,12,0)&amp;""</f>
        <v>Privacy</v>
      </c>
      <c r="F293" s="4" t="str">
        <f>VLOOKUP($A293,'Privacy Analyst Evaluation'!$A$46:$K$120,3,0)&amp;""</f>
        <v>Yes</v>
      </c>
      <c r="G293" s="4" t="str">
        <f>VLOOKUP($A293,'Privacy Analyst Evaluation'!$A$46:$K$120,7,0)&amp;""</f>
        <v>Yes</v>
      </c>
      <c r="H293" s="4" t="str">
        <f>VLOOKUP($A293,'Privacy Analyst Evaluation'!$A$46:$K$120,8,0)&amp;""</f>
        <v/>
      </c>
      <c r="I293" s="4" t="str">
        <f>VLOOKUP($A293,'Privacy Analyst Evaluation'!$A$46:$K$120,9,0)&amp;""</f>
        <v>Standard Importance</v>
      </c>
      <c r="J293" s="4" t="str">
        <f>VLOOKUP($A293,'Privacy Analyst Evaluation'!$A$46:$K$120,10,0)&amp;""</f>
        <v/>
      </c>
      <c r="K293" s="4">
        <f>IF($I293='Auto Responses'!$J$11,20,IF($I293='Auto Responses'!$J$13,5,10))</f>
        <v>10</v>
      </c>
      <c r="L293" s="101">
        <f>IF($E293='Auto Responses'!$L$13, 'Auto Responses'!$J$5,IF(AND($D293='Auto Responses'!$J$27,$H293=""),'Auto Responses'!$J$5,IF(AND($D293='Auto Responses'!$J$27,$H293='Auto Responses'!$J$7),1,IF(AND($D293='Auto Responses'!$J$27,$H293='Auto Responses'!$J$8),0,IF(OR(AND($F293=$G293,$H293=""),$H293='Auto Responses'!$J$7),1,0)))))</f>
        <v>1</v>
      </c>
      <c r="M293" s="4" t="str">
        <f>VLOOKUP($A293,'Privacy Analyst Evaluation'!$A$46:$K$120,11,0)&amp;""</f>
        <v>FALSE</v>
      </c>
      <c r="N293" s="4">
        <f>IF($J293='Auto Responses'!$J$11,1,IF(AND($J293="",$I293='Auto Responses'!$J$11),1,0))</f>
        <v>0</v>
      </c>
      <c r="O293" s="101">
        <f>IF(OR($E293='Auto Responses'!$L$13,$F$24='Auto Responses'!$J$4,$F293='Auto Responses'!$J$5),'Auto Responses'!$J$5,IF($J293="",$K293,IF($J293='Auto Responses'!$J$13,5,IF($J293='Auto Responses'!$J$12,10,IF($J293='Auto Responses'!$J$11,20,0)))))</f>
        <v>10</v>
      </c>
      <c r="P293" s="101">
        <f>IF(OR($O293='Auto Responses'!$J$5,$L293='Auto Responses'!$J$5),'Auto Responses'!$J$5,$O293*$L293)</f>
        <v>10</v>
      </c>
      <c r="Q293" s="101">
        <f t="shared" si="29"/>
        <v>0</v>
      </c>
      <c r="R293" s="101">
        <f t="shared" si="33"/>
        <v>0</v>
      </c>
      <c r="S293" s="101">
        <f t="shared" si="30"/>
        <v>0</v>
      </c>
      <c r="T293" s="101">
        <f t="shared" si="31"/>
        <v>0</v>
      </c>
      <c r="U293" s="101">
        <f t="shared" si="34"/>
        <v>69</v>
      </c>
      <c r="V293" s="101">
        <f t="shared" si="32"/>
        <v>0</v>
      </c>
    </row>
    <row r="294" spans="1:22" ht="57" customHeight="1" x14ac:dyDescent="0.2">
      <c r="A294" s="4" t="str">
        <f>Questions!$A294</f>
        <v>DRPV-15</v>
      </c>
      <c r="B294" s="4" t="str">
        <f t="shared" si="28"/>
        <v>DRPV</v>
      </c>
      <c r="C294" s="4" t="str">
        <f>VLOOKUP($A294,Questions!$A$3:$L$333,2,0)&amp;""</f>
        <v>Do you have a process to review code for ethical considerations?</v>
      </c>
      <c r="D294" s="4" t="str">
        <f>VLOOKUP($A294,Questions!$A$3:$L$333,11,0)&amp;""</f>
        <v/>
      </c>
      <c r="E294" s="4" t="str">
        <f>VLOOKUP($A294,Questions!$A$3:$L$333,12,0)&amp;""</f>
        <v>Privacy</v>
      </c>
      <c r="F294" s="4" t="str">
        <f>VLOOKUP($A294,'Privacy Analyst Evaluation'!$A$46:$K$120,3,0)&amp;""</f>
        <v>Yes</v>
      </c>
      <c r="G294" s="4" t="str">
        <f>VLOOKUP($A294,'Privacy Analyst Evaluation'!$A$46:$K$120,7,0)&amp;""</f>
        <v>Yes</v>
      </c>
      <c r="H294" s="4" t="str">
        <f>VLOOKUP($A294,'Privacy Analyst Evaluation'!$A$46:$K$120,8,0)&amp;""</f>
        <v/>
      </c>
      <c r="I294" s="4" t="str">
        <f>VLOOKUP($A294,'Privacy Analyst Evaluation'!$A$46:$K$120,9,0)&amp;""</f>
        <v>Standard Importance</v>
      </c>
      <c r="J294" s="4" t="str">
        <f>VLOOKUP($A294,'Privacy Analyst Evaluation'!$A$46:$K$120,10,0)&amp;""</f>
        <v/>
      </c>
      <c r="K294" s="4">
        <f>IF($I294='Auto Responses'!$J$11,20,IF($I294='Auto Responses'!$J$13,5,10))</f>
        <v>10</v>
      </c>
      <c r="L294" s="101">
        <f>IF($E294='Auto Responses'!$L$13, 'Auto Responses'!$J$5,IF(AND($D294='Auto Responses'!$J$27,$H294=""),'Auto Responses'!$J$5,IF(AND($D294='Auto Responses'!$J$27,$H294='Auto Responses'!$J$7),1,IF(AND($D294='Auto Responses'!$J$27,$H294='Auto Responses'!$J$8),0,IF(OR(AND($F294=$G294,$H294=""),$H294='Auto Responses'!$J$7),1,0)))))</f>
        <v>1</v>
      </c>
      <c r="M294" s="4" t="str">
        <f>VLOOKUP($A294,'Privacy Analyst Evaluation'!$A$46:$K$120,11,0)&amp;""</f>
        <v>FALSE</v>
      </c>
      <c r="N294" s="4">
        <f>IF($J294='Auto Responses'!$J$11,1,IF(AND($J294="",$I294='Auto Responses'!$J$11),1,0))</f>
        <v>0</v>
      </c>
      <c r="O294" s="101">
        <f>IF(OR($E294='Auto Responses'!$L$13,$F$24='Auto Responses'!$J$4,$F294='Auto Responses'!$J$5),'Auto Responses'!$J$5,IF($J294="",$K294,IF($J294='Auto Responses'!$J$13,5,IF($J294='Auto Responses'!$J$12,10,IF($J294='Auto Responses'!$J$11,20,0)))))</f>
        <v>10</v>
      </c>
      <c r="P294" s="101">
        <f>IF(OR($O294='Auto Responses'!$J$5,$L294='Auto Responses'!$J$5),'Auto Responses'!$J$5,$O294*$L294)</f>
        <v>10</v>
      </c>
      <c r="Q294" s="101">
        <f t="shared" si="29"/>
        <v>0</v>
      </c>
      <c r="R294" s="101">
        <f t="shared" si="33"/>
        <v>0</v>
      </c>
      <c r="S294" s="101">
        <f t="shared" si="30"/>
        <v>0</v>
      </c>
      <c r="T294" s="101">
        <f t="shared" si="31"/>
        <v>0</v>
      </c>
      <c r="U294" s="101">
        <f t="shared" si="34"/>
        <v>69</v>
      </c>
      <c r="V294" s="101">
        <f t="shared" si="32"/>
        <v>0</v>
      </c>
    </row>
    <row r="295" spans="1:22" ht="57" customHeight="1" x14ac:dyDescent="0.2">
      <c r="A295" s="4" t="str">
        <f>Questions!$A295</f>
        <v>DPAI-01</v>
      </c>
      <c r="B295" s="4" t="str">
        <f t="shared" si="28"/>
        <v>DPAI</v>
      </c>
      <c r="C295" s="4" t="str">
        <f>VLOOKUP($A295,Questions!$A$3:$L$333,2,0)&amp;""</f>
        <v>Does your service use AI for the processing of institutional data?</v>
      </c>
      <c r="D295" s="4" t="str">
        <f>VLOOKUP($A295,Questions!$A$3:$L$333,11,0)&amp;""</f>
        <v/>
      </c>
      <c r="E295" s="4" t="str">
        <f>VLOOKUP($A295,Questions!$A$3:$L$333,12,0)&amp;""</f>
        <v>Privacy</v>
      </c>
      <c r="F295" s="4" t="str">
        <f>VLOOKUP($A295,'Privacy Analyst Evaluation'!$A$46:$K$120,3,0)&amp;""</f>
        <v>Yes</v>
      </c>
      <c r="G295" s="4" t="str">
        <f>VLOOKUP($A295,'Privacy Analyst Evaluation'!$A$46:$K$120,7,0)&amp;""</f>
        <v>No</v>
      </c>
      <c r="H295" s="4" t="str">
        <f>VLOOKUP($A295,'Privacy Analyst Evaluation'!$A$46:$K$120,8,0)&amp;""</f>
        <v/>
      </c>
      <c r="I295" s="4" t="str">
        <f>VLOOKUP($A295,'Privacy Analyst Evaluation'!$A$46:$K$120,9,0)&amp;""</f>
        <v>Standard Importance</v>
      </c>
      <c r="J295" s="4" t="str">
        <f>VLOOKUP($A295,'Privacy Analyst Evaluation'!$A$46:$K$120,10,0)&amp;""</f>
        <v/>
      </c>
      <c r="K295" s="4">
        <f>IF($I295='Auto Responses'!$J$11,20,IF($I295='Auto Responses'!$J$13,5,10))</f>
        <v>10</v>
      </c>
      <c r="L295" s="101">
        <f>IF($E295='Auto Responses'!$L$13, 'Auto Responses'!$J$5,IF(AND($D295='Auto Responses'!$J$27,$H295=""),'Auto Responses'!$J$5,IF(AND($D295='Auto Responses'!$J$27,$H295='Auto Responses'!$J$7),1,IF(AND($D295='Auto Responses'!$J$27,$H295='Auto Responses'!$J$8),0,IF(OR(AND($F295=$G295,$H295=""),$H295='Auto Responses'!$J$7),1,0)))))</f>
        <v>0</v>
      </c>
      <c r="M295" s="4" t="str">
        <f>VLOOKUP($A295,'Privacy Analyst Evaluation'!$A$46:$K$120,11,0)&amp;""</f>
        <v>FALSE</v>
      </c>
      <c r="N295" s="4">
        <f>IF($J295='Auto Responses'!$J$11,1,IF(AND($J295="",$I295='Auto Responses'!$J$11),1,0))</f>
        <v>0</v>
      </c>
      <c r="O295" s="101">
        <f>IF(OR($E295='Auto Responses'!$L$13,$F295='Auto Responses'!$J$5,$F$24='Auto Responses'!$J$4),'Auto Responses'!$J$5,IF($J295="",$K295,IF($J295='Auto Responses'!$J$13,5,IF($J295='Auto Responses'!$J$12,10,IF($J295='Auto Responses'!$J$11,20,0)))))</f>
        <v>10</v>
      </c>
      <c r="P295" s="101">
        <f>IF(OR($O295='Auto Responses'!$J$5,$L295='Auto Responses'!$J$5),'Auto Responses'!$J$5,$O295*$L295)</f>
        <v>0</v>
      </c>
      <c r="Q295" s="101">
        <f t="shared" si="29"/>
        <v>0</v>
      </c>
      <c r="R295" s="101">
        <f t="shared" si="33"/>
        <v>0</v>
      </c>
      <c r="S295" s="101">
        <f t="shared" si="30"/>
        <v>0</v>
      </c>
      <c r="T295" s="101">
        <f t="shared" si="31"/>
        <v>0</v>
      </c>
      <c r="U295" s="101">
        <f t="shared" si="34"/>
        <v>69</v>
      </c>
      <c r="V295" s="101">
        <f t="shared" si="32"/>
        <v>0</v>
      </c>
    </row>
    <row r="296" spans="1:22" ht="57" customHeight="1" x14ac:dyDescent="0.2">
      <c r="A296" s="4" t="str">
        <f>Questions!$A296</f>
        <v>DPAI-02</v>
      </c>
      <c r="B296" s="4" t="str">
        <f t="shared" si="28"/>
        <v>DPAI</v>
      </c>
      <c r="C296" s="4" t="str">
        <f>VLOOKUP($A296,Questions!$A$3:$L$333,2,0)&amp;""</f>
        <v>Is any institutional data retained in AI processing?*</v>
      </c>
      <c r="D296" s="4" t="str">
        <f>VLOOKUP($A296,Questions!$A$3:$L$333,11,0)&amp;""</f>
        <v/>
      </c>
      <c r="E296" s="4" t="str">
        <f>VLOOKUP($A296,Questions!$A$3:$L$333,12,0)&amp;""</f>
        <v>Privacy</v>
      </c>
      <c r="F296" s="4" t="str">
        <f>VLOOKUP($A296,'Privacy Analyst Evaluation'!$A$46:$K$120,3,0)&amp;""</f>
        <v>No</v>
      </c>
      <c r="G296" s="4" t="str">
        <f>VLOOKUP($A296,'Privacy Analyst Evaluation'!$A$46:$K$120,7,0)&amp;""</f>
        <v>No</v>
      </c>
      <c r="H296" s="4" t="str">
        <f>VLOOKUP($A296,'Privacy Analyst Evaluation'!$A$46:$K$120,8,0)&amp;""</f>
        <v/>
      </c>
      <c r="I296" s="4" t="str">
        <f>VLOOKUP($A296,'Privacy Analyst Evaluation'!$A$46:$K$120,9,0)&amp;""</f>
        <v>Critical Importance</v>
      </c>
      <c r="J296" s="4" t="str">
        <f>VLOOKUP($A296,'Privacy Analyst Evaluation'!$A$46:$K$120,10,0)&amp;""</f>
        <v/>
      </c>
      <c r="K296" s="4">
        <f>IF($I296='Auto Responses'!$J$11,20,IF($I296='Auto Responses'!$J$13,5,10))</f>
        <v>20</v>
      </c>
      <c r="L296" s="101">
        <f>IF($E296='Auto Responses'!$L$13, 'Auto Responses'!$J$5,IF(AND($D296='Auto Responses'!$J$27,$H296=""),'Auto Responses'!$J$5,IF(AND($D296='Auto Responses'!$J$27,$H296='Auto Responses'!$J$7),1,IF(AND($D296='Auto Responses'!$J$27,$H296='Auto Responses'!$J$8),0,IF(OR(AND($F296=$G296,$H296=""),$H296='Auto Responses'!$J$7),1,0)))))</f>
        <v>1</v>
      </c>
      <c r="M296" s="4" t="str">
        <f>VLOOKUP($A296,'Privacy Analyst Evaluation'!$A$46:$K$120,11,0)&amp;""</f>
        <v>FALSE</v>
      </c>
      <c r="N296" s="4">
        <f>IF($J296='Auto Responses'!$J$11,1,IF(AND($J296="",$I296='Auto Responses'!$J$11),1,0))</f>
        <v>1</v>
      </c>
      <c r="O296" s="101">
        <f>IF(OR($E296='Auto Responses'!$L$13,$F296='Auto Responses'!$J$5,$F$24='Auto Responses'!$J$4),'Auto Responses'!$J$5,IF($J296="",$K296,IF($J296='Auto Responses'!$J$13,5,IF($J296='Auto Responses'!$J$12,10,IF($J296='Auto Responses'!$J$11,20,0)))))</f>
        <v>20</v>
      </c>
      <c r="P296" s="101">
        <f>IF(OR($O296='Auto Responses'!$J$5,$L296='Auto Responses'!$J$5),'Auto Responses'!$J$5,$O296*$L296)</f>
        <v>20</v>
      </c>
      <c r="Q296" s="101">
        <f t="shared" si="29"/>
        <v>0</v>
      </c>
      <c r="R296" s="101">
        <f t="shared" si="33"/>
        <v>0</v>
      </c>
      <c r="S296" s="101">
        <f t="shared" si="30"/>
        <v>0</v>
      </c>
      <c r="T296" s="101">
        <f t="shared" si="31"/>
        <v>1</v>
      </c>
      <c r="U296" s="101">
        <f t="shared" si="34"/>
        <v>70</v>
      </c>
      <c r="V296" s="101">
        <f t="shared" si="32"/>
        <v>70</v>
      </c>
    </row>
    <row r="297" spans="1:22" ht="57" customHeight="1" x14ac:dyDescent="0.2">
      <c r="A297" s="4" t="str">
        <f>Questions!$A297</f>
        <v>DPAI-03</v>
      </c>
      <c r="B297" s="4" t="str">
        <f t="shared" si="28"/>
        <v>DPAI</v>
      </c>
      <c r="C297" s="4" t="str">
        <f>VLOOKUP($A297,Questions!$A$3:$L$333,2,0)&amp;""</f>
        <v>Do you have agreements in place with third parties or subprocessors regarding the protection of customer data and use of AI?*</v>
      </c>
      <c r="D297" s="4" t="str">
        <f>VLOOKUP($A297,Questions!$A$3:$L$333,11,0)&amp;""</f>
        <v/>
      </c>
      <c r="E297" s="4" t="str">
        <f>VLOOKUP($A297,Questions!$A$3:$L$333,12,0)&amp;""</f>
        <v>Privacy</v>
      </c>
      <c r="F297" s="4" t="str">
        <f>VLOOKUP($A297,'Privacy Analyst Evaluation'!$A$46:$K$120,3,0)&amp;""</f>
        <v>Yes</v>
      </c>
      <c r="G297" s="4" t="str">
        <f>VLOOKUP($A297,'Privacy Analyst Evaluation'!$A$46:$K$120,7,0)&amp;""</f>
        <v>Yes</v>
      </c>
      <c r="H297" s="4" t="str">
        <f>VLOOKUP($A297,'Privacy Analyst Evaluation'!$A$46:$K$120,8,0)&amp;""</f>
        <v/>
      </c>
      <c r="I297" s="4" t="str">
        <f>VLOOKUP($A297,'Privacy Analyst Evaluation'!$A$46:$K$120,9,0)&amp;""</f>
        <v>Critical Importance</v>
      </c>
      <c r="J297" s="4" t="str">
        <f>VLOOKUP($A297,'Privacy Analyst Evaluation'!$A$46:$K$120,10,0)&amp;""</f>
        <v/>
      </c>
      <c r="K297" s="4">
        <f>IF($I297='Auto Responses'!$J$11,20,IF($I297='Auto Responses'!$J$13,5,10))</f>
        <v>20</v>
      </c>
      <c r="L297" s="101">
        <f>IF($E297='Auto Responses'!$L$13, 'Auto Responses'!$J$5,IF(AND($D297='Auto Responses'!$J$27,$H297=""),'Auto Responses'!$J$5,IF(AND($D297='Auto Responses'!$J$27,$H297='Auto Responses'!$J$7),1,IF(AND($D297='Auto Responses'!$J$27,$H297='Auto Responses'!$J$8),0,IF(OR(AND($F297=$G297,$H297=""),$H297='Auto Responses'!$J$7),1,0)))))</f>
        <v>1</v>
      </c>
      <c r="M297" s="4" t="str">
        <f>VLOOKUP($A297,'Privacy Analyst Evaluation'!$A$46:$K$120,11,0)&amp;""</f>
        <v>FALSE</v>
      </c>
      <c r="N297" s="4">
        <f>IF($J297='Auto Responses'!$J$11,1,IF(AND($J297="",$I297='Auto Responses'!$J$11),1,0))</f>
        <v>1</v>
      </c>
      <c r="O297" s="101">
        <f>IF(OR($E297='Auto Responses'!$L$13,$F297='Auto Responses'!$J$5,$F$24='Auto Responses'!$J$4),'Auto Responses'!$J$5,IF($J297="",$K297,IF($J297='Auto Responses'!$J$13,5,IF($J297='Auto Responses'!$J$12,10,IF($J297='Auto Responses'!$J$11,20,0)))))</f>
        <v>20</v>
      </c>
      <c r="P297" s="101">
        <f>IF(OR($O297='Auto Responses'!$J$5,$L297='Auto Responses'!$J$5),'Auto Responses'!$J$5,$O297*$L297)</f>
        <v>20</v>
      </c>
      <c r="Q297" s="101">
        <f t="shared" si="29"/>
        <v>0</v>
      </c>
      <c r="R297" s="101">
        <f t="shared" si="33"/>
        <v>0</v>
      </c>
      <c r="S297" s="101">
        <f t="shared" si="30"/>
        <v>0</v>
      </c>
      <c r="T297" s="101">
        <f t="shared" si="31"/>
        <v>1</v>
      </c>
      <c r="U297" s="101">
        <f t="shared" si="34"/>
        <v>71</v>
      </c>
      <c r="V297" s="101">
        <f t="shared" si="32"/>
        <v>71</v>
      </c>
    </row>
    <row r="298" spans="1:22" ht="57" customHeight="1" x14ac:dyDescent="0.2">
      <c r="A298" s="4" t="str">
        <f>Questions!$A298</f>
        <v>DPAI-04</v>
      </c>
      <c r="B298" s="4" t="str">
        <f t="shared" si="28"/>
        <v>DPAI</v>
      </c>
      <c r="C298" s="4" t="str">
        <f>VLOOKUP($A298,Questions!$A$3:$L$333,2,0)&amp;""</f>
        <v>Will institutional data be processed through a third party or subprocessor that also uses AI?</v>
      </c>
      <c r="D298" s="4" t="str">
        <f>VLOOKUP($A298,Questions!$A$3:$L$333,11,0)&amp;""</f>
        <v/>
      </c>
      <c r="E298" s="4" t="str">
        <f>VLOOKUP($A298,Questions!$A$3:$L$333,12,0)&amp;""</f>
        <v>Privacy</v>
      </c>
      <c r="F298" s="4" t="str">
        <f>VLOOKUP($A298,'Privacy Analyst Evaluation'!$A$46:$K$120,3,0)&amp;""</f>
        <v>Yes</v>
      </c>
      <c r="G298" s="4" t="str">
        <f>VLOOKUP($A298,'Privacy Analyst Evaluation'!$A$46:$K$120,7,0)&amp;""</f>
        <v>No</v>
      </c>
      <c r="H298" s="4" t="str">
        <f>VLOOKUP($A298,'Privacy Analyst Evaluation'!$A$46:$K$120,8,0)&amp;""</f>
        <v/>
      </c>
      <c r="I298" s="4" t="str">
        <f>VLOOKUP($A298,'Privacy Analyst Evaluation'!$A$46:$K$120,9,0)&amp;""</f>
        <v>Standard Importance</v>
      </c>
      <c r="J298" s="4" t="str">
        <f>VLOOKUP($A298,'Privacy Analyst Evaluation'!$A$46:$K$120,10,0)&amp;""</f>
        <v/>
      </c>
      <c r="K298" s="4">
        <f>IF($I298='Auto Responses'!$J$11,20,IF($I298='Auto Responses'!$J$13,5,10))</f>
        <v>10</v>
      </c>
      <c r="L298" s="101">
        <f>IF($E298='Auto Responses'!$L$13, 'Auto Responses'!$J$5,IF(AND($D298='Auto Responses'!$J$27,$H298=""),'Auto Responses'!$J$5,IF(AND($D298='Auto Responses'!$J$27,$H298='Auto Responses'!$J$7),1,IF(AND($D298='Auto Responses'!$J$27,$H298='Auto Responses'!$J$8),0,IF(OR(AND($F298=$G298,$H298=""),$H298='Auto Responses'!$J$7),1,0)))))</f>
        <v>0</v>
      </c>
      <c r="M298" s="4" t="str">
        <f>VLOOKUP($A298,'Privacy Analyst Evaluation'!$A$46:$K$120,11,0)&amp;""</f>
        <v>FALSE</v>
      </c>
      <c r="N298" s="4">
        <f>IF($J298='Auto Responses'!$J$11,1,IF(AND($J298="",$I298='Auto Responses'!$J$11),1,0))</f>
        <v>0</v>
      </c>
      <c r="O298" s="101">
        <f>IF(OR($E298='Auto Responses'!$L$13,$F298='Auto Responses'!$J$5,$F$24='Auto Responses'!$J$4),'Auto Responses'!$J$5,IF($J298="",$K298,IF($J298='Auto Responses'!$J$13,5,IF($J298='Auto Responses'!$J$12,10,IF($J298='Auto Responses'!$J$11,20,0)))))</f>
        <v>10</v>
      </c>
      <c r="P298" s="101">
        <f>IF(OR($O298='Auto Responses'!$J$5,$L298='Auto Responses'!$J$5),'Auto Responses'!$J$5,$O298*$L298)</f>
        <v>0</v>
      </c>
      <c r="Q298" s="101">
        <f t="shared" si="29"/>
        <v>0</v>
      </c>
      <c r="R298" s="101">
        <f t="shared" si="33"/>
        <v>0</v>
      </c>
      <c r="S298" s="101">
        <f t="shared" si="30"/>
        <v>0</v>
      </c>
      <c r="T298" s="101">
        <f t="shared" si="31"/>
        <v>0</v>
      </c>
      <c r="U298" s="101">
        <f t="shared" si="34"/>
        <v>71</v>
      </c>
      <c r="V298" s="101">
        <f t="shared" si="32"/>
        <v>0</v>
      </c>
    </row>
    <row r="299" spans="1:22" ht="57" customHeight="1" x14ac:dyDescent="0.2">
      <c r="A299" s="4" t="str">
        <f>Questions!$A299</f>
        <v>DPAI-05</v>
      </c>
      <c r="B299" s="4" t="str">
        <f t="shared" si="28"/>
        <v>DPAI</v>
      </c>
      <c r="C299" s="4" t="str">
        <f>VLOOKUP($A299,Questions!$A$3:$L$333,2,0)&amp;""</f>
        <v>Is AI processing limited to fully licensed commercial enterprise AI services?</v>
      </c>
      <c r="D299" s="4" t="str">
        <f>VLOOKUP($A299,Questions!$A$3:$L$333,11,0)&amp;""</f>
        <v/>
      </c>
      <c r="E299" s="4" t="str">
        <f>VLOOKUP($A299,Questions!$A$3:$L$333,12,0)&amp;""</f>
        <v>Privacy</v>
      </c>
      <c r="F299" s="4" t="str">
        <f>VLOOKUP($A299,'Privacy Analyst Evaluation'!$A$46:$K$120,3,0)&amp;""</f>
        <v>Yes</v>
      </c>
      <c r="G299" s="4" t="str">
        <f>VLOOKUP($A299,'Privacy Analyst Evaluation'!$A$46:$K$120,7,0)&amp;""</f>
        <v>Yes</v>
      </c>
      <c r="H299" s="4" t="str">
        <f>VLOOKUP($A299,'Privacy Analyst Evaluation'!$A$46:$K$120,8,0)&amp;""</f>
        <v/>
      </c>
      <c r="I299" s="4" t="str">
        <f>VLOOKUP($A299,'Privacy Analyst Evaluation'!$A$46:$K$120,9,0)&amp;""</f>
        <v>Minor Importance</v>
      </c>
      <c r="J299" s="4" t="str">
        <f>VLOOKUP($A299,'Privacy Analyst Evaluation'!$A$46:$K$120,10,0)&amp;""</f>
        <v/>
      </c>
      <c r="K299" s="4">
        <f>IF($I299='Auto Responses'!$J$11,20,IF($I299='Auto Responses'!$J$13,5,10))</f>
        <v>5</v>
      </c>
      <c r="L299" s="101">
        <f>IF($E299='Auto Responses'!$L$13, 'Auto Responses'!$J$5,IF(AND($D299='Auto Responses'!$J$27,$H299=""),'Auto Responses'!$J$5,IF(AND($D299='Auto Responses'!$J$27,$H299='Auto Responses'!$J$7),1,IF(AND($D299='Auto Responses'!$J$27,$H299='Auto Responses'!$J$8),0,IF(OR(AND($F299=$G299,$H299=""),$H299='Auto Responses'!$J$7),1,0)))))</f>
        <v>1</v>
      </c>
      <c r="M299" s="4" t="str">
        <f>VLOOKUP($A299,'Privacy Analyst Evaluation'!$A$46:$K$120,11,0)&amp;""</f>
        <v>FALSE</v>
      </c>
      <c r="N299" s="4">
        <f>IF($J299='Auto Responses'!$J$11,1,IF(AND($J299="",$I299='Auto Responses'!$J$11),1,0))</f>
        <v>0</v>
      </c>
      <c r="O299" s="101">
        <f>IF(OR($E299='Auto Responses'!$L$13,$F299='Auto Responses'!$J$5,$F$24='Auto Responses'!$J$4),'Auto Responses'!$J$5,IF($J299="",$K299,IF($J299='Auto Responses'!$J$13,5,IF($J299='Auto Responses'!$J$12,10,IF($J299='Auto Responses'!$J$11,20,0)))))</f>
        <v>5</v>
      </c>
      <c r="P299" s="101">
        <f>IF(OR($O299='Auto Responses'!$J$5,$L299='Auto Responses'!$J$5),'Auto Responses'!$J$5,$O299*$L299)</f>
        <v>5</v>
      </c>
      <c r="Q299" s="101">
        <f t="shared" si="29"/>
        <v>0</v>
      </c>
      <c r="R299" s="101">
        <f t="shared" si="33"/>
        <v>0</v>
      </c>
      <c r="S299" s="101">
        <f t="shared" si="30"/>
        <v>0</v>
      </c>
      <c r="T299" s="101">
        <f t="shared" si="31"/>
        <v>0</v>
      </c>
      <c r="U299" s="101">
        <f t="shared" si="34"/>
        <v>71</v>
      </c>
      <c r="V299" s="101">
        <f t="shared" si="32"/>
        <v>0</v>
      </c>
    </row>
    <row r="300" spans="1:22" ht="57" customHeight="1" x14ac:dyDescent="0.2">
      <c r="A300" s="4" t="str">
        <f>Questions!$A300</f>
        <v>DPAI-06</v>
      </c>
      <c r="B300" s="4" t="str">
        <f t="shared" si="28"/>
        <v>DPAI</v>
      </c>
      <c r="C300" s="4" t="str">
        <f>VLOOKUP($A300,Questions!$A$3:$L$333,2,0)&amp;""</f>
        <v>Will institutional data be used or processed by any shared AI services?</v>
      </c>
      <c r="D300" s="4" t="str">
        <f>VLOOKUP($A300,Questions!$A$3:$L$333,11,0)&amp;""</f>
        <v/>
      </c>
      <c r="E300" s="4" t="str">
        <f>VLOOKUP($A300,Questions!$A$3:$L$333,12,0)&amp;""</f>
        <v>Privacy</v>
      </c>
      <c r="F300" s="4" t="str">
        <f>VLOOKUP($A300,'Privacy Analyst Evaluation'!$A$46:$K$120,3,0)&amp;""</f>
        <v>No</v>
      </c>
      <c r="G300" s="4" t="str">
        <f>VLOOKUP($A300,'Privacy Analyst Evaluation'!$A$46:$K$120,7,0)&amp;""</f>
        <v>No</v>
      </c>
      <c r="H300" s="4" t="str">
        <f>VLOOKUP($A300,'Privacy Analyst Evaluation'!$A$46:$K$120,8,0)&amp;""</f>
        <v/>
      </c>
      <c r="I300" s="4" t="str">
        <f>VLOOKUP($A300,'Privacy Analyst Evaluation'!$A$46:$K$120,9,0)&amp;""</f>
        <v>Minor Importance</v>
      </c>
      <c r="J300" s="4" t="str">
        <f>VLOOKUP($A300,'Privacy Analyst Evaluation'!$A$46:$K$120,10,0)&amp;""</f>
        <v/>
      </c>
      <c r="K300" s="4">
        <f>IF($I300='Auto Responses'!$J$11,20,IF($I300='Auto Responses'!$J$13,5,10))</f>
        <v>5</v>
      </c>
      <c r="L300" s="101">
        <f>IF($E300='Auto Responses'!$L$13, 'Auto Responses'!$J$5,IF(AND($D300='Auto Responses'!$J$27,$H300=""),'Auto Responses'!$J$5,IF(AND($D300='Auto Responses'!$J$27,$H300='Auto Responses'!$J$7),1,IF(AND($D300='Auto Responses'!$J$27,$H300='Auto Responses'!$J$8),0,IF(OR(AND($F300=$G300,$H300=""),$H300='Auto Responses'!$J$7),1,0)))))</f>
        <v>1</v>
      </c>
      <c r="M300" s="4" t="str">
        <f>VLOOKUP($A300,'Privacy Analyst Evaluation'!$A$46:$K$120,11,0)&amp;""</f>
        <v>FALSE</v>
      </c>
      <c r="N300" s="4">
        <f>IF($J300='Auto Responses'!$J$11,1,IF(AND($J300="",$I300='Auto Responses'!$J$11),1,0))</f>
        <v>0</v>
      </c>
      <c r="O300" s="101">
        <f>IF(OR($E300='Auto Responses'!$L$13,$F300='Auto Responses'!$J$5,$F$24='Auto Responses'!$J$4),'Auto Responses'!$J$5,IF($J300="",$K300,IF($J300='Auto Responses'!$J$13,5,IF($J300='Auto Responses'!$J$12,10,IF($J300='Auto Responses'!$J$11,20,0)))))</f>
        <v>5</v>
      </c>
      <c r="P300" s="101">
        <f>IF(OR($O300='Auto Responses'!$J$5,$L300='Auto Responses'!$J$5),'Auto Responses'!$J$5,$O300*$L300)</f>
        <v>5</v>
      </c>
      <c r="Q300" s="101">
        <f t="shared" si="29"/>
        <v>0</v>
      </c>
      <c r="R300" s="101">
        <f t="shared" si="33"/>
        <v>0</v>
      </c>
      <c r="S300" s="101">
        <f t="shared" si="30"/>
        <v>0</v>
      </c>
      <c r="T300" s="101">
        <f t="shared" si="31"/>
        <v>0</v>
      </c>
      <c r="U300" s="101">
        <f t="shared" si="34"/>
        <v>71</v>
      </c>
      <c r="V300" s="101">
        <f t="shared" si="32"/>
        <v>0</v>
      </c>
    </row>
    <row r="301" spans="1:22" ht="57" customHeight="1" x14ac:dyDescent="0.2">
      <c r="A301" s="4" t="str">
        <f>Questions!$A301</f>
        <v>DPAI-07</v>
      </c>
      <c r="B301" s="4" t="str">
        <f t="shared" si="28"/>
        <v>DPAI</v>
      </c>
      <c r="C301" s="4" t="str">
        <f>VLOOKUP($A301,Questions!$A$3:$L$333,2,0)&amp;""</f>
        <v>Do you have safeguards in place to protect institutional data and data privacy from unintended AI queries or processing?</v>
      </c>
      <c r="D301" s="4" t="str">
        <f>VLOOKUP($A301,Questions!$A$3:$L$333,11,0)&amp;""</f>
        <v/>
      </c>
      <c r="E301" s="4" t="str">
        <f>VLOOKUP($A301,Questions!$A$3:$L$333,12,0)&amp;""</f>
        <v>Privacy</v>
      </c>
      <c r="F301" s="4" t="str">
        <f>VLOOKUP($A301,'Privacy Analyst Evaluation'!$A$46:$K$120,3,0)&amp;""</f>
        <v>Yes</v>
      </c>
      <c r="G301" s="4" t="str">
        <f>VLOOKUP($A301,'Privacy Analyst Evaluation'!$A$46:$K$120,7,0)&amp;""</f>
        <v>Yes</v>
      </c>
      <c r="H301" s="4" t="str">
        <f>VLOOKUP($A301,'Privacy Analyst Evaluation'!$A$46:$K$120,8,0)&amp;""</f>
        <v/>
      </c>
      <c r="I301" s="4" t="str">
        <f>VLOOKUP($A301,'Privacy Analyst Evaluation'!$A$46:$K$120,9,0)&amp;""</f>
        <v>Minor Importance</v>
      </c>
      <c r="J301" s="4" t="str">
        <f>VLOOKUP($A301,'Privacy Analyst Evaluation'!$A$46:$K$120,10,0)&amp;""</f>
        <v/>
      </c>
      <c r="K301" s="4">
        <f>IF($I301='Auto Responses'!$J$11,20,IF($I301='Auto Responses'!$J$13,5,10))</f>
        <v>5</v>
      </c>
      <c r="L301" s="101">
        <f>IF($E301='Auto Responses'!$L$13, 'Auto Responses'!$J$5,IF(AND($D301='Auto Responses'!$J$27,$H301=""),'Auto Responses'!$J$5,IF(AND($D301='Auto Responses'!$J$27,$H301='Auto Responses'!$J$7),1,IF(AND($D301='Auto Responses'!$J$27,$H301='Auto Responses'!$J$8),0,IF(OR(AND($F301=$G301,$H301=""),$H301='Auto Responses'!$J$7),1,0)))))</f>
        <v>1</v>
      </c>
      <c r="M301" s="4" t="str">
        <f>VLOOKUP($A301,'Privacy Analyst Evaluation'!$A$46:$K$120,11,0)&amp;""</f>
        <v>FALSE</v>
      </c>
      <c r="N301" s="4">
        <f>IF($J301='Auto Responses'!$J$11,1,IF(AND($J301="",$I301='Auto Responses'!$J$11),1,0))</f>
        <v>0</v>
      </c>
      <c r="O301" s="101">
        <f>IF(OR($E301='Auto Responses'!$L$13,$F301='Auto Responses'!$J$5,$F$24='Auto Responses'!$J$4),'Auto Responses'!$J$5,IF($J301="",$K301,IF($J301='Auto Responses'!$J$13,5,IF($J301='Auto Responses'!$J$12,10,IF($J301='Auto Responses'!$J$11,20,0)))))</f>
        <v>5</v>
      </c>
      <c r="P301" s="101">
        <f>IF(OR($O301='Auto Responses'!$J$5,$L301='Auto Responses'!$J$5),'Auto Responses'!$J$5,$O301*$L301)</f>
        <v>5</v>
      </c>
      <c r="Q301" s="101">
        <f t="shared" si="29"/>
        <v>0</v>
      </c>
      <c r="R301" s="101">
        <f t="shared" si="33"/>
        <v>0</v>
      </c>
      <c r="S301" s="101">
        <f t="shared" si="30"/>
        <v>0</v>
      </c>
      <c r="T301" s="101">
        <f t="shared" si="31"/>
        <v>0</v>
      </c>
      <c r="U301" s="101">
        <f t="shared" si="34"/>
        <v>71</v>
      </c>
      <c r="V301" s="101">
        <f t="shared" si="32"/>
        <v>0</v>
      </c>
    </row>
    <row r="302" spans="1:22" ht="57" customHeight="1" x14ac:dyDescent="0.2">
      <c r="A302" s="4" t="str">
        <f>Questions!$A302</f>
        <v>DPAI-08</v>
      </c>
      <c r="B302" s="4" t="str">
        <f t="shared" si="28"/>
        <v>DPAI</v>
      </c>
      <c r="C302" s="4" t="str">
        <f>VLOOKUP($A302,Questions!$A$3:$L$333,2,0)&amp;""</f>
        <v>Do you provide choice to the user to opt out of AI use?</v>
      </c>
      <c r="D302" s="4" t="str">
        <f>VLOOKUP($A302,Questions!$A$3:$L$333,11,0)&amp;""</f>
        <v/>
      </c>
      <c r="E302" s="4" t="str">
        <f>VLOOKUP($A302,Questions!$A$3:$L$333,12,0)&amp;""</f>
        <v>Privacy</v>
      </c>
      <c r="F302" s="4" t="str">
        <f>VLOOKUP($A302,'Privacy Analyst Evaluation'!$A$46:$K$120,3,0)&amp;""</f>
        <v>Yes</v>
      </c>
      <c r="G302" s="4" t="str">
        <f>VLOOKUP($A302,'Privacy Analyst Evaluation'!$A$46:$K$120,7,0)&amp;""</f>
        <v>Yes</v>
      </c>
      <c r="H302" s="4" t="str">
        <f>VLOOKUP($A302,'Privacy Analyst Evaluation'!$A$46:$K$120,8,0)&amp;""</f>
        <v/>
      </c>
      <c r="I302" s="4" t="str">
        <f>VLOOKUP($A302,'Privacy Analyst Evaluation'!$A$46:$K$120,9,0)&amp;""</f>
        <v>Minor Importance</v>
      </c>
      <c r="J302" s="4" t="str">
        <f>VLOOKUP($A302,'Privacy Analyst Evaluation'!$A$46:$K$120,10,0)&amp;""</f>
        <v/>
      </c>
      <c r="K302" s="4">
        <f>IF($I302='Auto Responses'!$J$11,20,IF($I302='Auto Responses'!$J$13,5,10))</f>
        <v>5</v>
      </c>
      <c r="L302" s="101">
        <f>IF($E302='Auto Responses'!$L$13, 'Auto Responses'!$J$5,IF(AND($D302='Auto Responses'!$J$27,$H302=""),'Auto Responses'!$J$5,IF(AND($D302='Auto Responses'!$J$27,$H302='Auto Responses'!$J$7),1,IF(AND($D302='Auto Responses'!$J$27,$H302='Auto Responses'!$J$8),0,IF(OR(AND($F302=$G302,$H302=""),$H302='Auto Responses'!$J$7),1,0)))))</f>
        <v>1</v>
      </c>
      <c r="M302" s="4" t="str">
        <f>VLOOKUP($A302,'Privacy Analyst Evaluation'!$A$46:$K$120,11,0)&amp;""</f>
        <v>FALSE</v>
      </c>
      <c r="N302" s="4">
        <f>IF($J302='Auto Responses'!$J$11,1,IF(AND($J302="",$I302='Auto Responses'!$J$11),1,0))</f>
        <v>0</v>
      </c>
      <c r="O302" s="101">
        <f>IF(OR($E302='Auto Responses'!$L$13,$F302='Auto Responses'!$J$5,$F$24='Auto Responses'!$J$4),'Auto Responses'!$J$5,IF($J302="",$K302,IF($J302='Auto Responses'!$J$13,5,IF($J302='Auto Responses'!$J$12,10,IF($J302='Auto Responses'!$J$11,20,0)))))</f>
        <v>5</v>
      </c>
      <c r="P302" s="101">
        <f>IF(OR($O302='Auto Responses'!$J$5,$L302='Auto Responses'!$J$5),'Auto Responses'!$J$5,$O302*$L302)</f>
        <v>5</v>
      </c>
      <c r="Q302" s="101">
        <f t="shared" si="29"/>
        <v>0</v>
      </c>
      <c r="R302" s="101">
        <f t="shared" si="33"/>
        <v>0</v>
      </c>
      <c r="S302" s="101">
        <f t="shared" si="30"/>
        <v>0</v>
      </c>
      <c r="T302" s="101">
        <f t="shared" si="31"/>
        <v>0</v>
      </c>
      <c r="U302" s="101">
        <f t="shared" si="34"/>
        <v>71</v>
      </c>
      <c r="V302" s="101">
        <f t="shared" si="32"/>
        <v>0</v>
      </c>
    </row>
    <row r="303" spans="1:22" ht="57" customHeight="1" x14ac:dyDescent="0.2">
      <c r="A303" s="4" t="str">
        <f>Questions!$A303</f>
        <v>AIQU-01</v>
      </c>
      <c r="B303" s="4" t="str">
        <f t="shared" si="28"/>
        <v>AIQU</v>
      </c>
      <c r="C303" s="4" t="str">
        <f>VLOOKUP($A303,Questions!$A$3:$L$333,2,0)&amp;""</f>
        <v>Does your solution leverage machine learning (ML) or do you plan to do so in the next 12 months?</v>
      </c>
      <c r="D303" s="4" t="str">
        <f>VLOOKUP($A303,Questions!$A$3:$L$333,11,0)&amp;""</f>
        <v>NA</v>
      </c>
      <c r="E303" s="4" t="str">
        <f>VLOOKUP($A303,Questions!$A$3:$L$333,12,0)&amp;""</f>
        <v>Not scored</v>
      </c>
      <c r="F303" s="4" t="str">
        <f>VLOOKUP($A303,'Institution Evaluation'!$A$56:$K$345,3,0)&amp;""</f>
        <v>Yes</v>
      </c>
      <c r="G303" s="4" t="str">
        <f>VLOOKUP($A303,'Institution Evaluation'!$A$56:$K$345,7,0)&amp;""</f>
        <v>Not scored</v>
      </c>
      <c r="H303" s="4" t="str">
        <f>VLOOKUP($A303,'Institution Evaluation'!$A$56:$K$345,8,0)&amp;""</f>
        <v/>
      </c>
      <c r="I303" s="4" t="str">
        <f>VLOOKUP($A303,'Institution Evaluation'!$A$56:$K$345,9,0)&amp;""</f>
        <v/>
      </c>
      <c r="J303" s="4" t="str">
        <f>VLOOKUP($A303,'Institution Evaluation'!$A$56:$K$345,10,0)&amp;""</f>
        <v/>
      </c>
      <c r="K303" s="4">
        <f>IF($I303='Auto Responses'!$J$11,20,IF($I303='Auto Responses'!$J$13,5,10))</f>
        <v>10</v>
      </c>
      <c r="L303" s="101" t="str">
        <f>IF($E303='Auto Responses'!$L$13, 'Auto Responses'!$J$5,IF(AND($D303='Auto Responses'!$J$27,$H303=""),'Auto Responses'!$J$5,IF(AND($D303='Auto Responses'!$J$27,$H303='Auto Responses'!$J$7),1,IF(AND($D303='Auto Responses'!$J$27,$H303='Auto Responses'!$J$8),0,IF(OR(AND($F303=$G303,$H303=""),$H303='Auto Responses'!$J$7),1,0)))))</f>
        <v>N/A</v>
      </c>
      <c r="M303" s="4" t="str">
        <f>VLOOKUP($A303,'Institution Evaluation'!$A$56:$K$345,11,0)&amp;""</f>
        <v>FALSE</v>
      </c>
      <c r="N303" s="4">
        <f>IF($J303='Auto Responses'!$J$11,1,IF(AND($J303="",$I303='Auto Responses'!$J$11),1,0))</f>
        <v>0</v>
      </c>
      <c r="O303" s="101" t="str">
        <f>IF(OR($F$20='Auto Responses'!$J$4,$E303='Auto Responses'!$L$13,$F303='Auto Responses'!$J$5),'Auto Responses'!$J$5,IF($J303="",$K303,IF($J303='Auto Responses'!$J$13,5,IF($J303='Auto Responses'!$J$12,10,IF($J303='Auto Responses'!$J$11,20,0)))))</f>
        <v>N/A</v>
      </c>
      <c r="P303" s="101" t="str">
        <f>IF(OR($O303='Auto Responses'!$J$5,$L303='Auto Responses'!$J$5),'Auto Responses'!$J$5,$O303*$L303)</f>
        <v>N/A</v>
      </c>
      <c r="Q303" s="101">
        <f t="shared" si="29"/>
        <v>0</v>
      </c>
      <c r="R303" s="101">
        <f t="shared" si="33"/>
        <v>0</v>
      </c>
      <c r="S303" s="101">
        <f t="shared" si="30"/>
        <v>0</v>
      </c>
      <c r="T303" s="101">
        <f t="shared" si="31"/>
        <v>0</v>
      </c>
      <c r="U303" s="101">
        <f t="shared" si="34"/>
        <v>71</v>
      </c>
      <c r="V303" s="101">
        <f t="shared" si="32"/>
        <v>0</v>
      </c>
    </row>
    <row r="304" spans="1:22" ht="57" customHeight="1" x14ac:dyDescent="0.2">
      <c r="A304" s="4" t="str">
        <f>Questions!$A304</f>
        <v>AIQU-02</v>
      </c>
      <c r="B304" s="4" t="str">
        <f t="shared" si="28"/>
        <v>AIQU</v>
      </c>
      <c r="C304" s="4" t="str">
        <f>VLOOKUP($A304,Questions!$A$3:$L$333,2,0)&amp;""</f>
        <v>Does your solution leverage a large language model (LLM) or do you plan to do so in the next 12 months?</v>
      </c>
      <c r="D304" s="4" t="str">
        <f>VLOOKUP($A304,Questions!$A$3:$L$333,11,0)&amp;""</f>
        <v>NA</v>
      </c>
      <c r="E304" s="4" t="str">
        <f>VLOOKUP($A304,Questions!$A$3:$L$333,12,0)&amp;""</f>
        <v>Not scored</v>
      </c>
      <c r="F304" s="4" t="str">
        <f>VLOOKUP($A304,'Institution Evaluation'!$A$56:$K$345,3,0)&amp;""</f>
        <v>Yes</v>
      </c>
      <c r="G304" s="4" t="str">
        <f>VLOOKUP($A304,'Institution Evaluation'!$A$56:$K$345,7,0)&amp;""</f>
        <v>Not scored</v>
      </c>
      <c r="H304" s="4" t="str">
        <f>VLOOKUP($A304,'Institution Evaluation'!$A$56:$K$345,8,0)&amp;""</f>
        <v/>
      </c>
      <c r="I304" s="4" t="str">
        <f>VLOOKUP($A304,'Institution Evaluation'!$A$56:$K$345,9,0)&amp;""</f>
        <v/>
      </c>
      <c r="J304" s="4" t="str">
        <f>VLOOKUP($A304,'Institution Evaluation'!$A$56:$K$345,10,0)&amp;""</f>
        <v/>
      </c>
      <c r="K304" s="4">
        <f>IF($I304='Auto Responses'!$J$11,20,IF($I304='Auto Responses'!$J$13,5,10))</f>
        <v>10</v>
      </c>
      <c r="L304" s="101" t="str">
        <f>IF($E304='Auto Responses'!$L$13, 'Auto Responses'!$J$5,IF(AND($D304='Auto Responses'!$J$27,$H304=""),'Auto Responses'!$J$5,IF(AND($D304='Auto Responses'!$J$27,$H304='Auto Responses'!$J$7),1,IF(AND($D304='Auto Responses'!$J$27,$H304='Auto Responses'!$J$8),0,IF(OR(AND($F304=$G304,$H304=""),$H304='Auto Responses'!$J$7),1,0)))))</f>
        <v>N/A</v>
      </c>
      <c r="M304" s="4" t="str">
        <f>VLOOKUP($A304,'Institution Evaluation'!$A$56:$K$345,11,0)&amp;""</f>
        <v>FALSE</v>
      </c>
      <c r="N304" s="4">
        <f>IF($J304='Auto Responses'!$J$11,1,IF(AND($J304="",$I304='Auto Responses'!$J$11),1,0))</f>
        <v>0</v>
      </c>
      <c r="O304" s="101" t="str">
        <f>IF(OR($F$20='Auto Responses'!$J$4,$E304='Auto Responses'!$L$13,$F304='Auto Responses'!$J$5),'Auto Responses'!$J$5,IF($J304="",$K304,IF($J304='Auto Responses'!$J$13,5,IF($J304='Auto Responses'!$J$12,10,IF($J304='Auto Responses'!$J$11,20,0)))))</f>
        <v>N/A</v>
      </c>
      <c r="P304" s="101" t="str">
        <f>IF(OR($O304='Auto Responses'!$J$5,$L304='Auto Responses'!$J$5),'Auto Responses'!$J$5,$O304*$L304)</f>
        <v>N/A</v>
      </c>
      <c r="Q304" s="101">
        <f t="shared" si="29"/>
        <v>0</v>
      </c>
      <c r="R304" s="101">
        <f t="shared" si="33"/>
        <v>0</v>
      </c>
      <c r="S304" s="101">
        <f t="shared" si="30"/>
        <v>0</v>
      </c>
      <c r="T304" s="101">
        <f t="shared" si="31"/>
        <v>0</v>
      </c>
      <c r="U304" s="101">
        <f t="shared" si="34"/>
        <v>71</v>
      </c>
      <c r="V304" s="101">
        <f t="shared" si="32"/>
        <v>0</v>
      </c>
    </row>
    <row r="305" spans="1:22" ht="57" customHeight="1" x14ac:dyDescent="0.2">
      <c r="A305" s="4" t="str">
        <f>Questions!$A305</f>
        <v>AIGN-01</v>
      </c>
      <c r="B305" s="4" t="str">
        <f t="shared" si="28"/>
        <v>AIGN</v>
      </c>
      <c r="C305" s="4" t="str">
        <f>VLOOKUP($A305,Questions!$A$3:$L$333,2,0)&amp;""</f>
        <v>Does your solution have an AI risk model when developing or implementing your solution's AI model?*</v>
      </c>
      <c r="D305" s="4" t="str">
        <f>VLOOKUP($A305,Questions!$A$3:$L$333,11,0)&amp;""</f>
        <v/>
      </c>
      <c r="E305" s="4" t="str">
        <f>VLOOKUP($A305,Questions!$A$3:$L$333,12,0)&amp;""</f>
        <v>AI</v>
      </c>
      <c r="F305" s="4" t="str">
        <f>VLOOKUP($A305,'Institution Evaluation'!$A$56:$K$345,3,0)&amp;""</f>
        <v>Yes</v>
      </c>
      <c r="G305" s="4" t="str">
        <f>VLOOKUP($A305,'Institution Evaluation'!$A$56:$K$345,7,0)&amp;""</f>
        <v>Yes</v>
      </c>
      <c r="H305" s="4" t="str">
        <f>VLOOKUP($A305,'Institution Evaluation'!$A$56:$K$345,8,0)&amp;""</f>
        <v/>
      </c>
      <c r="I305" s="4" t="str">
        <f>VLOOKUP($A305,'Institution Evaluation'!$A$56:$K$345,9,0)&amp;""</f>
        <v>Critical Importance</v>
      </c>
      <c r="J305" s="4" t="str">
        <f>VLOOKUP($A305,'Institution Evaluation'!$A$56:$K$345,10,0)&amp;""</f>
        <v/>
      </c>
      <c r="K305" s="4">
        <f>IF($I305='Auto Responses'!$J$11,20,IF($I305='Auto Responses'!$J$13,5,10))</f>
        <v>20</v>
      </c>
      <c r="L305" s="101">
        <f>IF($E305='Auto Responses'!$L$13, 'Auto Responses'!$J$5,IF(AND($D305='Auto Responses'!$J$27,$H305=""),'Auto Responses'!$J$5,IF(AND($D305='Auto Responses'!$J$27,$H305='Auto Responses'!$J$7),1,IF(AND($D305='Auto Responses'!$J$27,$H305='Auto Responses'!$J$8),0,IF(OR(AND($F305=$G305,$H305=""),$H305='Auto Responses'!$J$7),1,0)))))</f>
        <v>1</v>
      </c>
      <c r="M305" s="4" t="str">
        <f>VLOOKUP($A305,'Institution Evaluation'!$A$56:$K$345,11,0)&amp;""</f>
        <v>FALSE</v>
      </c>
      <c r="N305" s="4">
        <f>IF($J305='Auto Responses'!$J$11,1,IF(AND($J305="",$I305='Auto Responses'!$J$11),1,0))</f>
        <v>1</v>
      </c>
      <c r="O305" s="101">
        <f>IF(OR($F$20='Auto Responses'!$J$4,$E305='Auto Responses'!$L$13,$F305='Auto Responses'!$J$5),'Auto Responses'!$J$5,IF($J305="",$K305,IF($J305='Auto Responses'!$J$13,5,IF($J305='Auto Responses'!$J$12,10,IF($J305='Auto Responses'!$J$11,20,0)))))</f>
        <v>20</v>
      </c>
      <c r="P305" s="101">
        <f>IF(OR($O305='Auto Responses'!$J$5,$L305='Auto Responses'!$J$5),'Auto Responses'!$J$5,$O305*$L305)</f>
        <v>20</v>
      </c>
      <c r="Q305" s="101">
        <f t="shared" si="29"/>
        <v>0</v>
      </c>
      <c r="R305" s="101">
        <f t="shared" si="33"/>
        <v>0</v>
      </c>
      <c r="S305" s="101">
        <f t="shared" si="30"/>
        <v>0</v>
      </c>
      <c r="T305" s="101">
        <f t="shared" si="31"/>
        <v>1</v>
      </c>
      <c r="U305" s="101">
        <f t="shared" si="34"/>
        <v>72</v>
      </c>
      <c r="V305" s="101">
        <f t="shared" si="32"/>
        <v>72</v>
      </c>
    </row>
    <row r="306" spans="1:22" ht="57" customHeight="1" x14ac:dyDescent="0.2">
      <c r="A306" s="4" t="str">
        <f>Questions!$A306</f>
        <v>AIGN-02</v>
      </c>
      <c r="B306" s="4" t="str">
        <f t="shared" si="28"/>
        <v>AIGN</v>
      </c>
      <c r="C306" s="4" t="str">
        <f>VLOOKUP($A306,Questions!$A$3:$L$333,2,0)&amp;""</f>
        <v>Can your solution's AI features be disabled by tenant and/or user?*</v>
      </c>
      <c r="D306" s="4" t="str">
        <f>VLOOKUP($A306,Questions!$A$3:$L$333,11,0)&amp;""</f>
        <v/>
      </c>
      <c r="E306" s="4" t="str">
        <f>VLOOKUP($A306,Questions!$A$3:$L$333,12,0)&amp;""</f>
        <v>AI</v>
      </c>
      <c r="F306" s="4" t="str">
        <f>VLOOKUP($A306,'Institution Evaluation'!$A$56:$K$345,3,0)&amp;""</f>
        <v>Yes</v>
      </c>
      <c r="G306" s="4" t="str">
        <f>VLOOKUP($A306,'Institution Evaluation'!$A$56:$K$345,7,0)&amp;""</f>
        <v>Yes</v>
      </c>
      <c r="H306" s="4" t="str">
        <f>VLOOKUP($A306,'Institution Evaluation'!$A$56:$K$345,8,0)&amp;""</f>
        <v/>
      </c>
      <c r="I306" s="4" t="str">
        <f>VLOOKUP($A306,'Institution Evaluation'!$A$56:$K$345,9,0)&amp;""</f>
        <v>Critical Importance</v>
      </c>
      <c r="J306" s="4" t="str">
        <f>VLOOKUP($A306,'Institution Evaluation'!$A$56:$K$345,10,0)&amp;""</f>
        <v/>
      </c>
      <c r="K306" s="4">
        <f>IF($I306='Auto Responses'!$J$11,20,IF($I306='Auto Responses'!$J$13,5,10))</f>
        <v>20</v>
      </c>
      <c r="L306" s="101">
        <f>IF($E306='Auto Responses'!$L$13, 'Auto Responses'!$J$5,IF(AND($D306='Auto Responses'!$J$27,$H306=""),'Auto Responses'!$J$5,IF(AND($D306='Auto Responses'!$J$27,$H306='Auto Responses'!$J$7),1,IF(AND($D306='Auto Responses'!$J$27,$H306='Auto Responses'!$J$8),0,IF(OR(AND($F306=$G306,$H306=""),$H306='Auto Responses'!$J$7),1,0)))))</f>
        <v>1</v>
      </c>
      <c r="M306" s="4" t="str">
        <f>VLOOKUP($A306,'Institution Evaluation'!$A$56:$K$345,11,0)&amp;""</f>
        <v>FALSE</v>
      </c>
      <c r="N306" s="4">
        <f>IF($J306='Auto Responses'!$J$11,1,IF(AND($J306="",$I306='Auto Responses'!$J$11),1,0))</f>
        <v>1</v>
      </c>
      <c r="O306" s="101">
        <f>IF(OR($F$20='Auto Responses'!$J$4,$E306='Auto Responses'!$L$13,$F306='Auto Responses'!$J$5),'Auto Responses'!$J$5,IF($J306="",$K306,IF($J306='Auto Responses'!$J$13,5,IF($J306='Auto Responses'!$J$12,10,IF($J306='Auto Responses'!$J$11,20,0)))))</f>
        <v>20</v>
      </c>
      <c r="P306" s="101">
        <f>IF(OR($O306='Auto Responses'!$J$5,$L306='Auto Responses'!$J$5),'Auto Responses'!$J$5,$O306*$L306)</f>
        <v>20</v>
      </c>
      <c r="Q306" s="101">
        <f t="shared" si="29"/>
        <v>0</v>
      </c>
      <c r="R306" s="101">
        <f t="shared" si="33"/>
        <v>0</v>
      </c>
      <c r="S306" s="101">
        <f t="shared" si="30"/>
        <v>0</v>
      </c>
      <c r="T306" s="101">
        <f t="shared" si="31"/>
        <v>1</v>
      </c>
      <c r="U306" s="101">
        <f t="shared" si="34"/>
        <v>73</v>
      </c>
      <c r="V306" s="101">
        <f t="shared" si="32"/>
        <v>73</v>
      </c>
    </row>
    <row r="307" spans="1:22" ht="57" customHeight="1" x14ac:dyDescent="0.2">
      <c r="A307" s="4" t="str">
        <f>Questions!$A307</f>
        <v>AIGN-03</v>
      </c>
      <c r="B307" s="4" t="str">
        <f t="shared" si="28"/>
        <v>AIGN</v>
      </c>
      <c r="C307" s="4" t="str">
        <f>VLOOKUP($A307,Questions!$A$3:$L$333,2,0)&amp;""</f>
        <v>Have your staff completed responsible AI training?*</v>
      </c>
      <c r="D307" s="4" t="str">
        <f>VLOOKUP($A307,Questions!$A$3:$L$333,11,0)&amp;""</f>
        <v/>
      </c>
      <c r="E307" s="4" t="str">
        <f>VLOOKUP($A307,Questions!$A$3:$L$333,12,0)&amp;""</f>
        <v>AI</v>
      </c>
      <c r="F307" s="4" t="str">
        <f>VLOOKUP($A307,'Institution Evaluation'!$A$56:$K$345,3,0)&amp;""</f>
        <v>Yes</v>
      </c>
      <c r="G307" s="4" t="str">
        <f>VLOOKUP($A307,'Institution Evaluation'!$A$56:$K$345,7,0)&amp;""</f>
        <v>Yes</v>
      </c>
      <c r="H307" s="4" t="str">
        <f>VLOOKUP($A307,'Institution Evaluation'!$A$56:$K$345,8,0)&amp;""</f>
        <v/>
      </c>
      <c r="I307" s="4" t="str">
        <f>VLOOKUP($A307,'Institution Evaluation'!$A$56:$K$345,9,0)&amp;""</f>
        <v>Critical Importance</v>
      </c>
      <c r="J307" s="4" t="str">
        <f>VLOOKUP($A307,'Institution Evaluation'!$A$56:$K$345,10,0)&amp;""</f>
        <v/>
      </c>
      <c r="K307" s="4">
        <f>IF($I307='Auto Responses'!$J$11,20,IF($I307='Auto Responses'!$J$13,5,10))</f>
        <v>20</v>
      </c>
      <c r="L307" s="101">
        <f>IF($E307='Auto Responses'!$L$13, 'Auto Responses'!$J$5,IF(AND($D307='Auto Responses'!$J$27,$H307=""),'Auto Responses'!$J$5,IF(AND($D307='Auto Responses'!$J$27,$H307='Auto Responses'!$J$7),1,IF(AND($D307='Auto Responses'!$J$27,$H307='Auto Responses'!$J$8),0,IF(OR(AND($F307=$G307,$H307=""),$H307='Auto Responses'!$J$7),1,0)))))</f>
        <v>1</v>
      </c>
      <c r="M307" s="4" t="str">
        <f>VLOOKUP($A307,'Institution Evaluation'!$A$56:$K$345,11,0)&amp;""</f>
        <v>FALSE</v>
      </c>
      <c r="N307" s="4">
        <f>IF($J307='Auto Responses'!$J$11,1,IF(AND($J307="",$I307='Auto Responses'!$J$11),1,0))</f>
        <v>1</v>
      </c>
      <c r="O307" s="101">
        <f>IF(OR($F$20='Auto Responses'!$J$4,$E307='Auto Responses'!$L$13,$F307='Auto Responses'!$J$5),'Auto Responses'!$J$5,IF($J307="",$K307,IF($J307='Auto Responses'!$J$13,5,IF($J307='Auto Responses'!$J$12,10,IF($J307='Auto Responses'!$J$11,20,0)))))</f>
        <v>20</v>
      </c>
      <c r="P307" s="101">
        <f>IF(OR($O307='Auto Responses'!$J$5,$L307='Auto Responses'!$J$5),'Auto Responses'!$J$5,$O307*$L307)</f>
        <v>20</v>
      </c>
      <c r="Q307" s="101">
        <f t="shared" si="29"/>
        <v>0</v>
      </c>
      <c r="R307" s="101">
        <f t="shared" si="33"/>
        <v>0</v>
      </c>
      <c r="S307" s="101">
        <f t="shared" si="30"/>
        <v>0</v>
      </c>
      <c r="T307" s="101">
        <f t="shared" si="31"/>
        <v>1</v>
      </c>
      <c r="U307" s="101">
        <f t="shared" si="34"/>
        <v>74</v>
      </c>
      <c r="V307" s="101">
        <f t="shared" si="32"/>
        <v>74</v>
      </c>
    </row>
    <row r="308" spans="1:22" ht="57" customHeight="1" x14ac:dyDescent="0.2">
      <c r="A308" s="4" t="str">
        <f>Questions!$A308</f>
        <v>AIGN-04</v>
      </c>
      <c r="B308" s="4" t="str">
        <f t="shared" si="28"/>
        <v>AIGN</v>
      </c>
      <c r="C308" s="4" t="str">
        <f>VLOOKUP($A308,Questions!$A$3:$L$333,2,0)&amp;""</f>
        <v>Please describe the capabilities of your solution's AI features.</v>
      </c>
      <c r="D308" s="4" t="str">
        <f>VLOOKUP($A308,Questions!$A$3:$L$333,11,0)&amp;""</f>
        <v/>
      </c>
      <c r="E308" s="4" t="str">
        <f>VLOOKUP($A308,Questions!$A$3:$L$333,12,0)&amp;""</f>
        <v>Not scored</v>
      </c>
      <c r="F308" s="4" t="str">
        <f>VLOOKUP($A308,'Institution Evaluation'!$A$56:$K$345,3,0)&amp;""</f>
        <v>Yes</v>
      </c>
      <c r="G308" s="4" t="str">
        <f>VLOOKUP($A308,'Institution Evaluation'!$A$56:$K$345,7,0)&amp;""</f>
        <v>Not scored</v>
      </c>
      <c r="H308" s="4" t="str">
        <f>VLOOKUP($A308,'Institution Evaluation'!$A$56:$K$345,8,0)&amp;""</f>
        <v/>
      </c>
      <c r="I308" s="4" t="str">
        <f>VLOOKUP($A308,'Institution Evaluation'!$A$56:$K$345,9,0)&amp;""</f>
        <v/>
      </c>
      <c r="J308" s="4" t="str">
        <f>VLOOKUP($A308,'Institution Evaluation'!$A$56:$K$345,10,0)&amp;""</f>
        <v/>
      </c>
      <c r="K308" s="4">
        <f>IF($I308='Auto Responses'!$J$11,20,IF($I308='Auto Responses'!$J$13,5,10))</f>
        <v>10</v>
      </c>
      <c r="L308" s="101" t="str">
        <f>IF($E308='Auto Responses'!$L$13, 'Auto Responses'!$J$5,IF(AND($D308='Auto Responses'!$J$27,$H308=""),'Auto Responses'!$J$5,IF(AND($D308='Auto Responses'!$J$27,$H308='Auto Responses'!$J$7),1,IF(AND($D308='Auto Responses'!$J$27,$H308='Auto Responses'!$J$8),0,IF(OR(AND($F308=$G308,$H308=""),$H308='Auto Responses'!$J$7),1,0)))))</f>
        <v>N/A</v>
      </c>
      <c r="M308" s="4" t="str">
        <f>VLOOKUP($A308,'Institution Evaluation'!$A$56:$K$345,11,0)&amp;""</f>
        <v>FALSE</v>
      </c>
      <c r="N308" s="4">
        <f>IF($J308='Auto Responses'!$J$11,1,IF(AND($J308="",$I308='Auto Responses'!$J$11),1,0))</f>
        <v>0</v>
      </c>
      <c r="O308" s="101" t="str">
        <f>IF(OR($F$20='Auto Responses'!$J$4,$E308='Auto Responses'!$L$13,$F308='Auto Responses'!$J$5),'Auto Responses'!$J$5,IF($J308="",$K308,IF($J308='Auto Responses'!$J$13,5,IF($J308='Auto Responses'!$J$12,10,IF($J308='Auto Responses'!$J$11,20,0)))))</f>
        <v>N/A</v>
      </c>
      <c r="P308" s="101" t="str">
        <f>IF(OR($O308='Auto Responses'!$J$5,$L308='Auto Responses'!$J$5),'Auto Responses'!$J$5,$O308*$L308)</f>
        <v>N/A</v>
      </c>
      <c r="Q308" s="101">
        <f t="shared" si="29"/>
        <v>0</v>
      </c>
      <c r="R308" s="101">
        <f t="shared" si="33"/>
        <v>0</v>
      </c>
      <c r="S308" s="101">
        <f t="shared" si="30"/>
        <v>0</v>
      </c>
      <c r="T308" s="101">
        <f t="shared" si="31"/>
        <v>0</v>
      </c>
      <c r="U308" s="101">
        <f t="shared" si="34"/>
        <v>74</v>
      </c>
      <c r="V308" s="101">
        <f t="shared" si="32"/>
        <v>0</v>
      </c>
    </row>
    <row r="309" spans="1:22" ht="57" customHeight="1" x14ac:dyDescent="0.2">
      <c r="A309" s="4" t="str">
        <f>Questions!$A309</f>
        <v>AIGN-05</v>
      </c>
      <c r="B309" s="4" t="str">
        <f t="shared" si="28"/>
        <v>AIGN</v>
      </c>
      <c r="C309" s="4" t="str">
        <f>VLOOKUP($A309,Questions!$A$3:$L$333,2,0)&amp;""</f>
        <v>Does your solution support business rules to protect sensitive data from being ingested by the AI model?</v>
      </c>
      <c r="D309" s="4" t="str">
        <f>VLOOKUP($A309,Questions!$A$3:$L$333,11,0)&amp;""</f>
        <v/>
      </c>
      <c r="E309" s="4" t="str">
        <f>VLOOKUP($A309,Questions!$A$3:$L$333,12,0)&amp;""</f>
        <v>AI</v>
      </c>
      <c r="F309" s="4" t="str">
        <f>VLOOKUP($A309,'Institution Evaluation'!$A$56:$K$345,3,0)&amp;""</f>
        <v>Yes</v>
      </c>
      <c r="G309" s="4" t="str">
        <f>VLOOKUP($A309,'Institution Evaluation'!$A$56:$K$345,7,0)&amp;""</f>
        <v>Yes</v>
      </c>
      <c r="H309" s="4" t="str">
        <f>VLOOKUP($A309,'Institution Evaluation'!$A$56:$K$345,8,0)&amp;""</f>
        <v/>
      </c>
      <c r="I309" s="4" t="str">
        <f>VLOOKUP($A309,'Institution Evaluation'!$A$56:$K$345,9,0)&amp;""</f>
        <v>Standard Importance</v>
      </c>
      <c r="J309" s="4" t="str">
        <f>VLOOKUP($A309,'Institution Evaluation'!$A$56:$K$345,10,0)&amp;""</f>
        <v/>
      </c>
      <c r="K309" s="4">
        <f>IF($I309='Auto Responses'!$J$11,20,IF($I309='Auto Responses'!$J$13,5,10))</f>
        <v>10</v>
      </c>
      <c r="L309" s="101">
        <f>IF($E309='Auto Responses'!$L$13, 'Auto Responses'!$J$5,IF(AND($D309='Auto Responses'!$J$27,$H309=""),'Auto Responses'!$J$5,IF(AND($D309='Auto Responses'!$J$27,$H309='Auto Responses'!$J$7),1,IF(AND($D309='Auto Responses'!$J$27,$H309='Auto Responses'!$J$8),0,IF(OR(AND($F309=$G309,$H309=""),$H309='Auto Responses'!$J$7),1,0)))))</f>
        <v>1</v>
      </c>
      <c r="M309" s="4" t="str">
        <f>VLOOKUP($A309,'Institution Evaluation'!$A$56:$K$345,11,0)&amp;""</f>
        <v>FALSE</v>
      </c>
      <c r="N309" s="4">
        <f>IF($J309='Auto Responses'!$J$11,1,IF(AND($J309="",$I309='Auto Responses'!$J$11),1,0))</f>
        <v>0</v>
      </c>
      <c r="O309" s="101">
        <f>IF(OR($F$20='Auto Responses'!$J$4,$E309='Auto Responses'!$L$13,$F309='Auto Responses'!$J$5),'Auto Responses'!$J$5,IF($J309="",$K309,IF($J309='Auto Responses'!$J$13,5,IF($J309='Auto Responses'!$J$12,10,IF($J309='Auto Responses'!$J$11,20,0)))))</f>
        <v>10</v>
      </c>
      <c r="P309" s="101">
        <f>IF(OR($O309='Auto Responses'!$J$5,$L309='Auto Responses'!$J$5),'Auto Responses'!$J$5,$O309*$L309)</f>
        <v>10</v>
      </c>
      <c r="Q309" s="101">
        <f t="shared" si="29"/>
        <v>0</v>
      </c>
      <c r="R309" s="101">
        <f t="shared" si="33"/>
        <v>0</v>
      </c>
      <c r="S309" s="101">
        <f t="shared" si="30"/>
        <v>0</v>
      </c>
      <c r="T309" s="101">
        <f t="shared" si="31"/>
        <v>0</v>
      </c>
      <c r="U309" s="101">
        <f t="shared" si="34"/>
        <v>74</v>
      </c>
      <c r="V309" s="101">
        <f t="shared" si="32"/>
        <v>0</v>
      </c>
    </row>
    <row r="310" spans="1:22" ht="71.25" customHeight="1" x14ac:dyDescent="0.2">
      <c r="A310" s="4" t="str">
        <f>Questions!$A310</f>
        <v>AIPL-01</v>
      </c>
      <c r="B310" s="4" t="str">
        <f t="shared" si="28"/>
        <v>AIPL</v>
      </c>
      <c r="C310" s="4" t="str">
        <f>VLOOKUP($A310,Questions!$A$3:$L$333,2,0)&amp;""</f>
        <v>Are your AI developer's policies, processes, procedures, and practices across the organization related to the mapping, measuring, and managing of AI risks conspicuously posted, unambiguous, and implemented effectively?*</v>
      </c>
      <c r="D310" s="4" t="str">
        <f>VLOOKUP($A310,Questions!$A$3:$L$333,11,0)&amp;""</f>
        <v/>
      </c>
      <c r="E310" s="4" t="str">
        <f>VLOOKUP($A310,Questions!$A$3:$L$333,12,0)&amp;""</f>
        <v>AI</v>
      </c>
      <c r="F310" s="4" t="str">
        <f>VLOOKUP($A310,'Institution Evaluation'!$A$56:$K$345,3,0)&amp;""</f>
        <v>Yes</v>
      </c>
      <c r="G310" s="4" t="str">
        <f>VLOOKUP($A310,'Institution Evaluation'!$A$56:$K$345,7,0)&amp;""</f>
        <v>Yes</v>
      </c>
      <c r="H310" s="4" t="str">
        <f>VLOOKUP($A310,'Institution Evaluation'!$A$56:$K$345,8,0)&amp;""</f>
        <v/>
      </c>
      <c r="I310" s="4" t="str">
        <f>VLOOKUP($A310,'Institution Evaluation'!$A$56:$K$345,9,0)&amp;""</f>
        <v>Critical Importance</v>
      </c>
      <c r="J310" s="4" t="str">
        <f>VLOOKUP($A310,'Institution Evaluation'!$A$56:$K$345,10,0)&amp;""</f>
        <v/>
      </c>
      <c r="K310" s="4">
        <f>IF($I310='Auto Responses'!$J$11,20,IF($I310='Auto Responses'!$J$13,5,10))</f>
        <v>20</v>
      </c>
      <c r="L310" s="101">
        <f>IF($E310='Auto Responses'!$L$13, 'Auto Responses'!$J$5,IF(AND($D310='Auto Responses'!$J$27,$H310=""),'Auto Responses'!$J$5,IF(AND($D310='Auto Responses'!$J$27,$H310='Auto Responses'!$J$7),1,IF(AND($D310='Auto Responses'!$J$27,$H310='Auto Responses'!$J$8),0,IF(OR(AND($F310=$G310,$H310=""),$H310='Auto Responses'!$J$7),1,0)))))</f>
        <v>1</v>
      </c>
      <c r="M310" s="4" t="str">
        <f>VLOOKUP($A310,'Institution Evaluation'!$A$56:$K$345,11,0)&amp;""</f>
        <v>FALSE</v>
      </c>
      <c r="N310" s="4">
        <f>IF($J310='Auto Responses'!$J$11,1,IF(AND($J310="",$I310='Auto Responses'!$J$11),1,0))</f>
        <v>1</v>
      </c>
      <c r="O310" s="101">
        <f>IF(OR($F$20='Auto Responses'!$J$4,$E310='Auto Responses'!$L$13,$F310='Auto Responses'!$J$5),'Auto Responses'!$J$5,IF($J310="",$K310,IF($J310='Auto Responses'!$J$13,5,IF($J310='Auto Responses'!$J$12,10,IF($J310='Auto Responses'!$J$11,20,0)))))</f>
        <v>20</v>
      </c>
      <c r="P310" s="101">
        <f>IF(OR($O310='Auto Responses'!$J$5,$L310='Auto Responses'!$J$5),'Auto Responses'!$J$5,$O310*$L310)</f>
        <v>20</v>
      </c>
      <c r="Q310" s="101">
        <f t="shared" si="29"/>
        <v>0</v>
      </c>
      <c r="R310" s="101">
        <f t="shared" si="33"/>
        <v>0</v>
      </c>
      <c r="S310" s="101">
        <f t="shared" si="30"/>
        <v>0</v>
      </c>
      <c r="T310" s="101">
        <f t="shared" si="31"/>
        <v>1</v>
      </c>
      <c r="U310" s="101">
        <f t="shared" si="34"/>
        <v>75</v>
      </c>
      <c r="V310" s="101">
        <f t="shared" si="32"/>
        <v>75</v>
      </c>
    </row>
    <row r="311" spans="1:22" ht="57" customHeight="1" x14ac:dyDescent="0.2">
      <c r="A311" s="4" t="str">
        <f>Questions!$A311</f>
        <v>AIPL-02</v>
      </c>
      <c r="B311" s="4" t="str">
        <f t="shared" si="28"/>
        <v>AIPL</v>
      </c>
      <c r="C311" s="4" t="str">
        <f>VLOOKUP($A311,Questions!$A$3:$L$333,2,0)&amp;""</f>
        <v>Have you identified and measured AI risks?*</v>
      </c>
      <c r="D311" s="4" t="str">
        <f>VLOOKUP($A311,Questions!$A$3:$L$333,11,0)&amp;""</f>
        <v/>
      </c>
      <c r="E311" s="4" t="str">
        <f>VLOOKUP($A311,Questions!$A$3:$L$333,12,0)&amp;""</f>
        <v>AI</v>
      </c>
      <c r="F311" s="4" t="str">
        <f>VLOOKUP($A311,'Institution Evaluation'!$A$56:$K$345,3,0)&amp;""</f>
        <v>Yes</v>
      </c>
      <c r="G311" s="4" t="str">
        <f>VLOOKUP($A311,'Institution Evaluation'!$A$56:$K$345,7,0)&amp;""</f>
        <v>Yes</v>
      </c>
      <c r="H311" s="4" t="str">
        <f>VLOOKUP($A311,'Institution Evaluation'!$A$56:$K$345,8,0)&amp;""</f>
        <v/>
      </c>
      <c r="I311" s="4" t="str">
        <f>VLOOKUP($A311,'Institution Evaluation'!$A$56:$K$345,9,0)&amp;""</f>
        <v>Critical Importance</v>
      </c>
      <c r="J311" s="4" t="str">
        <f>VLOOKUP($A311,'Institution Evaluation'!$A$56:$K$345,10,0)&amp;""</f>
        <v/>
      </c>
      <c r="K311" s="4">
        <f>IF($I311='Auto Responses'!$J$11,20,IF($I311='Auto Responses'!$J$13,5,10))</f>
        <v>20</v>
      </c>
      <c r="L311" s="101">
        <f>IF($E311='Auto Responses'!$L$13, 'Auto Responses'!$J$5,IF(AND($D311='Auto Responses'!$J$27,$H311=""),'Auto Responses'!$J$5,IF(AND($D311='Auto Responses'!$J$27,$H311='Auto Responses'!$J$7),1,IF(AND($D311='Auto Responses'!$J$27,$H311='Auto Responses'!$J$8),0,IF(OR(AND($F311=$G311,$H311=""),$H311='Auto Responses'!$J$7),1,0)))))</f>
        <v>1</v>
      </c>
      <c r="M311" s="4" t="str">
        <f>VLOOKUP($A311,'Institution Evaluation'!$A$56:$K$345,11,0)&amp;""</f>
        <v>FALSE</v>
      </c>
      <c r="N311" s="4">
        <f>IF($J311='Auto Responses'!$J$11,1,IF(AND($J311="",$I311='Auto Responses'!$J$11),1,0))</f>
        <v>1</v>
      </c>
      <c r="O311" s="101">
        <f>IF(OR($F$20='Auto Responses'!$J$4,$E311='Auto Responses'!$L$13,$F311='Auto Responses'!$J$5),'Auto Responses'!$J$5,IF($J311="",$K311,IF($J311='Auto Responses'!$J$13,5,IF($J311='Auto Responses'!$J$12,10,IF($J311='Auto Responses'!$J$11,20,0)))))</f>
        <v>20</v>
      </c>
      <c r="P311" s="101">
        <f>IF(OR($O311='Auto Responses'!$J$5,$L311='Auto Responses'!$J$5),'Auto Responses'!$J$5,$O311*$L311)</f>
        <v>20</v>
      </c>
      <c r="Q311" s="101">
        <f t="shared" si="29"/>
        <v>0</v>
      </c>
      <c r="R311" s="101">
        <f t="shared" si="33"/>
        <v>0</v>
      </c>
      <c r="S311" s="101">
        <f t="shared" si="30"/>
        <v>0</v>
      </c>
      <c r="T311" s="101">
        <f t="shared" si="31"/>
        <v>1</v>
      </c>
      <c r="U311" s="101">
        <f t="shared" si="34"/>
        <v>76</v>
      </c>
      <c r="V311" s="101">
        <f t="shared" si="32"/>
        <v>76</v>
      </c>
    </row>
    <row r="312" spans="1:22" ht="57" customHeight="1" x14ac:dyDescent="0.2">
      <c r="A312" s="4" t="str">
        <f>Questions!$A312</f>
        <v>AIPL-03</v>
      </c>
      <c r="B312" s="4" t="str">
        <f t="shared" si="28"/>
        <v>AIPL</v>
      </c>
      <c r="C312" s="4" t="str">
        <f>VLOOKUP($A312,Questions!$A$3:$L$333,2,0)&amp;""</f>
        <v>In the event of an incident, can your solution's AI features be disabled in a timely manner?*</v>
      </c>
      <c r="D312" s="4" t="str">
        <f>VLOOKUP($A312,Questions!$A$3:$L$333,11,0)&amp;""</f>
        <v/>
      </c>
      <c r="E312" s="4" t="str">
        <f>VLOOKUP($A312,Questions!$A$3:$L$333,12,0)&amp;""</f>
        <v>AI</v>
      </c>
      <c r="F312" s="4" t="str">
        <f>VLOOKUP($A312,'Institution Evaluation'!$A$56:$K$345,3,0)&amp;""</f>
        <v>Yes</v>
      </c>
      <c r="G312" s="4" t="str">
        <f>VLOOKUP($A312,'Institution Evaluation'!$A$56:$K$345,7,0)&amp;""</f>
        <v>Yes</v>
      </c>
      <c r="H312" s="4" t="str">
        <f>VLOOKUP($A312,'Institution Evaluation'!$A$56:$K$345,8,0)&amp;""</f>
        <v/>
      </c>
      <c r="I312" s="4" t="str">
        <f>VLOOKUP($A312,'Institution Evaluation'!$A$56:$K$345,9,0)&amp;""</f>
        <v>Critical Importance</v>
      </c>
      <c r="J312" s="4" t="str">
        <f>VLOOKUP($A312,'Institution Evaluation'!$A$56:$K$345,10,0)&amp;""</f>
        <v/>
      </c>
      <c r="K312" s="4">
        <f>IF($I312='Auto Responses'!$J$11,20,IF($I312='Auto Responses'!$J$13,5,10))</f>
        <v>20</v>
      </c>
      <c r="L312" s="101">
        <f>IF($E312='Auto Responses'!$L$13, 'Auto Responses'!$J$5,IF(AND($D312='Auto Responses'!$J$27,$H312=""),'Auto Responses'!$J$5,IF(AND($D312='Auto Responses'!$J$27,$H312='Auto Responses'!$J$7),1,IF(AND($D312='Auto Responses'!$J$27,$H312='Auto Responses'!$J$8),0,IF(OR(AND($F312=$G312,$H312=""),$H312='Auto Responses'!$J$7),1,0)))))</f>
        <v>1</v>
      </c>
      <c r="M312" s="4" t="str">
        <f>VLOOKUP($A312,'Institution Evaluation'!$A$56:$K$345,11,0)&amp;""</f>
        <v>FALSE</v>
      </c>
      <c r="N312" s="4">
        <f>IF($J312='Auto Responses'!$J$11,1,IF(AND($J312="",$I312='Auto Responses'!$J$11),1,0))</f>
        <v>1</v>
      </c>
      <c r="O312" s="101">
        <f>IF(OR($F$20='Auto Responses'!$J$4,$E312='Auto Responses'!$L$13,$F312='Auto Responses'!$J$5),'Auto Responses'!$J$5,IF($J312="",$K312,IF($J312='Auto Responses'!$J$13,5,IF($J312='Auto Responses'!$J$12,10,IF($J312='Auto Responses'!$J$11,20,0)))))</f>
        <v>20</v>
      </c>
      <c r="P312" s="101">
        <f>IF(OR($O312='Auto Responses'!$J$5,$L312='Auto Responses'!$J$5),'Auto Responses'!$J$5,$O312*$L312)</f>
        <v>20</v>
      </c>
      <c r="Q312" s="101">
        <f t="shared" si="29"/>
        <v>0</v>
      </c>
      <c r="R312" s="101">
        <f t="shared" si="33"/>
        <v>0</v>
      </c>
      <c r="S312" s="101">
        <f t="shared" si="30"/>
        <v>0</v>
      </c>
      <c r="T312" s="101">
        <f t="shared" si="31"/>
        <v>1</v>
      </c>
      <c r="U312" s="101">
        <f t="shared" si="34"/>
        <v>77</v>
      </c>
      <c r="V312" s="101">
        <f t="shared" si="32"/>
        <v>77</v>
      </c>
    </row>
    <row r="313" spans="1:22" ht="57" customHeight="1" x14ac:dyDescent="0.2">
      <c r="A313" s="4" t="str">
        <f>Questions!$A313</f>
        <v>AIPL-04</v>
      </c>
      <c r="B313" s="4" t="str">
        <f t="shared" si="28"/>
        <v>AIPL</v>
      </c>
      <c r="C313" s="4" t="str">
        <f>VLOOKUP($A313,Questions!$A$3:$L$333,2,0)&amp;""</f>
        <v>If disabled because of an incident, can your solution's AI features be re-enabled in a timely manner?*</v>
      </c>
      <c r="D313" s="4" t="str">
        <f>VLOOKUP($A313,Questions!$A$3:$L$333,11,0)&amp;""</f>
        <v/>
      </c>
      <c r="E313" s="4" t="str">
        <f>VLOOKUP($A313,Questions!$A$3:$L$333,12,0)&amp;""</f>
        <v>AI</v>
      </c>
      <c r="F313" s="4" t="str">
        <f>VLOOKUP($A313,'Institution Evaluation'!$A$56:$K$345,3,0)&amp;""</f>
        <v>Yes</v>
      </c>
      <c r="G313" s="4" t="str">
        <f>VLOOKUP($A313,'Institution Evaluation'!$A$56:$K$345,7,0)&amp;""</f>
        <v>Yes</v>
      </c>
      <c r="H313" s="4" t="str">
        <f>VLOOKUP($A313,'Institution Evaluation'!$A$56:$K$345,8,0)&amp;""</f>
        <v/>
      </c>
      <c r="I313" s="4" t="str">
        <f>VLOOKUP($A313,'Institution Evaluation'!$A$56:$K$345,9,0)&amp;""</f>
        <v>Critical Importance</v>
      </c>
      <c r="J313" s="4" t="str">
        <f>VLOOKUP($A313,'Institution Evaluation'!$A$56:$K$345,10,0)&amp;""</f>
        <v/>
      </c>
      <c r="K313" s="4">
        <f>IF($I313='Auto Responses'!$J$11,20,IF($I313='Auto Responses'!$J$13,5,10))</f>
        <v>20</v>
      </c>
      <c r="L313" s="101">
        <f>IF($E313='Auto Responses'!$L$13, 'Auto Responses'!$J$5,IF(AND($D313='Auto Responses'!$J$27,$H313=""),'Auto Responses'!$J$5,IF(AND($D313='Auto Responses'!$J$27,$H313='Auto Responses'!$J$7),1,IF(AND($D313='Auto Responses'!$J$27,$H313='Auto Responses'!$J$8),0,IF(OR(AND($F313=$G313,$H313=""),$H313='Auto Responses'!$J$7),1,0)))))</f>
        <v>1</v>
      </c>
      <c r="M313" s="4" t="str">
        <f>VLOOKUP($A313,'Institution Evaluation'!$A$56:$K$345,11,0)&amp;""</f>
        <v>FALSE</v>
      </c>
      <c r="N313" s="4">
        <f>IF($J313='Auto Responses'!$J$11,1,IF(AND($J313="",$I313='Auto Responses'!$J$11),1,0))</f>
        <v>1</v>
      </c>
      <c r="O313" s="101">
        <f>IF(OR($F$20='Auto Responses'!$J$4,$E313='Auto Responses'!$L$13,$F313='Auto Responses'!$J$5),'Auto Responses'!$J$5,IF($J313="",$K313,IF($J313='Auto Responses'!$J$13,5,IF($J313='Auto Responses'!$J$12,10,IF($J313='Auto Responses'!$J$11,20,0)))))</f>
        <v>20</v>
      </c>
      <c r="P313" s="101">
        <f>IF(OR($O313='Auto Responses'!$J$5,$L313='Auto Responses'!$J$5),'Auto Responses'!$J$5,$O313*$L313)</f>
        <v>20</v>
      </c>
      <c r="Q313" s="101">
        <f t="shared" si="29"/>
        <v>0</v>
      </c>
      <c r="R313" s="101">
        <f t="shared" si="33"/>
        <v>0</v>
      </c>
      <c r="S313" s="101">
        <f t="shared" si="30"/>
        <v>0</v>
      </c>
      <c r="T313" s="101">
        <f t="shared" si="31"/>
        <v>1</v>
      </c>
      <c r="U313" s="101">
        <f t="shared" si="34"/>
        <v>78</v>
      </c>
      <c r="V313" s="101">
        <f t="shared" si="32"/>
        <v>78</v>
      </c>
    </row>
    <row r="314" spans="1:22" ht="57" customHeight="1" x14ac:dyDescent="0.2">
      <c r="A314" s="4" t="str">
        <f>Questions!$A314</f>
        <v>AIPL-05</v>
      </c>
      <c r="B314" s="4" t="str">
        <f t="shared" si="28"/>
        <v>AIPL</v>
      </c>
      <c r="C314" s="4" t="str">
        <f>VLOOKUP($A314,Questions!$A$3:$L$333,2,0)&amp;""</f>
        <v>Do you have documented technical and procedural processes to address potential negative impacts of AI as described by the AI Risk Management Framework (RMF)?</v>
      </c>
      <c r="D314" s="4" t="str">
        <f>VLOOKUP($A314,Questions!$A$3:$L$333,11,0)&amp;""</f>
        <v/>
      </c>
      <c r="E314" s="4" t="str">
        <f>VLOOKUP($A314,Questions!$A$3:$L$333,12,0)&amp;""</f>
        <v>AI</v>
      </c>
      <c r="F314" s="4" t="str">
        <f>VLOOKUP($A314,'Institution Evaluation'!$A$56:$K$345,3,0)&amp;""</f>
        <v>Yes</v>
      </c>
      <c r="G314" s="4" t="str">
        <f>VLOOKUP($A314,'Institution Evaluation'!$A$56:$K$345,7,0)&amp;""</f>
        <v>Yes</v>
      </c>
      <c r="H314" s="4" t="str">
        <f>VLOOKUP($A314,'Institution Evaluation'!$A$56:$K$345,8,0)&amp;""</f>
        <v/>
      </c>
      <c r="I314" s="4" t="str">
        <f>VLOOKUP($A314,'Institution Evaluation'!$A$56:$K$345,9,0)&amp;""</f>
        <v>Minor Importance</v>
      </c>
      <c r="J314" s="4" t="str">
        <f>VLOOKUP($A314,'Institution Evaluation'!$A$56:$K$345,10,0)&amp;""</f>
        <v/>
      </c>
      <c r="K314" s="4">
        <f>IF($I314='Auto Responses'!$J$11,20,IF($I314='Auto Responses'!$J$13,5,10))</f>
        <v>5</v>
      </c>
      <c r="L314" s="101">
        <f>IF($E314='Auto Responses'!$L$13, 'Auto Responses'!$J$5,IF(AND($D314='Auto Responses'!$J$27,$H314=""),'Auto Responses'!$J$5,IF(AND($D314='Auto Responses'!$J$27,$H314='Auto Responses'!$J$7),1,IF(AND($D314='Auto Responses'!$J$27,$H314='Auto Responses'!$J$8),0,IF(OR(AND($F314=$G314,$H314=""),$H314='Auto Responses'!$J$7),1,0)))))</f>
        <v>1</v>
      </c>
      <c r="M314" s="4" t="str">
        <f>VLOOKUP($A314,'Institution Evaluation'!$A$56:$K$345,11,0)&amp;""</f>
        <v>FALSE</v>
      </c>
      <c r="N314" s="4">
        <f>IF($J314='Auto Responses'!$J$11,1,IF(AND($J314="",$I314='Auto Responses'!$J$11),1,0))</f>
        <v>0</v>
      </c>
      <c r="O314" s="101">
        <f>IF(OR($F$20='Auto Responses'!$J$4,$E314='Auto Responses'!$L$13,$F314='Auto Responses'!$J$5),'Auto Responses'!$J$5,IF($J314="",$K314,IF($J314='Auto Responses'!$J$13,5,IF($J314='Auto Responses'!$J$12,10,IF($J314='Auto Responses'!$J$11,20,0)))))</f>
        <v>5</v>
      </c>
      <c r="P314" s="101">
        <f>IF(OR($O314='Auto Responses'!$J$5,$L314='Auto Responses'!$J$5),'Auto Responses'!$J$5,$O314*$L314)</f>
        <v>5</v>
      </c>
      <c r="Q314" s="101">
        <f t="shared" si="29"/>
        <v>0</v>
      </c>
      <c r="R314" s="101">
        <f t="shared" si="33"/>
        <v>0</v>
      </c>
      <c r="S314" s="101">
        <f t="shared" si="30"/>
        <v>0</v>
      </c>
      <c r="T314" s="101">
        <f t="shared" si="31"/>
        <v>0</v>
      </c>
      <c r="U314" s="101">
        <f t="shared" si="34"/>
        <v>78</v>
      </c>
      <c r="V314" s="101">
        <f t="shared" si="32"/>
        <v>0</v>
      </c>
    </row>
    <row r="315" spans="1:22" ht="57" customHeight="1" x14ac:dyDescent="0.2">
      <c r="A315" s="4" t="str">
        <f>Questions!$A315</f>
        <v>AISC-01</v>
      </c>
      <c r="B315" s="4" t="str">
        <f t="shared" si="28"/>
        <v>AISC</v>
      </c>
      <c r="C315" s="4" t="str">
        <f>VLOOKUP($A315,Questions!$A$3:$L$333,2,0)&amp;""</f>
        <v>If sensitive data is introduced to your solution's AI model, can the data be removed from the AI model by request?*</v>
      </c>
      <c r="D315" s="4" t="str">
        <f>VLOOKUP($A315,Questions!$A$3:$L$333,11,0)&amp;""</f>
        <v/>
      </c>
      <c r="E315" s="4" t="str">
        <f>VLOOKUP($A315,Questions!$A$3:$L$333,12,0)&amp;""</f>
        <v>AI</v>
      </c>
      <c r="F315" s="4" t="str">
        <f>VLOOKUP($A315,'Institution Evaluation'!$A$56:$K$345,3,0)&amp;""</f>
        <v>Yes</v>
      </c>
      <c r="G315" s="4" t="str">
        <f>VLOOKUP($A315,'Institution Evaluation'!$A$56:$K$345,7,0)&amp;""</f>
        <v>Yes</v>
      </c>
      <c r="H315" s="4" t="str">
        <f>VLOOKUP($A315,'Institution Evaluation'!$A$56:$K$345,8,0)&amp;""</f>
        <v/>
      </c>
      <c r="I315" s="4" t="str">
        <f>VLOOKUP($A315,'Institution Evaluation'!$A$56:$K$345,9,0)&amp;""</f>
        <v>Critical Importance</v>
      </c>
      <c r="J315" s="4" t="str">
        <f>VLOOKUP($A315,'Institution Evaluation'!$A$56:$K$345,10,0)&amp;""</f>
        <v/>
      </c>
      <c r="K315" s="4">
        <f>IF($I315='Auto Responses'!$J$11,20,IF($I315='Auto Responses'!$J$13,5,10))</f>
        <v>20</v>
      </c>
      <c r="L315" s="101">
        <f>IF($E315='Auto Responses'!$L$13, 'Auto Responses'!$J$5,IF(AND($D315='Auto Responses'!$J$27,$H315=""),'Auto Responses'!$J$5,IF(AND($D315='Auto Responses'!$J$27,$H315='Auto Responses'!$J$7),1,IF(AND($D315='Auto Responses'!$J$27,$H315='Auto Responses'!$J$8),0,IF(OR(AND($F315=$G315,$H315=""),$H315='Auto Responses'!$J$7),1,0)))))</f>
        <v>1</v>
      </c>
      <c r="M315" s="4" t="str">
        <f>VLOOKUP($A315,'Institution Evaluation'!$A$56:$K$345,11,0)&amp;""</f>
        <v>FALSE</v>
      </c>
      <c r="N315" s="4">
        <f>IF($J315='Auto Responses'!$J$11,1,IF(AND($J315="",$I315='Auto Responses'!$J$11),1,0))</f>
        <v>1</v>
      </c>
      <c r="O315" s="101">
        <f>IF(OR($F$20='Auto Responses'!$J$4,$E315='Auto Responses'!$L$13,$F315='Auto Responses'!$J$5),'Auto Responses'!$J$5,IF($J315="",$K315,IF($J315='Auto Responses'!$J$13,5,IF($J315='Auto Responses'!$J$12,10,IF($J315='Auto Responses'!$J$11,20,0)))))</f>
        <v>20</v>
      </c>
      <c r="P315" s="101">
        <f>IF(OR($O315='Auto Responses'!$J$5,$L315='Auto Responses'!$J$5),'Auto Responses'!$J$5,$O315*$L315)</f>
        <v>20</v>
      </c>
      <c r="Q315" s="101">
        <f t="shared" si="29"/>
        <v>0</v>
      </c>
      <c r="R315" s="101">
        <f t="shared" si="33"/>
        <v>0</v>
      </c>
      <c r="S315" s="101">
        <f t="shared" si="30"/>
        <v>0</v>
      </c>
      <c r="T315" s="101">
        <f t="shared" si="31"/>
        <v>1</v>
      </c>
      <c r="U315" s="101">
        <f t="shared" si="34"/>
        <v>79</v>
      </c>
      <c r="V315" s="101">
        <f t="shared" si="32"/>
        <v>79</v>
      </c>
    </row>
    <row r="316" spans="1:22" ht="57" customHeight="1" x14ac:dyDescent="0.2">
      <c r="A316" s="4" t="str">
        <f>Questions!$A316</f>
        <v>AISC-02</v>
      </c>
      <c r="B316" s="4" t="str">
        <f t="shared" si="28"/>
        <v>AISC</v>
      </c>
      <c r="C316" s="4" t="str">
        <f>VLOOKUP($A316,Questions!$A$3:$L$333,2,0)&amp;""</f>
        <v>Is user input data used to influence your solution's AI model?*</v>
      </c>
      <c r="D316" s="4" t="str">
        <f>VLOOKUP($A316,Questions!$A$3:$L$333,11,0)&amp;""</f>
        <v/>
      </c>
      <c r="E316" s="4" t="str">
        <f>VLOOKUP($A316,Questions!$A$3:$L$333,12,0)&amp;""</f>
        <v>AI</v>
      </c>
      <c r="F316" s="4" t="str">
        <f>VLOOKUP($A316,'Institution Evaluation'!$A$56:$K$345,3,0)&amp;""</f>
        <v>No</v>
      </c>
      <c r="G316" s="4" t="str">
        <f>VLOOKUP($A316,'Institution Evaluation'!$A$56:$K$345,7,0)&amp;""</f>
        <v>No</v>
      </c>
      <c r="H316" s="4" t="str">
        <f>VLOOKUP($A316,'Institution Evaluation'!$A$56:$K$345,8,0)&amp;""</f>
        <v/>
      </c>
      <c r="I316" s="4" t="str">
        <f>VLOOKUP($A316,'Institution Evaluation'!$A$56:$K$345,9,0)&amp;""</f>
        <v>Critical Importance</v>
      </c>
      <c r="J316" s="4" t="str">
        <f>VLOOKUP($A316,'Institution Evaluation'!$A$56:$K$345,10,0)&amp;""</f>
        <v/>
      </c>
      <c r="K316" s="4">
        <f>IF($I316='Auto Responses'!$J$11,20,IF($I316='Auto Responses'!$J$13,5,10))</f>
        <v>20</v>
      </c>
      <c r="L316" s="101">
        <f>IF($E316='Auto Responses'!$L$13, 'Auto Responses'!$J$5,IF(AND($D316='Auto Responses'!$J$27,$H316=""),'Auto Responses'!$J$5,IF(AND($D316='Auto Responses'!$J$27,$H316='Auto Responses'!$J$7),1,IF(AND($D316='Auto Responses'!$J$27,$H316='Auto Responses'!$J$8),0,IF(OR(AND($F316=$G316,$H316=""),$H316='Auto Responses'!$J$7),1,0)))))</f>
        <v>1</v>
      </c>
      <c r="M316" s="4" t="str">
        <f>VLOOKUP($A316,'Institution Evaluation'!$A$56:$K$345,11,0)&amp;""</f>
        <v>FALSE</v>
      </c>
      <c r="N316" s="4">
        <f>IF($J316='Auto Responses'!$J$11,1,IF(AND($J316="",$I316='Auto Responses'!$J$11),1,0))</f>
        <v>1</v>
      </c>
      <c r="O316" s="101">
        <f>IF(OR($F$20='Auto Responses'!$J$4,$E316='Auto Responses'!$L$13,$F316='Auto Responses'!$J$5),'Auto Responses'!$J$5,IF($J316="",$K316,IF($J316='Auto Responses'!$J$13,5,IF($J316='Auto Responses'!$J$12,10,IF($J316='Auto Responses'!$J$11,20,0)))))</f>
        <v>20</v>
      </c>
      <c r="P316" s="101">
        <f>IF(OR($O316='Auto Responses'!$J$5,$L316='Auto Responses'!$J$5),'Auto Responses'!$J$5,$O316*$L316)</f>
        <v>20</v>
      </c>
      <c r="Q316" s="101">
        <f t="shared" si="29"/>
        <v>0</v>
      </c>
      <c r="R316" s="101">
        <f t="shared" si="33"/>
        <v>0</v>
      </c>
      <c r="S316" s="101">
        <f t="shared" si="30"/>
        <v>0</v>
      </c>
      <c r="T316" s="101">
        <f t="shared" si="31"/>
        <v>1</v>
      </c>
      <c r="U316" s="101">
        <f t="shared" si="34"/>
        <v>80</v>
      </c>
      <c r="V316" s="101">
        <f t="shared" si="32"/>
        <v>80</v>
      </c>
    </row>
    <row r="317" spans="1:22" ht="57" customHeight="1" x14ac:dyDescent="0.2">
      <c r="A317" s="4" t="str">
        <f>Questions!$A317</f>
        <v>AISC-03</v>
      </c>
      <c r="B317" s="4" t="str">
        <f t="shared" si="28"/>
        <v>AISC</v>
      </c>
      <c r="C317" s="4" t="str">
        <f>VLOOKUP($A317,Questions!$A$3:$L$333,2,0)&amp;""</f>
        <v>Do you provide logging for your solution's AI feature(s) that includes user, date, and action taken?*</v>
      </c>
      <c r="D317" s="4" t="str">
        <f>VLOOKUP($A317,Questions!$A$3:$L$333,11,0)&amp;""</f>
        <v/>
      </c>
      <c r="E317" s="4" t="str">
        <f>VLOOKUP($A317,Questions!$A$3:$L$333,12,0)&amp;""</f>
        <v>AI</v>
      </c>
      <c r="F317" s="4" t="str">
        <f>VLOOKUP($A317,'Institution Evaluation'!$A$56:$K$345,3,0)&amp;""</f>
        <v>Yes</v>
      </c>
      <c r="G317" s="4" t="str">
        <f>VLOOKUP($A317,'Institution Evaluation'!$A$56:$K$345,7,0)&amp;""</f>
        <v>Yes</v>
      </c>
      <c r="H317" s="4" t="str">
        <f>VLOOKUP($A317,'Institution Evaluation'!$A$56:$K$345,8,0)&amp;""</f>
        <v/>
      </c>
      <c r="I317" s="4" t="str">
        <f>VLOOKUP($A317,'Institution Evaluation'!$A$56:$K$345,9,0)&amp;""</f>
        <v>Critical Importance</v>
      </c>
      <c r="J317" s="4" t="str">
        <f>VLOOKUP($A317,'Institution Evaluation'!$A$56:$K$345,10,0)&amp;""</f>
        <v/>
      </c>
      <c r="K317" s="4">
        <f>IF($I317='Auto Responses'!$J$11,20,IF($I317='Auto Responses'!$J$13,5,10))</f>
        <v>20</v>
      </c>
      <c r="L317" s="101">
        <f>IF($E317='Auto Responses'!$L$13, 'Auto Responses'!$J$5,IF(AND($D317='Auto Responses'!$J$27,$H317=""),'Auto Responses'!$J$5,IF(AND($D317='Auto Responses'!$J$27,$H317='Auto Responses'!$J$7),1,IF(AND($D317='Auto Responses'!$J$27,$H317='Auto Responses'!$J$8),0,IF(OR(AND($F317=$G317,$H317=""),$H317='Auto Responses'!$J$7),1,0)))))</f>
        <v>1</v>
      </c>
      <c r="M317" s="4" t="str">
        <f>VLOOKUP($A317,'Institution Evaluation'!$A$56:$K$345,11,0)&amp;""</f>
        <v>FALSE</v>
      </c>
      <c r="N317" s="4">
        <f>IF($J317='Auto Responses'!$J$11,1,IF(AND($J317="",$I317='Auto Responses'!$J$11),1,0))</f>
        <v>1</v>
      </c>
      <c r="O317" s="101">
        <f>IF(OR($F$20='Auto Responses'!$J$4,$E317='Auto Responses'!$L$13,$F317='Auto Responses'!$J$5),'Auto Responses'!$J$5,IF($J317="",$K317,IF($J317='Auto Responses'!$J$13,5,IF($J317='Auto Responses'!$J$12,10,IF($J317='Auto Responses'!$J$11,20,0)))))</f>
        <v>20</v>
      </c>
      <c r="P317" s="101">
        <f>IF(OR($O317='Auto Responses'!$J$5,$L317='Auto Responses'!$J$5),'Auto Responses'!$J$5,$O317*$L317)</f>
        <v>20</v>
      </c>
      <c r="Q317" s="101">
        <f t="shared" si="29"/>
        <v>0</v>
      </c>
      <c r="R317" s="101">
        <f t="shared" si="33"/>
        <v>0</v>
      </c>
      <c r="S317" s="101">
        <f t="shared" si="30"/>
        <v>0</v>
      </c>
      <c r="T317" s="101">
        <f t="shared" si="31"/>
        <v>1</v>
      </c>
      <c r="U317" s="101">
        <f t="shared" si="34"/>
        <v>81</v>
      </c>
      <c r="V317" s="101">
        <f t="shared" si="32"/>
        <v>81</v>
      </c>
    </row>
    <row r="318" spans="1:22" ht="57" customHeight="1" x14ac:dyDescent="0.2">
      <c r="A318" s="4" t="str">
        <f>Questions!$A318</f>
        <v>AISC-04</v>
      </c>
      <c r="B318" s="4" t="str">
        <f t="shared" si="28"/>
        <v>AISC</v>
      </c>
      <c r="C318" s="4" t="str">
        <f>VLOOKUP($A318,Questions!$A$3:$L$333,2,0)&amp;""</f>
        <v>Please describe how you validate user inputs.</v>
      </c>
      <c r="D318" s="4" t="str">
        <f>VLOOKUP($A318,Questions!$A$3:$L$333,11,0)&amp;""</f>
        <v/>
      </c>
      <c r="E318" s="4" t="str">
        <f>VLOOKUP($A318,Questions!$A$3:$L$333,12,0)&amp;""</f>
        <v>Not scored</v>
      </c>
      <c r="F318" s="4" t="str">
        <f>VLOOKUP($A318,'Institution Evaluation'!$A$56:$K$345,3,0)&amp;""</f>
        <v>Yes</v>
      </c>
      <c r="G318" s="4" t="str">
        <f>VLOOKUP($A318,'Institution Evaluation'!$A$56:$K$345,7,0)&amp;""</f>
        <v>Not scored</v>
      </c>
      <c r="H318" s="4" t="str">
        <f>VLOOKUP($A318,'Institution Evaluation'!$A$56:$K$345,8,0)&amp;""</f>
        <v/>
      </c>
      <c r="I318" s="4" t="str">
        <f>VLOOKUP($A318,'Institution Evaluation'!$A$56:$K$345,9,0)&amp;""</f>
        <v/>
      </c>
      <c r="J318" s="4" t="str">
        <f>VLOOKUP($A318,'Institution Evaluation'!$A$56:$K$345,10,0)&amp;""</f>
        <v/>
      </c>
      <c r="K318" s="4">
        <f>IF($I318='Auto Responses'!$J$11,20,IF($I318='Auto Responses'!$J$13,5,10))</f>
        <v>10</v>
      </c>
      <c r="L318" s="101" t="str">
        <f>IF($E318='Auto Responses'!$L$13, 'Auto Responses'!$J$5,IF(AND($D318='Auto Responses'!$J$27,$H318=""),'Auto Responses'!$J$5,IF(AND($D318='Auto Responses'!$J$27,$H318='Auto Responses'!$J$7),1,IF(AND($D318='Auto Responses'!$J$27,$H318='Auto Responses'!$J$8),0,IF(OR(AND($F318=$G318,$H318=""),$H318='Auto Responses'!$J$7),1,0)))))</f>
        <v>N/A</v>
      </c>
      <c r="M318" s="4" t="str">
        <f>VLOOKUP($A318,'Institution Evaluation'!$A$56:$K$345,11,0)&amp;""</f>
        <v>FALSE</v>
      </c>
      <c r="N318" s="4">
        <f>IF($J318='Auto Responses'!$J$11,1,IF(AND($J318="",$I318='Auto Responses'!$J$11),1,0))</f>
        <v>0</v>
      </c>
      <c r="O318" s="101" t="str">
        <f>IF(OR($F$20='Auto Responses'!$J$4,$E318='Auto Responses'!$L$13,$F318='Auto Responses'!$J$5),'Auto Responses'!$J$5,IF($J318="",$K318,IF($J318='Auto Responses'!$J$13,5,IF($J318='Auto Responses'!$J$12,10,IF($J318='Auto Responses'!$J$11,20,0)))))</f>
        <v>N/A</v>
      </c>
      <c r="P318" s="101" t="str">
        <f>IF(OR($O318='Auto Responses'!$J$5,$L318='Auto Responses'!$J$5),'Auto Responses'!$J$5,$O318*$L318)</f>
        <v>N/A</v>
      </c>
      <c r="Q318" s="101">
        <f t="shared" si="29"/>
        <v>0</v>
      </c>
      <c r="R318" s="101">
        <f t="shared" si="33"/>
        <v>0</v>
      </c>
      <c r="S318" s="101">
        <f t="shared" si="30"/>
        <v>0</v>
      </c>
      <c r="T318" s="101">
        <f t="shared" si="31"/>
        <v>0</v>
      </c>
      <c r="U318" s="101">
        <f t="shared" si="34"/>
        <v>81</v>
      </c>
      <c r="V318" s="101">
        <f t="shared" si="32"/>
        <v>0</v>
      </c>
    </row>
    <row r="319" spans="1:22" ht="57" customHeight="1" x14ac:dyDescent="0.2">
      <c r="A319" s="4" t="str">
        <f>Questions!$A319</f>
        <v>AISC-05</v>
      </c>
      <c r="B319" s="4" t="str">
        <f t="shared" si="28"/>
        <v>AISC</v>
      </c>
      <c r="C319" s="4" t="str">
        <f>VLOOKUP($A319,Questions!$A$3:$L$333,2,0)&amp;""</f>
        <v>Do you plan for and mitigate supply-chain risk related to your AI features?</v>
      </c>
      <c r="D319" s="4" t="str">
        <f>VLOOKUP($A319,Questions!$A$3:$L$333,11,0)&amp;""</f>
        <v/>
      </c>
      <c r="E319" s="4" t="str">
        <f>VLOOKUP($A319,Questions!$A$3:$L$333,12,0)&amp;""</f>
        <v>AI</v>
      </c>
      <c r="F319" s="4" t="str">
        <f>VLOOKUP($A319,'Institution Evaluation'!$A$56:$K$345,3,0)&amp;""</f>
        <v>Yes</v>
      </c>
      <c r="G319" s="4" t="str">
        <f>VLOOKUP($A319,'Institution Evaluation'!$A$56:$K$345,7,0)&amp;""</f>
        <v>Yes</v>
      </c>
      <c r="H319" s="4" t="str">
        <f>VLOOKUP($A319,'Institution Evaluation'!$A$56:$K$345,8,0)&amp;""</f>
        <v/>
      </c>
      <c r="I319" s="4" t="str">
        <f>VLOOKUP($A319,'Institution Evaluation'!$A$56:$K$345,9,0)&amp;""</f>
        <v>Standard Importance</v>
      </c>
      <c r="J319" s="4" t="str">
        <f>VLOOKUP($A319,'Institution Evaluation'!$A$56:$K$345,10,0)&amp;""</f>
        <v/>
      </c>
      <c r="K319" s="4">
        <f>IF($I319='Auto Responses'!$J$11,20,IF($I319='Auto Responses'!$J$13,5,10))</f>
        <v>10</v>
      </c>
      <c r="L319" s="101">
        <f>IF($E319='Auto Responses'!$L$13, 'Auto Responses'!$J$5,IF(AND($D319='Auto Responses'!$J$27,$H319=""),'Auto Responses'!$J$5,IF(AND($D319='Auto Responses'!$J$27,$H319='Auto Responses'!$J$7),1,IF(AND($D319='Auto Responses'!$J$27,$H319='Auto Responses'!$J$8),0,IF(OR(AND($F319=$G319,$H319=""),$H319='Auto Responses'!$J$7),1,0)))))</f>
        <v>1</v>
      </c>
      <c r="M319" s="4" t="str">
        <f>VLOOKUP($A319,'Institution Evaluation'!$A$56:$K$345,11,0)&amp;""</f>
        <v>FALSE</v>
      </c>
      <c r="N319" s="4">
        <f>IF($J319='Auto Responses'!$J$11,1,IF(AND($J319="",$I319='Auto Responses'!$J$11),1,0))</f>
        <v>0</v>
      </c>
      <c r="O319" s="101">
        <f>IF(OR($F$20='Auto Responses'!$J$4,$E319='Auto Responses'!$L$13,$F319='Auto Responses'!$J$5),'Auto Responses'!$J$5,IF($J319="",$K319,IF($J319='Auto Responses'!$J$13,5,IF($J319='Auto Responses'!$J$12,10,IF($J319='Auto Responses'!$J$11,20,0)))))</f>
        <v>10</v>
      </c>
      <c r="P319" s="101">
        <f>IF(OR($O319='Auto Responses'!$J$5,$L319='Auto Responses'!$J$5),'Auto Responses'!$J$5,$O319*$L319)</f>
        <v>10</v>
      </c>
      <c r="Q319" s="101">
        <f t="shared" si="29"/>
        <v>0</v>
      </c>
      <c r="R319" s="101">
        <f t="shared" si="33"/>
        <v>0</v>
      </c>
      <c r="S319" s="101">
        <f t="shared" si="30"/>
        <v>0</v>
      </c>
      <c r="T319" s="101">
        <f t="shared" si="31"/>
        <v>0</v>
      </c>
      <c r="U319" s="101">
        <f t="shared" si="34"/>
        <v>81</v>
      </c>
      <c r="V319" s="101">
        <f t="shared" si="32"/>
        <v>0</v>
      </c>
    </row>
    <row r="320" spans="1:22" ht="57" customHeight="1" x14ac:dyDescent="0.2">
      <c r="A320" s="4" t="str">
        <f>Questions!$A320</f>
        <v>AIML-01</v>
      </c>
      <c r="B320" s="4" t="str">
        <f t="shared" si="28"/>
        <v>AIML</v>
      </c>
      <c r="C320" s="4" t="str">
        <f>VLOOKUP($A320,Questions!$A$3:$L$333,2,0)&amp;""</f>
        <v>Do you separate ML training data from your ML solution data?*</v>
      </c>
      <c r="D320" s="4" t="str">
        <f>VLOOKUP($A320,Questions!$A$3:$L$333,11,0)&amp;""</f>
        <v/>
      </c>
      <c r="E320" s="4" t="str">
        <f>VLOOKUP($A320,Questions!$A$3:$L$333,12,0)&amp;""</f>
        <v>AI</v>
      </c>
      <c r="F320" s="4" t="str">
        <f>VLOOKUP($A320,'Institution Evaluation'!$A$56:$K$345,3,0)&amp;""</f>
        <v>N/A</v>
      </c>
      <c r="G320" s="4" t="str">
        <f>VLOOKUP($A320,'Institution Evaluation'!$A$56:$K$345,7,0)&amp;""</f>
        <v>Yes</v>
      </c>
      <c r="H320" s="4" t="str">
        <f>VLOOKUP($A320,'Institution Evaluation'!$A$56:$K$345,8,0)&amp;""</f>
        <v/>
      </c>
      <c r="I320" s="4" t="str">
        <f>VLOOKUP($A320,'Institution Evaluation'!$A$56:$K$345,9,0)&amp;""</f>
        <v>Critical Importance</v>
      </c>
      <c r="J320" s="4" t="str">
        <f>VLOOKUP($A320,'Institution Evaluation'!$A$56:$K$345,10,0)&amp;""</f>
        <v/>
      </c>
      <c r="K320" s="4">
        <f>IF($I320='Auto Responses'!$J$11,20,IF($I320='Auto Responses'!$J$13,5,10))</f>
        <v>20</v>
      </c>
      <c r="L320" s="101">
        <f>IF($E320='Auto Responses'!$L$13, 'Auto Responses'!$J$5,IF(AND($D320='Auto Responses'!$J$27,$H320=""),'Auto Responses'!$J$5,IF(AND($D320='Auto Responses'!$J$27,$H320='Auto Responses'!$J$7),1,IF(AND($D320='Auto Responses'!$J$27,$H320='Auto Responses'!$J$8),0,IF(OR(AND($F320=$G320,$H320=""),$H320='Auto Responses'!$J$7),1,0)))))</f>
        <v>0</v>
      </c>
      <c r="M320" s="4" t="str">
        <f>VLOOKUP($A320,'Institution Evaluation'!$A$56:$K$345,11,0)&amp;""</f>
        <v>FALSE</v>
      </c>
      <c r="N320" s="4">
        <f>IF($J320='Auto Responses'!$J$11,1,IF(AND($J320="",$I320='Auto Responses'!$J$11),1,0))</f>
        <v>1</v>
      </c>
      <c r="O320" s="101" t="str">
        <f>IF(OR($F$20='Auto Responses'!$J$4,$F$303='Auto Responses'!$J$4,$E320='Auto Responses'!$L$13,$F320='Auto Responses'!$J$5),'Auto Responses'!$J$5,IF($J320="",$K320,IF($J320='Auto Responses'!$J$13,5,IF($J320='Auto Responses'!$J$12,10,IF($J320='Auto Responses'!$J$11,20,0)))))</f>
        <v>N/A</v>
      </c>
      <c r="P320" s="101" t="str">
        <f>IF(OR($O320='Auto Responses'!$J$5,$L320='Auto Responses'!$J$5),'Auto Responses'!$J$5,$O320*$L320)</f>
        <v>N/A</v>
      </c>
      <c r="Q320" s="101">
        <f t="shared" si="29"/>
        <v>0</v>
      </c>
      <c r="R320" s="101">
        <f t="shared" si="33"/>
        <v>0</v>
      </c>
      <c r="S320" s="101">
        <f t="shared" si="30"/>
        <v>0</v>
      </c>
      <c r="T320" s="101">
        <f t="shared" si="31"/>
        <v>1</v>
      </c>
      <c r="U320" s="101">
        <f t="shared" si="34"/>
        <v>82</v>
      </c>
      <c r="V320" s="101">
        <f t="shared" si="32"/>
        <v>82</v>
      </c>
    </row>
    <row r="321" spans="1:23" ht="57" customHeight="1" x14ac:dyDescent="0.2">
      <c r="A321" s="4" t="str">
        <f>Questions!$A321</f>
        <v>AIML-02</v>
      </c>
      <c r="B321" s="4" t="str">
        <f t="shared" si="28"/>
        <v>AIML</v>
      </c>
      <c r="C321" s="4" t="str">
        <f>VLOOKUP($A321,Questions!$A$3:$L$333,2,0)&amp;""</f>
        <v>Do you authenticate and verify your ML model's feedback?*</v>
      </c>
      <c r="D321" s="4" t="str">
        <f>VLOOKUP($A321,Questions!$A$3:$L$333,11,0)&amp;""</f>
        <v/>
      </c>
      <c r="E321" s="4" t="str">
        <f>VLOOKUP($A321,Questions!$A$3:$L$333,12,0)&amp;""</f>
        <v>AI</v>
      </c>
      <c r="F321" s="4" t="str">
        <f>VLOOKUP($A321,'Institution Evaluation'!$A$56:$K$345,3,0)&amp;""</f>
        <v>N/A</v>
      </c>
      <c r="G321" s="4" t="str">
        <f>VLOOKUP($A321,'Institution Evaluation'!$A$56:$K$345,7,0)&amp;""</f>
        <v>Yes</v>
      </c>
      <c r="H321" s="4" t="str">
        <f>VLOOKUP($A321,'Institution Evaluation'!$A$56:$K$345,8,0)&amp;""</f>
        <v/>
      </c>
      <c r="I321" s="4" t="str">
        <f>VLOOKUP($A321,'Institution Evaluation'!$A$56:$K$345,9,0)&amp;""</f>
        <v>Critical Importance</v>
      </c>
      <c r="J321" s="4" t="str">
        <f>VLOOKUP($A321,'Institution Evaluation'!$A$56:$K$345,10,0)&amp;""</f>
        <v/>
      </c>
      <c r="K321" s="4">
        <f>IF($I321='Auto Responses'!$J$11,20,IF($I321='Auto Responses'!$J$13,5,10))</f>
        <v>20</v>
      </c>
      <c r="L321" s="101">
        <f>IF($E321='Auto Responses'!$L$13, 'Auto Responses'!$J$5,IF(AND($D321='Auto Responses'!$J$27,$H321=""),'Auto Responses'!$J$5,IF(AND($D321='Auto Responses'!$J$27,$H321='Auto Responses'!$J$7),1,IF(AND($D321='Auto Responses'!$J$27,$H321='Auto Responses'!$J$8),0,IF(OR(AND($F321=$G321,$H321=""),$H321='Auto Responses'!$J$7),1,0)))))</f>
        <v>0</v>
      </c>
      <c r="M321" s="4" t="str">
        <f>VLOOKUP($A321,'Institution Evaluation'!$A$56:$K$345,11,0)&amp;""</f>
        <v>FALSE</v>
      </c>
      <c r="N321" s="4">
        <f>IF($J321='Auto Responses'!$J$11,1,IF(AND($J321="",$I321='Auto Responses'!$J$11),1,0))</f>
        <v>1</v>
      </c>
      <c r="O321" s="101" t="str">
        <f>IF(OR($F$20='Auto Responses'!$J$4,$F$303='Auto Responses'!$J$4,$E321='Auto Responses'!$L$13,$F321='Auto Responses'!$J$5),'Auto Responses'!$J$5,IF($J321="",$K321,IF($J321='Auto Responses'!$J$13,5,IF($J321='Auto Responses'!$J$12,10,IF($J321='Auto Responses'!$J$11,20,0)))))</f>
        <v>N/A</v>
      </c>
      <c r="P321" s="101" t="str">
        <f>IF(OR($O321='Auto Responses'!$J$5,$L321='Auto Responses'!$J$5),'Auto Responses'!$J$5,$O321*$L321)</f>
        <v>N/A</v>
      </c>
      <c r="Q321" s="101">
        <f t="shared" si="29"/>
        <v>0</v>
      </c>
      <c r="R321" s="101">
        <f t="shared" si="33"/>
        <v>0</v>
      </c>
      <c r="S321" s="101">
        <f t="shared" si="30"/>
        <v>0</v>
      </c>
      <c r="T321" s="101">
        <f t="shared" si="31"/>
        <v>1</v>
      </c>
      <c r="U321" s="101">
        <f t="shared" si="34"/>
        <v>83</v>
      </c>
      <c r="V321" s="101">
        <f t="shared" si="32"/>
        <v>83</v>
      </c>
    </row>
    <row r="322" spans="1:23" ht="57" customHeight="1" x14ac:dyDescent="0.2">
      <c r="A322" s="4" t="str">
        <f>Questions!$A322</f>
        <v>AIML-03</v>
      </c>
      <c r="B322" s="4" t="str">
        <f t="shared" si="28"/>
        <v>AIML</v>
      </c>
      <c r="C322" s="4" t="str">
        <f>VLOOKUP($A322,Questions!$A$3:$L$333,2,0)&amp;""</f>
        <v>Is your ML training data vetted, validated, and verified before training the solution's AI model?</v>
      </c>
      <c r="D322" s="4" t="str">
        <f>VLOOKUP($A322,Questions!$A$3:$L$333,11,0)&amp;""</f>
        <v/>
      </c>
      <c r="E322" s="4" t="str">
        <f>VLOOKUP($A322,Questions!$A$3:$L$333,12,0)&amp;""</f>
        <v>AI</v>
      </c>
      <c r="F322" s="4" t="str">
        <f>VLOOKUP($A322,'Institution Evaluation'!$A$56:$K$345,3,0)&amp;""</f>
        <v>N/A</v>
      </c>
      <c r="G322" s="4" t="str">
        <f>VLOOKUP($A322,'Institution Evaluation'!$A$56:$K$345,7,0)&amp;""</f>
        <v>Yes</v>
      </c>
      <c r="H322" s="4" t="str">
        <f>VLOOKUP($A322,'Institution Evaluation'!$A$56:$K$345,8,0)&amp;""</f>
        <v/>
      </c>
      <c r="I322" s="4" t="str">
        <f>VLOOKUP($A322,'Institution Evaluation'!$A$56:$K$345,9,0)&amp;""</f>
        <v>Standard Importance</v>
      </c>
      <c r="J322" s="4" t="str">
        <f>VLOOKUP($A322,'Institution Evaluation'!$A$56:$K$345,10,0)&amp;""</f>
        <v/>
      </c>
      <c r="K322" s="4">
        <f>IF($I322='Auto Responses'!$J$11,20,IF($I322='Auto Responses'!$J$13,5,10))</f>
        <v>10</v>
      </c>
      <c r="L322" s="101">
        <f>IF($E322='Auto Responses'!$L$13, 'Auto Responses'!$J$5,IF(AND($D322='Auto Responses'!$J$27,$H322=""),'Auto Responses'!$J$5,IF(AND($D322='Auto Responses'!$J$27,$H322='Auto Responses'!$J$7),1,IF(AND($D322='Auto Responses'!$J$27,$H322='Auto Responses'!$J$8),0,IF(OR(AND($F322=$G322,$H322=""),$H322='Auto Responses'!$J$7),1,0)))))</f>
        <v>0</v>
      </c>
      <c r="M322" s="4" t="str">
        <f>VLOOKUP($A322,'Institution Evaluation'!$A$56:$K$345,11,0)&amp;""</f>
        <v>FALSE</v>
      </c>
      <c r="N322" s="4">
        <f>IF($J322='Auto Responses'!$J$11,1,IF(AND($J322="",$I322='Auto Responses'!$J$11),1,0))</f>
        <v>0</v>
      </c>
      <c r="O322" s="101" t="str">
        <f>IF(OR($F$20='Auto Responses'!$J$4,$F$303='Auto Responses'!$J$4,$E322='Auto Responses'!$L$13,$F322='Auto Responses'!$J$5),'Auto Responses'!$J$5,IF($J322="",$K322,IF($J322='Auto Responses'!$J$13,5,IF($J322='Auto Responses'!$J$12,10,IF($J322='Auto Responses'!$J$11,20,0)))))</f>
        <v>N/A</v>
      </c>
      <c r="P322" s="101" t="str">
        <f>IF(OR($O322='Auto Responses'!$J$5,$L322='Auto Responses'!$J$5),'Auto Responses'!$J$5,$O322*$L322)</f>
        <v>N/A</v>
      </c>
      <c r="Q322" s="101">
        <f t="shared" si="29"/>
        <v>0</v>
      </c>
      <c r="R322" s="101">
        <f t="shared" si="33"/>
        <v>0</v>
      </c>
      <c r="S322" s="101">
        <f t="shared" si="30"/>
        <v>0</v>
      </c>
      <c r="T322" s="101">
        <f t="shared" si="31"/>
        <v>0</v>
      </c>
      <c r="U322" s="101">
        <f t="shared" si="34"/>
        <v>83</v>
      </c>
      <c r="V322" s="101">
        <f t="shared" si="32"/>
        <v>0</v>
      </c>
    </row>
    <row r="323" spans="1:23" ht="57" customHeight="1" x14ac:dyDescent="0.2">
      <c r="A323" s="4" t="str">
        <f>Questions!$A323</f>
        <v>AIML-04</v>
      </c>
      <c r="B323" s="4" t="str">
        <f t="shared" ref="B323:B386" si="35">LEFT(A323,4)</f>
        <v>AIML</v>
      </c>
      <c r="C323" s="4" t="str">
        <f>VLOOKUP($A323,Questions!$A$3:$L$333,2,0)&amp;""</f>
        <v>Is your ML training data monitored and audited?</v>
      </c>
      <c r="D323" s="4" t="str">
        <f>VLOOKUP($A323,Questions!$A$3:$L$333,11,0)&amp;""</f>
        <v/>
      </c>
      <c r="E323" s="4" t="str">
        <f>VLOOKUP($A323,Questions!$A$3:$L$333,12,0)&amp;""</f>
        <v>AI</v>
      </c>
      <c r="F323" s="4" t="str">
        <f>VLOOKUP($A323,'Institution Evaluation'!$A$56:$K$345,3,0)&amp;""</f>
        <v>N/A</v>
      </c>
      <c r="G323" s="4" t="str">
        <f>VLOOKUP($A323,'Institution Evaluation'!$A$56:$K$345,7,0)&amp;""</f>
        <v>Yes</v>
      </c>
      <c r="H323" s="4" t="str">
        <f>VLOOKUP($A323,'Institution Evaluation'!$A$56:$K$345,8,0)&amp;""</f>
        <v/>
      </c>
      <c r="I323" s="4" t="str">
        <f>VLOOKUP($A323,'Institution Evaluation'!$A$56:$K$345,9,0)&amp;""</f>
        <v>Standard Importance</v>
      </c>
      <c r="J323" s="4" t="str">
        <f>VLOOKUP($A323,'Institution Evaluation'!$A$56:$K$345,10,0)&amp;""</f>
        <v/>
      </c>
      <c r="K323" s="4">
        <f>IF($I323='Auto Responses'!$J$11,20,IF($I323='Auto Responses'!$J$13,5,10))</f>
        <v>10</v>
      </c>
      <c r="L323" s="101">
        <f>IF($E323='Auto Responses'!$L$13, 'Auto Responses'!$J$5,IF(AND($D323='Auto Responses'!$J$27,$H323=""),'Auto Responses'!$J$5,IF(AND($D323='Auto Responses'!$J$27,$H323='Auto Responses'!$J$7),1,IF(AND($D323='Auto Responses'!$J$27,$H323='Auto Responses'!$J$8),0,IF(OR(AND($F323=$G323,$H323=""),$H323='Auto Responses'!$J$7),1,0)))))</f>
        <v>0</v>
      </c>
      <c r="M323" s="4" t="str">
        <f>VLOOKUP($A323,'Institution Evaluation'!$A$56:$K$345,11,0)&amp;""</f>
        <v>FALSE</v>
      </c>
      <c r="N323" s="4">
        <f>IF($J323='Auto Responses'!$J$11,1,IF(AND($J323="",$I323='Auto Responses'!$J$11),1,0))</f>
        <v>0</v>
      </c>
      <c r="O323" s="101" t="str">
        <f>IF(OR($F$20='Auto Responses'!$J$4,$F$303='Auto Responses'!$J$4,$E323='Auto Responses'!$L$13,$F323='Auto Responses'!$J$5),'Auto Responses'!$J$5,IF($J323="",$K323,IF($J323='Auto Responses'!$J$13,5,IF($J323='Auto Responses'!$J$12,10,IF($J323='Auto Responses'!$J$11,20,0)))))</f>
        <v>N/A</v>
      </c>
      <c r="P323" s="101" t="str">
        <f>IF(OR($O323='Auto Responses'!$J$5,$L323='Auto Responses'!$J$5),'Auto Responses'!$J$5,$O323*$L323)</f>
        <v>N/A</v>
      </c>
      <c r="Q323" s="101">
        <f t="shared" ref="Q323:Q333" si="36">IF(M323="TRUE",1,0)</f>
        <v>0</v>
      </c>
      <c r="R323" s="101">
        <f t="shared" si="33"/>
        <v>0</v>
      </c>
      <c r="S323" s="101">
        <f t="shared" ref="S323:S386" si="37">IF(Q323=0,0,R323)</f>
        <v>0</v>
      </c>
      <c r="T323" s="101">
        <f t="shared" ref="T323:T333" si="38">IF(N323=1,1,0)</f>
        <v>0</v>
      </c>
      <c r="U323" s="101">
        <f t="shared" si="34"/>
        <v>83</v>
      </c>
      <c r="V323" s="101">
        <f t="shared" ref="V323:V386" si="39">IF(T323=0,0,U323)</f>
        <v>0</v>
      </c>
    </row>
    <row r="324" spans="1:23" ht="57" customHeight="1" x14ac:dyDescent="0.2">
      <c r="A324" s="4" t="str">
        <f>Questions!$A324</f>
        <v>AIML-05</v>
      </c>
      <c r="B324" s="4" t="str">
        <f t="shared" si="35"/>
        <v>AIML</v>
      </c>
      <c r="C324" s="4" t="str">
        <f>VLOOKUP($A324,Questions!$A$3:$L$333,2,0)&amp;""</f>
        <v>Have you limited access to your ML training data to only staff with an explicit business need?</v>
      </c>
      <c r="D324" s="4" t="str">
        <f>VLOOKUP($A324,Questions!$A$3:$L$333,11,0)&amp;""</f>
        <v/>
      </c>
      <c r="E324" s="4" t="str">
        <f>VLOOKUP($A324,Questions!$A$3:$L$333,12,0)&amp;""</f>
        <v>AI</v>
      </c>
      <c r="F324" s="4" t="str">
        <f>VLOOKUP($A324,'Institution Evaluation'!$A$56:$K$345,3,0)&amp;""</f>
        <v>N/A</v>
      </c>
      <c r="G324" s="4" t="str">
        <f>VLOOKUP($A324,'Institution Evaluation'!$A$56:$K$345,7,0)&amp;""</f>
        <v>Yes</v>
      </c>
      <c r="H324" s="4" t="str">
        <f>VLOOKUP($A324,'Institution Evaluation'!$A$56:$K$345,8,0)&amp;""</f>
        <v/>
      </c>
      <c r="I324" s="4" t="str">
        <f>VLOOKUP($A324,'Institution Evaluation'!$A$56:$K$345,9,0)&amp;""</f>
        <v>Minor Importance</v>
      </c>
      <c r="J324" s="4" t="str">
        <f>VLOOKUP($A324,'Institution Evaluation'!$A$56:$K$345,10,0)&amp;""</f>
        <v/>
      </c>
      <c r="K324" s="4">
        <f>IF($I324='Auto Responses'!$J$11,20,IF($I324='Auto Responses'!$J$13,5,10))</f>
        <v>5</v>
      </c>
      <c r="L324" s="101">
        <f>IF($E324='Auto Responses'!$L$13, 'Auto Responses'!$J$5,IF(AND($D324='Auto Responses'!$J$27,$H324=""),'Auto Responses'!$J$5,IF(AND($D324='Auto Responses'!$J$27,$H324='Auto Responses'!$J$7),1,IF(AND($D324='Auto Responses'!$J$27,$H324='Auto Responses'!$J$8),0,IF(OR(AND($F324=$G324,$H324=""),$H324='Auto Responses'!$J$7),1,0)))))</f>
        <v>0</v>
      </c>
      <c r="M324" s="4" t="str">
        <f>VLOOKUP($A324,'Institution Evaluation'!$A$56:$K$345,11,0)&amp;""</f>
        <v>FALSE</v>
      </c>
      <c r="N324" s="4">
        <f>IF($J324='Auto Responses'!$J$11,1,IF(AND($J324="",$I324='Auto Responses'!$J$11),1,0))</f>
        <v>0</v>
      </c>
      <c r="O324" s="101" t="str">
        <f>IF(OR($F$20='Auto Responses'!$J$4,$F$303='Auto Responses'!$J$4,$E324='Auto Responses'!$L$13,$F324='Auto Responses'!$J$5),'Auto Responses'!$J$5,IF($J324="",$K324,IF($J324='Auto Responses'!$J$13,5,IF($J324='Auto Responses'!$J$12,10,IF($J324='Auto Responses'!$J$11,20,0)))))</f>
        <v>N/A</v>
      </c>
      <c r="P324" s="101" t="str">
        <f>IF(OR($O324='Auto Responses'!$J$5,$L324='Auto Responses'!$J$5),'Auto Responses'!$J$5,$O324*$L324)</f>
        <v>N/A</v>
      </c>
      <c r="Q324" s="101">
        <f t="shared" si="36"/>
        <v>0</v>
      </c>
      <c r="R324" s="101">
        <f t="shared" ref="R324:R387" si="40">R323+Q324</f>
        <v>0</v>
      </c>
      <c r="S324" s="101">
        <f t="shared" si="37"/>
        <v>0</v>
      </c>
      <c r="T324" s="101">
        <f t="shared" si="38"/>
        <v>0</v>
      </c>
      <c r="U324" s="101">
        <f t="shared" ref="U324:U387" si="41">U323+T324</f>
        <v>83</v>
      </c>
      <c r="V324" s="101">
        <f t="shared" si="39"/>
        <v>0</v>
      </c>
    </row>
    <row r="325" spans="1:23" ht="57" customHeight="1" x14ac:dyDescent="0.2">
      <c r="A325" s="4" t="str">
        <f>Questions!$A325</f>
        <v>AIML-06</v>
      </c>
      <c r="B325" s="4" t="str">
        <f t="shared" si="35"/>
        <v>AIML</v>
      </c>
      <c r="C325" s="4" t="str">
        <f>VLOOKUP($A325,Questions!$A$3:$L$333,2,0)&amp;""</f>
        <v>Have you implemented adversarial training or other model defense mechanisms to protect your ML-related features?</v>
      </c>
      <c r="D325" s="4" t="str">
        <f>VLOOKUP($A325,Questions!$A$3:$L$333,11,0)&amp;""</f>
        <v/>
      </c>
      <c r="E325" s="4" t="str">
        <f>VLOOKUP($A325,Questions!$A$3:$L$333,12,0)&amp;""</f>
        <v>AI</v>
      </c>
      <c r="F325" s="4" t="str">
        <f>VLOOKUP($A325,'Institution Evaluation'!$A$56:$K$345,3,0)&amp;""</f>
        <v>N/A</v>
      </c>
      <c r="G325" s="4" t="str">
        <f>VLOOKUP($A325,'Institution Evaluation'!$A$56:$K$345,7,0)&amp;""</f>
        <v>Yes</v>
      </c>
      <c r="H325" s="4" t="str">
        <f>VLOOKUP($A325,'Institution Evaluation'!$A$56:$K$345,8,0)&amp;""</f>
        <v/>
      </c>
      <c r="I325" s="4" t="str">
        <f>VLOOKUP($A325,'Institution Evaluation'!$A$56:$K$345,9,0)&amp;""</f>
        <v>Minor Importance</v>
      </c>
      <c r="J325" s="4" t="str">
        <f>VLOOKUP($A325,'Institution Evaluation'!$A$56:$K$345,10,0)&amp;""</f>
        <v/>
      </c>
      <c r="K325" s="4">
        <f>IF($I325='Auto Responses'!$J$11,20,IF($I325='Auto Responses'!$J$13,5,10))</f>
        <v>5</v>
      </c>
      <c r="L325" s="101">
        <f>IF($E325='Auto Responses'!$L$13, 'Auto Responses'!$J$5,IF(AND($D325='Auto Responses'!$J$27,$H325=""),'Auto Responses'!$J$5,IF(AND($D325='Auto Responses'!$J$27,$H325='Auto Responses'!$J$7),1,IF(AND($D325='Auto Responses'!$J$27,$H325='Auto Responses'!$J$8),0,IF(OR(AND($F325=$G325,$H325=""),$H325='Auto Responses'!$J$7),1,0)))))</f>
        <v>0</v>
      </c>
      <c r="M325" s="4" t="str">
        <f>VLOOKUP($A325,'Institution Evaluation'!$A$56:$K$345,11,0)&amp;""</f>
        <v>FALSE</v>
      </c>
      <c r="N325" s="4">
        <f>IF($J325='Auto Responses'!$J$11,1,IF(AND($J325="",$I325='Auto Responses'!$J$11),1,0))</f>
        <v>0</v>
      </c>
      <c r="O325" s="101" t="str">
        <f>IF(OR($F$20='Auto Responses'!$J$4,$F$303='Auto Responses'!$J$4,$E325='Auto Responses'!$L$13,$F325='Auto Responses'!$J$5),'Auto Responses'!$J$5,IF($J325="",$K325,IF($J325='Auto Responses'!$J$13,5,IF($J325='Auto Responses'!$J$12,10,IF($J325='Auto Responses'!$J$11,20,0)))))</f>
        <v>N/A</v>
      </c>
      <c r="P325" s="101" t="str">
        <f>IF(OR($O325='Auto Responses'!$J$5,$L325='Auto Responses'!$J$5),'Auto Responses'!$J$5,$O325*$L325)</f>
        <v>N/A</v>
      </c>
      <c r="Q325" s="101">
        <f t="shared" si="36"/>
        <v>0</v>
      </c>
      <c r="R325" s="101">
        <f t="shared" si="40"/>
        <v>0</v>
      </c>
      <c r="S325" s="101">
        <f t="shared" si="37"/>
        <v>0</v>
      </c>
      <c r="T325" s="101">
        <f t="shared" si="38"/>
        <v>0</v>
      </c>
      <c r="U325" s="101">
        <f t="shared" si="41"/>
        <v>83</v>
      </c>
      <c r="V325" s="101">
        <f t="shared" si="39"/>
        <v>0</v>
      </c>
    </row>
    <row r="326" spans="1:23" ht="57" customHeight="1" x14ac:dyDescent="0.2">
      <c r="A326" s="4" t="str">
        <f>Questions!$A326</f>
        <v>AIML-07</v>
      </c>
      <c r="B326" s="4" t="str">
        <f t="shared" si="35"/>
        <v>AIML</v>
      </c>
      <c r="C326" s="4" t="str">
        <f>VLOOKUP($A326,Questions!$A$3:$L$333,2,0)&amp;""</f>
        <v>Do you make your ML model transparent through documentation and log inputs and outputs?</v>
      </c>
      <c r="D326" s="4" t="str">
        <f>VLOOKUP($A326,Questions!$A$3:$L$333,11,0)&amp;""</f>
        <v/>
      </c>
      <c r="E326" s="4" t="str">
        <f>VLOOKUP($A326,Questions!$A$3:$L$333,12,0)&amp;""</f>
        <v>AI</v>
      </c>
      <c r="F326" s="4" t="str">
        <f>VLOOKUP($A326,'Institution Evaluation'!$A$56:$K$345,3,0)&amp;""</f>
        <v>N/A</v>
      </c>
      <c r="G326" s="4" t="str">
        <f>VLOOKUP($A326,'Institution Evaluation'!$A$56:$K$345,7,0)&amp;""</f>
        <v>Yes</v>
      </c>
      <c r="H326" s="4" t="str">
        <f>VLOOKUP($A326,'Institution Evaluation'!$A$56:$K$345,8,0)&amp;""</f>
        <v/>
      </c>
      <c r="I326" s="4" t="str">
        <f>VLOOKUP($A326,'Institution Evaluation'!$A$56:$K$345,9,0)&amp;""</f>
        <v>Minor Importance</v>
      </c>
      <c r="J326" s="4" t="str">
        <f>VLOOKUP($A326,'Institution Evaluation'!$A$56:$K$345,10,0)&amp;""</f>
        <v/>
      </c>
      <c r="K326" s="4">
        <f>IF($I326='Auto Responses'!$J$11,20,IF($I326='Auto Responses'!$J$13,5,10))</f>
        <v>5</v>
      </c>
      <c r="L326" s="101">
        <f>IF($E326='Auto Responses'!$L$13, 'Auto Responses'!$J$5,IF(AND($D326='Auto Responses'!$J$27,$H326=""),'Auto Responses'!$J$5,IF(AND($D326='Auto Responses'!$J$27,$H326='Auto Responses'!$J$7),1,IF(AND($D326='Auto Responses'!$J$27,$H326='Auto Responses'!$J$8),0,IF(OR(AND($F326=$G326,$H326=""),$H326='Auto Responses'!$J$7),1,0)))))</f>
        <v>0</v>
      </c>
      <c r="M326" s="4" t="str">
        <f>VLOOKUP($A326,'Institution Evaluation'!$A$56:$K$345,11,0)&amp;""</f>
        <v>FALSE</v>
      </c>
      <c r="N326" s="4">
        <f>IF($J326='Auto Responses'!$J$11,1,IF(AND($J326="",$I326='Auto Responses'!$J$11),1,0))</f>
        <v>0</v>
      </c>
      <c r="O326" s="101" t="str">
        <f>IF(OR($F$20='Auto Responses'!$J$4,$F$303='Auto Responses'!$J$4,$E326='Auto Responses'!$L$13,$F326='Auto Responses'!$J$5),'Auto Responses'!$J$5,IF($J326="",$K326,IF($J326='Auto Responses'!$J$13,5,IF($J326='Auto Responses'!$J$12,10,IF($J326='Auto Responses'!$J$11,20,0)))))</f>
        <v>N/A</v>
      </c>
      <c r="P326" s="101" t="str">
        <f>IF(OR($O326='Auto Responses'!$J$5,$L326='Auto Responses'!$J$5),'Auto Responses'!$J$5,$O326*$L326)</f>
        <v>N/A</v>
      </c>
      <c r="Q326" s="101">
        <f t="shared" si="36"/>
        <v>0</v>
      </c>
      <c r="R326" s="101">
        <f t="shared" si="40"/>
        <v>0</v>
      </c>
      <c r="S326" s="101">
        <f t="shared" si="37"/>
        <v>0</v>
      </c>
      <c r="T326" s="101">
        <f t="shared" si="38"/>
        <v>0</v>
      </c>
      <c r="U326" s="101">
        <f t="shared" si="41"/>
        <v>83</v>
      </c>
      <c r="V326" s="101">
        <f t="shared" si="39"/>
        <v>0</v>
      </c>
    </row>
    <row r="327" spans="1:23" ht="57" customHeight="1" x14ac:dyDescent="0.2">
      <c r="A327" s="4" t="str">
        <f>Questions!$A327</f>
        <v>AIML-08</v>
      </c>
      <c r="B327" s="4" t="str">
        <f t="shared" si="35"/>
        <v>AIML</v>
      </c>
      <c r="C327" s="4" t="str">
        <f>VLOOKUP($A327,Questions!$A$3:$L$333,2,0)&amp;""</f>
        <v>Do you watermark your ML training data?</v>
      </c>
      <c r="D327" s="4" t="str">
        <f>VLOOKUP($A327,Questions!$A$3:$L$333,11,0)&amp;""</f>
        <v/>
      </c>
      <c r="E327" s="4" t="str">
        <f>VLOOKUP($A327,Questions!$A$3:$L$333,12,0)&amp;""</f>
        <v>AI</v>
      </c>
      <c r="F327" s="4" t="str">
        <f>VLOOKUP($A327,'Institution Evaluation'!$A$56:$K$345,3,0)&amp;""</f>
        <v>N/A</v>
      </c>
      <c r="G327" s="4" t="str">
        <f>VLOOKUP($A327,'Institution Evaluation'!$A$56:$K$345,7,0)&amp;""</f>
        <v>Yes</v>
      </c>
      <c r="H327" s="4" t="str">
        <f>VLOOKUP($A327,'Institution Evaluation'!$A$56:$K$345,8,0)&amp;""</f>
        <v/>
      </c>
      <c r="I327" s="4" t="str">
        <f>VLOOKUP($A327,'Institution Evaluation'!$A$56:$K$345,9,0)&amp;""</f>
        <v>Minor Importance</v>
      </c>
      <c r="J327" s="4" t="str">
        <f>VLOOKUP($A327,'Institution Evaluation'!$A$56:$K$345,10,0)&amp;""</f>
        <v/>
      </c>
      <c r="K327" s="4">
        <f>IF($I327='Auto Responses'!$J$11,20,IF($I327='Auto Responses'!$J$13,5,10))</f>
        <v>5</v>
      </c>
      <c r="L327" s="101">
        <f>IF($E327='Auto Responses'!$L$13, 'Auto Responses'!$J$5,IF(AND($D327='Auto Responses'!$J$27,$H327=""),'Auto Responses'!$J$5,IF(AND($D327='Auto Responses'!$J$27,$H327='Auto Responses'!$J$7),1,IF(AND($D327='Auto Responses'!$J$27,$H327='Auto Responses'!$J$8),0,IF(OR(AND($F327=$G327,$H327=""),$H327='Auto Responses'!$J$7),1,0)))))</f>
        <v>0</v>
      </c>
      <c r="M327" s="4" t="str">
        <f>VLOOKUP($A327,'Institution Evaluation'!$A$56:$K$345,11,0)&amp;""</f>
        <v>FALSE</v>
      </c>
      <c r="N327" s="4">
        <f>IF($J327='Auto Responses'!$J$11,1,IF(AND($J327="",$I327='Auto Responses'!$J$11),1,0))</f>
        <v>0</v>
      </c>
      <c r="O327" s="101" t="str">
        <f>IF(OR($F$20='Auto Responses'!$J$4,$F$303='Auto Responses'!$J$4,$E327='Auto Responses'!$L$13,$F327='Auto Responses'!$J$5),'Auto Responses'!$J$5,IF($J327="",$K327,IF($J327='Auto Responses'!$J$13,5,IF($J327='Auto Responses'!$J$12,10,IF($J327='Auto Responses'!$J$11,20,0)))))</f>
        <v>N/A</v>
      </c>
      <c r="P327" s="101" t="str">
        <f>IF(OR($O327='Auto Responses'!$J$5,$L327='Auto Responses'!$J$5),'Auto Responses'!$J$5,$O327*$L327)</f>
        <v>N/A</v>
      </c>
      <c r="Q327" s="101">
        <f t="shared" si="36"/>
        <v>0</v>
      </c>
      <c r="R327" s="101">
        <f t="shared" si="40"/>
        <v>0</v>
      </c>
      <c r="S327" s="101">
        <f t="shared" si="37"/>
        <v>0</v>
      </c>
      <c r="T327" s="101">
        <f t="shared" si="38"/>
        <v>0</v>
      </c>
      <c r="U327" s="101">
        <f t="shared" si="41"/>
        <v>83</v>
      </c>
      <c r="V327" s="101">
        <f t="shared" si="39"/>
        <v>0</v>
      </c>
    </row>
    <row r="328" spans="1:23" ht="57" customHeight="1" x14ac:dyDescent="0.2">
      <c r="A328" s="4" t="str">
        <f>Questions!$A328</f>
        <v>AILM-01</v>
      </c>
      <c r="B328" s="4" t="str">
        <f t="shared" si="35"/>
        <v>AILM</v>
      </c>
      <c r="C328" s="4" t="str">
        <f>VLOOKUP($A328,Questions!$A$3:$L$333,2,0)&amp;""</f>
        <v>Do you limit your solution's LLM privileges by default?*</v>
      </c>
      <c r="D328" s="4" t="str">
        <f>VLOOKUP($A328,Questions!$A$3:$L$333,11,0)&amp;""</f>
        <v/>
      </c>
      <c r="E328" s="4" t="str">
        <f>VLOOKUP($A328,Questions!$A$3:$L$333,12,0)&amp;""</f>
        <v>AI</v>
      </c>
      <c r="F328" s="4" t="str">
        <f>VLOOKUP($A328,'Institution Evaluation'!$A$56:$K$345,3,0)&amp;""</f>
        <v>Yes</v>
      </c>
      <c r="G328" s="4" t="str">
        <f>VLOOKUP($A328,'Institution Evaluation'!$A$56:$K$345,7,0)&amp;""</f>
        <v>Yes</v>
      </c>
      <c r="H328" s="4" t="str">
        <f>VLOOKUP($A328,'Institution Evaluation'!$A$56:$K$345,8,0)&amp;""</f>
        <v/>
      </c>
      <c r="I328" s="4" t="str">
        <f>VLOOKUP($A328,'Institution Evaluation'!$A$56:$K$345,9,0)&amp;""</f>
        <v>Critical Importance</v>
      </c>
      <c r="J328" s="4" t="str">
        <f>VLOOKUP($A328,'Institution Evaluation'!$A$56:$K$345,10,0)&amp;""</f>
        <v/>
      </c>
      <c r="K328" s="4">
        <f>IF($I328='Auto Responses'!$J$11,20,IF($I328='Auto Responses'!$J$13,5,10))</f>
        <v>20</v>
      </c>
      <c r="L328" s="101">
        <f>IF($E328='Auto Responses'!$L$13, 'Auto Responses'!$J$5,IF(AND($D328='Auto Responses'!$J$27,$H328=""),'Auto Responses'!$J$5,IF(AND($D328='Auto Responses'!$J$27,$H328='Auto Responses'!$J$7),1,IF(AND($D328='Auto Responses'!$J$27,$H328='Auto Responses'!$J$8),0,IF(OR(AND($F328=$G328,$H328=""),$H328='Auto Responses'!$J$7),1,0)))))</f>
        <v>1</v>
      </c>
      <c r="M328" s="4" t="str">
        <f>VLOOKUP($A328,'Institution Evaluation'!$A$56:$K$345,11,0)&amp;""</f>
        <v>FALSE</v>
      </c>
      <c r="N328" s="4">
        <f>IF($J328='Auto Responses'!$J$11,1,IF(AND($J328="",$I328='Auto Responses'!$J$11),1,0))</f>
        <v>1</v>
      </c>
      <c r="O328" s="101">
        <f>IF(OR($F$20='Auto Responses'!$J$4,$F$304='Auto Responses'!$J$4,$E328='Auto Responses'!$L$13,$F328='Auto Responses'!$J$5),'Auto Responses'!$J$5,IF($J328="",$K328,IF($J328='Auto Responses'!$J$13,5,IF($J328='Auto Responses'!$J$12,10,IF($J328='Auto Responses'!$J$11,20,0)))))</f>
        <v>20</v>
      </c>
      <c r="P328" s="101">
        <f>IF(OR($O328='Auto Responses'!$J$5,$L328='Auto Responses'!$J$5),'Auto Responses'!$J$5,$O328*$L328)</f>
        <v>20</v>
      </c>
      <c r="Q328" s="101">
        <f t="shared" si="36"/>
        <v>0</v>
      </c>
      <c r="R328" s="101">
        <f t="shared" si="40"/>
        <v>0</v>
      </c>
      <c r="S328" s="101">
        <f t="shared" si="37"/>
        <v>0</v>
      </c>
      <c r="T328" s="101">
        <f t="shared" si="38"/>
        <v>1</v>
      </c>
      <c r="U328" s="101">
        <f t="shared" si="41"/>
        <v>84</v>
      </c>
      <c r="V328" s="101">
        <f t="shared" si="39"/>
        <v>84</v>
      </c>
    </row>
    <row r="329" spans="1:23" ht="57" customHeight="1" x14ac:dyDescent="0.2">
      <c r="A329" s="4" t="str">
        <f>Questions!$A329</f>
        <v>AILM-02</v>
      </c>
      <c r="B329" s="4" t="str">
        <f t="shared" si="35"/>
        <v>AILM</v>
      </c>
      <c r="C329" s="4" t="str">
        <f>VLOOKUP($A329,Questions!$A$3:$L$333,2,0)&amp;""</f>
        <v>Is your LLM training data vetted, validated, and verified before training the solution's AI model?*</v>
      </c>
      <c r="D329" s="4" t="str">
        <f>VLOOKUP($A329,Questions!$A$3:$L$333,11,0)&amp;""</f>
        <v/>
      </c>
      <c r="E329" s="4" t="str">
        <f>VLOOKUP($A329,Questions!$A$3:$L$333,12,0)&amp;""</f>
        <v>AI</v>
      </c>
      <c r="F329" s="4" t="str">
        <f>VLOOKUP($A329,'Institution Evaluation'!$A$56:$K$345,3,0)&amp;""</f>
        <v>N/A</v>
      </c>
      <c r="G329" s="4" t="str">
        <f>VLOOKUP($A329,'Institution Evaluation'!$A$56:$K$345,7,0)&amp;""</f>
        <v>Yes</v>
      </c>
      <c r="H329" s="4" t="str">
        <f>VLOOKUP($A329,'Institution Evaluation'!$A$56:$K$345,8,0)&amp;""</f>
        <v/>
      </c>
      <c r="I329" s="4" t="str">
        <f>VLOOKUP($A329,'Institution Evaluation'!$A$56:$K$345,9,0)&amp;""</f>
        <v>Critical Importance</v>
      </c>
      <c r="J329" s="4" t="str">
        <f>VLOOKUP($A329,'Institution Evaluation'!$A$56:$K$345,10,0)&amp;""</f>
        <v/>
      </c>
      <c r="K329" s="4">
        <f>IF($I329='Auto Responses'!$J$11,20,IF($I329='Auto Responses'!$J$13,5,10))</f>
        <v>20</v>
      </c>
      <c r="L329" s="101">
        <f>IF($E329='Auto Responses'!$L$13, 'Auto Responses'!$J$5,IF(AND($D329='Auto Responses'!$J$27,$H329=""),'Auto Responses'!$J$5,IF(AND($D329='Auto Responses'!$J$27,$H329='Auto Responses'!$J$7),1,IF(AND($D329='Auto Responses'!$J$27,$H329='Auto Responses'!$J$8),0,IF(OR(AND($F329=$G329,$H329=""),$H329='Auto Responses'!$J$7),1,0)))))</f>
        <v>0</v>
      </c>
      <c r="M329" s="4" t="str">
        <f>VLOOKUP($A329,'Institution Evaluation'!$A$56:$K$345,11,0)&amp;""</f>
        <v>FALSE</v>
      </c>
      <c r="N329" s="4">
        <f>IF($J329='Auto Responses'!$J$11,1,IF(AND($J329="",$I329='Auto Responses'!$J$11),1,0))</f>
        <v>1</v>
      </c>
      <c r="O329" s="101" t="str">
        <f>IF(OR($F$20='Auto Responses'!$J$4,$F$304='Auto Responses'!$J$4,$E329='Auto Responses'!$L$13,$F329='Auto Responses'!$J$5),'Auto Responses'!$J$5,IF($J329="",$K329,IF($J329='Auto Responses'!$J$13,5,IF($J329='Auto Responses'!$J$12,10,IF($J329='Auto Responses'!$J$11,20,0)))))</f>
        <v>N/A</v>
      </c>
      <c r="P329" s="101" t="str">
        <f>IF(OR($O329='Auto Responses'!$J$5,$L329='Auto Responses'!$J$5),'Auto Responses'!$J$5,$O329*$L329)</f>
        <v>N/A</v>
      </c>
      <c r="Q329" s="101">
        <f t="shared" si="36"/>
        <v>0</v>
      </c>
      <c r="R329" s="101">
        <f t="shared" si="40"/>
        <v>0</v>
      </c>
      <c r="S329" s="101">
        <f t="shared" si="37"/>
        <v>0</v>
      </c>
      <c r="T329" s="101">
        <f t="shared" si="38"/>
        <v>1</v>
      </c>
      <c r="U329" s="101">
        <f t="shared" si="41"/>
        <v>85</v>
      </c>
      <c r="V329" s="101">
        <f t="shared" si="39"/>
        <v>85</v>
      </c>
    </row>
    <row r="330" spans="1:23" ht="57" customHeight="1" x14ac:dyDescent="0.2">
      <c r="A330" s="4" t="str">
        <f>Questions!$A330</f>
        <v>AILM-03</v>
      </c>
      <c r="B330" s="4" t="str">
        <f t="shared" si="35"/>
        <v>AILM</v>
      </c>
      <c r="C330" s="4" t="str">
        <f>VLOOKUP($A330,Questions!$A$3:$L$333,2,0)&amp;""</f>
        <v>Do any actions taken by your solution's LLM features or plugins require human intervention?*</v>
      </c>
      <c r="D330" s="4" t="str">
        <f>VLOOKUP($A330,Questions!$A$3:$L$333,11,0)&amp;""</f>
        <v/>
      </c>
      <c r="E330" s="4" t="str">
        <f>VLOOKUP($A330,Questions!$A$3:$L$333,12,0)&amp;""</f>
        <v>AI</v>
      </c>
      <c r="F330" s="4" t="str">
        <f>VLOOKUP($A330,'Institution Evaluation'!$A$56:$K$345,3,0)&amp;""</f>
        <v>Yes</v>
      </c>
      <c r="G330" s="4" t="str">
        <f>VLOOKUP($A330,'Institution Evaluation'!$A$56:$K$345,7,0)&amp;""</f>
        <v>Yes</v>
      </c>
      <c r="H330" s="4" t="str">
        <f>VLOOKUP($A330,'Institution Evaluation'!$A$56:$K$345,8,0)&amp;""</f>
        <v/>
      </c>
      <c r="I330" s="4" t="str">
        <f>VLOOKUP($A330,'Institution Evaluation'!$A$56:$K$345,9,0)&amp;""</f>
        <v>Critical Importance</v>
      </c>
      <c r="J330" s="4" t="str">
        <f>VLOOKUP($A330,'Institution Evaluation'!$A$56:$K$345,10,0)&amp;""</f>
        <v/>
      </c>
      <c r="K330" s="4">
        <f>IF($I330='Auto Responses'!$J$11,20,IF($I330='Auto Responses'!$J$13,5,10))</f>
        <v>20</v>
      </c>
      <c r="L330" s="101">
        <f>IF($E330='Auto Responses'!$L$13, 'Auto Responses'!$J$5,IF(AND($D330='Auto Responses'!$J$27,$H330=""),'Auto Responses'!$J$5,IF(AND($D330='Auto Responses'!$J$27,$H330='Auto Responses'!$J$7),1,IF(AND($D330='Auto Responses'!$J$27,$H330='Auto Responses'!$J$8),0,IF(OR(AND($F330=$G330,$H330=""),$H330='Auto Responses'!$J$7),1,0)))))</f>
        <v>1</v>
      </c>
      <c r="M330" s="4" t="str">
        <f>VLOOKUP($A330,'Institution Evaluation'!$A$56:$K$345,11,0)&amp;""</f>
        <v>FALSE</v>
      </c>
      <c r="N330" s="4">
        <f>IF($J330='Auto Responses'!$J$11,1,IF(AND($J330="",$I330='Auto Responses'!$J$11),1,0))</f>
        <v>1</v>
      </c>
      <c r="O330" s="101">
        <f>IF(OR($F$20='Auto Responses'!$J$4,$F$304='Auto Responses'!$J$4,$E330='Auto Responses'!$L$13,$F330='Auto Responses'!$J$5),'Auto Responses'!$J$5,IF($J330="",$K330,IF($J330='Auto Responses'!$J$13,5,IF($J330='Auto Responses'!$J$12,10,IF($J330='Auto Responses'!$J$11,20,0)))))</f>
        <v>20</v>
      </c>
      <c r="P330" s="101">
        <f>IF(OR($O330='Auto Responses'!$J$5,$L330='Auto Responses'!$J$5),'Auto Responses'!$J$5,$O330*$L330)</f>
        <v>20</v>
      </c>
      <c r="Q330" s="101">
        <f t="shared" si="36"/>
        <v>0</v>
      </c>
      <c r="R330" s="101">
        <f t="shared" si="40"/>
        <v>0</v>
      </c>
      <c r="S330" s="101">
        <f t="shared" si="37"/>
        <v>0</v>
      </c>
      <c r="T330" s="101">
        <f t="shared" si="38"/>
        <v>1</v>
      </c>
      <c r="U330" s="101">
        <f t="shared" si="41"/>
        <v>86</v>
      </c>
      <c r="V330" s="101">
        <f t="shared" si="39"/>
        <v>86</v>
      </c>
    </row>
    <row r="331" spans="1:23" ht="57" customHeight="1" x14ac:dyDescent="0.2">
      <c r="A331" s="4" t="str">
        <f>Questions!$A331</f>
        <v>AILM-04</v>
      </c>
      <c r="B331" s="4" t="str">
        <f t="shared" si="35"/>
        <v>AILM</v>
      </c>
      <c r="C331" s="4" t="str">
        <f>VLOOKUP($A331,Questions!$A$3:$L$333,2,0)&amp;""</f>
        <v>Do you limit multiple LLM model plugins being called as part of a single input?*</v>
      </c>
      <c r="D331" s="4" t="str">
        <f>VLOOKUP($A331,Questions!$A$3:$L$333,11,0)&amp;""</f>
        <v/>
      </c>
      <c r="E331" s="4" t="str">
        <f>VLOOKUP($A331,Questions!$A$3:$L$333,12,0)&amp;""</f>
        <v>AI</v>
      </c>
      <c r="F331" s="4" t="str">
        <f>VLOOKUP($A331,'Institution Evaluation'!$A$56:$K$345,3,0)&amp;""</f>
        <v>Yes</v>
      </c>
      <c r="G331" s="4" t="str">
        <f>VLOOKUP($A331,'Institution Evaluation'!$A$56:$K$345,7,0)&amp;""</f>
        <v>Yes</v>
      </c>
      <c r="H331" s="4" t="str">
        <f>VLOOKUP($A331,'Institution Evaluation'!$A$56:$K$345,8,0)&amp;""</f>
        <v/>
      </c>
      <c r="I331" s="4" t="str">
        <f>VLOOKUP($A331,'Institution Evaluation'!$A$56:$K$345,9,0)&amp;""</f>
        <v>Critical Importance</v>
      </c>
      <c r="J331" s="4" t="str">
        <f>VLOOKUP($A331,'Institution Evaluation'!$A$56:$K$345,10,0)&amp;""</f>
        <v/>
      </c>
      <c r="K331" s="4">
        <f>IF($I331='Auto Responses'!$J$11,20,IF($I331='Auto Responses'!$J$13,5,10))</f>
        <v>20</v>
      </c>
      <c r="L331" s="101">
        <f>IF($E331='Auto Responses'!$L$13, 'Auto Responses'!$J$5,IF(AND($D331='Auto Responses'!$J$27,$H331=""),'Auto Responses'!$J$5,IF(AND($D331='Auto Responses'!$J$27,$H331='Auto Responses'!$J$7),1,IF(AND($D331='Auto Responses'!$J$27,$H331='Auto Responses'!$J$8),0,IF(OR(AND($F331=$G331,$H331=""),$H331='Auto Responses'!$J$7),1,0)))))</f>
        <v>1</v>
      </c>
      <c r="M331" s="4" t="str">
        <f>VLOOKUP($A331,'Institution Evaluation'!$A$56:$K$345,11,0)&amp;""</f>
        <v>FALSE</v>
      </c>
      <c r="N331" s="4">
        <f>IF($J331='Auto Responses'!$J$11,1,IF(AND($J331="",$I331='Auto Responses'!$J$11),1,0))</f>
        <v>1</v>
      </c>
      <c r="O331" s="101">
        <f>IF(OR($F$20='Auto Responses'!$J$4,$F$304='Auto Responses'!$J$4,$E331='Auto Responses'!$L$13,$F331='Auto Responses'!$J$5),'Auto Responses'!$J$5,IF($J331="",$K331,IF($J331='Auto Responses'!$J$13,5,IF($J331='Auto Responses'!$J$12,10,IF($J331='Auto Responses'!$J$11,20,0)))))</f>
        <v>20</v>
      </c>
      <c r="P331" s="101">
        <f>IF(OR($O331='Auto Responses'!$J$5,$L331='Auto Responses'!$J$5),'Auto Responses'!$J$5,$O331*$L331)</f>
        <v>20</v>
      </c>
      <c r="Q331" s="101">
        <f t="shared" si="36"/>
        <v>0</v>
      </c>
      <c r="R331" s="101">
        <f t="shared" si="40"/>
        <v>0</v>
      </c>
      <c r="S331" s="101">
        <f t="shared" si="37"/>
        <v>0</v>
      </c>
      <c r="T331" s="101">
        <f t="shared" si="38"/>
        <v>1</v>
      </c>
      <c r="U331" s="101">
        <f t="shared" si="41"/>
        <v>87</v>
      </c>
      <c r="V331" s="101">
        <f t="shared" si="39"/>
        <v>87</v>
      </c>
    </row>
    <row r="332" spans="1:23" ht="57" customHeight="1" x14ac:dyDescent="0.2">
      <c r="A332" s="4" t="str">
        <f>Questions!$A332</f>
        <v>AILM-05</v>
      </c>
      <c r="B332" s="4" t="str">
        <f t="shared" si="35"/>
        <v>AILM</v>
      </c>
      <c r="C332" s="4" t="str">
        <f>VLOOKUP($A332,Questions!$A$3:$L$333,2,0)&amp;""</f>
        <v>Do you limit your solution's LLM resource use per request, per step, and per action?</v>
      </c>
      <c r="D332" s="4" t="str">
        <f>VLOOKUP($A332,Questions!$A$3:$L$333,11,0)&amp;""</f>
        <v/>
      </c>
      <c r="E332" s="4" t="str">
        <f>VLOOKUP($A332,Questions!$A$3:$L$333,12,0)&amp;""</f>
        <v>AI</v>
      </c>
      <c r="F332" s="4" t="str">
        <f>VLOOKUP($A332,'Institution Evaluation'!$A$56:$K$345,3,0)&amp;""</f>
        <v>Yes</v>
      </c>
      <c r="G332" s="4" t="str">
        <f>VLOOKUP($A332,'Institution Evaluation'!$A$56:$K$345,7,0)&amp;""</f>
        <v>Yes</v>
      </c>
      <c r="H332" s="4" t="str">
        <f>VLOOKUP($A332,'Institution Evaluation'!$A$56:$K$345,8,0)&amp;""</f>
        <v/>
      </c>
      <c r="I332" s="4" t="str">
        <f>VLOOKUP($A332,'Institution Evaluation'!$A$56:$K$345,9,0)&amp;""</f>
        <v>Standard Importance</v>
      </c>
      <c r="J332" s="4" t="str">
        <f>VLOOKUP($A332,'Institution Evaluation'!$A$56:$K$345,10,0)&amp;""</f>
        <v/>
      </c>
      <c r="K332" s="4">
        <f>IF($I332='Auto Responses'!$J$11,20,IF($I332='Auto Responses'!$J$13,5,10))</f>
        <v>10</v>
      </c>
      <c r="L332" s="101">
        <f>IF($E332='Auto Responses'!$L$13, 'Auto Responses'!$J$5,IF(AND($D332='Auto Responses'!$J$27,$H332=""),'Auto Responses'!$J$5,IF(AND($D332='Auto Responses'!$J$27,$H332='Auto Responses'!$J$7),1,IF(AND($D332='Auto Responses'!$J$27,$H332='Auto Responses'!$J$8),0,IF(OR(AND($F332=$G332,$H332=""),$H332='Auto Responses'!$J$7),1,0)))))</f>
        <v>1</v>
      </c>
      <c r="M332" s="4" t="str">
        <f>VLOOKUP($A332,'Institution Evaluation'!$A$56:$K$345,11,0)&amp;""</f>
        <v>FALSE</v>
      </c>
      <c r="N332" s="4">
        <f>IF($J332='Auto Responses'!$J$11,1,IF(AND($J332="",$I332='Auto Responses'!$J$11),1,0))</f>
        <v>0</v>
      </c>
      <c r="O332" s="101">
        <f>IF(OR($F$20='Auto Responses'!$J$4,$F$304='Auto Responses'!$J$4,$E332='Auto Responses'!$L$13,$F332='Auto Responses'!$J$5),'Auto Responses'!$J$5,IF($J332="",$K332,IF($J332='Auto Responses'!$J$13,5,IF($J332='Auto Responses'!$J$12,10,IF($J332='Auto Responses'!$J$11,20,0)))))</f>
        <v>10</v>
      </c>
      <c r="P332" s="101">
        <f>IF(OR($O332='Auto Responses'!$J$5,$L332='Auto Responses'!$J$5),'Auto Responses'!$J$5,$O332*$L332)</f>
        <v>10</v>
      </c>
      <c r="Q332" s="101">
        <f t="shared" si="36"/>
        <v>0</v>
      </c>
      <c r="R332" s="101">
        <f t="shared" si="40"/>
        <v>0</v>
      </c>
      <c r="S332" s="101">
        <f t="shared" si="37"/>
        <v>0</v>
      </c>
      <c r="T332" s="101">
        <f t="shared" si="38"/>
        <v>0</v>
      </c>
      <c r="U332" s="101">
        <f t="shared" si="41"/>
        <v>87</v>
      </c>
      <c r="V332" s="101">
        <f t="shared" si="39"/>
        <v>0</v>
      </c>
    </row>
    <row r="333" spans="1:23" ht="36" customHeight="1" x14ac:dyDescent="0.2">
      <c r="A333" s="4" t="str">
        <f>Questions!$A333</f>
        <v>AILM-06</v>
      </c>
      <c r="B333" s="4" t="str">
        <f t="shared" si="35"/>
        <v>AILM</v>
      </c>
      <c r="C333" s="4" t="str">
        <f>VLOOKUP($A333,Questions!$A$3:$L$333,2,0)&amp;""</f>
        <v>Do you leverage LLM model tuning or other model validation mechanisms?</v>
      </c>
      <c r="D333" s="4" t="str">
        <f>VLOOKUP($A333,Questions!$A$3:$L$333,11,0)&amp;""</f>
        <v/>
      </c>
      <c r="E333" s="4" t="str">
        <f>VLOOKUP($A333,Questions!$A$3:$L$333,12,0)&amp;""</f>
        <v>AI</v>
      </c>
      <c r="F333" s="4" t="str">
        <f>VLOOKUP($A333,'Institution Evaluation'!$A$56:$K$345,3,0)&amp;""</f>
        <v>Yes</v>
      </c>
      <c r="G333" s="4" t="str">
        <f>VLOOKUP($A333,'Institution Evaluation'!$A$56:$K$345,7,0)&amp;""</f>
        <v>Yes</v>
      </c>
      <c r="H333" s="4" t="str">
        <f>VLOOKUP($A333,'Institution Evaluation'!$A$56:$K$345,8,0)&amp;""</f>
        <v/>
      </c>
      <c r="I333" s="4" t="str">
        <f>VLOOKUP($A333,'Institution Evaluation'!$A$56:$K$345,9,0)&amp;""</f>
        <v>Standard Importance</v>
      </c>
      <c r="J333" s="4" t="str">
        <f>VLOOKUP($A333,'Institution Evaluation'!$A$56:$K$345,10,0)&amp;""</f>
        <v/>
      </c>
      <c r="K333" s="4">
        <f>IF($I333='Auto Responses'!$J$11,20,IF($I333='Auto Responses'!$J$13,5,10))</f>
        <v>10</v>
      </c>
      <c r="L333" s="101">
        <f>IF($E333='Auto Responses'!$L$13, 'Auto Responses'!$J$5,IF(AND($D333='Auto Responses'!$J$27,$H333=""),'Auto Responses'!$J$5,IF(AND($D333='Auto Responses'!$J$27,$H333='Auto Responses'!$J$7),1,IF(AND($D333='Auto Responses'!$J$27,$H333='Auto Responses'!$J$8),0,IF(OR(AND($F333=$G333,$H333=""),$H333='Auto Responses'!$J$7),1,0)))))</f>
        <v>1</v>
      </c>
      <c r="M333" s="4" t="str">
        <f>VLOOKUP($A333,'Institution Evaluation'!$A$56:$K$345,11,0)&amp;""</f>
        <v>FALSE</v>
      </c>
      <c r="N333" s="4">
        <f>IF($J333='Auto Responses'!$J$11,1,IF(AND($J333="",$I333='Auto Responses'!$J$11),1,0))</f>
        <v>0</v>
      </c>
      <c r="O333" s="101">
        <f>IF(OR($F$20='Auto Responses'!$J$4,$F$304='Auto Responses'!$J$4,$E333='Auto Responses'!$L$13,$F333='Auto Responses'!$J$5),'Auto Responses'!$J$5,IF($J333="",$K333,IF($J333='Auto Responses'!$J$13,5,IF($J333='Auto Responses'!$J$12,10,IF($J333='Auto Responses'!$J$11,20,0)))))</f>
        <v>10</v>
      </c>
      <c r="P333" s="101">
        <f>IF(OR($O333='Auto Responses'!$J$5,$L333='Auto Responses'!$J$5),'Auto Responses'!$J$5,$O333*$L333)</f>
        <v>10</v>
      </c>
      <c r="Q333" s="101">
        <f t="shared" si="36"/>
        <v>0</v>
      </c>
      <c r="R333" s="101">
        <f t="shared" si="40"/>
        <v>0</v>
      </c>
      <c r="S333" s="101">
        <f t="shared" si="37"/>
        <v>0</v>
      </c>
      <c r="T333" s="101">
        <f t="shared" si="38"/>
        <v>0</v>
      </c>
      <c r="U333" s="101">
        <f t="shared" si="41"/>
        <v>87</v>
      </c>
      <c r="V333" s="101">
        <f t="shared" si="39"/>
        <v>0</v>
      </c>
      <c r="W333" s="229" t="s">
        <v>361</v>
      </c>
    </row>
    <row r="334" spans="1:23" ht="15.75" customHeight="1" thickBot="1" x14ac:dyDescent="0.25">
      <c r="A334" s="3"/>
      <c r="B334" s="3"/>
      <c r="C334" s="3"/>
      <c r="D334" s="3"/>
      <c r="E334" s="3"/>
      <c r="F334" s="3"/>
      <c r="G334" s="3"/>
      <c r="H334" s="3"/>
      <c r="I334" s="3"/>
      <c r="J334" s="3"/>
      <c r="K334" s="3"/>
    </row>
    <row r="335" spans="1:23" ht="15.75" customHeight="1" thickBot="1" x14ac:dyDescent="0.25">
      <c r="A335" s="3"/>
      <c r="B335" s="3"/>
      <c r="C335" s="3"/>
      <c r="D335" s="3"/>
      <c r="E335" s="3"/>
      <c r="F335" s="3"/>
      <c r="G335" s="3"/>
      <c r="H335" s="3"/>
      <c r="I335" s="3"/>
      <c r="J335" s="3"/>
      <c r="K335" s="3"/>
      <c r="Q335" s="153">
        <f>SUM($Q3:$Q334)</f>
        <v>0</v>
      </c>
      <c r="R335" s="154"/>
      <c r="S335" s="154"/>
      <c r="T335" s="155">
        <f>SUM($T3:$T334)</f>
        <v>87</v>
      </c>
    </row>
    <row r="336" spans="1:23" x14ac:dyDescent="0.2">
      <c r="A336" s="229" t="s">
        <v>2147</v>
      </c>
      <c r="B336" s="3"/>
      <c r="C336" s="3"/>
      <c r="D336" s="3"/>
      <c r="E336" s="3"/>
      <c r="F336" s="3"/>
      <c r="G336" s="3"/>
      <c r="H336" s="3"/>
      <c r="I336" s="3"/>
      <c r="J336" s="3"/>
      <c r="K336" s="3"/>
    </row>
    <row r="337" spans="1:11" hidden="1" x14ac:dyDescent="0.2">
      <c r="A337" s="3"/>
      <c r="B337" s="3"/>
      <c r="C337" s="3"/>
      <c r="D337" s="3"/>
      <c r="E337" s="3"/>
      <c r="F337" s="3"/>
      <c r="G337" s="3"/>
      <c r="H337" s="3"/>
      <c r="I337" s="3"/>
      <c r="J337" s="3"/>
      <c r="K337" s="3"/>
    </row>
    <row r="338" spans="1:11" hidden="1" x14ac:dyDescent="0.2">
      <c r="A338" s="3"/>
      <c r="B338" s="3"/>
      <c r="C338" s="3"/>
      <c r="D338" s="3"/>
      <c r="E338" s="3"/>
      <c r="F338" s="3"/>
      <c r="G338" s="3"/>
      <c r="H338" s="3"/>
      <c r="I338" s="3"/>
      <c r="J338" s="3"/>
      <c r="K338" s="3"/>
    </row>
    <row r="339" spans="1:11" hidden="1" x14ac:dyDescent="0.2">
      <c r="A339" s="3"/>
      <c r="B339" s="3"/>
      <c r="C339" s="3"/>
      <c r="D339" s="3"/>
      <c r="E339" s="3"/>
      <c r="F339" s="3"/>
      <c r="G339" s="3"/>
      <c r="H339" s="3"/>
      <c r="I339" s="3"/>
      <c r="J339" s="3"/>
      <c r="K339" s="3"/>
    </row>
    <row r="340" spans="1:11" hidden="1" x14ac:dyDescent="0.2">
      <c r="A340" s="3"/>
      <c r="B340" s="3"/>
      <c r="C340" s="3"/>
      <c r="D340" s="3"/>
      <c r="E340" s="3"/>
      <c r="F340" s="3"/>
      <c r="G340" s="3"/>
      <c r="H340" s="3"/>
      <c r="I340" s="3"/>
      <c r="J340" s="3"/>
      <c r="K340" s="3"/>
    </row>
    <row r="341" spans="1:11" hidden="1" x14ac:dyDescent="0.2">
      <c r="A341" s="3"/>
      <c r="B341" s="3"/>
      <c r="C341" s="3"/>
      <c r="D341" s="3"/>
      <c r="E341" s="3"/>
      <c r="F341" s="3"/>
      <c r="G341" s="3"/>
      <c r="H341" s="3"/>
      <c r="I341" s="3"/>
      <c r="J341" s="3"/>
      <c r="K341" s="3"/>
    </row>
    <row r="342" spans="1:11" hidden="1" x14ac:dyDescent="0.2">
      <c r="A342" s="3"/>
      <c r="B342" s="3"/>
      <c r="C342" s="3"/>
      <c r="D342" s="3"/>
      <c r="E342" s="3"/>
      <c r="F342" s="3"/>
      <c r="G342" s="3"/>
      <c r="H342" s="3"/>
      <c r="I342" s="3"/>
      <c r="J342" s="3"/>
      <c r="K342" s="3"/>
    </row>
    <row r="343" spans="1:11" hidden="1" x14ac:dyDescent="0.2">
      <c r="A343" s="3"/>
      <c r="B343" s="3"/>
      <c r="C343" s="3"/>
      <c r="D343" s="3"/>
      <c r="E343" s="3"/>
      <c r="F343" s="3"/>
      <c r="G343" s="3"/>
      <c r="H343" s="3"/>
      <c r="I343" s="3"/>
      <c r="J343" s="3"/>
      <c r="K343" s="3"/>
    </row>
    <row r="344" spans="1:11" hidden="1" x14ac:dyDescent="0.2">
      <c r="A344" s="3"/>
      <c r="B344" s="3"/>
      <c r="C344" s="3"/>
      <c r="D344" s="3"/>
      <c r="E344" s="3"/>
      <c r="F344" s="3"/>
      <c r="G344" s="3"/>
      <c r="H344" s="3"/>
      <c r="I344" s="3"/>
      <c r="J344" s="3"/>
      <c r="K344" s="3"/>
    </row>
    <row r="345" spans="1:11" hidden="1" x14ac:dyDescent="0.2">
      <c r="A345" s="3"/>
      <c r="B345" s="3"/>
      <c r="C345" s="3"/>
      <c r="D345" s="3"/>
      <c r="E345" s="3"/>
      <c r="F345" s="3"/>
      <c r="G345" s="3"/>
      <c r="H345" s="3"/>
      <c r="I345" s="3"/>
      <c r="J345" s="3"/>
      <c r="K345" s="3"/>
    </row>
    <row r="346" spans="1:11" hidden="1" x14ac:dyDescent="0.2">
      <c r="A346" s="3"/>
      <c r="B346" s="3"/>
      <c r="C346" s="3"/>
      <c r="D346" s="3"/>
      <c r="E346" s="3"/>
      <c r="F346" s="3"/>
      <c r="G346" s="3"/>
      <c r="H346" s="3"/>
      <c r="I346" s="3"/>
      <c r="J346" s="3"/>
      <c r="K346" s="3"/>
    </row>
    <row r="347" spans="1:11" hidden="1" x14ac:dyDescent="0.2">
      <c r="A347" s="3"/>
      <c r="B347" s="3"/>
      <c r="C347" s="3"/>
      <c r="D347" s="3"/>
      <c r="E347" s="3"/>
      <c r="F347" s="3"/>
      <c r="G347" s="3"/>
      <c r="H347" s="3"/>
      <c r="I347" s="3"/>
      <c r="J347" s="3"/>
      <c r="K347" s="3"/>
    </row>
    <row r="348" spans="1:11" hidden="1" x14ac:dyDescent="0.2">
      <c r="A348" s="3"/>
      <c r="B348" s="3"/>
      <c r="C348" s="3"/>
      <c r="D348" s="3"/>
      <c r="E348" s="3"/>
      <c r="F348" s="3"/>
      <c r="G348" s="3"/>
      <c r="H348" s="3"/>
      <c r="I348" s="3"/>
      <c r="J348" s="3"/>
      <c r="K348" s="3"/>
    </row>
    <row r="349" spans="1:11" hidden="1" x14ac:dyDescent="0.2">
      <c r="A349" s="3"/>
      <c r="B349" s="3"/>
      <c r="C349" s="3"/>
      <c r="D349" s="3"/>
      <c r="E349" s="3"/>
      <c r="F349" s="3"/>
      <c r="G349" s="3"/>
      <c r="H349" s="3"/>
      <c r="I349" s="3"/>
      <c r="J349" s="3"/>
      <c r="K349" s="3"/>
    </row>
    <row r="350" spans="1:11" hidden="1" x14ac:dyDescent="0.2">
      <c r="A350" s="3"/>
      <c r="B350" s="3"/>
      <c r="C350" s="3"/>
      <c r="D350" s="3"/>
      <c r="E350" s="3"/>
      <c r="F350" s="3"/>
      <c r="G350" s="3"/>
      <c r="H350" s="3"/>
      <c r="I350" s="3"/>
      <c r="J350" s="3"/>
      <c r="K350" s="3"/>
    </row>
    <row r="351" spans="1:11" hidden="1" x14ac:dyDescent="0.2">
      <c r="A351" s="3"/>
      <c r="B351" s="3"/>
      <c r="C351" s="3"/>
      <c r="D351" s="3"/>
      <c r="E351" s="3"/>
      <c r="F351" s="3"/>
      <c r="G351" s="3"/>
      <c r="H351" s="3"/>
      <c r="I351" s="3"/>
      <c r="J351" s="3"/>
      <c r="K351" s="3"/>
    </row>
    <row r="352" spans="1:11" hidden="1" x14ac:dyDescent="0.2">
      <c r="A352" s="3"/>
      <c r="B352" s="3"/>
      <c r="C352" s="3"/>
      <c r="D352" s="3"/>
      <c r="E352" s="3"/>
      <c r="F352" s="3"/>
      <c r="G352" s="3"/>
      <c r="H352" s="3"/>
      <c r="I352" s="3"/>
      <c r="J352" s="3"/>
      <c r="K352" s="3"/>
    </row>
    <row r="353" spans="1:11" hidden="1" x14ac:dyDescent="0.2">
      <c r="A353" s="3"/>
      <c r="B353" s="3"/>
      <c r="C353" s="3"/>
      <c r="D353" s="3"/>
      <c r="E353" s="3"/>
      <c r="F353" s="3"/>
      <c r="G353" s="3"/>
      <c r="H353" s="3"/>
      <c r="I353" s="3"/>
      <c r="J353" s="3"/>
      <c r="K353" s="3"/>
    </row>
    <row r="354" spans="1:11" hidden="1" x14ac:dyDescent="0.2">
      <c r="A354" s="3"/>
      <c r="B354" s="3"/>
      <c r="C354" s="3"/>
      <c r="D354" s="3"/>
      <c r="E354" s="3"/>
      <c r="F354" s="3"/>
      <c r="G354" s="3"/>
      <c r="H354" s="3"/>
      <c r="I354" s="3"/>
      <c r="J354" s="3"/>
      <c r="K354" s="3"/>
    </row>
    <row r="355" spans="1:11" hidden="1" x14ac:dyDescent="0.2">
      <c r="A355" s="3"/>
      <c r="B355" s="3"/>
      <c r="C355" s="3"/>
      <c r="D355" s="3"/>
      <c r="E355" s="3"/>
      <c r="F355" s="3"/>
      <c r="G355" s="3"/>
      <c r="H355" s="3"/>
      <c r="I355" s="3"/>
      <c r="J355" s="3"/>
      <c r="K355" s="3"/>
    </row>
    <row r="356" spans="1:11" hidden="1" x14ac:dyDescent="0.2">
      <c r="A356" s="3"/>
      <c r="B356" s="3"/>
      <c r="C356" s="3"/>
      <c r="D356" s="3"/>
      <c r="E356" s="3"/>
      <c r="F356" s="3"/>
      <c r="G356" s="3"/>
      <c r="H356" s="3"/>
      <c r="I356" s="3"/>
      <c r="J356" s="3"/>
      <c r="K356" s="3"/>
    </row>
    <row r="357" spans="1:11" hidden="1" x14ac:dyDescent="0.2">
      <c r="A357" s="3"/>
      <c r="B357" s="3"/>
      <c r="C357" s="3"/>
      <c r="D357" s="3"/>
      <c r="E357" s="3"/>
      <c r="F357" s="3"/>
      <c r="G357" s="3"/>
      <c r="H357" s="3"/>
      <c r="I357" s="3"/>
      <c r="J357" s="3"/>
      <c r="K357" s="3"/>
    </row>
    <row r="358" spans="1:11" hidden="1" x14ac:dyDescent="0.2">
      <c r="A358" s="3"/>
      <c r="B358" s="3"/>
      <c r="C358" s="3"/>
      <c r="D358" s="3"/>
      <c r="E358" s="3"/>
      <c r="F358" s="3"/>
      <c r="G358" s="3"/>
      <c r="H358" s="3"/>
      <c r="I358" s="3"/>
      <c r="J358" s="3"/>
      <c r="K358" s="3"/>
    </row>
    <row r="359" spans="1:11" hidden="1" x14ac:dyDescent="0.2">
      <c r="A359" s="3"/>
      <c r="B359" s="3"/>
      <c r="C359" s="3"/>
      <c r="D359" s="3"/>
      <c r="E359" s="3"/>
      <c r="F359" s="3"/>
      <c r="G359" s="3"/>
      <c r="H359" s="3"/>
      <c r="I359" s="3"/>
      <c r="J359" s="3"/>
      <c r="K359" s="3"/>
    </row>
    <row r="360" spans="1:11" hidden="1" x14ac:dyDescent="0.2">
      <c r="A360" s="3"/>
      <c r="B360" s="3"/>
      <c r="C360" s="3"/>
      <c r="D360" s="3"/>
      <c r="E360" s="3"/>
      <c r="F360" s="3"/>
      <c r="G360" s="3"/>
      <c r="H360" s="3"/>
      <c r="I360" s="3"/>
      <c r="J360" s="3"/>
      <c r="K360" s="3"/>
    </row>
    <row r="361" spans="1:11" hidden="1" x14ac:dyDescent="0.2">
      <c r="A361" s="3"/>
      <c r="B361" s="3"/>
      <c r="C361" s="3"/>
      <c r="D361" s="3"/>
      <c r="E361" s="3"/>
      <c r="F361" s="3"/>
      <c r="G361" s="3"/>
      <c r="H361" s="3"/>
      <c r="I361" s="3"/>
      <c r="J361" s="3"/>
      <c r="K361" s="3"/>
    </row>
    <row r="362" spans="1:11" hidden="1" x14ac:dyDescent="0.2">
      <c r="A362" s="3"/>
      <c r="B362" s="3"/>
      <c r="C362" s="3"/>
      <c r="D362" s="3"/>
      <c r="E362" s="3"/>
      <c r="F362" s="3"/>
      <c r="G362" s="3"/>
      <c r="H362" s="3"/>
      <c r="I362" s="3"/>
      <c r="J362" s="3"/>
      <c r="K362" s="3"/>
    </row>
    <row r="363" spans="1:11" hidden="1" x14ac:dyDescent="0.2">
      <c r="A363" s="3"/>
      <c r="B363" s="3"/>
      <c r="C363" s="3"/>
      <c r="D363" s="3"/>
      <c r="E363" s="3"/>
      <c r="F363" s="3"/>
      <c r="G363" s="3"/>
      <c r="H363" s="3"/>
      <c r="I363" s="3"/>
      <c r="J363" s="3"/>
      <c r="K363" s="3"/>
    </row>
    <row r="364" spans="1:11" hidden="1" x14ac:dyDescent="0.2">
      <c r="A364" s="3"/>
      <c r="B364" s="3"/>
      <c r="C364" s="3"/>
      <c r="D364" s="3"/>
      <c r="E364" s="3"/>
      <c r="F364" s="3"/>
      <c r="G364" s="3"/>
      <c r="H364" s="3"/>
      <c r="I364" s="3"/>
      <c r="J364" s="3"/>
      <c r="K364" s="3"/>
    </row>
    <row r="365" spans="1:11" hidden="1" x14ac:dyDescent="0.2">
      <c r="A365" s="3"/>
      <c r="B365" s="3"/>
      <c r="C365" s="3"/>
      <c r="D365" s="3"/>
      <c r="E365" s="3"/>
      <c r="F365" s="3"/>
      <c r="G365" s="3"/>
      <c r="H365" s="3"/>
      <c r="I365" s="3"/>
      <c r="J365" s="3"/>
      <c r="K365" s="3"/>
    </row>
    <row r="366" spans="1:11" hidden="1" x14ac:dyDescent="0.2">
      <c r="A366" s="3"/>
      <c r="B366" s="3"/>
      <c r="C366" s="3"/>
      <c r="D366" s="3"/>
      <c r="E366" s="3"/>
      <c r="F366" s="3"/>
      <c r="G366" s="3"/>
      <c r="H366" s="3"/>
      <c r="I366" s="3"/>
      <c r="J366" s="3"/>
      <c r="K366" s="3"/>
    </row>
    <row r="367" spans="1:11" hidden="1" x14ac:dyDescent="0.2">
      <c r="A367" s="3"/>
      <c r="B367" s="3"/>
      <c r="C367" s="3"/>
      <c r="D367" s="3"/>
      <c r="E367" s="3"/>
      <c r="F367" s="3"/>
      <c r="G367" s="3"/>
      <c r="H367" s="3"/>
      <c r="I367" s="3"/>
      <c r="J367" s="3"/>
      <c r="K367" s="3"/>
    </row>
    <row r="368" spans="1:11" hidden="1" x14ac:dyDescent="0.2">
      <c r="A368" s="3"/>
      <c r="B368" s="3"/>
      <c r="C368" s="3"/>
      <c r="D368" s="3"/>
      <c r="E368" s="3"/>
      <c r="F368" s="3"/>
      <c r="G368" s="3"/>
      <c r="H368" s="3"/>
      <c r="I368" s="3"/>
      <c r="J368" s="3"/>
      <c r="K368" s="3"/>
    </row>
    <row r="369" spans="1:11" hidden="1" x14ac:dyDescent="0.2">
      <c r="A369" s="3"/>
      <c r="B369" s="3"/>
      <c r="C369" s="3"/>
      <c r="D369" s="3"/>
      <c r="E369" s="3"/>
      <c r="F369" s="3"/>
      <c r="G369" s="3"/>
      <c r="H369" s="3"/>
      <c r="I369" s="3"/>
      <c r="J369" s="3"/>
      <c r="K369" s="3"/>
    </row>
    <row r="370" spans="1:11" hidden="1" x14ac:dyDescent="0.2">
      <c r="A370" s="3"/>
      <c r="B370" s="3"/>
      <c r="C370" s="3"/>
      <c r="D370" s="3"/>
      <c r="E370" s="3"/>
      <c r="F370" s="3"/>
      <c r="G370" s="3"/>
      <c r="H370" s="3"/>
      <c r="I370" s="3"/>
      <c r="J370" s="3"/>
      <c r="K370" s="3"/>
    </row>
    <row r="371" spans="1:11" hidden="1" x14ac:dyDescent="0.2">
      <c r="A371" s="3"/>
      <c r="B371" s="3"/>
      <c r="C371" s="3"/>
      <c r="D371" s="3"/>
      <c r="E371" s="3"/>
      <c r="F371" s="3"/>
      <c r="G371" s="3"/>
      <c r="H371" s="3"/>
      <c r="I371" s="3"/>
      <c r="J371" s="3"/>
      <c r="K371" s="3"/>
    </row>
    <row r="372" spans="1:11" hidden="1" x14ac:dyDescent="0.2">
      <c r="A372" s="3"/>
      <c r="B372" s="3"/>
      <c r="C372" s="3"/>
      <c r="D372" s="3"/>
      <c r="E372" s="3"/>
      <c r="F372" s="3"/>
      <c r="G372" s="3"/>
      <c r="H372" s="3"/>
      <c r="I372" s="3"/>
      <c r="J372" s="3"/>
      <c r="K372" s="3"/>
    </row>
    <row r="373" spans="1:11" hidden="1" x14ac:dyDescent="0.2">
      <c r="A373" s="3"/>
      <c r="B373" s="3"/>
      <c r="C373" s="3"/>
      <c r="D373" s="3"/>
      <c r="E373" s="3"/>
      <c r="F373" s="3"/>
      <c r="G373" s="3"/>
      <c r="H373" s="3"/>
      <c r="I373" s="3"/>
      <c r="J373" s="3"/>
      <c r="K373" s="3"/>
    </row>
    <row r="374" spans="1:11" hidden="1" x14ac:dyDescent="0.2">
      <c r="A374" s="3"/>
      <c r="B374" s="3"/>
      <c r="C374" s="3"/>
      <c r="D374" s="3"/>
      <c r="E374" s="3"/>
      <c r="F374" s="3"/>
      <c r="G374" s="3"/>
      <c r="H374" s="3"/>
      <c r="I374" s="3"/>
      <c r="J374" s="3"/>
      <c r="K374" s="3"/>
    </row>
    <row r="375" spans="1:11" hidden="1" x14ac:dyDescent="0.2">
      <c r="A375" s="3"/>
      <c r="B375" s="3"/>
      <c r="C375" s="3"/>
      <c r="D375" s="3"/>
      <c r="E375" s="3"/>
      <c r="F375" s="3"/>
      <c r="G375" s="3"/>
      <c r="H375" s="3"/>
      <c r="I375" s="3"/>
      <c r="J375" s="3"/>
      <c r="K375" s="3"/>
    </row>
    <row r="376" spans="1:11" hidden="1" x14ac:dyDescent="0.2">
      <c r="A376" s="3"/>
      <c r="B376" s="3"/>
      <c r="C376" s="3"/>
      <c r="D376" s="3"/>
      <c r="E376" s="3"/>
      <c r="F376" s="3"/>
      <c r="G376" s="3"/>
      <c r="H376" s="3"/>
      <c r="I376" s="3"/>
      <c r="J376" s="3"/>
      <c r="K376" s="3"/>
    </row>
    <row r="377" spans="1:11" hidden="1" x14ac:dyDescent="0.2">
      <c r="A377" s="3"/>
      <c r="B377" s="3"/>
      <c r="C377" s="3"/>
      <c r="D377" s="3"/>
      <c r="E377" s="3"/>
      <c r="F377" s="3"/>
      <c r="G377" s="3"/>
      <c r="H377" s="3"/>
      <c r="I377" s="3"/>
      <c r="J377" s="3"/>
      <c r="K377" s="3"/>
    </row>
    <row r="378" spans="1:11" hidden="1" x14ac:dyDescent="0.2">
      <c r="A378" s="3"/>
      <c r="B378" s="3"/>
      <c r="C378" s="3"/>
      <c r="D378" s="3"/>
      <c r="E378" s="3"/>
      <c r="F378" s="3"/>
      <c r="G378" s="3"/>
      <c r="H378" s="3"/>
      <c r="I378" s="3"/>
      <c r="J378" s="3"/>
      <c r="K378" s="3"/>
    </row>
    <row r="379" spans="1:11" hidden="1" x14ac:dyDescent="0.2">
      <c r="A379" s="3"/>
      <c r="B379" s="3"/>
      <c r="C379" s="3"/>
      <c r="D379" s="3"/>
      <c r="E379" s="3"/>
      <c r="F379" s="3"/>
      <c r="G379" s="3"/>
      <c r="H379" s="3"/>
      <c r="I379" s="3"/>
      <c r="J379" s="3"/>
      <c r="K379" s="3"/>
    </row>
    <row r="380" spans="1:11" hidden="1" x14ac:dyDescent="0.2">
      <c r="A380" s="3"/>
      <c r="B380" s="3"/>
      <c r="C380" s="3"/>
      <c r="D380" s="3"/>
      <c r="E380" s="3"/>
      <c r="F380" s="3"/>
      <c r="G380" s="3"/>
      <c r="H380" s="3"/>
      <c r="I380" s="3"/>
      <c r="J380" s="3"/>
      <c r="K380" s="3"/>
    </row>
    <row r="381" spans="1:11" hidden="1" x14ac:dyDescent="0.2">
      <c r="A381" s="3"/>
      <c r="B381" s="3"/>
      <c r="C381" s="3"/>
      <c r="D381" s="3"/>
      <c r="E381" s="3"/>
      <c r="F381" s="3"/>
      <c r="G381" s="3"/>
      <c r="H381" s="3"/>
      <c r="I381" s="3"/>
      <c r="J381" s="3"/>
      <c r="K381" s="3"/>
    </row>
    <row r="382" spans="1:11" hidden="1" x14ac:dyDescent="0.2">
      <c r="A382" s="3"/>
      <c r="B382" s="3"/>
      <c r="C382" s="3"/>
      <c r="D382" s="3"/>
      <c r="E382" s="3"/>
      <c r="F382" s="3"/>
      <c r="G382" s="3"/>
      <c r="H382" s="3"/>
      <c r="I382" s="3"/>
      <c r="J382" s="3"/>
      <c r="K382" s="3"/>
    </row>
    <row r="383" spans="1:11" hidden="1" x14ac:dyDescent="0.2">
      <c r="A383" s="3"/>
      <c r="B383" s="3"/>
      <c r="C383" s="3"/>
      <c r="D383" s="3"/>
      <c r="E383" s="3"/>
      <c r="F383" s="3"/>
      <c r="G383" s="3"/>
      <c r="H383" s="3"/>
      <c r="I383" s="3"/>
      <c r="J383" s="3"/>
      <c r="K383" s="3"/>
    </row>
    <row r="384" spans="1:11" hidden="1" x14ac:dyDescent="0.2">
      <c r="A384" s="3"/>
      <c r="B384" s="3"/>
      <c r="C384" s="3"/>
      <c r="D384" s="3"/>
      <c r="E384" s="3"/>
      <c r="F384" s="3"/>
      <c r="G384" s="3"/>
      <c r="H384" s="3"/>
      <c r="I384" s="3"/>
      <c r="J384" s="3"/>
      <c r="K384" s="3"/>
    </row>
    <row r="385" spans="1:11" hidden="1" x14ac:dyDescent="0.2">
      <c r="A385" s="3"/>
      <c r="B385" s="3"/>
      <c r="C385" s="3"/>
      <c r="D385" s="3"/>
      <c r="E385" s="3"/>
      <c r="F385" s="3"/>
      <c r="G385" s="3"/>
      <c r="H385" s="3"/>
      <c r="I385" s="3"/>
      <c r="J385" s="3"/>
      <c r="K385" s="3"/>
    </row>
    <row r="386" spans="1:11" hidden="1" x14ac:dyDescent="0.2">
      <c r="A386" s="3"/>
      <c r="B386" s="3"/>
      <c r="C386" s="3"/>
      <c r="D386" s="3"/>
      <c r="E386" s="3"/>
      <c r="F386" s="3"/>
      <c r="G386" s="3"/>
      <c r="H386" s="3"/>
      <c r="I386" s="3"/>
      <c r="J386" s="3"/>
      <c r="K386" s="3"/>
    </row>
    <row r="387" spans="1:11" hidden="1" x14ac:dyDescent="0.2">
      <c r="A387" s="3"/>
      <c r="B387" s="3"/>
      <c r="C387" s="3"/>
      <c r="D387" s="3"/>
      <c r="E387" s="3"/>
      <c r="F387" s="3"/>
      <c r="G387" s="3"/>
      <c r="H387" s="3"/>
      <c r="I387" s="3"/>
      <c r="J387" s="3"/>
      <c r="K387" s="3"/>
    </row>
    <row r="388" spans="1:11" hidden="1" x14ac:dyDescent="0.2">
      <c r="A388" s="3"/>
      <c r="B388" s="3"/>
      <c r="C388" s="3"/>
      <c r="D388" s="3"/>
      <c r="E388" s="3"/>
      <c r="F388" s="3"/>
      <c r="G388" s="3"/>
      <c r="H388" s="3"/>
      <c r="I388" s="3"/>
      <c r="J388" s="3"/>
      <c r="K388" s="3"/>
    </row>
    <row r="389" spans="1:11" hidden="1" x14ac:dyDescent="0.2">
      <c r="A389" s="3"/>
      <c r="B389" s="3"/>
      <c r="C389" s="3"/>
      <c r="D389" s="3"/>
      <c r="E389" s="3"/>
      <c r="F389" s="3"/>
      <c r="G389" s="3"/>
      <c r="H389" s="3"/>
      <c r="I389" s="3"/>
      <c r="J389" s="3"/>
      <c r="K389" s="3"/>
    </row>
    <row r="390" spans="1:11" hidden="1" x14ac:dyDescent="0.2">
      <c r="A390" s="3"/>
      <c r="B390" s="3"/>
      <c r="C390" s="3"/>
      <c r="D390" s="3"/>
      <c r="E390" s="3"/>
      <c r="F390" s="3"/>
      <c r="G390" s="3"/>
      <c r="H390" s="3"/>
      <c r="I390" s="3"/>
      <c r="J390" s="3"/>
      <c r="K390" s="3"/>
    </row>
    <row r="391" spans="1:11" hidden="1" x14ac:dyDescent="0.2">
      <c r="A391" s="3"/>
      <c r="B391" s="3"/>
      <c r="C391" s="3"/>
      <c r="D391" s="3"/>
      <c r="E391" s="3"/>
      <c r="F391" s="3"/>
      <c r="G391" s="3"/>
      <c r="H391" s="3"/>
      <c r="I391" s="3"/>
      <c r="J391" s="3"/>
      <c r="K391" s="3"/>
    </row>
    <row r="392" spans="1:11" hidden="1" x14ac:dyDescent="0.2">
      <c r="A392" s="3"/>
      <c r="B392" s="3"/>
      <c r="C392" s="3"/>
      <c r="D392" s="3"/>
      <c r="E392" s="3"/>
      <c r="F392" s="3"/>
      <c r="G392" s="3"/>
      <c r="H392" s="3"/>
      <c r="I392" s="3"/>
      <c r="J392" s="3"/>
      <c r="K392" s="3"/>
    </row>
    <row r="393" spans="1:11" hidden="1" x14ac:dyDescent="0.2">
      <c r="A393" s="3"/>
      <c r="B393" s="3"/>
      <c r="C393" s="3"/>
      <c r="D393" s="3"/>
      <c r="E393" s="3"/>
      <c r="F393" s="3"/>
      <c r="G393" s="3"/>
      <c r="H393" s="3"/>
      <c r="I393" s="3"/>
      <c r="J393" s="3"/>
      <c r="K393" s="3"/>
    </row>
    <row r="394" spans="1:11" hidden="1" x14ac:dyDescent="0.2">
      <c r="A394" s="3"/>
      <c r="B394" s="3"/>
      <c r="C394" s="3"/>
      <c r="D394" s="3"/>
      <c r="E394" s="3"/>
      <c r="F394" s="3"/>
      <c r="G394" s="3"/>
      <c r="H394" s="3"/>
      <c r="I394" s="3"/>
      <c r="J394" s="3"/>
      <c r="K394" s="3"/>
    </row>
    <row r="395" spans="1:11" hidden="1" x14ac:dyDescent="0.2">
      <c r="A395" s="3"/>
      <c r="B395" s="3"/>
      <c r="C395" s="3"/>
      <c r="D395" s="3"/>
      <c r="E395" s="3"/>
      <c r="F395" s="3"/>
      <c r="G395" s="3"/>
      <c r="H395" s="3"/>
      <c r="I395" s="3"/>
      <c r="J395" s="3"/>
      <c r="K395" s="3"/>
    </row>
    <row r="396" spans="1:11" hidden="1" x14ac:dyDescent="0.2">
      <c r="A396" s="3"/>
      <c r="B396" s="3"/>
      <c r="C396" s="3"/>
      <c r="D396" s="3"/>
      <c r="E396" s="3"/>
      <c r="F396" s="3"/>
      <c r="G396" s="3"/>
      <c r="H396" s="3"/>
      <c r="I396" s="3"/>
      <c r="J396" s="3"/>
      <c r="K396" s="3"/>
    </row>
    <row r="397" spans="1:11" hidden="1" x14ac:dyDescent="0.2">
      <c r="A397" s="3"/>
      <c r="B397" s="3"/>
      <c r="C397" s="3"/>
      <c r="D397" s="3"/>
      <c r="E397" s="3"/>
      <c r="F397" s="3"/>
      <c r="G397" s="3"/>
      <c r="H397" s="3"/>
      <c r="I397" s="3"/>
      <c r="J397" s="3"/>
      <c r="K397" s="3"/>
    </row>
    <row r="398" spans="1:11" hidden="1" x14ac:dyDescent="0.2">
      <c r="A398" s="3"/>
      <c r="B398" s="3"/>
      <c r="C398" s="3"/>
      <c r="D398" s="3"/>
      <c r="E398" s="3"/>
      <c r="F398" s="3"/>
      <c r="G398" s="3"/>
      <c r="H398" s="3"/>
      <c r="I398" s="3"/>
      <c r="J398" s="3"/>
      <c r="K398" s="3"/>
    </row>
    <row r="399" spans="1:11" hidden="1" x14ac:dyDescent="0.2">
      <c r="A399" s="3"/>
      <c r="B399" s="3"/>
      <c r="C399" s="3"/>
      <c r="D399" s="3"/>
      <c r="E399" s="3"/>
      <c r="F399" s="3"/>
      <c r="G399" s="3"/>
      <c r="H399" s="3"/>
      <c r="I399" s="3"/>
      <c r="J399" s="3"/>
      <c r="K399" s="3"/>
    </row>
    <row r="400" spans="1:11" hidden="1" x14ac:dyDescent="0.2">
      <c r="A400" s="3"/>
      <c r="B400" s="3"/>
      <c r="C400" s="3"/>
      <c r="D400" s="3"/>
      <c r="E400" s="3"/>
      <c r="F400" s="3"/>
      <c r="G400" s="3"/>
      <c r="H400" s="3"/>
      <c r="I400" s="3"/>
      <c r="J400" s="3"/>
      <c r="K400" s="3"/>
    </row>
    <row r="401" spans="1:11" hidden="1" x14ac:dyDescent="0.2">
      <c r="A401" s="3"/>
      <c r="B401" s="3"/>
      <c r="C401" s="3"/>
      <c r="D401" s="3"/>
      <c r="E401" s="3"/>
      <c r="F401" s="3"/>
      <c r="G401" s="3"/>
      <c r="H401" s="3"/>
      <c r="I401" s="3"/>
      <c r="J401" s="3"/>
      <c r="K401" s="3"/>
    </row>
    <row r="402" spans="1:11" hidden="1" x14ac:dyDescent="0.2">
      <c r="A402" s="3"/>
      <c r="B402" s="3"/>
      <c r="C402" s="3"/>
      <c r="D402" s="3"/>
      <c r="E402" s="3"/>
      <c r="F402" s="3"/>
      <c r="G402" s="3"/>
      <c r="H402" s="3"/>
      <c r="I402" s="3"/>
      <c r="J402" s="3"/>
      <c r="K402" s="3"/>
    </row>
    <row r="403" spans="1:11" hidden="1" x14ac:dyDescent="0.2">
      <c r="A403" s="3"/>
      <c r="B403" s="3"/>
      <c r="C403" s="3"/>
      <c r="D403" s="3"/>
      <c r="E403" s="3"/>
      <c r="F403" s="3"/>
      <c r="G403" s="3"/>
      <c r="H403" s="3"/>
      <c r="I403" s="3"/>
      <c r="J403" s="3"/>
      <c r="K403" s="3"/>
    </row>
    <row r="404" spans="1:11" hidden="1" x14ac:dyDescent="0.2">
      <c r="A404" s="3"/>
      <c r="B404" s="3"/>
      <c r="C404" s="3"/>
      <c r="D404" s="3"/>
      <c r="E404" s="3"/>
      <c r="F404" s="3"/>
      <c r="G404" s="3"/>
      <c r="H404" s="3"/>
      <c r="I404" s="3"/>
      <c r="J404" s="3"/>
      <c r="K404" s="3"/>
    </row>
    <row r="405" spans="1:11" hidden="1" x14ac:dyDescent="0.2">
      <c r="A405" s="3"/>
      <c r="B405" s="3"/>
      <c r="C405" s="3"/>
      <c r="D405" s="3"/>
      <c r="E405" s="3"/>
      <c r="F405" s="3"/>
      <c r="G405" s="3"/>
      <c r="H405" s="3"/>
      <c r="I405" s="3"/>
      <c r="J405" s="3"/>
      <c r="K405" s="3"/>
    </row>
    <row r="406" spans="1:11" hidden="1" x14ac:dyDescent="0.2">
      <c r="A406" s="3"/>
      <c r="B406" s="3"/>
      <c r="C406" s="3"/>
      <c r="D406" s="3"/>
      <c r="E406" s="3"/>
      <c r="F406" s="3"/>
      <c r="G406" s="3"/>
      <c r="H406" s="3"/>
      <c r="I406" s="3"/>
      <c r="J406" s="3"/>
      <c r="K406" s="3"/>
    </row>
    <row r="407" spans="1:11" hidden="1" x14ac:dyDescent="0.2">
      <c r="A407" s="3"/>
      <c r="B407" s="3"/>
      <c r="C407" s="3"/>
      <c r="D407" s="3"/>
      <c r="E407" s="3"/>
      <c r="F407" s="3"/>
      <c r="G407" s="3"/>
      <c r="H407" s="3"/>
      <c r="I407" s="3"/>
      <c r="J407" s="3"/>
      <c r="K407" s="3"/>
    </row>
    <row r="408" spans="1:11" hidden="1" x14ac:dyDescent="0.2">
      <c r="A408" s="3"/>
      <c r="B408" s="3"/>
      <c r="C408" s="3"/>
      <c r="D408" s="3"/>
      <c r="E408" s="3"/>
      <c r="F408" s="3"/>
      <c r="G408" s="3"/>
      <c r="H408" s="3"/>
      <c r="I408" s="3"/>
      <c r="J408" s="3"/>
      <c r="K408" s="3"/>
    </row>
    <row r="409" spans="1:11" hidden="1" x14ac:dyDescent="0.2">
      <c r="A409" s="3"/>
      <c r="B409" s="3"/>
      <c r="C409" s="3"/>
      <c r="D409" s="3"/>
      <c r="E409" s="3"/>
      <c r="F409" s="3"/>
      <c r="G409" s="3"/>
      <c r="H409" s="3"/>
      <c r="I409" s="3"/>
      <c r="J409" s="3"/>
      <c r="K409" s="3"/>
    </row>
    <row r="410" spans="1:11" hidden="1" x14ac:dyDescent="0.2">
      <c r="A410" s="3"/>
      <c r="B410" s="3"/>
      <c r="C410" s="3"/>
      <c r="D410" s="3"/>
      <c r="E410" s="3"/>
      <c r="F410" s="3"/>
      <c r="G410" s="3"/>
      <c r="H410" s="3"/>
      <c r="I410" s="3"/>
      <c r="J410" s="3"/>
      <c r="K410" s="3"/>
    </row>
    <row r="411" spans="1:11" hidden="1" x14ac:dyDescent="0.2">
      <c r="A411" s="3"/>
      <c r="B411" s="3"/>
      <c r="C411" s="3"/>
      <c r="D411" s="3"/>
      <c r="E411" s="3"/>
      <c r="F411" s="3"/>
      <c r="G411" s="3"/>
      <c r="H411" s="3"/>
      <c r="I411" s="3"/>
      <c r="J411" s="3"/>
      <c r="K411" s="3"/>
    </row>
    <row r="412" spans="1:11" hidden="1" x14ac:dyDescent="0.2">
      <c r="A412" s="3"/>
      <c r="B412" s="3"/>
      <c r="C412" s="3"/>
      <c r="D412" s="3"/>
      <c r="E412" s="3"/>
      <c r="F412" s="3"/>
      <c r="G412" s="3"/>
      <c r="H412" s="3"/>
      <c r="I412" s="3"/>
      <c r="J412" s="3"/>
      <c r="K412" s="3"/>
    </row>
    <row r="413" spans="1:11" hidden="1" x14ac:dyDescent="0.2">
      <c r="A413" s="3"/>
      <c r="B413" s="3"/>
      <c r="C413" s="3"/>
      <c r="D413" s="3"/>
      <c r="E413" s="3"/>
      <c r="F413" s="3"/>
      <c r="G413" s="3"/>
      <c r="H413" s="3"/>
      <c r="I413" s="3"/>
      <c r="J413" s="3"/>
      <c r="K413" s="3"/>
    </row>
    <row r="414" spans="1:11" hidden="1" x14ac:dyDescent="0.2">
      <c r="A414" s="3"/>
      <c r="B414" s="3"/>
      <c r="C414" s="3"/>
      <c r="D414" s="3"/>
      <c r="E414" s="3"/>
      <c r="F414" s="3"/>
      <c r="G414" s="3"/>
      <c r="H414" s="3"/>
      <c r="I414" s="3"/>
      <c r="J414" s="3"/>
      <c r="K414" s="3"/>
    </row>
    <row r="415" spans="1:11" hidden="1" x14ac:dyDescent="0.2">
      <c r="A415" s="3"/>
      <c r="B415" s="3"/>
      <c r="C415" s="3"/>
      <c r="D415" s="3"/>
      <c r="E415" s="3"/>
      <c r="F415" s="3"/>
      <c r="G415" s="3"/>
      <c r="H415" s="3"/>
      <c r="I415" s="3"/>
      <c r="J415" s="3"/>
      <c r="K415" s="3"/>
    </row>
    <row r="416" spans="1:11" hidden="1" x14ac:dyDescent="0.2">
      <c r="A416" s="3"/>
      <c r="B416" s="3"/>
      <c r="C416" s="3"/>
      <c r="D416" s="3"/>
      <c r="E416" s="3"/>
      <c r="F416" s="3"/>
      <c r="G416" s="3"/>
      <c r="H416" s="3"/>
      <c r="I416" s="3"/>
      <c r="J416" s="3"/>
      <c r="K416" s="3"/>
    </row>
    <row r="417" spans="1:11" hidden="1" x14ac:dyDescent="0.2">
      <c r="A417" s="3"/>
      <c r="B417" s="3"/>
      <c r="C417" s="3"/>
      <c r="D417" s="3"/>
      <c r="E417" s="3"/>
      <c r="F417" s="3"/>
      <c r="G417" s="3"/>
      <c r="H417" s="3"/>
      <c r="I417" s="3"/>
      <c r="J417" s="3"/>
      <c r="K417" s="3"/>
    </row>
    <row r="418" spans="1:11" hidden="1" x14ac:dyDescent="0.2">
      <c r="A418" s="3"/>
      <c r="B418" s="3"/>
      <c r="C418" s="3"/>
      <c r="D418" s="3"/>
      <c r="E418" s="3"/>
      <c r="F418" s="3"/>
      <c r="G418" s="3"/>
      <c r="H418" s="3"/>
      <c r="I418" s="3"/>
      <c r="J418" s="3"/>
      <c r="K418" s="3"/>
    </row>
    <row r="419" spans="1:11" hidden="1" x14ac:dyDescent="0.2">
      <c r="A419" s="3"/>
      <c r="B419" s="3"/>
      <c r="C419" s="3"/>
      <c r="D419" s="3"/>
      <c r="E419" s="3"/>
      <c r="F419" s="3"/>
      <c r="G419" s="3"/>
      <c r="H419" s="3"/>
      <c r="I419" s="3"/>
      <c r="J419" s="3"/>
      <c r="K419" s="3"/>
    </row>
    <row r="420" spans="1:11" hidden="1" x14ac:dyDescent="0.2">
      <c r="A420" s="3"/>
      <c r="B420" s="3"/>
      <c r="C420" s="3"/>
      <c r="D420" s="3"/>
      <c r="E420" s="3"/>
      <c r="F420" s="3"/>
      <c r="G420" s="3"/>
      <c r="H420" s="3"/>
      <c r="I420" s="3"/>
      <c r="J420" s="3"/>
      <c r="K420" s="3"/>
    </row>
    <row r="421" spans="1:11" hidden="1" x14ac:dyDescent="0.2">
      <c r="A421" s="3"/>
      <c r="B421" s="3"/>
      <c r="C421" s="3"/>
      <c r="D421" s="3"/>
      <c r="E421" s="3"/>
      <c r="F421" s="3"/>
      <c r="G421" s="3"/>
      <c r="H421" s="3"/>
      <c r="I421" s="3"/>
      <c r="J421" s="3"/>
      <c r="K421" s="3"/>
    </row>
    <row r="422" spans="1:11" hidden="1" x14ac:dyDescent="0.2">
      <c r="A422" s="3"/>
      <c r="B422" s="3"/>
      <c r="C422" s="3"/>
      <c r="D422" s="3"/>
      <c r="E422" s="3"/>
      <c r="F422" s="3"/>
      <c r="G422" s="3"/>
      <c r="H422" s="3"/>
      <c r="I422" s="3"/>
      <c r="J422" s="3"/>
      <c r="K422" s="3"/>
    </row>
    <row r="423" spans="1:11" hidden="1" x14ac:dyDescent="0.2">
      <c r="A423" s="3"/>
      <c r="B423" s="3"/>
      <c r="C423" s="3"/>
      <c r="D423" s="3"/>
      <c r="E423" s="3"/>
      <c r="F423" s="3"/>
      <c r="G423" s="3"/>
      <c r="H423" s="3"/>
      <c r="I423" s="3"/>
      <c r="J423" s="3"/>
      <c r="K423" s="3"/>
    </row>
    <row r="424" spans="1:11" hidden="1" x14ac:dyDescent="0.2">
      <c r="A424" s="3"/>
      <c r="B424" s="3"/>
      <c r="C424" s="3"/>
      <c r="D424" s="3"/>
      <c r="E424" s="3"/>
      <c r="F424" s="3"/>
      <c r="G424" s="3"/>
      <c r="H424" s="3"/>
      <c r="I424" s="3"/>
      <c r="J424" s="3"/>
      <c r="K424" s="3"/>
    </row>
    <row r="425" spans="1:11" hidden="1" x14ac:dyDescent="0.2">
      <c r="A425" s="3"/>
      <c r="B425" s="3"/>
      <c r="C425" s="3"/>
      <c r="D425" s="3"/>
      <c r="E425" s="3"/>
      <c r="F425" s="3"/>
      <c r="G425" s="3"/>
      <c r="H425" s="3"/>
      <c r="I425" s="3"/>
      <c r="J425" s="3"/>
      <c r="K425" s="3"/>
    </row>
    <row r="426" spans="1:11" hidden="1" x14ac:dyDescent="0.2">
      <c r="A426" s="3"/>
      <c r="B426" s="3"/>
      <c r="C426" s="3"/>
      <c r="D426" s="3"/>
      <c r="E426" s="3"/>
      <c r="F426" s="3"/>
      <c r="G426" s="3"/>
      <c r="H426" s="3"/>
      <c r="I426" s="3"/>
      <c r="J426" s="3"/>
      <c r="K426" s="3"/>
    </row>
    <row r="427" spans="1:11" hidden="1" x14ac:dyDescent="0.2">
      <c r="A427" s="3"/>
      <c r="B427" s="3"/>
      <c r="C427" s="3"/>
      <c r="D427" s="3"/>
      <c r="E427" s="3"/>
      <c r="F427" s="3"/>
      <c r="G427" s="3"/>
      <c r="H427" s="3"/>
      <c r="I427" s="3"/>
      <c r="J427" s="3"/>
      <c r="K427" s="3"/>
    </row>
    <row r="428" spans="1:11" hidden="1" x14ac:dyDescent="0.2">
      <c r="A428" s="3"/>
      <c r="B428" s="3"/>
      <c r="C428" s="3"/>
      <c r="D428" s="3"/>
      <c r="E428" s="3"/>
      <c r="F428" s="3"/>
      <c r="G428" s="3"/>
      <c r="H428" s="3"/>
      <c r="I428" s="3"/>
      <c r="J428" s="3"/>
      <c r="K428" s="3"/>
    </row>
    <row r="429" spans="1:11" hidden="1" x14ac:dyDescent="0.2">
      <c r="A429" s="3"/>
      <c r="B429" s="3"/>
      <c r="C429" s="3"/>
      <c r="D429" s="3"/>
      <c r="E429" s="3"/>
      <c r="F429" s="3"/>
      <c r="G429" s="3"/>
      <c r="H429" s="3"/>
      <c r="I429" s="3"/>
      <c r="J429" s="3"/>
      <c r="K429" s="3"/>
    </row>
    <row r="430" spans="1:11" hidden="1" x14ac:dyDescent="0.2">
      <c r="A430" s="3"/>
      <c r="B430" s="3"/>
      <c r="C430" s="3"/>
      <c r="D430" s="3"/>
      <c r="E430" s="3"/>
      <c r="F430" s="3"/>
      <c r="G430" s="3"/>
      <c r="H430" s="3"/>
      <c r="I430" s="3"/>
      <c r="J430" s="3"/>
      <c r="K430" s="3"/>
    </row>
    <row r="431" spans="1:11" hidden="1" x14ac:dyDescent="0.2">
      <c r="A431" s="3"/>
      <c r="B431" s="3"/>
      <c r="C431" s="3"/>
      <c r="D431" s="3"/>
      <c r="E431" s="3"/>
      <c r="F431" s="3"/>
      <c r="G431" s="3"/>
      <c r="H431" s="3"/>
      <c r="I431" s="3"/>
      <c r="J431" s="3"/>
      <c r="K431" s="3"/>
    </row>
    <row r="432" spans="1:11" hidden="1" x14ac:dyDescent="0.2">
      <c r="A432" s="3"/>
      <c r="B432" s="3"/>
      <c r="C432" s="3"/>
      <c r="D432" s="3"/>
      <c r="E432" s="3"/>
      <c r="F432" s="3"/>
      <c r="G432" s="3"/>
      <c r="H432" s="3"/>
      <c r="I432" s="3"/>
      <c r="J432" s="3"/>
      <c r="K432" s="3"/>
    </row>
    <row r="433" spans="1:11" hidden="1" x14ac:dyDescent="0.2">
      <c r="A433" s="3"/>
      <c r="B433" s="3"/>
      <c r="C433" s="3"/>
      <c r="D433" s="3"/>
      <c r="E433" s="3"/>
      <c r="F433" s="3"/>
      <c r="G433" s="3"/>
      <c r="H433" s="3"/>
      <c r="I433" s="3"/>
      <c r="J433" s="3"/>
      <c r="K433" s="3"/>
    </row>
    <row r="434" spans="1:11" hidden="1" x14ac:dyDescent="0.2">
      <c r="A434" s="3"/>
      <c r="B434" s="3"/>
      <c r="C434" s="3"/>
      <c r="D434" s="3"/>
      <c r="E434" s="3"/>
      <c r="F434" s="3"/>
      <c r="G434" s="3"/>
      <c r="H434" s="3"/>
      <c r="I434" s="3"/>
      <c r="J434" s="3"/>
      <c r="K434" s="3"/>
    </row>
    <row r="435" spans="1:11" hidden="1" x14ac:dyDescent="0.2">
      <c r="A435" s="3"/>
      <c r="B435" s="3"/>
      <c r="C435" s="3"/>
      <c r="D435" s="3"/>
      <c r="E435" s="3"/>
      <c r="F435" s="3"/>
      <c r="G435" s="3"/>
      <c r="H435" s="3"/>
      <c r="I435" s="3"/>
      <c r="J435" s="3"/>
      <c r="K435" s="3"/>
    </row>
    <row r="436" spans="1:11" hidden="1" x14ac:dyDescent="0.2">
      <c r="A436" s="3"/>
      <c r="B436" s="3"/>
      <c r="C436" s="3"/>
      <c r="D436" s="3"/>
      <c r="E436" s="3"/>
      <c r="F436" s="3"/>
      <c r="G436" s="3"/>
      <c r="H436" s="3"/>
      <c r="I436" s="3"/>
      <c r="J436" s="3"/>
      <c r="K436" s="3"/>
    </row>
    <row r="437" spans="1:11" hidden="1" x14ac:dyDescent="0.2">
      <c r="A437" s="3"/>
      <c r="B437" s="3"/>
      <c r="C437" s="3"/>
      <c r="D437" s="3"/>
      <c r="E437" s="3"/>
      <c r="F437" s="3"/>
      <c r="G437" s="3"/>
      <c r="H437" s="3"/>
      <c r="I437" s="3"/>
      <c r="J437" s="3"/>
      <c r="K437" s="3"/>
    </row>
    <row r="438" spans="1:11" hidden="1" x14ac:dyDescent="0.2">
      <c r="A438" s="3"/>
      <c r="B438" s="3"/>
      <c r="C438" s="3"/>
      <c r="D438" s="3"/>
      <c r="E438" s="3"/>
      <c r="F438" s="3"/>
      <c r="G438" s="3"/>
      <c r="H438" s="3"/>
      <c r="I438" s="3"/>
      <c r="J438" s="3"/>
      <c r="K438" s="3"/>
    </row>
    <row r="439" spans="1:11" hidden="1" x14ac:dyDescent="0.2">
      <c r="A439" s="3"/>
      <c r="B439" s="3"/>
      <c r="C439" s="3"/>
      <c r="D439" s="3"/>
      <c r="E439" s="3"/>
      <c r="F439" s="3"/>
      <c r="G439" s="3"/>
      <c r="H439" s="3"/>
      <c r="I439" s="3"/>
      <c r="J439" s="3"/>
      <c r="K439" s="3"/>
    </row>
    <row r="440" spans="1:11" hidden="1" x14ac:dyDescent="0.2">
      <c r="A440" s="3"/>
      <c r="B440" s="3"/>
      <c r="C440" s="3"/>
      <c r="D440" s="3"/>
      <c r="E440" s="3"/>
      <c r="F440" s="3"/>
      <c r="G440" s="3"/>
      <c r="H440" s="3"/>
      <c r="I440" s="3"/>
      <c r="J440" s="3"/>
      <c r="K440" s="3"/>
    </row>
    <row r="441" spans="1:11" hidden="1" x14ac:dyDescent="0.2">
      <c r="A441" s="3"/>
      <c r="B441" s="3"/>
      <c r="C441" s="3"/>
      <c r="D441" s="3"/>
      <c r="E441" s="3"/>
      <c r="F441" s="3"/>
      <c r="G441" s="3"/>
      <c r="H441" s="3"/>
      <c r="I441" s="3"/>
      <c r="J441" s="3"/>
      <c r="K441" s="3"/>
    </row>
    <row r="442" spans="1:11" hidden="1" x14ac:dyDescent="0.2">
      <c r="A442" s="3"/>
      <c r="B442" s="3"/>
      <c r="C442" s="3"/>
      <c r="D442" s="3"/>
      <c r="E442" s="3"/>
      <c r="F442" s="3"/>
      <c r="G442" s="3"/>
      <c r="H442" s="3"/>
      <c r="I442" s="3"/>
      <c r="J442" s="3"/>
      <c r="K442" s="3"/>
    </row>
    <row r="443" spans="1:11" hidden="1" x14ac:dyDescent="0.2">
      <c r="A443" s="3"/>
      <c r="B443" s="3"/>
      <c r="C443" s="3"/>
      <c r="D443" s="3"/>
      <c r="E443" s="3"/>
      <c r="F443" s="3"/>
      <c r="G443" s="3"/>
      <c r="H443" s="3"/>
      <c r="I443" s="3"/>
      <c r="J443" s="3"/>
      <c r="K443" s="3"/>
    </row>
    <row r="444" spans="1:11" hidden="1" x14ac:dyDescent="0.2">
      <c r="A444" s="3"/>
      <c r="B444" s="3"/>
      <c r="C444" s="3"/>
      <c r="D444" s="3"/>
      <c r="E444" s="3"/>
      <c r="F444" s="3"/>
      <c r="G444" s="3"/>
      <c r="H444" s="3"/>
      <c r="I444" s="3"/>
      <c r="J444" s="3"/>
      <c r="K444" s="3"/>
    </row>
    <row r="445" spans="1:11" hidden="1" x14ac:dyDescent="0.2">
      <c r="A445" s="3"/>
      <c r="B445" s="3"/>
      <c r="C445" s="3"/>
      <c r="D445" s="3"/>
      <c r="E445" s="3"/>
      <c r="F445" s="3"/>
      <c r="G445" s="3"/>
      <c r="H445" s="3"/>
      <c r="I445" s="3"/>
      <c r="J445" s="3"/>
      <c r="K445" s="3"/>
    </row>
    <row r="446" spans="1:11" hidden="1" x14ac:dyDescent="0.2">
      <c r="A446" s="3"/>
      <c r="B446" s="3"/>
      <c r="C446" s="3"/>
      <c r="D446" s="3"/>
      <c r="E446" s="3"/>
      <c r="F446" s="3"/>
      <c r="G446" s="3"/>
      <c r="H446" s="3"/>
      <c r="I446" s="3"/>
      <c r="J446" s="3"/>
      <c r="K446" s="3"/>
    </row>
    <row r="447" spans="1:11" hidden="1" x14ac:dyDescent="0.2">
      <c r="A447" s="3"/>
      <c r="B447" s="3"/>
      <c r="C447" s="3"/>
      <c r="D447" s="3"/>
      <c r="E447" s="3"/>
      <c r="F447" s="3"/>
      <c r="G447" s="3"/>
      <c r="H447" s="3"/>
      <c r="I447" s="3"/>
      <c r="J447" s="3"/>
      <c r="K447" s="3"/>
    </row>
    <row r="448" spans="1:11" hidden="1" x14ac:dyDescent="0.2">
      <c r="A448" s="3"/>
      <c r="B448" s="3"/>
      <c r="C448" s="3"/>
      <c r="D448" s="3"/>
      <c r="E448" s="3"/>
      <c r="F448" s="3"/>
      <c r="G448" s="3"/>
      <c r="H448" s="3"/>
      <c r="I448" s="3"/>
      <c r="J448" s="3"/>
      <c r="K448" s="3"/>
    </row>
    <row r="449" spans="1:11" hidden="1" x14ac:dyDescent="0.2">
      <c r="A449" s="3"/>
      <c r="B449" s="3"/>
      <c r="C449" s="3"/>
      <c r="D449" s="3"/>
      <c r="E449" s="3"/>
      <c r="F449" s="3"/>
      <c r="G449" s="3"/>
      <c r="H449" s="3"/>
      <c r="I449" s="3"/>
      <c r="J449" s="3"/>
      <c r="K449" s="3"/>
    </row>
    <row r="450" spans="1:11" hidden="1" x14ac:dyDescent="0.2">
      <c r="A450" s="3"/>
      <c r="B450" s="3"/>
      <c r="C450" s="3"/>
      <c r="D450" s="3"/>
      <c r="E450" s="3"/>
      <c r="F450" s="3"/>
      <c r="G450" s="3"/>
      <c r="H450" s="3"/>
      <c r="I450" s="3"/>
      <c r="J450" s="3"/>
      <c r="K450" s="3"/>
    </row>
    <row r="451" spans="1:11" hidden="1" x14ac:dyDescent="0.2">
      <c r="A451" s="3"/>
      <c r="B451" s="3"/>
      <c r="C451" s="3"/>
      <c r="D451" s="3"/>
      <c r="E451" s="3"/>
      <c r="F451" s="3"/>
      <c r="G451" s="3"/>
      <c r="H451" s="3"/>
      <c r="I451" s="3"/>
      <c r="J451" s="3"/>
      <c r="K451" s="3"/>
    </row>
    <row r="452" spans="1:11" hidden="1" x14ac:dyDescent="0.2">
      <c r="A452" s="3"/>
      <c r="B452" s="3"/>
      <c r="C452" s="3"/>
      <c r="D452" s="3"/>
      <c r="E452" s="3"/>
      <c r="F452" s="3"/>
      <c r="G452" s="3"/>
      <c r="H452" s="3"/>
      <c r="I452" s="3"/>
      <c r="J452" s="3"/>
      <c r="K452" s="3"/>
    </row>
    <row r="453" spans="1:11" hidden="1" x14ac:dyDescent="0.2">
      <c r="A453" s="3"/>
      <c r="B453" s="3"/>
      <c r="C453" s="3"/>
      <c r="D453" s="3"/>
      <c r="E453" s="3"/>
      <c r="F453" s="3"/>
      <c r="G453" s="3"/>
      <c r="H453" s="3"/>
      <c r="I453" s="3"/>
      <c r="J453" s="3"/>
      <c r="K453" s="3"/>
    </row>
    <row r="454" spans="1:11" hidden="1" x14ac:dyDescent="0.2">
      <c r="A454" s="3"/>
      <c r="B454" s="3"/>
      <c r="C454" s="3"/>
      <c r="D454" s="3"/>
      <c r="E454" s="3"/>
      <c r="F454" s="3"/>
      <c r="G454" s="3"/>
      <c r="H454" s="3"/>
      <c r="I454" s="3"/>
      <c r="J454" s="3"/>
      <c r="K454" s="3"/>
    </row>
    <row r="455" spans="1:11" hidden="1" x14ac:dyDescent="0.2">
      <c r="A455" s="3"/>
      <c r="B455" s="3"/>
      <c r="C455" s="3"/>
      <c r="D455" s="3"/>
      <c r="E455" s="3"/>
      <c r="F455" s="3"/>
      <c r="G455" s="3"/>
      <c r="H455" s="3"/>
      <c r="I455" s="3"/>
      <c r="J455" s="3"/>
      <c r="K455" s="3"/>
    </row>
    <row r="456" spans="1:11" hidden="1" x14ac:dyDescent="0.2">
      <c r="A456" s="3"/>
      <c r="B456" s="3"/>
      <c r="C456" s="3"/>
      <c r="D456" s="3"/>
      <c r="E456" s="3"/>
      <c r="F456" s="3"/>
      <c r="G456" s="3"/>
      <c r="H456" s="3"/>
      <c r="I456" s="3"/>
      <c r="J456" s="3"/>
      <c r="K456" s="3"/>
    </row>
    <row r="457" spans="1:11" hidden="1" x14ac:dyDescent="0.2">
      <c r="A457" s="3"/>
      <c r="B457" s="3"/>
      <c r="C457" s="3"/>
      <c r="D457" s="3"/>
      <c r="E457" s="3"/>
      <c r="F457" s="3"/>
      <c r="G457" s="3"/>
      <c r="H457" s="3"/>
      <c r="I457" s="3"/>
      <c r="J457" s="3"/>
      <c r="K457" s="3"/>
    </row>
    <row r="458" spans="1:11" hidden="1" x14ac:dyDescent="0.2">
      <c r="A458" s="3"/>
      <c r="B458" s="3"/>
      <c r="C458" s="3"/>
      <c r="D458" s="3"/>
      <c r="E458" s="3"/>
      <c r="F458" s="3"/>
      <c r="G458" s="3"/>
      <c r="H458" s="3"/>
      <c r="I458" s="3"/>
      <c r="J458" s="3"/>
      <c r="K458" s="3"/>
    </row>
    <row r="459" spans="1:11" hidden="1" x14ac:dyDescent="0.2">
      <c r="A459" s="3"/>
      <c r="B459" s="3"/>
      <c r="C459" s="3"/>
      <c r="D459" s="3"/>
      <c r="E459" s="3"/>
      <c r="F459" s="3"/>
      <c r="G459" s="3"/>
      <c r="H459" s="3"/>
      <c r="I459" s="3"/>
      <c r="J459" s="3"/>
      <c r="K459" s="3"/>
    </row>
    <row r="460" spans="1:11" hidden="1" x14ac:dyDescent="0.2">
      <c r="A460" s="3"/>
      <c r="B460" s="3"/>
      <c r="C460" s="3"/>
      <c r="D460" s="3"/>
      <c r="E460" s="3"/>
      <c r="F460" s="3"/>
      <c r="G460" s="3"/>
      <c r="H460" s="3"/>
      <c r="I460" s="3"/>
      <c r="J460" s="3"/>
      <c r="K460" s="3"/>
    </row>
    <row r="461" spans="1:11" hidden="1" x14ac:dyDescent="0.2">
      <c r="A461" s="3"/>
      <c r="B461" s="3"/>
      <c r="C461" s="3"/>
      <c r="D461" s="3"/>
      <c r="E461" s="3"/>
      <c r="F461" s="3"/>
      <c r="G461" s="3"/>
      <c r="H461" s="3"/>
      <c r="I461" s="3"/>
      <c r="J461" s="3"/>
      <c r="K461" s="3"/>
    </row>
    <row r="462" spans="1:11" hidden="1" x14ac:dyDescent="0.2">
      <c r="A462" s="3"/>
      <c r="B462" s="3"/>
      <c r="C462" s="3"/>
      <c r="D462" s="3"/>
      <c r="E462" s="3"/>
      <c r="F462" s="3"/>
      <c r="G462" s="3"/>
      <c r="H462" s="3"/>
      <c r="I462" s="3"/>
      <c r="J462" s="3"/>
      <c r="K462" s="3"/>
    </row>
    <row r="463" spans="1:11" hidden="1" x14ac:dyDescent="0.2">
      <c r="A463" s="3"/>
      <c r="B463" s="3"/>
      <c r="C463" s="3"/>
      <c r="D463" s="3"/>
      <c r="E463" s="3"/>
      <c r="F463" s="3"/>
      <c r="G463" s="3"/>
      <c r="H463" s="3"/>
      <c r="I463" s="3"/>
      <c r="J463" s="3"/>
      <c r="K463" s="3"/>
    </row>
    <row r="464" spans="1:11" hidden="1" x14ac:dyDescent="0.2">
      <c r="A464" s="3"/>
      <c r="B464" s="3"/>
      <c r="C464" s="3"/>
      <c r="D464" s="3"/>
      <c r="E464" s="3"/>
      <c r="F464" s="3"/>
      <c r="G464" s="3"/>
      <c r="H464" s="3"/>
      <c r="I464" s="3"/>
      <c r="J464" s="3"/>
      <c r="K464" s="3"/>
    </row>
    <row r="465" spans="1:11" hidden="1" x14ac:dyDescent="0.2">
      <c r="A465" s="3"/>
      <c r="B465" s="3"/>
      <c r="C465" s="3"/>
      <c r="D465" s="3"/>
      <c r="E465" s="3"/>
      <c r="F465" s="3"/>
      <c r="G465" s="3"/>
      <c r="H465" s="3"/>
      <c r="I465" s="3"/>
      <c r="J465" s="3"/>
      <c r="K465" s="3"/>
    </row>
    <row r="466" spans="1:11" hidden="1" x14ac:dyDescent="0.2">
      <c r="A466" s="3"/>
      <c r="B466" s="3"/>
      <c r="C466" s="3"/>
      <c r="D466" s="3"/>
      <c r="E466" s="3"/>
      <c r="F466" s="3"/>
      <c r="G466" s="3"/>
      <c r="H466" s="3"/>
      <c r="I466" s="3"/>
      <c r="J466" s="3"/>
      <c r="K466" s="3"/>
    </row>
    <row r="467" spans="1:11" hidden="1" x14ac:dyDescent="0.2">
      <c r="A467" s="3"/>
      <c r="B467" s="3"/>
      <c r="C467" s="3"/>
      <c r="D467" s="3"/>
      <c r="E467" s="3"/>
      <c r="F467" s="3"/>
      <c r="G467" s="3"/>
      <c r="H467" s="3"/>
      <c r="I467" s="3"/>
      <c r="J467" s="3"/>
      <c r="K467" s="3"/>
    </row>
    <row r="468" spans="1:11" hidden="1" x14ac:dyDescent="0.2">
      <c r="A468" s="3"/>
      <c r="B468" s="3"/>
      <c r="C468" s="3"/>
      <c r="D468" s="3"/>
      <c r="E468" s="3"/>
      <c r="F468" s="3"/>
      <c r="G468" s="3"/>
      <c r="H468" s="3"/>
      <c r="I468" s="3"/>
      <c r="J468" s="3"/>
      <c r="K468" s="3"/>
    </row>
    <row r="469" spans="1:11" hidden="1" x14ac:dyDescent="0.2">
      <c r="A469" s="3"/>
      <c r="B469" s="3"/>
      <c r="C469" s="3"/>
      <c r="D469" s="3"/>
      <c r="E469" s="3"/>
      <c r="F469" s="3"/>
      <c r="G469" s="3"/>
      <c r="H469" s="3"/>
      <c r="I469" s="3"/>
      <c r="J469" s="3"/>
      <c r="K469" s="3"/>
    </row>
    <row r="470" spans="1:11" hidden="1" x14ac:dyDescent="0.2">
      <c r="A470" s="3"/>
      <c r="B470" s="3"/>
      <c r="C470" s="3"/>
      <c r="D470" s="3"/>
      <c r="E470" s="3"/>
      <c r="F470" s="3"/>
      <c r="G470" s="3"/>
      <c r="H470" s="3"/>
      <c r="I470" s="3"/>
      <c r="J470" s="3"/>
      <c r="K470" s="3"/>
    </row>
    <row r="471" spans="1:11" hidden="1" x14ac:dyDescent="0.2">
      <c r="A471" s="3"/>
      <c r="B471" s="3"/>
      <c r="C471" s="3"/>
      <c r="D471" s="3"/>
      <c r="E471" s="3"/>
      <c r="F471" s="3"/>
      <c r="G471" s="3"/>
      <c r="H471" s="3"/>
      <c r="I471" s="3"/>
      <c r="J471" s="3"/>
      <c r="K471" s="3"/>
    </row>
    <row r="472" spans="1:11" hidden="1" x14ac:dyDescent="0.2">
      <c r="A472" s="3"/>
      <c r="B472" s="3"/>
      <c r="C472" s="3"/>
      <c r="D472" s="3"/>
      <c r="E472" s="3"/>
      <c r="F472" s="3"/>
      <c r="G472" s="3"/>
      <c r="H472" s="3"/>
      <c r="I472" s="3"/>
      <c r="J472" s="3"/>
      <c r="K472" s="3"/>
    </row>
    <row r="473" spans="1:11" hidden="1" x14ac:dyDescent="0.2">
      <c r="A473" s="3"/>
      <c r="B473" s="3"/>
      <c r="C473" s="3"/>
      <c r="D473" s="3"/>
      <c r="E473" s="3"/>
      <c r="F473" s="3"/>
      <c r="G473" s="3"/>
      <c r="H473" s="3"/>
      <c r="I473" s="3"/>
      <c r="J473" s="3"/>
      <c r="K473" s="3"/>
    </row>
    <row r="474" spans="1:11" hidden="1" x14ac:dyDescent="0.2">
      <c r="A474" s="3"/>
      <c r="B474" s="3"/>
      <c r="C474" s="3"/>
      <c r="D474" s="3"/>
      <c r="E474" s="3"/>
      <c r="F474" s="3"/>
      <c r="G474" s="3"/>
      <c r="H474" s="3"/>
      <c r="I474" s="3"/>
      <c r="J474" s="3"/>
      <c r="K474" s="3"/>
    </row>
    <row r="475" spans="1:11" hidden="1" x14ac:dyDescent="0.2">
      <c r="A475" s="3"/>
      <c r="B475" s="3"/>
      <c r="C475" s="3"/>
      <c r="D475" s="3"/>
      <c r="E475" s="3"/>
      <c r="F475" s="3"/>
      <c r="G475" s="3"/>
      <c r="H475" s="3"/>
      <c r="I475" s="3"/>
      <c r="J475" s="3"/>
      <c r="K475" s="3"/>
    </row>
    <row r="476" spans="1:11" hidden="1" x14ac:dyDescent="0.2">
      <c r="A476" s="3"/>
      <c r="B476" s="3"/>
      <c r="C476" s="3"/>
      <c r="D476" s="3"/>
      <c r="E476" s="3"/>
      <c r="F476" s="3"/>
      <c r="G476" s="3"/>
      <c r="H476" s="3"/>
      <c r="I476" s="3"/>
      <c r="J476" s="3"/>
      <c r="K476" s="3"/>
    </row>
    <row r="477" spans="1:11" hidden="1" x14ac:dyDescent="0.2">
      <c r="A477" s="3"/>
      <c r="B477" s="3"/>
      <c r="C477" s="3"/>
      <c r="D477" s="3"/>
      <c r="E477" s="3"/>
      <c r="F477" s="3"/>
      <c r="G477" s="3"/>
      <c r="H477" s="3"/>
      <c r="I477" s="3"/>
      <c r="J477" s="3"/>
      <c r="K477" s="3"/>
    </row>
    <row r="478" spans="1:11" hidden="1" x14ac:dyDescent="0.2">
      <c r="A478" s="3"/>
      <c r="B478" s="3"/>
      <c r="C478" s="3"/>
      <c r="D478" s="3"/>
      <c r="E478" s="3"/>
      <c r="F478" s="3"/>
      <c r="G478" s="3"/>
      <c r="H478" s="3"/>
      <c r="I478" s="3"/>
      <c r="J478" s="3"/>
      <c r="K478" s="3"/>
    </row>
    <row r="479" spans="1:11" hidden="1" x14ac:dyDescent="0.2">
      <c r="A479" s="3"/>
      <c r="B479" s="3"/>
      <c r="C479" s="3"/>
      <c r="D479" s="3"/>
      <c r="E479" s="3"/>
      <c r="F479" s="3"/>
      <c r="G479" s="3"/>
      <c r="H479" s="3"/>
      <c r="I479" s="3"/>
      <c r="J479" s="3"/>
      <c r="K479" s="3"/>
    </row>
    <row r="480" spans="1:11" hidden="1" x14ac:dyDescent="0.2">
      <c r="A480" s="3"/>
      <c r="B480" s="3"/>
      <c r="C480" s="3"/>
      <c r="D480" s="3"/>
      <c r="E480" s="3"/>
      <c r="F480" s="3"/>
      <c r="G480" s="3"/>
      <c r="H480" s="3"/>
      <c r="I480" s="3"/>
      <c r="J480" s="3"/>
      <c r="K480" s="3"/>
    </row>
    <row r="481" spans="1:11" hidden="1" x14ac:dyDescent="0.2">
      <c r="A481" s="3"/>
      <c r="B481" s="3"/>
      <c r="C481" s="3"/>
      <c r="D481" s="3"/>
      <c r="E481" s="3"/>
      <c r="F481" s="3"/>
      <c r="G481" s="3"/>
      <c r="H481" s="3"/>
      <c r="I481" s="3"/>
      <c r="J481" s="3"/>
      <c r="K481" s="3"/>
    </row>
    <row r="482" spans="1:11" hidden="1" x14ac:dyDescent="0.2">
      <c r="A482" s="3"/>
      <c r="B482" s="3"/>
      <c r="C482" s="3"/>
      <c r="D482" s="3"/>
      <c r="E482" s="3"/>
      <c r="F482" s="3"/>
      <c r="G482" s="3"/>
      <c r="H482" s="3"/>
      <c r="I482" s="3"/>
      <c r="J482" s="3"/>
      <c r="K482" s="3"/>
    </row>
    <row r="483" spans="1:11" hidden="1" x14ac:dyDescent="0.2">
      <c r="A483" s="3"/>
      <c r="B483" s="3"/>
      <c r="C483" s="3"/>
      <c r="D483" s="3"/>
      <c r="E483" s="3"/>
      <c r="F483" s="3"/>
      <c r="G483" s="3"/>
      <c r="H483" s="3"/>
      <c r="I483" s="3"/>
      <c r="J483" s="3"/>
      <c r="K483" s="3"/>
    </row>
    <row r="484" spans="1:11" hidden="1" x14ac:dyDescent="0.2">
      <c r="A484" s="3"/>
      <c r="B484" s="3"/>
      <c r="C484" s="3"/>
      <c r="D484" s="3"/>
      <c r="E484" s="3"/>
      <c r="F484" s="3"/>
      <c r="G484" s="3"/>
      <c r="H484" s="3"/>
      <c r="I484" s="3"/>
      <c r="J484" s="3"/>
      <c r="K484" s="3"/>
    </row>
    <row r="485" spans="1:11" hidden="1" x14ac:dyDescent="0.2">
      <c r="A485" s="3"/>
      <c r="B485" s="3"/>
      <c r="C485" s="3"/>
      <c r="D485" s="3"/>
      <c r="E485" s="3"/>
      <c r="F485" s="3"/>
      <c r="G485" s="3"/>
      <c r="H485" s="3"/>
      <c r="I485" s="3"/>
      <c r="J485" s="3"/>
      <c r="K485" s="3"/>
    </row>
    <row r="486" spans="1:11" hidden="1" x14ac:dyDescent="0.2">
      <c r="A486" s="3"/>
      <c r="B486" s="3"/>
      <c r="C486" s="3"/>
      <c r="D486" s="3"/>
      <c r="E486" s="3"/>
      <c r="F486" s="3"/>
      <c r="G486" s="3"/>
      <c r="H486" s="3"/>
      <c r="I486" s="3"/>
      <c r="J486" s="3"/>
      <c r="K486" s="3"/>
    </row>
    <row r="487" spans="1:11" hidden="1" x14ac:dyDescent="0.2">
      <c r="A487" s="3"/>
      <c r="B487" s="3"/>
      <c r="C487" s="3"/>
      <c r="D487" s="3"/>
      <c r="E487" s="3"/>
      <c r="F487" s="3"/>
      <c r="G487" s="3"/>
      <c r="H487" s="3"/>
      <c r="I487" s="3"/>
      <c r="J487" s="3"/>
      <c r="K487" s="3"/>
    </row>
    <row r="488" spans="1:11" hidden="1" x14ac:dyDescent="0.2">
      <c r="A488" s="3"/>
      <c r="B488" s="3"/>
      <c r="C488" s="3"/>
      <c r="D488" s="3"/>
      <c r="E488" s="3"/>
      <c r="F488" s="3"/>
      <c r="G488" s="3"/>
      <c r="H488" s="3"/>
      <c r="I488" s="3"/>
      <c r="J488" s="3"/>
      <c r="K488" s="3"/>
    </row>
    <row r="489" spans="1:11" hidden="1" x14ac:dyDescent="0.2">
      <c r="A489" s="3"/>
      <c r="B489" s="3"/>
      <c r="C489" s="3"/>
      <c r="D489" s="3"/>
      <c r="E489" s="3"/>
      <c r="F489" s="3"/>
      <c r="G489" s="3"/>
      <c r="H489" s="3"/>
      <c r="I489" s="3"/>
      <c r="J489" s="3"/>
      <c r="K489" s="3"/>
    </row>
    <row r="490" spans="1:11" hidden="1" x14ac:dyDescent="0.2">
      <c r="A490" s="3"/>
      <c r="B490" s="3"/>
      <c r="C490" s="3"/>
      <c r="D490" s="3"/>
      <c r="E490" s="3"/>
      <c r="F490" s="3"/>
      <c r="G490" s="3"/>
      <c r="H490" s="3"/>
      <c r="I490" s="3"/>
      <c r="J490" s="3"/>
      <c r="K490" s="3"/>
    </row>
    <row r="491" spans="1:11" hidden="1" x14ac:dyDescent="0.2">
      <c r="A491" s="3"/>
      <c r="B491" s="3"/>
      <c r="C491" s="3"/>
      <c r="D491" s="3"/>
      <c r="E491" s="3"/>
      <c r="F491" s="3"/>
      <c r="G491" s="3"/>
      <c r="H491" s="3"/>
      <c r="I491" s="3"/>
      <c r="J491" s="3"/>
      <c r="K491" s="3"/>
    </row>
    <row r="492" spans="1:11" hidden="1" x14ac:dyDescent="0.2">
      <c r="A492" s="3"/>
      <c r="B492" s="3"/>
      <c r="C492" s="3"/>
      <c r="D492" s="3"/>
      <c r="E492" s="3"/>
      <c r="F492" s="3"/>
      <c r="G492" s="3"/>
      <c r="H492" s="3"/>
      <c r="I492" s="3"/>
      <c r="J492" s="3"/>
      <c r="K492" s="3"/>
    </row>
    <row r="493" spans="1:11" hidden="1" x14ac:dyDescent="0.2">
      <c r="A493" s="3"/>
      <c r="B493" s="3"/>
      <c r="C493" s="3"/>
      <c r="D493" s="3"/>
      <c r="E493" s="3"/>
      <c r="F493" s="3"/>
      <c r="G493" s="3"/>
      <c r="H493" s="3"/>
      <c r="I493" s="3"/>
      <c r="J493" s="3"/>
      <c r="K493" s="3"/>
    </row>
    <row r="494" spans="1:11" hidden="1" x14ac:dyDescent="0.2">
      <c r="A494" s="3"/>
      <c r="B494" s="3"/>
      <c r="C494" s="3"/>
      <c r="D494" s="3"/>
      <c r="E494" s="3"/>
      <c r="F494" s="3"/>
      <c r="G494" s="3"/>
      <c r="H494" s="3"/>
      <c r="I494" s="3"/>
      <c r="J494" s="3"/>
      <c r="K494" s="3"/>
    </row>
    <row r="495" spans="1:11" hidden="1" x14ac:dyDescent="0.2">
      <c r="A495" s="3"/>
      <c r="B495" s="3"/>
      <c r="C495" s="3"/>
      <c r="D495" s="3"/>
      <c r="E495" s="3"/>
      <c r="F495" s="3"/>
      <c r="G495" s="3"/>
      <c r="H495" s="3"/>
      <c r="I495" s="3"/>
      <c r="J495" s="3"/>
      <c r="K495" s="3"/>
    </row>
    <row r="496" spans="1:11" hidden="1" x14ac:dyDescent="0.2">
      <c r="A496" s="3"/>
      <c r="B496" s="3"/>
      <c r="C496" s="3"/>
      <c r="D496" s="3"/>
      <c r="E496" s="3"/>
      <c r="F496" s="3"/>
      <c r="G496" s="3"/>
      <c r="H496" s="3"/>
      <c r="I496" s="3"/>
      <c r="J496" s="3"/>
      <c r="K496" s="3"/>
    </row>
    <row r="497" spans="1:11" hidden="1" x14ac:dyDescent="0.2">
      <c r="A497" s="3"/>
      <c r="B497" s="3"/>
      <c r="C497" s="3"/>
      <c r="D497" s="3"/>
      <c r="E497" s="3"/>
      <c r="F497" s="3"/>
      <c r="G497" s="3"/>
      <c r="H497" s="3"/>
      <c r="I497" s="3"/>
      <c r="J497" s="3"/>
      <c r="K497" s="3"/>
    </row>
    <row r="498" spans="1:11" hidden="1" x14ac:dyDescent="0.2">
      <c r="A498" s="3"/>
      <c r="B498" s="3"/>
      <c r="C498" s="3"/>
      <c r="D498" s="3"/>
      <c r="E498" s="3"/>
      <c r="F498" s="3"/>
      <c r="G498" s="3"/>
      <c r="H498" s="3"/>
      <c r="I498" s="3"/>
      <c r="J498" s="3"/>
      <c r="K498" s="3"/>
    </row>
    <row r="499" spans="1:11" hidden="1" x14ac:dyDescent="0.2">
      <c r="A499" s="3"/>
      <c r="B499" s="3"/>
      <c r="C499" s="3"/>
      <c r="D499" s="3"/>
      <c r="E499" s="3"/>
      <c r="F499" s="3"/>
      <c r="G499" s="3"/>
      <c r="H499" s="3"/>
      <c r="I499" s="3"/>
      <c r="J499" s="3"/>
      <c r="K499" s="3"/>
    </row>
    <row r="500" spans="1:11" hidden="1" x14ac:dyDescent="0.2">
      <c r="A500" s="3"/>
      <c r="B500" s="3"/>
      <c r="C500" s="3"/>
      <c r="D500" s="3"/>
      <c r="E500" s="3"/>
      <c r="F500" s="3"/>
      <c r="G500" s="3"/>
      <c r="H500" s="3"/>
      <c r="I500" s="3"/>
      <c r="J500" s="3"/>
      <c r="K500" s="3"/>
    </row>
    <row r="501" spans="1:11" hidden="1" x14ac:dyDescent="0.2">
      <c r="A501" s="3"/>
      <c r="B501" s="3"/>
      <c r="C501" s="3"/>
      <c r="D501" s="3"/>
      <c r="E501" s="3"/>
      <c r="F501" s="3"/>
      <c r="G501" s="3"/>
      <c r="H501" s="3"/>
      <c r="I501" s="3"/>
      <c r="J501" s="3"/>
      <c r="K501" s="3"/>
    </row>
    <row r="502" spans="1:11" hidden="1" x14ac:dyDescent="0.2">
      <c r="A502" s="3"/>
      <c r="B502" s="3"/>
      <c r="C502" s="3"/>
      <c r="D502" s="3"/>
      <c r="E502" s="3"/>
      <c r="F502" s="3"/>
      <c r="G502" s="3"/>
      <c r="H502" s="3"/>
      <c r="I502" s="3"/>
      <c r="J502" s="3"/>
      <c r="K502" s="3"/>
    </row>
    <row r="503" spans="1:11" hidden="1" x14ac:dyDescent="0.2">
      <c r="A503" s="3"/>
      <c r="B503" s="3"/>
      <c r="C503" s="3"/>
      <c r="D503" s="3"/>
      <c r="E503" s="3"/>
      <c r="F503" s="3"/>
      <c r="G503" s="3"/>
      <c r="H503" s="3"/>
      <c r="I503" s="3"/>
      <c r="J503" s="3"/>
      <c r="K503" s="3"/>
    </row>
    <row r="504" spans="1:11" hidden="1" x14ac:dyDescent="0.2">
      <c r="A504" s="3"/>
      <c r="B504" s="3"/>
      <c r="C504" s="3"/>
      <c r="D504" s="3"/>
      <c r="E504" s="3"/>
      <c r="F504" s="3"/>
      <c r="G504" s="3"/>
      <c r="H504" s="3"/>
      <c r="I504" s="3"/>
      <c r="J504" s="3"/>
      <c r="K504" s="3"/>
    </row>
    <row r="505" spans="1:11" hidden="1" x14ac:dyDescent="0.2">
      <c r="A505" s="3"/>
      <c r="B505" s="3"/>
      <c r="C505" s="3"/>
      <c r="D505" s="3"/>
      <c r="E505" s="3"/>
      <c r="F505" s="3"/>
      <c r="G505" s="3"/>
      <c r="H505" s="3"/>
      <c r="I505" s="3"/>
      <c r="J505" s="3"/>
      <c r="K505" s="3"/>
    </row>
    <row r="506" spans="1:11" hidden="1" x14ac:dyDescent="0.2">
      <c r="A506" s="3"/>
      <c r="B506" s="3"/>
      <c r="C506" s="3"/>
      <c r="D506" s="3"/>
      <c r="E506" s="3"/>
      <c r="F506" s="3"/>
      <c r="G506" s="3"/>
      <c r="H506" s="3"/>
      <c r="I506" s="3"/>
      <c r="J506" s="3"/>
      <c r="K506" s="3"/>
    </row>
    <row r="507" spans="1:11" hidden="1" x14ac:dyDescent="0.2">
      <c r="A507" s="3"/>
      <c r="B507" s="3"/>
      <c r="C507" s="3"/>
      <c r="D507" s="3"/>
      <c r="E507" s="3"/>
      <c r="F507" s="3"/>
      <c r="G507" s="3"/>
      <c r="H507" s="3"/>
      <c r="I507" s="3"/>
      <c r="J507" s="3"/>
      <c r="K507" s="3"/>
    </row>
    <row r="508" spans="1:11" hidden="1" x14ac:dyDescent="0.2">
      <c r="A508" s="3"/>
      <c r="B508" s="3"/>
      <c r="C508" s="3"/>
      <c r="D508" s="3"/>
      <c r="E508" s="3"/>
      <c r="F508" s="3"/>
      <c r="G508" s="3"/>
      <c r="H508" s="3"/>
      <c r="I508" s="3"/>
      <c r="J508" s="3"/>
      <c r="K508" s="3"/>
    </row>
    <row r="509" spans="1:11" hidden="1" x14ac:dyDescent="0.2">
      <c r="A509" s="3"/>
      <c r="B509" s="3"/>
      <c r="C509" s="3"/>
      <c r="D509" s="3"/>
      <c r="E509" s="3"/>
      <c r="F509" s="3"/>
      <c r="G509" s="3"/>
      <c r="H509" s="3"/>
      <c r="I509" s="3"/>
      <c r="J509" s="3"/>
      <c r="K509" s="3"/>
    </row>
    <row r="510" spans="1:11" hidden="1" x14ac:dyDescent="0.2">
      <c r="A510" s="3"/>
      <c r="B510" s="3"/>
      <c r="C510" s="3"/>
      <c r="D510" s="3"/>
      <c r="E510" s="3"/>
      <c r="F510" s="3"/>
      <c r="G510" s="3"/>
      <c r="H510" s="3"/>
      <c r="I510" s="3"/>
      <c r="J510" s="3"/>
      <c r="K510" s="3"/>
    </row>
    <row r="511" spans="1:11" hidden="1" x14ac:dyDescent="0.2">
      <c r="A511" s="3"/>
      <c r="B511" s="3"/>
      <c r="C511" s="3"/>
      <c r="D511" s="3"/>
      <c r="E511" s="3"/>
      <c r="F511" s="3"/>
      <c r="G511" s="3"/>
      <c r="H511" s="3"/>
      <c r="I511" s="3"/>
      <c r="J511" s="3"/>
      <c r="K511" s="3"/>
    </row>
    <row r="512" spans="1:11" hidden="1" x14ac:dyDescent="0.2">
      <c r="A512" s="3"/>
      <c r="B512" s="3"/>
      <c r="C512" s="3"/>
      <c r="D512" s="3"/>
      <c r="E512" s="3"/>
      <c r="F512" s="3"/>
      <c r="G512" s="3"/>
      <c r="H512" s="3"/>
      <c r="I512" s="3"/>
      <c r="J512" s="3"/>
      <c r="K512" s="3"/>
    </row>
    <row r="513" spans="1:11" hidden="1" x14ac:dyDescent="0.2">
      <c r="A513" s="3"/>
      <c r="B513" s="3"/>
      <c r="C513" s="3"/>
      <c r="D513" s="3"/>
      <c r="E513" s="3"/>
      <c r="F513" s="3"/>
      <c r="G513" s="3"/>
      <c r="H513" s="3"/>
      <c r="I513" s="3"/>
      <c r="J513" s="3"/>
      <c r="K513" s="3"/>
    </row>
    <row r="514" spans="1:11" hidden="1" x14ac:dyDescent="0.2">
      <c r="A514" s="3"/>
      <c r="B514" s="3"/>
      <c r="C514" s="3"/>
      <c r="D514" s="3"/>
      <c r="E514" s="3"/>
      <c r="F514" s="3"/>
      <c r="G514" s="3"/>
      <c r="H514" s="3"/>
      <c r="I514" s="3"/>
      <c r="J514" s="3"/>
      <c r="K514" s="3"/>
    </row>
    <row r="515" spans="1:11" hidden="1" x14ac:dyDescent="0.2">
      <c r="A515" s="3"/>
      <c r="B515" s="3"/>
      <c r="C515" s="3"/>
      <c r="D515" s="3"/>
      <c r="E515" s="3"/>
      <c r="F515" s="3"/>
      <c r="G515" s="3"/>
      <c r="H515" s="3"/>
      <c r="I515" s="3"/>
      <c r="J515" s="3"/>
      <c r="K515" s="3"/>
    </row>
    <row r="516" spans="1:11" hidden="1" x14ac:dyDescent="0.2">
      <c r="A516" s="3"/>
      <c r="B516" s="3"/>
      <c r="C516" s="3"/>
      <c r="D516" s="3"/>
      <c r="E516" s="3"/>
      <c r="F516" s="3"/>
      <c r="G516" s="3"/>
      <c r="H516" s="3"/>
      <c r="I516" s="3"/>
      <c r="J516" s="3"/>
      <c r="K516" s="3"/>
    </row>
    <row r="517" spans="1:11" hidden="1" x14ac:dyDescent="0.2">
      <c r="A517" s="3"/>
      <c r="B517" s="3"/>
      <c r="C517" s="3"/>
      <c r="D517" s="3"/>
      <c r="E517" s="3"/>
      <c r="F517" s="3"/>
      <c r="G517" s="3"/>
      <c r="H517" s="3"/>
      <c r="I517" s="3"/>
      <c r="J517" s="3"/>
      <c r="K517" s="3"/>
    </row>
    <row r="518" spans="1:11" hidden="1" x14ac:dyDescent="0.2">
      <c r="A518" s="3"/>
      <c r="B518" s="3"/>
      <c r="C518" s="3"/>
      <c r="D518" s="3"/>
      <c r="E518" s="3"/>
      <c r="F518" s="3"/>
      <c r="G518" s="3"/>
      <c r="H518" s="3"/>
      <c r="I518" s="3"/>
      <c r="J518" s="3"/>
      <c r="K518" s="3"/>
    </row>
    <row r="519" spans="1:11" hidden="1" x14ac:dyDescent="0.2">
      <c r="A519" s="3"/>
      <c r="B519" s="3"/>
      <c r="C519" s="3"/>
      <c r="D519" s="3"/>
      <c r="E519" s="3"/>
      <c r="F519" s="3"/>
      <c r="G519" s="3"/>
      <c r="H519" s="3"/>
      <c r="I519" s="3"/>
      <c r="J519" s="3"/>
      <c r="K519" s="3"/>
    </row>
    <row r="520" spans="1:11" hidden="1" x14ac:dyDescent="0.2">
      <c r="A520" s="3"/>
      <c r="B520" s="3"/>
      <c r="C520" s="3"/>
      <c r="D520" s="3"/>
      <c r="E520" s="3"/>
      <c r="F520" s="3"/>
      <c r="G520" s="3"/>
      <c r="H520" s="3"/>
      <c r="I520" s="3"/>
      <c r="J520" s="3"/>
      <c r="K520" s="3"/>
    </row>
    <row r="521" spans="1:11" hidden="1" x14ac:dyDescent="0.2">
      <c r="A521" s="3"/>
      <c r="B521" s="3"/>
      <c r="C521" s="3"/>
      <c r="D521" s="3"/>
      <c r="E521" s="3"/>
      <c r="F521" s="3"/>
      <c r="G521" s="3"/>
      <c r="H521" s="3"/>
      <c r="I521" s="3"/>
      <c r="J521" s="3"/>
      <c r="K521" s="3"/>
    </row>
    <row r="522" spans="1:11" hidden="1" x14ac:dyDescent="0.2">
      <c r="A522" s="3"/>
      <c r="B522" s="3"/>
      <c r="C522" s="3"/>
      <c r="D522" s="3"/>
      <c r="E522" s="3"/>
      <c r="F522" s="3"/>
      <c r="G522" s="3"/>
      <c r="H522" s="3"/>
      <c r="I522" s="3"/>
      <c r="J522" s="3"/>
      <c r="K522" s="3"/>
    </row>
    <row r="523" spans="1:11" hidden="1" x14ac:dyDescent="0.2">
      <c r="A523" s="3"/>
      <c r="B523" s="3"/>
      <c r="C523" s="3"/>
      <c r="D523" s="3"/>
      <c r="E523" s="3"/>
      <c r="F523" s="3"/>
      <c r="G523" s="3"/>
      <c r="H523" s="3"/>
      <c r="I523" s="3"/>
      <c r="J523" s="3"/>
      <c r="K523" s="3"/>
    </row>
    <row r="524" spans="1:11" hidden="1" x14ac:dyDescent="0.2">
      <c r="A524" s="3"/>
      <c r="B524" s="3"/>
      <c r="C524" s="3"/>
      <c r="D524" s="3"/>
      <c r="E524" s="3"/>
      <c r="F524" s="3"/>
      <c r="G524" s="3"/>
      <c r="H524" s="3"/>
      <c r="I524" s="3"/>
      <c r="J524" s="3"/>
      <c r="K524" s="3"/>
    </row>
    <row r="525" spans="1:11" hidden="1" x14ac:dyDescent="0.2">
      <c r="A525" s="3"/>
      <c r="B525" s="3"/>
      <c r="C525" s="3"/>
      <c r="D525" s="3"/>
      <c r="E525" s="3"/>
      <c r="F525" s="3"/>
      <c r="G525" s="3"/>
      <c r="H525" s="3"/>
      <c r="I525" s="3"/>
      <c r="J525" s="3"/>
      <c r="K525" s="3"/>
    </row>
    <row r="526" spans="1:11" hidden="1" x14ac:dyDescent="0.2">
      <c r="A526" s="3"/>
      <c r="B526" s="3"/>
      <c r="C526" s="3"/>
      <c r="D526" s="3"/>
      <c r="E526" s="3"/>
      <c r="F526" s="3"/>
      <c r="G526" s="3"/>
      <c r="H526" s="3"/>
      <c r="I526" s="3"/>
      <c r="J526" s="3"/>
      <c r="K526" s="3"/>
    </row>
    <row r="527" spans="1:11" hidden="1" x14ac:dyDescent="0.2">
      <c r="A527" s="3"/>
      <c r="B527" s="3"/>
      <c r="C527" s="3"/>
      <c r="D527" s="3"/>
      <c r="E527" s="3"/>
      <c r="F527" s="3"/>
      <c r="G527" s="3"/>
      <c r="H527" s="3"/>
      <c r="I527" s="3"/>
      <c r="J527" s="3"/>
      <c r="K527" s="3"/>
    </row>
    <row r="528" spans="1:11" hidden="1" x14ac:dyDescent="0.2">
      <c r="A528" s="3"/>
      <c r="B528" s="3"/>
      <c r="C528" s="3"/>
      <c r="D528" s="3"/>
      <c r="E528" s="3"/>
      <c r="F528" s="3"/>
      <c r="G528" s="3"/>
      <c r="H528" s="3"/>
      <c r="I528" s="3"/>
      <c r="J528" s="3"/>
      <c r="K528" s="3"/>
    </row>
    <row r="529" spans="1:11" hidden="1" x14ac:dyDescent="0.2">
      <c r="A529" s="3"/>
      <c r="B529" s="3"/>
      <c r="C529" s="3"/>
      <c r="D529" s="3"/>
      <c r="E529" s="3"/>
      <c r="F529" s="3"/>
      <c r="G529" s="3"/>
      <c r="H529" s="3"/>
      <c r="I529" s="3"/>
      <c r="J529" s="3"/>
      <c r="K529" s="3"/>
    </row>
    <row r="530" spans="1:11" hidden="1" x14ac:dyDescent="0.2">
      <c r="A530" s="3"/>
      <c r="B530" s="3"/>
      <c r="C530" s="3"/>
      <c r="D530" s="3"/>
      <c r="E530" s="3"/>
      <c r="F530" s="3"/>
      <c r="G530" s="3"/>
      <c r="H530" s="3"/>
      <c r="I530" s="3"/>
      <c r="J530" s="3"/>
      <c r="K530" s="3"/>
    </row>
    <row r="531" spans="1:11" hidden="1" x14ac:dyDescent="0.2">
      <c r="A531" s="3"/>
      <c r="B531" s="3"/>
      <c r="C531" s="3"/>
      <c r="D531" s="3"/>
      <c r="E531" s="3"/>
      <c r="F531" s="3"/>
      <c r="G531" s="3"/>
      <c r="H531" s="3"/>
      <c r="I531" s="3"/>
      <c r="J531" s="3"/>
      <c r="K531" s="3"/>
    </row>
    <row r="532" spans="1:11" hidden="1" x14ac:dyDescent="0.2">
      <c r="A532" s="3"/>
      <c r="B532" s="3"/>
      <c r="C532" s="3"/>
      <c r="D532" s="3"/>
      <c r="E532" s="3"/>
      <c r="F532" s="3"/>
      <c r="G532" s="3"/>
      <c r="H532" s="3"/>
      <c r="I532" s="3"/>
      <c r="J532" s="3"/>
      <c r="K532" s="3"/>
    </row>
    <row r="533" spans="1:11" hidden="1" x14ac:dyDescent="0.2">
      <c r="A533" s="3"/>
      <c r="B533" s="3"/>
      <c r="C533" s="3"/>
      <c r="D533" s="3"/>
      <c r="E533" s="3"/>
      <c r="F533" s="3"/>
      <c r="G533" s="3"/>
      <c r="H533" s="3"/>
      <c r="I533" s="3"/>
      <c r="J533" s="3"/>
      <c r="K533" s="3"/>
    </row>
    <row r="534" spans="1:11" hidden="1" x14ac:dyDescent="0.2">
      <c r="A534" s="3"/>
      <c r="B534" s="3"/>
      <c r="C534" s="3"/>
      <c r="D534" s="3"/>
      <c r="E534" s="3"/>
      <c r="F534" s="3"/>
      <c r="G534" s="3"/>
      <c r="H534" s="3"/>
      <c r="I534" s="3"/>
      <c r="J534" s="3"/>
      <c r="K534" s="3"/>
    </row>
    <row r="535" spans="1:11" hidden="1" x14ac:dyDescent="0.2">
      <c r="A535" s="3"/>
      <c r="B535" s="3"/>
      <c r="C535" s="3"/>
      <c r="D535" s="3"/>
      <c r="E535" s="3"/>
      <c r="F535" s="3"/>
      <c r="G535" s="3"/>
      <c r="H535" s="3"/>
      <c r="I535" s="3"/>
      <c r="J535" s="3"/>
      <c r="K535" s="3"/>
    </row>
    <row r="536" spans="1:11" hidden="1" x14ac:dyDescent="0.2">
      <c r="A536" s="3"/>
      <c r="B536" s="3"/>
      <c r="C536" s="3"/>
      <c r="D536" s="3"/>
      <c r="E536" s="3"/>
      <c r="F536" s="3"/>
      <c r="G536" s="3"/>
      <c r="H536" s="3"/>
      <c r="I536" s="3"/>
      <c r="J536" s="3"/>
      <c r="K536" s="3"/>
    </row>
    <row r="537" spans="1:11" hidden="1" x14ac:dyDescent="0.2">
      <c r="A537" s="3"/>
      <c r="B537" s="3"/>
      <c r="C537" s="3"/>
      <c r="D537" s="3"/>
      <c r="E537" s="3"/>
      <c r="F537" s="3"/>
      <c r="G537" s="3"/>
      <c r="H537" s="3"/>
      <c r="I537" s="3"/>
      <c r="J537" s="3"/>
      <c r="K537" s="3"/>
    </row>
    <row r="538" spans="1:11" hidden="1" x14ac:dyDescent="0.2">
      <c r="A538" s="3"/>
      <c r="B538" s="3"/>
      <c r="C538" s="3"/>
      <c r="D538" s="3"/>
      <c r="E538" s="3"/>
      <c r="F538" s="3"/>
      <c r="G538" s="3"/>
      <c r="H538" s="3"/>
      <c r="I538" s="3"/>
      <c r="J538" s="3"/>
      <c r="K538" s="3"/>
    </row>
    <row r="539" spans="1:11" hidden="1" x14ac:dyDescent="0.2">
      <c r="A539" s="3"/>
      <c r="B539" s="3"/>
      <c r="C539" s="3"/>
      <c r="D539" s="3"/>
      <c r="E539" s="3"/>
      <c r="F539" s="3"/>
      <c r="G539" s="3"/>
      <c r="H539" s="3"/>
      <c r="I539" s="3"/>
      <c r="J539" s="3"/>
      <c r="K539" s="3"/>
    </row>
    <row r="540" spans="1:11" hidden="1" x14ac:dyDescent="0.2">
      <c r="A540" s="3"/>
      <c r="B540" s="3"/>
      <c r="C540" s="3"/>
      <c r="D540" s="3"/>
      <c r="E540" s="3"/>
      <c r="F540" s="3"/>
      <c r="G540" s="3"/>
      <c r="H540" s="3"/>
      <c r="I540" s="3"/>
      <c r="J540" s="3"/>
      <c r="K540" s="3"/>
    </row>
    <row r="541" spans="1:11" hidden="1" x14ac:dyDescent="0.2">
      <c r="A541" s="3"/>
      <c r="B541" s="3"/>
      <c r="C541" s="3"/>
      <c r="D541" s="3"/>
      <c r="E541" s="3"/>
      <c r="F541" s="3"/>
      <c r="G541" s="3"/>
      <c r="H541" s="3"/>
      <c r="I541" s="3"/>
      <c r="J541" s="3"/>
      <c r="K541" s="3"/>
    </row>
    <row r="542" spans="1:11" hidden="1" x14ac:dyDescent="0.2">
      <c r="A542" s="3"/>
      <c r="B542" s="3"/>
      <c r="C542" s="3"/>
      <c r="D542" s="3"/>
      <c r="E542" s="3"/>
      <c r="F542" s="3"/>
      <c r="G542" s="3"/>
      <c r="H542" s="3"/>
      <c r="I542" s="3"/>
      <c r="J542" s="3"/>
      <c r="K542" s="3"/>
    </row>
    <row r="543" spans="1:11" hidden="1" x14ac:dyDescent="0.2">
      <c r="A543" s="3"/>
      <c r="B543" s="3"/>
      <c r="C543" s="3"/>
      <c r="D543" s="3"/>
      <c r="E543" s="3"/>
      <c r="F543" s="3"/>
      <c r="G543" s="3"/>
      <c r="H543" s="3"/>
      <c r="I543" s="3"/>
      <c r="J543" s="3"/>
      <c r="K543" s="3"/>
    </row>
    <row r="544" spans="1:11" hidden="1" x14ac:dyDescent="0.2">
      <c r="A544" s="3"/>
      <c r="B544" s="3"/>
      <c r="C544" s="3"/>
      <c r="D544" s="3"/>
      <c r="E544" s="3"/>
      <c r="F544" s="3"/>
      <c r="G544" s="3"/>
      <c r="H544" s="3"/>
      <c r="I544" s="3"/>
      <c r="J544" s="3"/>
      <c r="K544" s="3"/>
    </row>
    <row r="545" spans="1:11" hidden="1" x14ac:dyDescent="0.2">
      <c r="A545" s="3"/>
      <c r="B545" s="3"/>
      <c r="C545" s="3"/>
      <c r="D545" s="3"/>
      <c r="E545" s="3"/>
      <c r="F545" s="3"/>
      <c r="G545" s="3"/>
      <c r="H545" s="3"/>
      <c r="I545" s="3"/>
      <c r="J545" s="3"/>
      <c r="K545" s="3"/>
    </row>
    <row r="546" spans="1:11" hidden="1" x14ac:dyDescent="0.2">
      <c r="A546" s="3"/>
      <c r="B546" s="3"/>
      <c r="C546" s="3"/>
      <c r="D546" s="3"/>
      <c r="E546" s="3"/>
      <c r="F546" s="3"/>
      <c r="G546" s="3"/>
      <c r="H546" s="3"/>
      <c r="I546" s="3"/>
      <c r="J546" s="3"/>
      <c r="K546" s="3"/>
    </row>
    <row r="547" spans="1:11" hidden="1" x14ac:dyDescent="0.2">
      <c r="A547" s="3"/>
      <c r="B547" s="3"/>
      <c r="C547" s="3"/>
      <c r="D547" s="3"/>
      <c r="E547" s="3"/>
      <c r="F547" s="3"/>
      <c r="G547" s="3"/>
      <c r="H547" s="3"/>
      <c r="I547" s="3"/>
      <c r="J547" s="3"/>
      <c r="K547" s="3"/>
    </row>
    <row r="548" spans="1:11" hidden="1" x14ac:dyDescent="0.2">
      <c r="A548" s="3"/>
      <c r="B548" s="3"/>
      <c r="C548" s="3"/>
      <c r="D548" s="3"/>
      <c r="E548" s="3"/>
      <c r="F548" s="3"/>
      <c r="G548" s="3"/>
      <c r="H548" s="3"/>
      <c r="I548" s="3"/>
      <c r="J548" s="3"/>
      <c r="K548" s="3"/>
    </row>
    <row r="549" spans="1:11" hidden="1" x14ac:dyDescent="0.2">
      <c r="A549" s="3"/>
      <c r="B549" s="3"/>
      <c r="C549" s="3"/>
      <c r="D549" s="3"/>
      <c r="E549" s="3"/>
      <c r="F549" s="3"/>
      <c r="G549" s="3"/>
      <c r="H549" s="3"/>
      <c r="I549" s="3"/>
      <c r="J549" s="3"/>
      <c r="K549" s="3"/>
    </row>
    <row r="550" spans="1:11" hidden="1" x14ac:dyDescent="0.2">
      <c r="A550" s="3"/>
      <c r="B550" s="3"/>
      <c r="C550" s="3"/>
      <c r="D550" s="3"/>
      <c r="E550" s="3"/>
      <c r="F550" s="3"/>
      <c r="G550" s="3"/>
      <c r="H550" s="3"/>
      <c r="I550" s="3"/>
      <c r="J550" s="3"/>
      <c r="K550" s="3"/>
    </row>
    <row r="551" spans="1:11" hidden="1" x14ac:dyDescent="0.2">
      <c r="A551" s="3"/>
      <c r="B551" s="3"/>
      <c r="C551" s="3"/>
      <c r="D551" s="3"/>
      <c r="E551" s="3"/>
      <c r="F551" s="3"/>
      <c r="G551" s="3"/>
      <c r="H551" s="3"/>
      <c r="I551" s="3"/>
      <c r="J551" s="3"/>
      <c r="K551" s="3"/>
    </row>
    <row r="552" spans="1:11" hidden="1" x14ac:dyDescent="0.2">
      <c r="A552" s="3"/>
      <c r="B552" s="3"/>
      <c r="C552" s="3"/>
      <c r="D552" s="3"/>
      <c r="E552" s="3"/>
      <c r="F552" s="3"/>
      <c r="G552" s="3"/>
      <c r="H552" s="3"/>
      <c r="I552" s="3"/>
      <c r="J552" s="3"/>
      <c r="K552" s="3"/>
    </row>
    <row r="553" spans="1:11" hidden="1" x14ac:dyDescent="0.2">
      <c r="A553" s="3"/>
      <c r="B553" s="3"/>
      <c r="C553" s="3"/>
      <c r="D553" s="3"/>
      <c r="E553" s="3"/>
      <c r="F553" s="3"/>
      <c r="G553" s="3"/>
      <c r="H553" s="3"/>
      <c r="I553" s="3"/>
      <c r="J553" s="3"/>
      <c r="K553" s="3"/>
    </row>
    <row r="554" spans="1:11" hidden="1" x14ac:dyDescent="0.2">
      <c r="A554" s="3"/>
      <c r="B554" s="3"/>
      <c r="C554" s="3"/>
      <c r="D554" s="3"/>
      <c r="E554" s="3"/>
      <c r="F554" s="3"/>
      <c r="G554" s="3"/>
      <c r="H554" s="3"/>
      <c r="I554" s="3"/>
      <c r="J554" s="3"/>
      <c r="K554" s="3"/>
    </row>
    <row r="555" spans="1:11" hidden="1" x14ac:dyDescent="0.2">
      <c r="A555" s="3"/>
      <c r="B555" s="3"/>
      <c r="C555" s="3"/>
      <c r="D555" s="3"/>
      <c r="E555" s="3"/>
      <c r="F555" s="3"/>
      <c r="G555" s="3"/>
      <c r="H555" s="3"/>
      <c r="I555" s="3"/>
      <c r="J555" s="3"/>
      <c r="K555" s="3"/>
    </row>
    <row r="556" spans="1:11" hidden="1" x14ac:dyDescent="0.2">
      <c r="A556" s="3"/>
      <c r="B556" s="3"/>
      <c r="C556" s="3"/>
      <c r="D556" s="3"/>
      <c r="E556" s="3"/>
      <c r="F556" s="3"/>
      <c r="G556" s="3"/>
      <c r="H556" s="3"/>
      <c r="I556" s="3"/>
      <c r="J556" s="3"/>
      <c r="K556" s="3"/>
    </row>
    <row r="557" spans="1:11" hidden="1" x14ac:dyDescent="0.2">
      <c r="A557" s="3"/>
      <c r="B557" s="3"/>
      <c r="C557" s="3"/>
      <c r="D557" s="3"/>
      <c r="E557" s="3"/>
      <c r="F557" s="3"/>
      <c r="G557" s="3"/>
      <c r="H557" s="3"/>
      <c r="I557" s="3"/>
      <c r="J557" s="3"/>
      <c r="K557" s="3"/>
    </row>
    <row r="558" spans="1:11" hidden="1" x14ac:dyDescent="0.2">
      <c r="A558" s="3"/>
      <c r="B558" s="3"/>
      <c r="C558" s="3"/>
      <c r="D558" s="3"/>
      <c r="E558" s="3"/>
      <c r="F558" s="3"/>
      <c r="G558" s="3"/>
      <c r="H558" s="3"/>
      <c r="I558" s="3"/>
      <c r="J558" s="3"/>
      <c r="K558" s="3"/>
    </row>
    <row r="559" spans="1:11" hidden="1" x14ac:dyDescent="0.2">
      <c r="A559" s="3"/>
      <c r="B559" s="3"/>
      <c r="C559" s="3"/>
      <c r="D559" s="3"/>
      <c r="E559" s="3"/>
      <c r="F559" s="3"/>
      <c r="G559" s="3"/>
      <c r="H559" s="3"/>
      <c r="I559" s="3"/>
      <c r="J559" s="3"/>
      <c r="K559" s="3"/>
    </row>
    <row r="560" spans="1:11" hidden="1" x14ac:dyDescent="0.2">
      <c r="A560" s="3"/>
      <c r="B560" s="3"/>
      <c r="C560" s="3"/>
      <c r="D560" s="3"/>
      <c r="E560" s="3"/>
      <c r="F560" s="3"/>
      <c r="G560" s="3"/>
      <c r="H560" s="3"/>
      <c r="I560" s="3"/>
      <c r="J560" s="3"/>
      <c r="K560" s="3"/>
    </row>
    <row r="561" spans="1:11" hidden="1" x14ac:dyDescent="0.2">
      <c r="A561" s="3"/>
      <c r="B561" s="3"/>
      <c r="C561" s="3"/>
      <c r="D561" s="3"/>
      <c r="E561" s="3"/>
      <c r="F561" s="3"/>
      <c r="G561" s="3"/>
      <c r="H561" s="3"/>
      <c r="I561" s="3"/>
      <c r="J561" s="3"/>
      <c r="K561" s="3"/>
    </row>
    <row r="562" spans="1:11" hidden="1" x14ac:dyDescent="0.2">
      <c r="A562" s="3"/>
      <c r="B562" s="3"/>
      <c r="C562" s="3"/>
      <c r="D562" s="3"/>
      <c r="E562" s="3"/>
      <c r="F562" s="3"/>
      <c r="G562" s="3"/>
      <c r="H562" s="3"/>
      <c r="I562" s="3"/>
      <c r="J562" s="3"/>
      <c r="K562" s="3"/>
    </row>
    <row r="563" spans="1:11" hidden="1" x14ac:dyDescent="0.2">
      <c r="A563" s="3"/>
      <c r="B563" s="3"/>
      <c r="C563" s="3"/>
      <c r="D563" s="3"/>
      <c r="E563" s="3"/>
      <c r="F563" s="3"/>
      <c r="G563" s="3"/>
      <c r="H563" s="3"/>
      <c r="I563" s="3"/>
      <c r="J563" s="3"/>
      <c r="K563" s="3"/>
    </row>
    <row r="564" spans="1:11" hidden="1" x14ac:dyDescent="0.2">
      <c r="A564" s="3"/>
      <c r="B564" s="3"/>
      <c r="C564" s="3"/>
      <c r="D564" s="3"/>
      <c r="E564" s="3"/>
      <c r="F564" s="3"/>
      <c r="G564" s="3"/>
      <c r="H564" s="3"/>
      <c r="I564" s="3"/>
      <c r="J564" s="3"/>
      <c r="K564" s="3"/>
    </row>
    <row r="565" spans="1:11" hidden="1" x14ac:dyDescent="0.2">
      <c r="A565" s="3"/>
      <c r="B565" s="3"/>
      <c r="C565" s="3"/>
      <c r="D565" s="3"/>
      <c r="E565" s="3"/>
      <c r="F565" s="3"/>
      <c r="G565" s="3"/>
      <c r="H565" s="3"/>
      <c r="I565" s="3"/>
      <c r="J565" s="3"/>
      <c r="K565" s="3"/>
    </row>
    <row r="566" spans="1:11" hidden="1" x14ac:dyDescent="0.2">
      <c r="A566" s="3"/>
      <c r="B566" s="3"/>
      <c r="C566" s="3"/>
      <c r="D566" s="3"/>
      <c r="E566" s="3"/>
      <c r="F566" s="3"/>
      <c r="G566" s="3"/>
      <c r="H566" s="3"/>
      <c r="I566" s="3"/>
      <c r="J566" s="3"/>
      <c r="K566" s="3"/>
    </row>
    <row r="567" spans="1:11" hidden="1" x14ac:dyDescent="0.2">
      <c r="A567" s="3"/>
      <c r="B567" s="3"/>
      <c r="C567" s="3"/>
      <c r="D567" s="3"/>
      <c r="E567" s="3"/>
      <c r="F567" s="3"/>
      <c r="G567" s="3"/>
      <c r="H567" s="3"/>
      <c r="I567" s="3"/>
      <c r="J567" s="3"/>
      <c r="K567" s="3"/>
    </row>
    <row r="568" spans="1:11" hidden="1" x14ac:dyDescent="0.2">
      <c r="A568" s="3"/>
      <c r="B568" s="3"/>
      <c r="C568" s="3"/>
      <c r="D568" s="3"/>
      <c r="E568" s="3"/>
      <c r="F568" s="3"/>
      <c r="G568" s="3"/>
      <c r="H568" s="3"/>
      <c r="I568" s="3"/>
      <c r="J568" s="3"/>
      <c r="K568" s="3"/>
    </row>
    <row r="569" spans="1:11" hidden="1" x14ac:dyDescent="0.2">
      <c r="A569" s="3"/>
      <c r="B569" s="3"/>
      <c r="C569" s="3"/>
      <c r="D569" s="3"/>
      <c r="E569" s="3"/>
      <c r="F569" s="3"/>
      <c r="G569" s="3"/>
      <c r="H569" s="3"/>
      <c r="I569" s="3"/>
      <c r="J569" s="3"/>
      <c r="K569" s="3"/>
    </row>
    <row r="570" spans="1:11" hidden="1" x14ac:dyDescent="0.2">
      <c r="A570" s="3"/>
      <c r="B570" s="3"/>
      <c r="C570" s="3"/>
      <c r="D570" s="3"/>
      <c r="E570" s="3"/>
      <c r="F570" s="3"/>
      <c r="G570" s="3"/>
      <c r="H570" s="3"/>
      <c r="I570" s="3"/>
      <c r="J570" s="3"/>
      <c r="K570" s="3"/>
    </row>
    <row r="571" spans="1:11" hidden="1" x14ac:dyDescent="0.2">
      <c r="A571" s="3"/>
      <c r="B571" s="3"/>
      <c r="C571" s="3"/>
      <c r="D571" s="3"/>
      <c r="E571" s="3"/>
      <c r="F571" s="3"/>
      <c r="G571" s="3"/>
      <c r="H571" s="3"/>
      <c r="I571" s="3"/>
      <c r="J571" s="3"/>
      <c r="K571" s="3"/>
    </row>
    <row r="572" spans="1:11" hidden="1" x14ac:dyDescent="0.2">
      <c r="A572" s="3"/>
      <c r="B572" s="3"/>
      <c r="C572" s="3"/>
      <c r="D572" s="3"/>
      <c r="E572" s="3"/>
      <c r="F572" s="3"/>
      <c r="G572" s="3"/>
      <c r="H572" s="3"/>
      <c r="I572" s="3"/>
      <c r="J572" s="3"/>
      <c r="K572" s="3"/>
    </row>
    <row r="573" spans="1:11" hidden="1" x14ac:dyDescent="0.2">
      <c r="A573" s="3"/>
      <c r="B573" s="3"/>
      <c r="C573" s="3"/>
      <c r="D573" s="3"/>
      <c r="E573" s="3"/>
      <c r="F573" s="3"/>
      <c r="G573" s="3"/>
      <c r="H573" s="3"/>
      <c r="I573" s="3"/>
      <c r="J573" s="3"/>
      <c r="K573" s="3"/>
    </row>
    <row r="574" spans="1:11" hidden="1" x14ac:dyDescent="0.2">
      <c r="A574" s="3"/>
      <c r="B574" s="3"/>
      <c r="C574" s="3"/>
      <c r="D574" s="3"/>
      <c r="E574" s="3"/>
      <c r="F574" s="3"/>
      <c r="G574" s="3"/>
      <c r="H574" s="3"/>
      <c r="I574" s="3"/>
      <c r="J574" s="3"/>
      <c r="K574" s="3"/>
    </row>
    <row r="575" spans="1:11" hidden="1" x14ac:dyDescent="0.2">
      <c r="A575" s="3"/>
      <c r="B575" s="3"/>
      <c r="C575" s="3"/>
      <c r="D575" s="3"/>
      <c r="E575" s="3"/>
      <c r="F575" s="3"/>
      <c r="G575" s="3"/>
      <c r="H575" s="3"/>
      <c r="I575" s="3"/>
      <c r="J575" s="3"/>
      <c r="K575" s="3"/>
    </row>
    <row r="576" spans="1:11" hidden="1" x14ac:dyDescent="0.2">
      <c r="A576" s="3"/>
      <c r="B576" s="3"/>
      <c r="C576" s="3"/>
      <c r="D576" s="3"/>
      <c r="E576" s="3"/>
      <c r="F576" s="3"/>
      <c r="G576" s="3"/>
      <c r="H576" s="3"/>
      <c r="I576" s="3"/>
      <c r="J576" s="3"/>
      <c r="K576" s="3"/>
    </row>
    <row r="577" spans="1:11" hidden="1" x14ac:dyDescent="0.2">
      <c r="A577" s="3"/>
      <c r="B577" s="3"/>
      <c r="C577" s="3"/>
      <c r="D577" s="3"/>
      <c r="E577" s="3"/>
      <c r="F577" s="3"/>
      <c r="G577" s="3"/>
      <c r="H577" s="3"/>
      <c r="I577" s="3"/>
      <c r="J577" s="3"/>
      <c r="K577" s="3"/>
    </row>
    <row r="578" spans="1:11" hidden="1" x14ac:dyDescent="0.2">
      <c r="A578" s="3"/>
      <c r="B578" s="3"/>
      <c r="C578" s="3"/>
      <c r="D578" s="3"/>
      <c r="E578" s="3"/>
      <c r="F578" s="3"/>
      <c r="G578" s="3"/>
      <c r="H578" s="3"/>
      <c r="I578" s="3"/>
      <c r="J578" s="3"/>
      <c r="K578" s="3"/>
    </row>
    <row r="579" spans="1:11" hidden="1" x14ac:dyDescent="0.2">
      <c r="A579" s="3"/>
      <c r="B579" s="3"/>
      <c r="C579" s="3"/>
      <c r="D579" s="3"/>
      <c r="E579" s="3"/>
      <c r="F579" s="3"/>
      <c r="G579" s="3"/>
      <c r="H579" s="3"/>
      <c r="I579" s="3"/>
      <c r="J579" s="3"/>
      <c r="K579" s="3"/>
    </row>
    <row r="580" spans="1:11" hidden="1" x14ac:dyDescent="0.2">
      <c r="A580" s="3"/>
      <c r="B580" s="3"/>
      <c r="C580" s="3"/>
      <c r="D580" s="3"/>
      <c r="E580" s="3"/>
      <c r="F580" s="3"/>
      <c r="G580" s="3"/>
      <c r="H580" s="3"/>
      <c r="I580" s="3"/>
      <c r="J580" s="3"/>
      <c r="K580" s="3"/>
    </row>
    <row r="581" spans="1:11" hidden="1" x14ac:dyDescent="0.2">
      <c r="A581" s="3"/>
      <c r="B581" s="3"/>
      <c r="C581" s="3"/>
      <c r="D581" s="3"/>
      <c r="E581" s="3"/>
      <c r="F581" s="3"/>
      <c r="G581" s="3"/>
      <c r="H581" s="3"/>
      <c r="I581" s="3"/>
      <c r="J581" s="3"/>
      <c r="K581" s="3"/>
    </row>
    <row r="582" spans="1:11" hidden="1" x14ac:dyDescent="0.2">
      <c r="A582" s="3"/>
      <c r="B582" s="3"/>
      <c r="C582" s="3"/>
      <c r="D582" s="3"/>
      <c r="E582" s="3"/>
      <c r="F582" s="3"/>
      <c r="G582" s="3"/>
      <c r="H582" s="3"/>
      <c r="I582" s="3"/>
      <c r="J582" s="3"/>
      <c r="K582" s="3"/>
    </row>
    <row r="583" spans="1:11" hidden="1" x14ac:dyDescent="0.2">
      <c r="A583" s="3"/>
      <c r="B583" s="3"/>
      <c r="C583" s="3"/>
      <c r="D583" s="3"/>
      <c r="E583" s="3"/>
      <c r="F583" s="3"/>
      <c r="G583" s="3"/>
      <c r="H583" s="3"/>
      <c r="I583" s="3"/>
      <c r="J583" s="3"/>
      <c r="K583" s="3"/>
    </row>
    <row r="584" spans="1:11" hidden="1" x14ac:dyDescent="0.2">
      <c r="A584" s="3"/>
      <c r="B584" s="3"/>
      <c r="C584" s="3"/>
      <c r="D584" s="3"/>
      <c r="E584" s="3"/>
      <c r="F584" s="3"/>
      <c r="G584" s="3"/>
      <c r="H584" s="3"/>
      <c r="I584" s="3"/>
      <c r="J584" s="3"/>
      <c r="K584" s="3"/>
    </row>
    <row r="585" spans="1:11" hidden="1" x14ac:dyDescent="0.2">
      <c r="A585" s="3"/>
      <c r="B585" s="3"/>
      <c r="C585" s="3"/>
      <c r="D585" s="3"/>
      <c r="E585" s="3"/>
      <c r="F585" s="3"/>
      <c r="G585" s="3"/>
      <c r="H585" s="3"/>
      <c r="I585" s="3"/>
      <c r="J585" s="3"/>
      <c r="K585" s="3"/>
    </row>
    <row r="586" spans="1:11" hidden="1" x14ac:dyDescent="0.2">
      <c r="A586" s="3"/>
      <c r="B586" s="3"/>
      <c r="C586" s="3"/>
      <c r="D586" s="3"/>
      <c r="E586" s="3"/>
      <c r="F586" s="3"/>
      <c r="G586" s="3"/>
      <c r="H586" s="3"/>
      <c r="I586" s="3"/>
      <c r="J586" s="3"/>
      <c r="K586" s="3"/>
    </row>
    <row r="587" spans="1:11" hidden="1" x14ac:dyDescent="0.2">
      <c r="A587" s="3"/>
      <c r="B587" s="3"/>
      <c r="C587" s="3"/>
      <c r="D587" s="3"/>
      <c r="E587" s="3"/>
      <c r="F587" s="3"/>
      <c r="G587" s="3"/>
      <c r="H587" s="3"/>
      <c r="I587" s="3"/>
      <c r="J587" s="3"/>
      <c r="K587" s="3"/>
    </row>
    <row r="588" spans="1:11" hidden="1" x14ac:dyDescent="0.2">
      <c r="A588" s="3"/>
      <c r="B588" s="3"/>
      <c r="C588" s="3"/>
      <c r="D588" s="3"/>
      <c r="E588" s="3"/>
      <c r="F588" s="3"/>
      <c r="G588" s="3"/>
      <c r="H588" s="3"/>
      <c r="I588" s="3"/>
      <c r="J588" s="3"/>
      <c r="K588" s="3"/>
    </row>
    <row r="589" spans="1:11" hidden="1" x14ac:dyDescent="0.2">
      <c r="A589" s="3"/>
      <c r="B589" s="3"/>
      <c r="C589" s="3"/>
      <c r="D589" s="3"/>
      <c r="E589" s="3"/>
      <c r="F589" s="3"/>
      <c r="G589" s="3"/>
      <c r="H589" s="3"/>
      <c r="I589" s="3"/>
      <c r="J589" s="3"/>
      <c r="K589" s="3"/>
    </row>
    <row r="590" spans="1:11" hidden="1" x14ac:dyDescent="0.2">
      <c r="A590" s="3"/>
      <c r="B590" s="3"/>
      <c r="C590" s="3"/>
      <c r="D590" s="3"/>
      <c r="E590" s="3"/>
      <c r="F590" s="3"/>
      <c r="G590" s="3"/>
      <c r="H590" s="3"/>
      <c r="I590" s="3"/>
      <c r="J590" s="3"/>
      <c r="K590" s="3"/>
    </row>
    <row r="591" spans="1:11" hidden="1" x14ac:dyDescent="0.2">
      <c r="A591" s="3"/>
      <c r="B591" s="3"/>
      <c r="C591" s="3"/>
      <c r="D591" s="3"/>
      <c r="E591" s="3"/>
      <c r="F591" s="3"/>
      <c r="G591" s="3"/>
      <c r="H591" s="3"/>
      <c r="I591" s="3"/>
      <c r="J591" s="3"/>
      <c r="K591" s="3"/>
    </row>
    <row r="592" spans="1:11" hidden="1" x14ac:dyDescent="0.2">
      <c r="A592" s="3"/>
      <c r="B592" s="3"/>
      <c r="C592" s="3"/>
      <c r="D592" s="3"/>
      <c r="E592" s="3"/>
      <c r="F592" s="3"/>
      <c r="G592" s="3"/>
      <c r="H592" s="3"/>
      <c r="I592" s="3"/>
      <c r="J592" s="3"/>
      <c r="K592" s="3"/>
    </row>
    <row r="593" spans="1:11" hidden="1" x14ac:dyDescent="0.2">
      <c r="A593" s="3"/>
      <c r="B593" s="3"/>
      <c r="C593" s="3"/>
      <c r="D593" s="3"/>
      <c r="E593" s="3"/>
      <c r="F593" s="3"/>
      <c r="G593" s="3"/>
      <c r="H593" s="3"/>
      <c r="I593" s="3"/>
      <c r="J593" s="3"/>
      <c r="K593" s="3"/>
    </row>
    <row r="594" spans="1:11" hidden="1" x14ac:dyDescent="0.2">
      <c r="A594" s="3"/>
      <c r="B594" s="3"/>
      <c r="C594" s="3"/>
      <c r="D594" s="3"/>
      <c r="E594" s="3"/>
      <c r="F594" s="3"/>
      <c r="G594" s="3"/>
      <c r="H594" s="3"/>
      <c r="I594" s="3"/>
      <c r="J594" s="3"/>
      <c r="K594" s="3"/>
    </row>
    <row r="595" spans="1:11" hidden="1" x14ac:dyDescent="0.2">
      <c r="A595" s="3"/>
      <c r="B595" s="3"/>
      <c r="C595" s="3"/>
      <c r="D595" s="3"/>
      <c r="E595" s="3"/>
      <c r="F595" s="3"/>
      <c r="G595" s="3"/>
      <c r="H595" s="3"/>
      <c r="I595" s="3"/>
      <c r="J595" s="3"/>
      <c r="K595" s="3"/>
    </row>
    <row r="596" spans="1:11" hidden="1" x14ac:dyDescent="0.2">
      <c r="A596" s="3"/>
      <c r="B596" s="3"/>
      <c r="C596" s="3"/>
      <c r="D596" s="3"/>
      <c r="E596" s="3"/>
      <c r="F596" s="3"/>
      <c r="G596" s="3"/>
      <c r="H596" s="3"/>
      <c r="I596" s="3"/>
      <c r="J596" s="3"/>
      <c r="K596" s="3"/>
    </row>
    <row r="597" spans="1:11" hidden="1" x14ac:dyDescent="0.2">
      <c r="A597" s="3"/>
      <c r="B597" s="3"/>
      <c r="C597" s="3"/>
      <c r="D597" s="3"/>
      <c r="E597" s="3"/>
      <c r="F597" s="3"/>
      <c r="G597" s="3"/>
      <c r="H597" s="3"/>
      <c r="I597" s="3"/>
      <c r="J597" s="3"/>
      <c r="K597" s="3"/>
    </row>
    <row r="598" spans="1:11" hidden="1" x14ac:dyDescent="0.2">
      <c r="A598" s="3"/>
      <c r="B598" s="3"/>
      <c r="C598" s="3"/>
      <c r="D598" s="3"/>
      <c r="E598" s="3"/>
      <c r="F598" s="3"/>
      <c r="G598" s="3"/>
      <c r="H598" s="3"/>
      <c r="I598" s="3"/>
      <c r="J598" s="3"/>
      <c r="K598" s="3"/>
    </row>
    <row r="599" spans="1:11" hidden="1" x14ac:dyDescent="0.2">
      <c r="A599" s="3"/>
      <c r="B599" s="3"/>
      <c r="C599" s="3"/>
      <c r="D599" s="3"/>
      <c r="E599" s="3"/>
      <c r="F599" s="3"/>
      <c r="G599" s="3"/>
      <c r="H599" s="3"/>
      <c r="I599" s="3"/>
      <c r="J599" s="3"/>
      <c r="K599" s="3"/>
    </row>
    <row r="600" spans="1:11" hidden="1" x14ac:dyDescent="0.2">
      <c r="A600" s="3"/>
      <c r="B600" s="3"/>
      <c r="C600" s="3"/>
      <c r="D600" s="3"/>
      <c r="E600" s="3"/>
      <c r="F600" s="3"/>
      <c r="G600" s="3"/>
      <c r="H600" s="3"/>
      <c r="I600" s="3"/>
      <c r="J600" s="3"/>
      <c r="K600" s="3"/>
    </row>
    <row r="601" spans="1:11" hidden="1" x14ac:dyDescent="0.2">
      <c r="A601" s="3"/>
      <c r="B601" s="3"/>
      <c r="C601" s="3"/>
      <c r="D601" s="3"/>
      <c r="E601" s="3"/>
      <c r="F601" s="3"/>
      <c r="G601" s="3"/>
      <c r="H601" s="3"/>
      <c r="I601" s="3"/>
      <c r="J601" s="3"/>
      <c r="K601" s="3"/>
    </row>
    <row r="602" spans="1:11" hidden="1" x14ac:dyDescent="0.2">
      <c r="A602" s="3"/>
      <c r="B602" s="3"/>
      <c r="C602" s="3"/>
      <c r="D602" s="3"/>
      <c r="E602" s="3"/>
      <c r="F602" s="3"/>
      <c r="G602" s="3"/>
      <c r="H602" s="3"/>
      <c r="I602" s="3"/>
      <c r="J602" s="3"/>
      <c r="K602" s="3"/>
    </row>
    <row r="603" spans="1:11" hidden="1" x14ac:dyDescent="0.2">
      <c r="A603" s="3"/>
      <c r="B603" s="3"/>
      <c r="C603" s="3"/>
      <c r="D603" s="3"/>
      <c r="E603" s="3"/>
      <c r="F603" s="3"/>
      <c r="G603" s="3"/>
      <c r="H603" s="3"/>
      <c r="I603" s="3"/>
      <c r="J603" s="3"/>
      <c r="K603" s="3"/>
    </row>
    <row r="604" spans="1:11" hidden="1" x14ac:dyDescent="0.2">
      <c r="A604" s="3"/>
      <c r="B604" s="3"/>
      <c r="C604" s="3"/>
      <c r="D604" s="3"/>
      <c r="E604" s="3"/>
      <c r="F604" s="3"/>
      <c r="G604" s="3"/>
      <c r="H604" s="3"/>
      <c r="I604" s="3"/>
      <c r="J604" s="3"/>
      <c r="K604" s="3"/>
    </row>
    <row r="605" spans="1:11" hidden="1" x14ac:dyDescent="0.2">
      <c r="A605" s="3"/>
      <c r="B605" s="3"/>
      <c r="C605" s="3"/>
      <c r="D605" s="3"/>
      <c r="E605" s="3"/>
      <c r="F605" s="3"/>
      <c r="G605" s="3"/>
      <c r="H605" s="3"/>
      <c r="I605" s="3"/>
      <c r="J605" s="3"/>
      <c r="K605" s="3"/>
    </row>
    <row r="606" spans="1:11" hidden="1" x14ac:dyDescent="0.2">
      <c r="A606" s="3"/>
      <c r="B606" s="3"/>
      <c r="C606" s="3"/>
      <c r="D606" s="3"/>
      <c r="E606" s="3"/>
      <c r="F606" s="3"/>
      <c r="G606" s="3"/>
      <c r="H606" s="3"/>
      <c r="I606" s="3"/>
      <c r="J606" s="3"/>
      <c r="K606" s="3"/>
    </row>
    <row r="607" spans="1:11" hidden="1" x14ac:dyDescent="0.2">
      <c r="A607" s="3"/>
      <c r="B607" s="3"/>
      <c r="C607" s="3"/>
      <c r="D607" s="3"/>
      <c r="E607" s="3"/>
      <c r="F607" s="3"/>
      <c r="G607" s="3"/>
      <c r="H607" s="3"/>
      <c r="I607" s="3"/>
      <c r="J607" s="3"/>
      <c r="K607" s="3"/>
    </row>
    <row r="608" spans="1:11" hidden="1" x14ac:dyDescent="0.2">
      <c r="A608" s="3"/>
      <c r="B608" s="3"/>
      <c r="C608" s="3"/>
      <c r="D608" s="3"/>
      <c r="E608" s="3"/>
      <c r="F608" s="3"/>
      <c r="G608" s="3"/>
      <c r="H608" s="3"/>
      <c r="I608" s="3"/>
      <c r="J608" s="3"/>
      <c r="K608" s="3"/>
    </row>
    <row r="609" spans="1:11" hidden="1" x14ac:dyDescent="0.2">
      <c r="A609" s="3"/>
      <c r="B609" s="3"/>
      <c r="C609" s="3"/>
      <c r="D609" s="3"/>
      <c r="E609" s="3"/>
      <c r="F609" s="3"/>
      <c r="G609" s="3"/>
      <c r="H609" s="3"/>
      <c r="I609" s="3"/>
      <c r="J609" s="3"/>
      <c r="K609" s="3"/>
    </row>
    <row r="610" spans="1:11" hidden="1" x14ac:dyDescent="0.2">
      <c r="A610" s="3"/>
      <c r="B610" s="3"/>
      <c r="C610" s="3"/>
      <c r="D610" s="3"/>
      <c r="E610" s="3"/>
      <c r="F610" s="3"/>
      <c r="G610" s="3"/>
      <c r="H610" s="3"/>
      <c r="I610" s="3"/>
      <c r="J610" s="3"/>
      <c r="K610" s="3"/>
    </row>
    <row r="611" spans="1:11" hidden="1" x14ac:dyDescent="0.2">
      <c r="A611" s="3"/>
      <c r="B611" s="3"/>
      <c r="C611" s="3"/>
      <c r="D611" s="3"/>
      <c r="E611" s="3"/>
      <c r="F611" s="3"/>
      <c r="G611" s="3"/>
      <c r="H611" s="3"/>
      <c r="I611" s="3"/>
      <c r="J611" s="3"/>
      <c r="K611" s="3"/>
    </row>
    <row r="612" spans="1:11" hidden="1" x14ac:dyDescent="0.2">
      <c r="A612" s="3"/>
      <c r="B612" s="3"/>
      <c r="C612" s="3"/>
      <c r="D612" s="3"/>
      <c r="E612" s="3"/>
      <c r="F612" s="3"/>
      <c r="G612" s="3"/>
      <c r="H612" s="3"/>
      <c r="I612" s="3"/>
      <c r="J612" s="3"/>
      <c r="K612" s="3"/>
    </row>
    <row r="613" spans="1:11" hidden="1" x14ac:dyDescent="0.2">
      <c r="A613" s="3"/>
      <c r="B613" s="3"/>
      <c r="C613" s="3"/>
      <c r="D613" s="3"/>
      <c r="E613" s="3"/>
      <c r="F613" s="3"/>
      <c r="G613" s="3"/>
      <c r="H613" s="3"/>
      <c r="I613" s="3"/>
      <c r="J613" s="3"/>
      <c r="K613" s="3"/>
    </row>
    <row r="614" spans="1:11" hidden="1" x14ac:dyDescent="0.2">
      <c r="A614" s="3"/>
      <c r="B614" s="3"/>
      <c r="C614" s="3"/>
      <c r="D614" s="3"/>
      <c r="E614" s="3"/>
      <c r="F614" s="3"/>
      <c r="G614" s="3"/>
      <c r="H614" s="3"/>
      <c r="I614" s="3"/>
      <c r="J614" s="3"/>
      <c r="K614" s="3"/>
    </row>
    <row r="615" spans="1:11" hidden="1" x14ac:dyDescent="0.2">
      <c r="A615" s="3"/>
      <c r="B615" s="3"/>
      <c r="C615" s="3"/>
      <c r="D615" s="3"/>
      <c r="E615" s="3"/>
      <c r="F615" s="3"/>
      <c r="G615" s="3"/>
      <c r="H615" s="3"/>
      <c r="I615" s="3"/>
      <c r="J615" s="3"/>
      <c r="K615" s="3"/>
    </row>
    <row r="616" spans="1:11" hidden="1" x14ac:dyDescent="0.2">
      <c r="A616" s="3"/>
      <c r="B616" s="3"/>
      <c r="C616" s="3"/>
      <c r="D616" s="3"/>
      <c r="E616" s="3"/>
      <c r="F616" s="3"/>
      <c r="G616" s="3"/>
      <c r="H616" s="3"/>
      <c r="I616" s="3"/>
      <c r="J616" s="3"/>
      <c r="K616" s="3"/>
    </row>
    <row r="617" spans="1:11" hidden="1" x14ac:dyDescent="0.2">
      <c r="A617" s="3"/>
      <c r="B617" s="3"/>
      <c r="C617" s="3"/>
      <c r="D617" s="3"/>
      <c r="E617" s="3"/>
      <c r="F617" s="3"/>
      <c r="G617" s="3"/>
      <c r="H617" s="3"/>
      <c r="I617" s="3"/>
      <c r="J617" s="3"/>
      <c r="K617" s="3"/>
    </row>
    <row r="618" spans="1:11" hidden="1" x14ac:dyDescent="0.2">
      <c r="A618" s="3"/>
      <c r="B618" s="3"/>
      <c r="C618" s="3"/>
      <c r="D618" s="3"/>
      <c r="E618" s="3"/>
      <c r="F618" s="3"/>
      <c r="G618" s="3"/>
      <c r="H618" s="3"/>
      <c r="I618" s="3"/>
      <c r="J618" s="3"/>
      <c r="K618" s="3"/>
    </row>
    <row r="619" spans="1:11" hidden="1" x14ac:dyDescent="0.2">
      <c r="A619" s="3"/>
      <c r="B619" s="3"/>
      <c r="C619" s="3"/>
      <c r="D619" s="3"/>
      <c r="E619" s="3"/>
      <c r="F619" s="3"/>
      <c r="G619" s="3"/>
      <c r="H619" s="3"/>
      <c r="I619" s="3"/>
      <c r="J619" s="3"/>
      <c r="K619" s="3"/>
    </row>
    <row r="620" spans="1:11" hidden="1" x14ac:dyDescent="0.2">
      <c r="A620" s="3"/>
      <c r="B620" s="3"/>
      <c r="C620" s="3"/>
      <c r="D620" s="3"/>
      <c r="E620" s="3"/>
      <c r="F620" s="3"/>
      <c r="G620" s="3"/>
      <c r="H620" s="3"/>
      <c r="I620" s="3"/>
      <c r="J620" s="3"/>
      <c r="K620" s="3"/>
    </row>
    <row r="621" spans="1:11" hidden="1" x14ac:dyDescent="0.2">
      <c r="A621" s="3"/>
      <c r="B621" s="3"/>
      <c r="C621" s="3"/>
      <c r="D621" s="3"/>
      <c r="E621" s="3"/>
      <c r="F621" s="3"/>
      <c r="G621" s="3"/>
      <c r="H621" s="3"/>
      <c r="I621" s="3"/>
      <c r="J621" s="3"/>
      <c r="K621" s="3"/>
    </row>
    <row r="622" spans="1:11" hidden="1" x14ac:dyDescent="0.2">
      <c r="A622" s="3"/>
      <c r="B622" s="3"/>
      <c r="C622" s="3"/>
      <c r="D622" s="3"/>
      <c r="E622" s="3"/>
      <c r="F622" s="3"/>
      <c r="G622" s="3"/>
      <c r="H622" s="3"/>
      <c r="I622" s="3"/>
      <c r="J622" s="3"/>
      <c r="K622" s="3"/>
    </row>
    <row r="623" spans="1:11" hidden="1" x14ac:dyDescent="0.2">
      <c r="A623" s="3"/>
      <c r="B623" s="3"/>
      <c r="C623" s="3"/>
      <c r="D623" s="3"/>
      <c r="E623" s="3"/>
      <c r="F623" s="3"/>
      <c r="G623" s="3"/>
      <c r="H623" s="3"/>
      <c r="I623" s="3"/>
      <c r="J623" s="3"/>
      <c r="K623" s="3"/>
    </row>
    <row r="624" spans="1:11" hidden="1" x14ac:dyDescent="0.2">
      <c r="A624" s="3"/>
      <c r="B624" s="3"/>
      <c r="C624" s="3"/>
      <c r="D624" s="3"/>
      <c r="E624" s="3"/>
      <c r="F624" s="3"/>
      <c r="G624" s="3"/>
      <c r="H624" s="3"/>
      <c r="I624" s="3"/>
      <c r="J624" s="3"/>
      <c r="K624" s="3"/>
    </row>
    <row r="625" spans="1:11" hidden="1" x14ac:dyDescent="0.2">
      <c r="A625" s="3"/>
      <c r="B625" s="3"/>
      <c r="C625" s="3"/>
      <c r="D625" s="3"/>
      <c r="E625" s="3"/>
      <c r="F625" s="3"/>
      <c r="G625" s="3"/>
      <c r="H625" s="3"/>
      <c r="I625" s="3"/>
      <c r="J625" s="3"/>
      <c r="K625" s="3"/>
    </row>
    <row r="626" spans="1:11" hidden="1" x14ac:dyDescent="0.2">
      <c r="A626" s="3"/>
      <c r="B626" s="3"/>
      <c r="C626" s="3"/>
      <c r="D626" s="3"/>
      <c r="E626" s="3"/>
      <c r="F626" s="3"/>
      <c r="G626" s="3"/>
      <c r="H626" s="3"/>
      <c r="I626" s="3"/>
      <c r="J626" s="3"/>
      <c r="K626" s="3"/>
    </row>
    <row r="627" spans="1:11" hidden="1" x14ac:dyDescent="0.2">
      <c r="A627" s="3"/>
      <c r="B627" s="3"/>
      <c r="C627" s="3"/>
      <c r="D627" s="3"/>
      <c r="E627" s="3"/>
      <c r="F627" s="3"/>
      <c r="G627" s="3"/>
      <c r="H627" s="3"/>
      <c r="I627" s="3"/>
      <c r="J627" s="3"/>
      <c r="K627" s="3"/>
    </row>
    <row r="628" spans="1:11" hidden="1" x14ac:dyDescent="0.2">
      <c r="A628" s="3"/>
      <c r="B628" s="3"/>
      <c r="C628" s="3"/>
      <c r="D628" s="3"/>
      <c r="E628" s="3"/>
      <c r="F628" s="3"/>
      <c r="G628" s="3"/>
      <c r="H628" s="3"/>
      <c r="I628" s="3"/>
      <c r="J628" s="3"/>
      <c r="K628" s="3"/>
    </row>
    <row r="629" spans="1:11" hidden="1" x14ac:dyDescent="0.2">
      <c r="A629" s="3"/>
      <c r="B629" s="3"/>
      <c r="C629" s="3"/>
      <c r="D629" s="3"/>
      <c r="E629" s="3"/>
      <c r="F629" s="3"/>
      <c r="G629" s="3"/>
      <c r="H629" s="3"/>
      <c r="I629" s="3"/>
      <c r="J629" s="3"/>
      <c r="K629" s="3"/>
    </row>
    <row r="630" spans="1:11" hidden="1" x14ac:dyDescent="0.2">
      <c r="A630" s="3"/>
      <c r="B630" s="3"/>
      <c r="C630" s="3"/>
      <c r="D630" s="3"/>
      <c r="E630" s="3"/>
      <c r="F630" s="3"/>
      <c r="G630" s="3"/>
      <c r="H630" s="3"/>
      <c r="I630" s="3"/>
      <c r="J630" s="3"/>
      <c r="K630" s="3"/>
    </row>
    <row r="631" spans="1:11" hidden="1" x14ac:dyDescent="0.2">
      <c r="A631" s="3"/>
      <c r="B631" s="3"/>
      <c r="C631" s="3"/>
      <c r="D631" s="3"/>
      <c r="E631" s="3"/>
      <c r="F631" s="3"/>
      <c r="G631" s="3"/>
      <c r="H631" s="3"/>
      <c r="I631" s="3"/>
      <c r="J631" s="3"/>
      <c r="K631" s="3"/>
    </row>
    <row r="632" spans="1:11" hidden="1" x14ac:dyDescent="0.2">
      <c r="A632" s="3"/>
      <c r="B632" s="3"/>
      <c r="C632" s="3"/>
      <c r="D632" s="3"/>
      <c r="E632" s="3"/>
      <c r="F632" s="3"/>
      <c r="G632" s="3"/>
      <c r="H632" s="3"/>
      <c r="I632" s="3"/>
      <c r="J632" s="3"/>
      <c r="K632" s="3"/>
    </row>
    <row r="633" spans="1:11" hidden="1" x14ac:dyDescent="0.2">
      <c r="A633" s="3"/>
      <c r="B633" s="3"/>
      <c r="C633" s="3"/>
      <c r="D633" s="3"/>
      <c r="E633" s="3"/>
      <c r="F633" s="3"/>
      <c r="G633" s="3"/>
      <c r="H633" s="3"/>
      <c r="I633" s="3"/>
      <c r="J633" s="3"/>
      <c r="K633" s="3"/>
    </row>
    <row r="634" spans="1:11" hidden="1" x14ac:dyDescent="0.2">
      <c r="A634" s="3"/>
      <c r="B634" s="3"/>
      <c r="C634" s="3"/>
      <c r="D634" s="3"/>
      <c r="E634" s="3"/>
      <c r="F634" s="3"/>
      <c r="G634" s="3"/>
      <c r="H634" s="3"/>
      <c r="I634" s="3"/>
      <c r="J634" s="3"/>
      <c r="K634" s="3"/>
    </row>
    <row r="635" spans="1:11" hidden="1" x14ac:dyDescent="0.2">
      <c r="A635" s="3"/>
      <c r="B635" s="3"/>
      <c r="C635" s="3"/>
      <c r="D635" s="3"/>
      <c r="E635" s="3"/>
      <c r="F635" s="3"/>
      <c r="G635" s="3"/>
      <c r="H635" s="3"/>
      <c r="I635" s="3"/>
      <c r="J635" s="3"/>
      <c r="K635" s="3"/>
    </row>
    <row r="636" spans="1:11" hidden="1" x14ac:dyDescent="0.2">
      <c r="A636" s="3"/>
      <c r="B636" s="3"/>
      <c r="C636" s="3"/>
      <c r="D636" s="3"/>
      <c r="E636" s="3"/>
      <c r="F636" s="3"/>
      <c r="G636" s="3"/>
      <c r="H636" s="3"/>
      <c r="I636" s="3"/>
      <c r="J636" s="3"/>
      <c r="K636" s="3"/>
    </row>
    <row r="637" spans="1:11" hidden="1" x14ac:dyDescent="0.2">
      <c r="A637" s="3"/>
      <c r="B637" s="3"/>
      <c r="C637" s="3"/>
      <c r="D637" s="3"/>
      <c r="E637" s="3"/>
      <c r="F637" s="3"/>
      <c r="G637" s="3"/>
      <c r="H637" s="3"/>
      <c r="I637" s="3"/>
      <c r="J637" s="3"/>
      <c r="K637" s="3"/>
    </row>
    <row r="638" spans="1:11" hidden="1" x14ac:dyDescent="0.2">
      <c r="A638" s="3"/>
      <c r="B638" s="3"/>
      <c r="C638" s="3"/>
      <c r="D638" s="3"/>
      <c r="E638" s="3"/>
      <c r="F638" s="3"/>
      <c r="G638" s="3"/>
      <c r="H638" s="3"/>
      <c r="I638" s="3"/>
      <c r="J638" s="3"/>
      <c r="K638" s="3"/>
    </row>
    <row r="639" spans="1:11" hidden="1" x14ac:dyDescent="0.2">
      <c r="A639" s="3"/>
      <c r="B639" s="3"/>
      <c r="C639" s="3"/>
      <c r="D639" s="3"/>
      <c r="E639" s="3"/>
      <c r="F639" s="3"/>
      <c r="G639" s="3"/>
      <c r="H639" s="3"/>
      <c r="I639" s="3"/>
      <c r="J639" s="3"/>
      <c r="K639" s="3"/>
    </row>
    <row r="640" spans="1:11" hidden="1" x14ac:dyDescent="0.2">
      <c r="A640" s="3"/>
      <c r="B640" s="3"/>
      <c r="C640" s="3"/>
      <c r="D640" s="3"/>
      <c r="E640" s="3"/>
      <c r="F640" s="3"/>
      <c r="G640" s="3"/>
      <c r="H640" s="3"/>
      <c r="I640" s="3"/>
      <c r="J640" s="3"/>
      <c r="K640" s="3"/>
    </row>
    <row r="641" spans="1:11" hidden="1" x14ac:dyDescent="0.2">
      <c r="A641" s="3"/>
      <c r="B641" s="3"/>
      <c r="C641" s="3"/>
      <c r="D641" s="3"/>
      <c r="E641" s="3"/>
      <c r="F641" s="3"/>
      <c r="G641" s="3"/>
      <c r="H641" s="3"/>
      <c r="I641" s="3"/>
      <c r="J641" s="3"/>
      <c r="K641" s="3"/>
    </row>
    <row r="642" spans="1:11" hidden="1" x14ac:dyDescent="0.2">
      <c r="A642" s="3"/>
      <c r="B642" s="3"/>
      <c r="C642" s="3"/>
      <c r="D642" s="3"/>
      <c r="E642" s="3"/>
      <c r="F642" s="3"/>
      <c r="G642" s="3"/>
      <c r="H642" s="3"/>
      <c r="I642" s="3"/>
      <c r="J642" s="3"/>
      <c r="K642" s="3"/>
    </row>
    <row r="643" spans="1:11" hidden="1" x14ac:dyDescent="0.2">
      <c r="A643" s="3"/>
      <c r="B643" s="3"/>
      <c r="C643" s="3"/>
      <c r="D643" s="3"/>
      <c r="E643" s="3"/>
      <c r="F643" s="3"/>
      <c r="G643" s="3"/>
      <c r="H643" s="3"/>
      <c r="I643" s="3"/>
      <c r="J643" s="3"/>
      <c r="K643" s="3"/>
    </row>
    <row r="644" spans="1:11" hidden="1" x14ac:dyDescent="0.2">
      <c r="A644" s="3"/>
      <c r="B644" s="3"/>
      <c r="C644" s="3"/>
      <c r="D644" s="3"/>
      <c r="E644" s="3"/>
      <c r="F644" s="3"/>
      <c r="G644" s="3"/>
      <c r="H644" s="3"/>
      <c r="I644" s="3"/>
      <c r="J644" s="3"/>
      <c r="K644" s="3"/>
    </row>
    <row r="645" spans="1:11" hidden="1" x14ac:dyDescent="0.2">
      <c r="A645" s="3"/>
      <c r="B645" s="3"/>
      <c r="C645" s="3"/>
      <c r="D645" s="3"/>
      <c r="E645" s="3"/>
      <c r="F645" s="3"/>
      <c r="G645" s="3"/>
      <c r="H645" s="3"/>
      <c r="I645" s="3"/>
      <c r="J645" s="3"/>
      <c r="K645" s="3"/>
    </row>
    <row r="646" spans="1:11" hidden="1" x14ac:dyDescent="0.2">
      <c r="A646" s="3"/>
      <c r="B646" s="3"/>
      <c r="C646" s="3"/>
      <c r="D646" s="3"/>
      <c r="E646" s="3"/>
      <c r="F646" s="3"/>
      <c r="G646" s="3"/>
      <c r="H646" s="3"/>
      <c r="I646" s="3"/>
      <c r="J646" s="3"/>
      <c r="K646" s="3"/>
    </row>
    <row r="647" spans="1:11" hidden="1" x14ac:dyDescent="0.2">
      <c r="A647" s="3"/>
      <c r="B647" s="3"/>
      <c r="C647" s="3"/>
      <c r="D647" s="3"/>
      <c r="E647" s="3"/>
      <c r="F647" s="3"/>
      <c r="G647" s="3"/>
      <c r="H647" s="3"/>
      <c r="I647" s="3"/>
      <c r="J647" s="3"/>
      <c r="K647" s="3"/>
    </row>
    <row r="648" spans="1:11" hidden="1" x14ac:dyDescent="0.2">
      <c r="A648" s="3"/>
      <c r="B648" s="3"/>
      <c r="C648" s="3"/>
      <c r="D648" s="3"/>
      <c r="E648" s="3"/>
      <c r="F648" s="3"/>
      <c r="G648" s="3"/>
      <c r="H648" s="3"/>
      <c r="I648" s="3"/>
      <c r="J648" s="3"/>
      <c r="K648" s="3"/>
    </row>
    <row r="649" spans="1:11" hidden="1" x14ac:dyDescent="0.2">
      <c r="A649" s="3"/>
      <c r="B649" s="3"/>
      <c r="C649" s="3"/>
      <c r="D649" s="3"/>
      <c r="E649" s="3"/>
      <c r="F649" s="3"/>
      <c r="G649" s="3"/>
      <c r="H649" s="3"/>
      <c r="I649" s="3"/>
      <c r="J649" s="3"/>
      <c r="K649" s="3"/>
    </row>
    <row r="650" spans="1:11" hidden="1" x14ac:dyDescent="0.2">
      <c r="A650" s="3"/>
      <c r="B650" s="3"/>
      <c r="C650" s="3"/>
      <c r="D650" s="3"/>
      <c r="E650" s="3"/>
      <c r="F650" s="3"/>
      <c r="G650" s="3"/>
      <c r="H650" s="3"/>
      <c r="I650" s="3"/>
      <c r="J650" s="3"/>
      <c r="K650" s="3"/>
    </row>
    <row r="651" spans="1:11" hidden="1" x14ac:dyDescent="0.2">
      <c r="A651" s="3"/>
      <c r="B651" s="3"/>
      <c r="C651" s="3"/>
      <c r="D651" s="3"/>
      <c r="E651" s="3"/>
      <c r="F651" s="3"/>
      <c r="G651" s="3"/>
      <c r="H651" s="3"/>
      <c r="I651" s="3"/>
      <c r="J651" s="3"/>
      <c r="K651" s="3"/>
    </row>
    <row r="652" spans="1:11" hidden="1" x14ac:dyDescent="0.2">
      <c r="A652" s="3"/>
      <c r="B652" s="3"/>
      <c r="C652" s="3"/>
      <c r="D652" s="3"/>
      <c r="E652" s="3"/>
      <c r="F652" s="3"/>
      <c r="G652" s="3"/>
      <c r="H652" s="3"/>
      <c r="I652" s="3"/>
      <c r="J652" s="3"/>
      <c r="K652" s="3"/>
    </row>
    <row r="653" spans="1:11" hidden="1" x14ac:dyDescent="0.2">
      <c r="A653" s="3"/>
      <c r="B653" s="3"/>
      <c r="C653" s="3"/>
      <c r="D653" s="3"/>
      <c r="E653" s="3"/>
      <c r="F653" s="3"/>
      <c r="G653" s="3"/>
      <c r="H653" s="3"/>
      <c r="I653" s="3"/>
      <c r="J653" s="3"/>
      <c r="K653" s="3"/>
    </row>
    <row r="654" spans="1:11" hidden="1" x14ac:dyDescent="0.2">
      <c r="A654" s="3"/>
      <c r="B654" s="3"/>
      <c r="C654" s="3"/>
      <c r="D654" s="3"/>
      <c r="E654" s="3"/>
      <c r="F654" s="3"/>
      <c r="G654" s="3"/>
      <c r="H654" s="3"/>
      <c r="I654" s="3"/>
      <c r="J654" s="3"/>
      <c r="K654" s="3"/>
    </row>
    <row r="655" spans="1:11" hidden="1" x14ac:dyDescent="0.2">
      <c r="A655" s="3"/>
      <c r="B655" s="3"/>
      <c r="C655" s="3"/>
      <c r="D655" s="3"/>
      <c r="E655" s="3"/>
      <c r="F655" s="3"/>
      <c r="G655" s="3"/>
      <c r="H655" s="3"/>
      <c r="I655" s="3"/>
      <c r="J655" s="3"/>
      <c r="K655" s="3"/>
    </row>
    <row r="656" spans="1:11" hidden="1" x14ac:dyDescent="0.2">
      <c r="A656" s="3"/>
      <c r="B656" s="3"/>
      <c r="C656" s="3"/>
      <c r="D656" s="3"/>
      <c r="E656" s="3"/>
      <c r="F656" s="3"/>
      <c r="G656" s="3"/>
      <c r="H656" s="3"/>
      <c r="I656" s="3"/>
      <c r="J656" s="3"/>
      <c r="K656" s="3"/>
    </row>
    <row r="657" spans="1:11" hidden="1" x14ac:dyDescent="0.2">
      <c r="A657" s="3"/>
      <c r="B657" s="3"/>
      <c r="C657" s="3"/>
      <c r="D657" s="3"/>
      <c r="E657" s="3"/>
      <c r="F657" s="3"/>
      <c r="G657" s="3"/>
      <c r="H657" s="3"/>
      <c r="I657" s="3"/>
      <c r="J657" s="3"/>
      <c r="K657" s="3"/>
    </row>
    <row r="658" spans="1:11" hidden="1" x14ac:dyDescent="0.2">
      <c r="A658" s="3"/>
      <c r="B658" s="3"/>
      <c r="C658" s="3"/>
      <c r="D658" s="3"/>
      <c r="E658" s="3"/>
      <c r="F658" s="3"/>
      <c r="G658" s="3"/>
      <c r="H658" s="3"/>
      <c r="I658" s="3"/>
      <c r="J658" s="3"/>
      <c r="K658" s="3"/>
    </row>
    <row r="659" spans="1:11" hidden="1" x14ac:dyDescent="0.2">
      <c r="A659" s="3"/>
      <c r="B659" s="3"/>
      <c r="C659" s="3"/>
      <c r="D659" s="3"/>
      <c r="E659" s="3"/>
      <c r="F659" s="3"/>
      <c r="G659" s="3"/>
      <c r="H659" s="3"/>
      <c r="I659" s="3"/>
      <c r="J659" s="3"/>
      <c r="K659" s="3"/>
    </row>
    <row r="660" spans="1:11" hidden="1" x14ac:dyDescent="0.2">
      <c r="A660" s="3"/>
      <c r="B660" s="3"/>
      <c r="C660" s="3"/>
      <c r="D660" s="3"/>
      <c r="E660" s="3"/>
      <c r="F660" s="3"/>
      <c r="G660" s="3"/>
      <c r="H660" s="3"/>
      <c r="I660" s="3"/>
      <c r="J660" s="3"/>
      <c r="K660" s="3"/>
    </row>
    <row r="661" spans="1:11" hidden="1" x14ac:dyDescent="0.2">
      <c r="A661" s="3"/>
      <c r="B661" s="3"/>
      <c r="C661" s="3"/>
      <c r="D661" s="3"/>
      <c r="E661" s="3"/>
      <c r="F661" s="3"/>
      <c r="G661" s="3"/>
      <c r="H661" s="3"/>
      <c r="I661" s="3"/>
      <c r="J661" s="3"/>
      <c r="K661" s="3"/>
    </row>
    <row r="662" spans="1:11" hidden="1" x14ac:dyDescent="0.2">
      <c r="A662" s="3"/>
      <c r="B662" s="3"/>
      <c r="C662" s="3"/>
      <c r="D662" s="3"/>
      <c r="E662" s="3"/>
      <c r="F662" s="3"/>
      <c r="G662" s="3"/>
      <c r="H662" s="3"/>
      <c r="I662" s="3"/>
      <c r="J662" s="3"/>
      <c r="K662" s="3"/>
    </row>
    <row r="663" spans="1:11" hidden="1" x14ac:dyDescent="0.2">
      <c r="A663" s="3"/>
      <c r="B663" s="3"/>
      <c r="C663" s="3"/>
      <c r="D663" s="3"/>
      <c r="E663" s="3"/>
      <c r="F663" s="3"/>
      <c r="G663" s="3"/>
      <c r="H663" s="3"/>
      <c r="I663" s="3"/>
      <c r="J663" s="3"/>
      <c r="K663" s="3"/>
    </row>
    <row r="664" spans="1:11" hidden="1" x14ac:dyDescent="0.2">
      <c r="A664" s="3"/>
      <c r="B664" s="3"/>
      <c r="C664" s="3"/>
      <c r="D664" s="3"/>
      <c r="E664" s="3"/>
      <c r="F664" s="3"/>
      <c r="G664" s="3"/>
      <c r="H664" s="3"/>
      <c r="I664" s="3"/>
      <c r="J664" s="3"/>
      <c r="K664" s="3"/>
    </row>
    <row r="665" spans="1:11" hidden="1" x14ac:dyDescent="0.2">
      <c r="A665" s="3"/>
      <c r="B665" s="3"/>
      <c r="C665" s="3"/>
      <c r="D665" s="3"/>
      <c r="E665" s="3"/>
      <c r="F665" s="3"/>
      <c r="G665" s="3"/>
      <c r="H665" s="3"/>
      <c r="I665" s="3"/>
      <c r="J665" s="3"/>
      <c r="K665" s="3"/>
    </row>
    <row r="666" spans="1:11" hidden="1" x14ac:dyDescent="0.2">
      <c r="A666" s="3"/>
      <c r="B666" s="3"/>
      <c r="C666" s="3"/>
      <c r="D666" s="3"/>
      <c r="E666" s="3"/>
      <c r="F666" s="3"/>
      <c r="G666" s="3"/>
      <c r="H666" s="3"/>
      <c r="I666" s="3"/>
      <c r="J666" s="3"/>
      <c r="K666" s="3"/>
    </row>
    <row r="667" spans="1:11" hidden="1" x14ac:dyDescent="0.2">
      <c r="A667" s="3"/>
      <c r="B667" s="3"/>
      <c r="C667" s="3"/>
      <c r="D667" s="3"/>
      <c r="E667" s="3"/>
      <c r="F667" s="3"/>
      <c r="G667" s="3"/>
      <c r="H667" s="3"/>
      <c r="I667" s="3"/>
      <c r="J667" s="3"/>
      <c r="K667" s="3"/>
    </row>
    <row r="668" spans="1:11" hidden="1" x14ac:dyDescent="0.2">
      <c r="A668" s="3"/>
      <c r="B668" s="3"/>
      <c r="C668" s="3"/>
      <c r="D668" s="3"/>
      <c r="E668" s="3"/>
      <c r="F668" s="3"/>
      <c r="G668" s="3"/>
      <c r="H668" s="3"/>
      <c r="I668" s="3"/>
      <c r="J668" s="3"/>
      <c r="K668" s="3"/>
    </row>
    <row r="669" spans="1:11" hidden="1" x14ac:dyDescent="0.2">
      <c r="A669" s="3"/>
      <c r="B669" s="3"/>
      <c r="C669" s="3"/>
      <c r="D669" s="3"/>
      <c r="E669" s="3"/>
      <c r="F669" s="3"/>
      <c r="G669" s="3"/>
      <c r="H669" s="3"/>
      <c r="I669" s="3"/>
      <c r="J669" s="3"/>
      <c r="K669" s="3"/>
    </row>
    <row r="670" spans="1:11" hidden="1" x14ac:dyDescent="0.2">
      <c r="A670" s="3"/>
      <c r="B670" s="3"/>
      <c r="C670" s="3"/>
      <c r="D670" s="3"/>
      <c r="E670" s="3"/>
      <c r="F670" s="3"/>
      <c r="G670" s="3"/>
      <c r="H670" s="3"/>
      <c r="I670" s="3"/>
      <c r="J670" s="3"/>
      <c r="K670" s="3"/>
    </row>
    <row r="671" spans="1:11" hidden="1" x14ac:dyDescent="0.2">
      <c r="A671" s="3"/>
      <c r="B671" s="3"/>
      <c r="C671" s="3"/>
      <c r="D671" s="3"/>
      <c r="E671" s="3"/>
      <c r="F671" s="3"/>
      <c r="G671" s="3"/>
      <c r="H671" s="3"/>
      <c r="I671" s="3"/>
      <c r="J671" s="3"/>
      <c r="K671" s="3"/>
    </row>
    <row r="672" spans="1:11" hidden="1" x14ac:dyDescent="0.2">
      <c r="A672" s="3"/>
      <c r="B672" s="3"/>
      <c r="C672" s="3"/>
      <c r="D672" s="3"/>
      <c r="E672" s="3"/>
      <c r="F672" s="3"/>
      <c r="G672" s="3"/>
      <c r="H672" s="3"/>
      <c r="I672" s="3"/>
      <c r="J672" s="3"/>
      <c r="K672" s="3"/>
    </row>
    <row r="673" spans="1:11" hidden="1" x14ac:dyDescent="0.2">
      <c r="A673" s="3"/>
      <c r="B673" s="3"/>
      <c r="C673" s="3"/>
      <c r="D673" s="3"/>
      <c r="E673" s="3"/>
      <c r="F673" s="3"/>
      <c r="G673" s="3"/>
      <c r="H673" s="3"/>
      <c r="I673" s="3"/>
      <c r="J673" s="3"/>
      <c r="K673" s="3"/>
    </row>
    <row r="674" spans="1:11" hidden="1" x14ac:dyDescent="0.2">
      <c r="A674" s="3"/>
      <c r="B674" s="3"/>
      <c r="C674" s="3"/>
      <c r="D674" s="3"/>
      <c r="E674" s="3"/>
      <c r="F674" s="3"/>
      <c r="G674" s="3"/>
      <c r="H674" s="3"/>
      <c r="I674" s="3"/>
      <c r="J674" s="3"/>
      <c r="K674" s="3"/>
    </row>
    <row r="675" spans="1:11" hidden="1" x14ac:dyDescent="0.2">
      <c r="A675" s="3"/>
      <c r="B675" s="3"/>
      <c r="C675" s="3"/>
      <c r="D675" s="3"/>
      <c r="E675" s="3"/>
      <c r="F675" s="3"/>
      <c r="G675" s="3"/>
      <c r="H675" s="3"/>
      <c r="I675" s="3"/>
      <c r="J675" s="3"/>
      <c r="K675" s="3"/>
    </row>
    <row r="676" spans="1:11" hidden="1" x14ac:dyDescent="0.2">
      <c r="A676" s="3"/>
      <c r="B676" s="3"/>
      <c r="C676" s="3"/>
      <c r="D676" s="3"/>
      <c r="E676" s="3"/>
      <c r="F676" s="3"/>
      <c r="G676" s="3"/>
      <c r="H676" s="3"/>
      <c r="I676" s="3"/>
      <c r="J676" s="3"/>
      <c r="K676" s="3"/>
    </row>
    <row r="677" spans="1:11" hidden="1" x14ac:dyDescent="0.2">
      <c r="A677" s="3"/>
      <c r="B677" s="3"/>
      <c r="C677" s="3"/>
      <c r="D677" s="3"/>
      <c r="E677" s="3"/>
      <c r="F677" s="3"/>
      <c r="G677" s="3"/>
      <c r="H677" s="3"/>
      <c r="I677" s="3"/>
      <c r="J677" s="3"/>
      <c r="K677" s="3"/>
    </row>
    <row r="678" spans="1:11" hidden="1" x14ac:dyDescent="0.2">
      <c r="A678" s="3"/>
      <c r="B678" s="3"/>
      <c r="C678" s="3"/>
      <c r="D678" s="3"/>
      <c r="E678" s="3"/>
      <c r="F678" s="3"/>
      <c r="G678" s="3"/>
      <c r="H678" s="3"/>
      <c r="I678" s="3"/>
      <c r="J678" s="3"/>
      <c r="K678" s="3"/>
    </row>
    <row r="679" spans="1:11" hidden="1" x14ac:dyDescent="0.2">
      <c r="A679" s="3"/>
      <c r="B679" s="3"/>
      <c r="C679" s="3"/>
      <c r="D679" s="3"/>
      <c r="E679" s="3"/>
      <c r="F679" s="3"/>
      <c r="G679" s="3"/>
      <c r="H679" s="3"/>
      <c r="I679" s="3"/>
      <c r="J679" s="3"/>
      <c r="K679" s="3"/>
    </row>
    <row r="680" spans="1:11" hidden="1" x14ac:dyDescent="0.2">
      <c r="A680" s="3"/>
      <c r="B680" s="3"/>
      <c r="C680" s="3"/>
      <c r="D680" s="3"/>
      <c r="E680" s="3"/>
      <c r="F680" s="3"/>
      <c r="G680" s="3"/>
      <c r="H680" s="3"/>
      <c r="I680" s="3"/>
      <c r="J680" s="3"/>
      <c r="K680" s="3"/>
    </row>
    <row r="681" spans="1:11" hidden="1" x14ac:dyDescent="0.2">
      <c r="A681" s="3"/>
      <c r="B681" s="3"/>
      <c r="C681" s="3"/>
      <c r="D681" s="3"/>
      <c r="E681" s="3"/>
      <c r="F681" s="3"/>
      <c r="G681" s="3"/>
      <c r="H681" s="3"/>
      <c r="I681" s="3"/>
      <c r="J681" s="3"/>
      <c r="K681" s="3"/>
    </row>
    <row r="682" spans="1:11" hidden="1" x14ac:dyDescent="0.2">
      <c r="A682" s="3"/>
      <c r="B682" s="3"/>
      <c r="C682" s="3"/>
      <c r="D682" s="3"/>
      <c r="E682" s="3"/>
      <c r="F682" s="3"/>
      <c r="G682" s="3"/>
      <c r="H682" s="3"/>
      <c r="I682" s="3"/>
      <c r="J682" s="3"/>
      <c r="K682" s="3"/>
    </row>
    <row r="683" spans="1:11" hidden="1" x14ac:dyDescent="0.2">
      <c r="A683" s="3"/>
      <c r="B683" s="3"/>
      <c r="C683" s="3"/>
      <c r="D683" s="3"/>
      <c r="E683" s="3"/>
      <c r="F683" s="3"/>
      <c r="G683" s="3"/>
      <c r="H683" s="3"/>
      <c r="I683" s="3"/>
      <c r="J683" s="3"/>
      <c r="K683" s="3"/>
    </row>
    <row r="684" spans="1:11" hidden="1" x14ac:dyDescent="0.2">
      <c r="A684" s="3"/>
      <c r="B684" s="3"/>
      <c r="C684" s="3"/>
      <c r="D684" s="3"/>
      <c r="E684" s="3"/>
      <c r="F684" s="3"/>
      <c r="G684" s="3"/>
      <c r="H684" s="3"/>
      <c r="I684" s="3"/>
      <c r="J684" s="3"/>
      <c r="K684" s="3"/>
    </row>
    <row r="685" spans="1:11" hidden="1" x14ac:dyDescent="0.2">
      <c r="A685" s="3"/>
      <c r="B685" s="3"/>
      <c r="C685" s="3"/>
      <c r="D685" s="3"/>
      <c r="E685" s="3"/>
      <c r="F685" s="3"/>
      <c r="G685" s="3"/>
      <c r="H685" s="3"/>
      <c r="I685" s="3"/>
      <c r="J685" s="3"/>
      <c r="K685" s="3"/>
    </row>
    <row r="686" spans="1:11" hidden="1" x14ac:dyDescent="0.2">
      <c r="A686" s="3"/>
      <c r="B686" s="3"/>
      <c r="C686" s="3"/>
      <c r="D686" s="3"/>
      <c r="E686" s="3"/>
      <c r="F686" s="3"/>
      <c r="G686" s="3"/>
      <c r="H686" s="3"/>
      <c r="I686" s="3"/>
      <c r="J686" s="3"/>
      <c r="K686" s="3"/>
    </row>
    <row r="687" spans="1:11" hidden="1" x14ac:dyDescent="0.2">
      <c r="A687" s="3"/>
      <c r="B687" s="3"/>
      <c r="C687" s="3"/>
      <c r="D687" s="3"/>
      <c r="E687" s="3"/>
      <c r="F687" s="3"/>
      <c r="G687" s="3"/>
      <c r="H687" s="3"/>
      <c r="I687" s="3"/>
      <c r="J687" s="3"/>
      <c r="K687" s="3"/>
    </row>
    <row r="688" spans="1:11" hidden="1" x14ac:dyDescent="0.2">
      <c r="A688" s="3"/>
      <c r="B688" s="3"/>
      <c r="C688" s="3"/>
      <c r="D688" s="3"/>
      <c r="E688" s="3"/>
      <c r="F688" s="3"/>
      <c r="G688" s="3"/>
      <c r="H688" s="3"/>
      <c r="I688" s="3"/>
      <c r="J688" s="3"/>
      <c r="K688" s="3"/>
    </row>
    <row r="689" spans="1:11" hidden="1" x14ac:dyDescent="0.2">
      <c r="A689" s="3"/>
      <c r="B689" s="3"/>
      <c r="C689" s="3"/>
      <c r="D689" s="3"/>
      <c r="E689" s="3"/>
      <c r="F689" s="3"/>
      <c r="G689" s="3"/>
      <c r="H689" s="3"/>
      <c r="I689" s="3"/>
      <c r="J689" s="3"/>
      <c r="K689" s="3"/>
    </row>
    <row r="690" spans="1:11" hidden="1" x14ac:dyDescent="0.2">
      <c r="A690" s="3"/>
      <c r="B690" s="3"/>
      <c r="C690" s="3"/>
      <c r="D690" s="3"/>
      <c r="E690" s="3"/>
      <c r="F690" s="3"/>
      <c r="G690" s="3"/>
      <c r="H690" s="3"/>
      <c r="I690" s="3"/>
      <c r="J690" s="3"/>
      <c r="K690" s="3"/>
    </row>
    <row r="691" spans="1:11" hidden="1" x14ac:dyDescent="0.2">
      <c r="A691" s="3"/>
      <c r="B691" s="3"/>
      <c r="C691" s="3"/>
      <c r="D691" s="3"/>
      <c r="E691" s="3"/>
      <c r="F691" s="3"/>
      <c r="G691" s="3"/>
      <c r="H691" s="3"/>
      <c r="I691" s="3"/>
      <c r="J691" s="3"/>
      <c r="K691" s="3"/>
    </row>
    <row r="692" spans="1:11" hidden="1" x14ac:dyDescent="0.2">
      <c r="A692" s="3"/>
      <c r="B692" s="3"/>
      <c r="C692" s="3"/>
      <c r="D692" s="3"/>
      <c r="E692" s="3"/>
      <c r="F692" s="3"/>
      <c r="G692" s="3"/>
      <c r="H692" s="3"/>
      <c r="I692" s="3"/>
      <c r="J692" s="3"/>
      <c r="K692" s="3"/>
    </row>
    <row r="693" spans="1:11" hidden="1" x14ac:dyDescent="0.2">
      <c r="A693" s="3"/>
      <c r="B693" s="3"/>
      <c r="C693" s="3"/>
      <c r="D693" s="3"/>
      <c r="E693" s="3"/>
      <c r="F693" s="3"/>
      <c r="G693" s="3"/>
      <c r="H693" s="3"/>
      <c r="I693" s="3"/>
      <c r="J693" s="3"/>
      <c r="K693" s="3"/>
    </row>
    <row r="694" spans="1:11" hidden="1" x14ac:dyDescent="0.2">
      <c r="A694" s="3"/>
      <c r="B694" s="3"/>
      <c r="C694" s="3"/>
      <c r="D694" s="3"/>
      <c r="E694" s="3"/>
      <c r="F694" s="3"/>
      <c r="G694" s="3"/>
      <c r="H694" s="3"/>
      <c r="I694" s="3"/>
      <c r="J694" s="3"/>
      <c r="K694" s="3"/>
    </row>
    <row r="695" spans="1:11" hidden="1" x14ac:dyDescent="0.2">
      <c r="A695" s="3"/>
      <c r="B695" s="3"/>
      <c r="C695" s="3"/>
      <c r="D695" s="3"/>
      <c r="E695" s="3"/>
      <c r="F695" s="3"/>
      <c r="G695" s="3"/>
      <c r="H695" s="3"/>
      <c r="I695" s="3"/>
      <c r="J695" s="3"/>
      <c r="K695" s="3"/>
    </row>
    <row r="696" spans="1:11" hidden="1" x14ac:dyDescent="0.2">
      <c r="A696" s="3"/>
      <c r="B696" s="3"/>
      <c r="C696" s="3"/>
      <c r="D696" s="3"/>
      <c r="E696" s="3"/>
      <c r="F696" s="3"/>
      <c r="G696" s="3"/>
      <c r="H696" s="3"/>
      <c r="I696" s="3"/>
      <c r="J696" s="3"/>
      <c r="K696" s="3"/>
    </row>
    <row r="697" spans="1:11" hidden="1" x14ac:dyDescent="0.2">
      <c r="A697" s="3"/>
      <c r="B697" s="3"/>
      <c r="C697" s="3"/>
      <c r="D697" s="3"/>
      <c r="E697" s="3"/>
      <c r="F697" s="3"/>
      <c r="G697" s="3"/>
      <c r="H697" s="3"/>
      <c r="I697" s="3"/>
      <c r="J697" s="3"/>
      <c r="K697" s="3"/>
    </row>
    <row r="698" spans="1:11" hidden="1" x14ac:dyDescent="0.2">
      <c r="A698" s="3"/>
      <c r="B698" s="3"/>
      <c r="C698" s="3"/>
      <c r="D698" s="3"/>
      <c r="E698" s="3"/>
      <c r="F698" s="3"/>
      <c r="G698" s="3"/>
      <c r="H698" s="3"/>
      <c r="I698" s="3"/>
      <c r="J698" s="3"/>
      <c r="K698" s="3"/>
    </row>
    <row r="699" spans="1:11" hidden="1" x14ac:dyDescent="0.2">
      <c r="A699" s="3"/>
      <c r="B699" s="3"/>
      <c r="C699" s="3"/>
      <c r="D699" s="3"/>
      <c r="E699" s="3"/>
      <c r="F699" s="3"/>
      <c r="G699" s="3"/>
      <c r="H699" s="3"/>
      <c r="I699" s="3"/>
      <c r="J699" s="3"/>
      <c r="K699" s="3"/>
    </row>
    <row r="700" spans="1:11" hidden="1" x14ac:dyDescent="0.2">
      <c r="A700" s="3"/>
      <c r="B700" s="3"/>
      <c r="C700" s="3"/>
      <c r="D700" s="3"/>
      <c r="E700" s="3"/>
      <c r="F700" s="3"/>
      <c r="G700" s="3"/>
      <c r="H700" s="3"/>
      <c r="I700" s="3"/>
      <c r="J700" s="3"/>
      <c r="K700" s="3"/>
    </row>
    <row r="701" spans="1:11" hidden="1" x14ac:dyDescent="0.2">
      <c r="A701" s="3"/>
      <c r="B701" s="3"/>
      <c r="C701" s="3"/>
      <c r="D701" s="3"/>
      <c r="E701" s="3"/>
      <c r="F701" s="3"/>
      <c r="G701" s="3"/>
      <c r="H701" s="3"/>
      <c r="I701" s="3"/>
      <c r="J701" s="3"/>
      <c r="K701" s="3"/>
    </row>
    <row r="702" spans="1:11" hidden="1" x14ac:dyDescent="0.2">
      <c r="A702" s="3"/>
      <c r="B702" s="3"/>
      <c r="C702" s="3"/>
      <c r="D702" s="3"/>
      <c r="E702" s="3"/>
      <c r="F702" s="3"/>
      <c r="G702" s="3"/>
      <c r="H702" s="3"/>
      <c r="I702" s="3"/>
      <c r="J702" s="3"/>
      <c r="K702" s="3"/>
    </row>
    <row r="703" spans="1:11" hidden="1" x14ac:dyDescent="0.2">
      <c r="A703" s="3"/>
      <c r="B703" s="3"/>
      <c r="C703" s="3"/>
      <c r="D703" s="3"/>
      <c r="E703" s="3"/>
      <c r="F703" s="3"/>
      <c r="G703" s="3"/>
      <c r="H703" s="3"/>
      <c r="I703" s="3"/>
      <c r="J703" s="3"/>
      <c r="K703" s="3"/>
    </row>
    <row r="704" spans="1:11" hidden="1" x14ac:dyDescent="0.2">
      <c r="A704" s="3"/>
      <c r="B704" s="3"/>
      <c r="C704" s="3"/>
      <c r="D704" s="3"/>
      <c r="E704" s="3"/>
      <c r="F704" s="3"/>
      <c r="G704" s="3"/>
      <c r="H704" s="3"/>
      <c r="I704" s="3"/>
      <c r="J704" s="3"/>
      <c r="K704" s="3"/>
    </row>
    <row r="705" spans="1:11" hidden="1" x14ac:dyDescent="0.2">
      <c r="A705" s="3"/>
      <c r="B705" s="3"/>
      <c r="C705" s="3"/>
      <c r="D705" s="3"/>
      <c r="E705" s="3"/>
      <c r="F705" s="3"/>
      <c r="G705" s="3"/>
      <c r="H705" s="3"/>
      <c r="I705" s="3"/>
      <c r="J705" s="3"/>
      <c r="K705" s="3"/>
    </row>
    <row r="706" spans="1:11" hidden="1" x14ac:dyDescent="0.2">
      <c r="A706" s="3"/>
      <c r="B706" s="3"/>
      <c r="C706" s="3"/>
      <c r="D706" s="3"/>
      <c r="E706" s="3"/>
      <c r="F706" s="3"/>
      <c r="G706" s="3"/>
      <c r="H706" s="3"/>
      <c r="I706" s="3"/>
      <c r="J706" s="3"/>
      <c r="K706" s="3"/>
    </row>
    <row r="707" spans="1:11" hidden="1" x14ac:dyDescent="0.2">
      <c r="A707" s="3"/>
      <c r="B707" s="3"/>
      <c r="C707" s="3"/>
      <c r="D707" s="3"/>
      <c r="E707" s="3"/>
      <c r="F707" s="3"/>
      <c r="G707" s="3"/>
      <c r="H707" s="3"/>
      <c r="I707" s="3"/>
      <c r="J707" s="3"/>
      <c r="K707" s="3"/>
    </row>
    <row r="708" spans="1:11" hidden="1" x14ac:dyDescent="0.2">
      <c r="A708" s="3"/>
      <c r="B708" s="3"/>
      <c r="C708" s="3"/>
      <c r="D708" s="3"/>
      <c r="E708" s="3"/>
      <c r="F708" s="3"/>
      <c r="G708" s="3"/>
      <c r="H708" s="3"/>
      <c r="I708" s="3"/>
      <c r="J708" s="3"/>
      <c r="K708" s="3"/>
    </row>
    <row r="709" spans="1:11" hidden="1" x14ac:dyDescent="0.2">
      <c r="A709" s="3"/>
      <c r="B709" s="3"/>
      <c r="C709" s="3"/>
      <c r="D709" s="3"/>
      <c r="E709" s="3"/>
      <c r="F709" s="3"/>
      <c r="G709" s="3"/>
      <c r="H709" s="3"/>
      <c r="I709" s="3"/>
      <c r="J709" s="3"/>
      <c r="K709" s="3"/>
    </row>
    <row r="710" spans="1:11" hidden="1" x14ac:dyDescent="0.2">
      <c r="A710" s="3"/>
      <c r="B710" s="3"/>
      <c r="C710" s="3"/>
      <c r="D710" s="3"/>
      <c r="E710" s="3"/>
      <c r="F710" s="3"/>
      <c r="G710" s="3"/>
      <c r="H710" s="3"/>
      <c r="I710" s="3"/>
      <c r="J710" s="3"/>
      <c r="K710" s="3"/>
    </row>
    <row r="711" spans="1:11" hidden="1" x14ac:dyDescent="0.2">
      <c r="A711" s="3"/>
      <c r="B711" s="3"/>
      <c r="C711" s="3"/>
      <c r="D711" s="3"/>
      <c r="E711" s="3"/>
      <c r="F711" s="3"/>
      <c r="G711" s="3"/>
      <c r="H711" s="3"/>
      <c r="I711" s="3"/>
      <c r="J711" s="3"/>
      <c r="K711" s="3"/>
    </row>
    <row r="712" spans="1:11" hidden="1" x14ac:dyDescent="0.2">
      <c r="A712" s="3"/>
      <c r="B712" s="3"/>
      <c r="C712" s="3"/>
      <c r="D712" s="3"/>
      <c r="E712" s="3"/>
      <c r="F712" s="3"/>
      <c r="G712" s="3"/>
      <c r="H712" s="3"/>
      <c r="I712" s="3"/>
      <c r="J712" s="3"/>
      <c r="K712" s="3"/>
    </row>
    <row r="713" spans="1:11" hidden="1" x14ac:dyDescent="0.2">
      <c r="A713" s="3"/>
      <c r="B713" s="3"/>
      <c r="C713" s="3"/>
      <c r="D713" s="3"/>
      <c r="E713" s="3"/>
      <c r="F713" s="3"/>
      <c r="G713" s="3"/>
      <c r="H713" s="3"/>
      <c r="I713" s="3"/>
      <c r="J713" s="3"/>
      <c r="K713" s="3"/>
    </row>
    <row r="714" spans="1:11" hidden="1" x14ac:dyDescent="0.2">
      <c r="A714" s="3"/>
      <c r="B714" s="3"/>
      <c r="C714" s="3"/>
      <c r="D714" s="3"/>
      <c r="E714" s="3"/>
      <c r="F714" s="3"/>
      <c r="G714" s="3"/>
      <c r="H714" s="3"/>
      <c r="I714" s="3"/>
      <c r="J714" s="3"/>
      <c r="K714" s="3"/>
    </row>
    <row r="715" spans="1:11" hidden="1" x14ac:dyDescent="0.2">
      <c r="A715" s="3"/>
      <c r="B715" s="3"/>
      <c r="C715" s="3"/>
      <c r="D715" s="3"/>
      <c r="E715" s="3"/>
      <c r="F715" s="3"/>
      <c r="G715" s="3"/>
      <c r="H715" s="3"/>
      <c r="I715" s="3"/>
      <c r="J715" s="3"/>
      <c r="K715" s="3"/>
    </row>
    <row r="716" spans="1:11" hidden="1" x14ac:dyDescent="0.2">
      <c r="A716" s="3"/>
      <c r="B716" s="3"/>
      <c r="C716" s="3"/>
      <c r="D716" s="3"/>
      <c r="E716" s="3"/>
      <c r="F716" s="3"/>
      <c r="G716" s="3"/>
      <c r="H716" s="3"/>
      <c r="I716" s="3"/>
      <c r="J716" s="3"/>
      <c r="K716" s="3"/>
    </row>
    <row r="717" spans="1:11" hidden="1" x14ac:dyDescent="0.2">
      <c r="A717" s="3"/>
      <c r="B717" s="3"/>
      <c r="C717" s="3"/>
      <c r="D717" s="3"/>
      <c r="E717" s="3"/>
      <c r="F717" s="3"/>
      <c r="G717" s="3"/>
      <c r="H717" s="3"/>
      <c r="I717" s="3"/>
      <c r="J717" s="3"/>
      <c r="K717" s="3"/>
    </row>
    <row r="718" spans="1:11" hidden="1" x14ac:dyDescent="0.2">
      <c r="A718" s="3"/>
      <c r="B718" s="3"/>
      <c r="C718" s="3"/>
      <c r="D718" s="3"/>
      <c r="E718" s="3"/>
      <c r="F718" s="3"/>
      <c r="G718" s="3"/>
      <c r="H718" s="3"/>
      <c r="I718" s="3"/>
      <c r="J718" s="3"/>
      <c r="K718" s="3"/>
    </row>
    <row r="719" spans="1:11" hidden="1" x14ac:dyDescent="0.2">
      <c r="A719" s="3"/>
      <c r="B719" s="3"/>
      <c r="C719" s="3"/>
      <c r="D719" s="3"/>
      <c r="E719" s="3"/>
      <c r="F719" s="3"/>
      <c r="G719" s="3"/>
      <c r="H719" s="3"/>
      <c r="I719" s="3"/>
      <c r="J719" s="3"/>
      <c r="K719" s="3"/>
    </row>
    <row r="720" spans="1:11" hidden="1" x14ac:dyDescent="0.2">
      <c r="A720" s="3"/>
      <c r="B720" s="3"/>
      <c r="C720" s="3"/>
      <c r="D720" s="3"/>
      <c r="E720" s="3"/>
      <c r="F720" s="3"/>
      <c r="G720" s="3"/>
      <c r="H720" s="3"/>
      <c r="I720" s="3"/>
      <c r="J720" s="3"/>
      <c r="K720" s="3"/>
    </row>
    <row r="721" spans="1:11" hidden="1" x14ac:dyDescent="0.2">
      <c r="A721" s="3"/>
      <c r="B721" s="3"/>
      <c r="C721" s="3"/>
      <c r="D721" s="3"/>
      <c r="E721" s="3"/>
      <c r="F721" s="3"/>
      <c r="G721" s="3"/>
      <c r="H721" s="3"/>
      <c r="I721" s="3"/>
      <c r="J721" s="3"/>
      <c r="K721" s="3"/>
    </row>
    <row r="722" spans="1:11" hidden="1" x14ac:dyDescent="0.2">
      <c r="A722" s="3"/>
      <c r="B722" s="3"/>
      <c r="C722" s="3"/>
      <c r="D722" s="3"/>
      <c r="E722" s="3"/>
      <c r="F722" s="3"/>
      <c r="G722" s="3"/>
      <c r="H722" s="3"/>
      <c r="I722" s="3"/>
      <c r="J722" s="3"/>
      <c r="K722" s="3"/>
    </row>
    <row r="723" spans="1:11" hidden="1" x14ac:dyDescent="0.2">
      <c r="A723" s="3"/>
      <c r="B723" s="3"/>
      <c r="C723" s="3"/>
      <c r="D723" s="3"/>
      <c r="E723" s="3"/>
      <c r="F723" s="3"/>
      <c r="G723" s="3"/>
      <c r="H723" s="3"/>
      <c r="I723" s="3"/>
      <c r="J723" s="3"/>
      <c r="K723" s="3"/>
    </row>
    <row r="724" spans="1:11" hidden="1" x14ac:dyDescent="0.2">
      <c r="A724" s="3"/>
      <c r="B724" s="3"/>
      <c r="C724" s="3"/>
      <c r="D724" s="3"/>
      <c r="E724" s="3"/>
      <c r="F724" s="3"/>
      <c r="G724" s="3"/>
      <c r="H724" s="3"/>
      <c r="I724" s="3"/>
      <c r="J724" s="3"/>
      <c r="K724" s="3"/>
    </row>
    <row r="725" spans="1:11" hidden="1" x14ac:dyDescent="0.2">
      <c r="A725" s="3"/>
      <c r="B725" s="3"/>
      <c r="C725" s="3"/>
      <c r="D725" s="3"/>
      <c r="E725" s="3"/>
      <c r="F725" s="3"/>
      <c r="G725" s="3"/>
      <c r="H725" s="3"/>
      <c r="I725" s="3"/>
      <c r="J725" s="3"/>
      <c r="K725" s="3"/>
    </row>
    <row r="726" spans="1:11" hidden="1" x14ac:dyDescent="0.2">
      <c r="A726" s="3"/>
      <c r="B726" s="3"/>
      <c r="C726" s="3"/>
      <c r="D726" s="3"/>
      <c r="E726" s="3"/>
      <c r="F726" s="3"/>
      <c r="G726" s="3"/>
      <c r="H726" s="3"/>
      <c r="I726" s="3"/>
      <c r="J726" s="3"/>
      <c r="K726" s="3"/>
    </row>
    <row r="727" spans="1:11" hidden="1" x14ac:dyDescent="0.2">
      <c r="A727" s="3"/>
      <c r="B727" s="3"/>
      <c r="C727" s="3"/>
      <c r="D727" s="3"/>
      <c r="E727" s="3"/>
      <c r="F727" s="3"/>
      <c r="G727" s="3"/>
      <c r="H727" s="3"/>
      <c r="I727" s="3"/>
      <c r="J727" s="3"/>
      <c r="K727" s="3"/>
    </row>
    <row r="728" spans="1:11" hidden="1" x14ac:dyDescent="0.2">
      <c r="A728" s="3"/>
      <c r="B728" s="3"/>
      <c r="C728" s="3"/>
      <c r="D728" s="3"/>
      <c r="E728" s="3"/>
      <c r="F728" s="3"/>
      <c r="G728" s="3"/>
      <c r="H728" s="3"/>
      <c r="I728" s="3"/>
      <c r="J728" s="3"/>
      <c r="K728" s="3"/>
    </row>
    <row r="729" spans="1:11" hidden="1" x14ac:dyDescent="0.2">
      <c r="A729" s="3"/>
      <c r="B729" s="3"/>
      <c r="C729" s="3"/>
      <c r="D729" s="3"/>
      <c r="E729" s="3"/>
      <c r="F729" s="3"/>
      <c r="G729" s="3"/>
      <c r="H729" s="3"/>
      <c r="I729" s="3"/>
      <c r="J729" s="3"/>
      <c r="K729" s="3"/>
    </row>
    <row r="730" spans="1:11" hidden="1" x14ac:dyDescent="0.2">
      <c r="A730" s="3"/>
      <c r="B730" s="3"/>
      <c r="C730" s="3"/>
      <c r="D730" s="3"/>
      <c r="E730" s="3"/>
      <c r="F730" s="3"/>
      <c r="G730" s="3"/>
      <c r="H730" s="3"/>
      <c r="I730" s="3"/>
      <c r="J730" s="3"/>
      <c r="K730" s="3"/>
    </row>
    <row r="731" spans="1:11" hidden="1" x14ac:dyDescent="0.2">
      <c r="A731" s="3"/>
      <c r="B731" s="3"/>
      <c r="C731" s="3"/>
      <c r="D731" s="3"/>
      <c r="E731" s="3"/>
      <c r="F731" s="3"/>
      <c r="G731" s="3"/>
      <c r="H731" s="3"/>
      <c r="I731" s="3"/>
      <c r="J731" s="3"/>
      <c r="K731" s="3"/>
    </row>
    <row r="732" spans="1:11" hidden="1" x14ac:dyDescent="0.2">
      <c r="A732" s="3"/>
      <c r="B732" s="3"/>
      <c r="C732" s="3"/>
      <c r="D732" s="3"/>
      <c r="E732" s="3"/>
      <c r="F732" s="3"/>
      <c r="G732" s="3"/>
      <c r="H732" s="3"/>
      <c r="I732" s="3"/>
      <c r="J732" s="3"/>
      <c r="K732" s="3"/>
    </row>
    <row r="733" spans="1:11" hidden="1" x14ac:dyDescent="0.2">
      <c r="A733" s="3"/>
      <c r="B733" s="3"/>
      <c r="C733" s="3"/>
      <c r="D733" s="3"/>
      <c r="E733" s="3"/>
      <c r="F733" s="3"/>
      <c r="G733" s="3"/>
      <c r="H733" s="3"/>
      <c r="I733" s="3"/>
      <c r="J733" s="3"/>
      <c r="K733" s="3"/>
    </row>
    <row r="734" spans="1:11" hidden="1" x14ac:dyDescent="0.2">
      <c r="A734" s="3"/>
      <c r="B734" s="3"/>
      <c r="C734" s="3"/>
      <c r="D734" s="3"/>
      <c r="E734" s="3"/>
      <c r="F734" s="3"/>
      <c r="G734" s="3"/>
      <c r="H734" s="3"/>
      <c r="I734" s="3"/>
      <c r="J734" s="3"/>
      <c r="K734" s="3"/>
    </row>
    <row r="735" spans="1:11" hidden="1" x14ac:dyDescent="0.2">
      <c r="A735" s="3"/>
      <c r="B735" s="3"/>
      <c r="C735" s="3"/>
      <c r="D735" s="3"/>
      <c r="E735" s="3"/>
      <c r="F735" s="3"/>
      <c r="G735" s="3"/>
      <c r="H735" s="3"/>
      <c r="I735" s="3"/>
      <c r="J735" s="3"/>
      <c r="K735" s="3"/>
    </row>
    <row r="736" spans="1:11" hidden="1" x14ac:dyDescent="0.2">
      <c r="A736" s="3"/>
      <c r="B736" s="3"/>
      <c r="C736" s="3"/>
      <c r="D736" s="3"/>
      <c r="E736" s="3"/>
      <c r="F736" s="3"/>
      <c r="G736" s="3"/>
      <c r="H736" s="3"/>
      <c r="I736" s="3"/>
      <c r="J736" s="3"/>
      <c r="K736" s="3"/>
    </row>
    <row r="737" spans="1:11" hidden="1" x14ac:dyDescent="0.2">
      <c r="A737" s="3"/>
      <c r="B737" s="3"/>
      <c r="C737" s="3"/>
      <c r="D737" s="3"/>
      <c r="E737" s="3"/>
      <c r="F737" s="3"/>
      <c r="G737" s="3"/>
      <c r="H737" s="3"/>
      <c r="I737" s="3"/>
      <c r="J737" s="3"/>
      <c r="K737" s="3"/>
    </row>
    <row r="738" spans="1:11" hidden="1" x14ac:dyDescent="0.2">
      <c r="A738" s="3"/>
      <c r="B738" s="3"/>
      <c r="C738" s="3"/>
      <c r="D738" s="3"/>
      <c r="E738" s="3"/>
      <c r="F738" s="3"/>
      <c r="G738" s="3"/>
      <c r="H738" s="3"/>
      <c r="I738" s="3"/>
      <c r="J738" s="3"/>
      <c r="K738" s="3"/>
    </row>
    <row r="739" spans="1:11" hidden="1" x14ac:dyDescent="0.2">
      <c r="A739" s="3"/>
      <c r="B739" s="3"/>
      <c r="C739" s="3"/>
      <c r="D739" s="3"/>
      <c r="E739" s="3"/>
      <c r="F739" s="3"/>
      <c r="G739" s="3"/>
      <c r="H739" s="3"/>
      <c r="I739" s="3"/>
      <c r="J739" s="3"/>
      <c r="K739" s="3"/>
    </row>
    <row r="740" spans="1:11" hidden="1" x14ac:dyDescent="0.2">
      <c r="A740" s="3"/>
      <c r="B740" s="3"/>
      <c r="C740" s="3"/>
      <c r="D740" s="3"/>
      <c r="E740" s="3"/>
      <c r="F740" s="3"/>
      <c r="G740" s="3"/>
      <c r="H740" s="3"/>
      <c r="I740" s="3"/>
      <c r="J740" s="3"/>
      <c r="K740" s="3"/>
    </row>
    <row r="741" spans="1:11" hidden="1" x14ac:dyDescent="0.2">
      <c r="A741" s="3"/>
      <c r="B741" s="3"/>
      <c r="C741" s="3"/>
      <c r="D741" s="3"/>
      <c r="E741" s="3"/>
      <c r="F741" s="3"/>
      <c r="G741" s="3"/>
      <c r="H741" s="3"/>
      <c r="I741" s="3"/>
      <c r="J741" s="3"/>
      <c r="K741" s="3"/>
    </row>
    <row r="742" spans="1:11" hidden="1" x14ac:dyDescent="0.2">
      <c r="A742" s="3"/>
      <c r="B742" s="3"/>
      <c r="C742" s="3"/>
      <c r="D742" s="3"/>
      <c r="E742" s="3"/>
      <c r="F742" s="3"/>
      <c r="G742" s="3"/>
      <c r="H742" s="3"/>
      <c r="I742" s="3"/>
      <c r="J742" s="3"/>
      <c r="K742" s="3"/>
    </row>
    <row r="743" spans="1:11" hidden="1" x14ac:dyDescent="0.2">
      <c r="A743" s="3"/>
      <c r="B743" s="3"/>
      <c r="C743" s="3"/>
      <c r="D743" s="3"/>
      <c r="E743" s="3"/>
      <c r="F743" s="3"/>
      <c r="G743" s="3"/>
      <c r="H743" s="3"/>
      <c r="I743" s="3"/>
      <c r="J743" s="3"/>
      <c r="K743" s="3"/>
    </row>
    <row r="744" spans="1:11" hidden="1" x14ac:dyDescent="0.2">
      <c r="A744" s="3"/>
      <c r="B744" s="3"/>
      <c r="C744" s="3"/>
      <c r="D744" s="3"/>
      <c r="E744" s="3"/>
      <c r="F744" s="3"/>
      <c r="G744" s="3"/>
      <c r="H744" s="3"/>
      <c r="I744" s="3"/>
      <c r="J744" s="3"/>
      <c r="K744" s="3"/>
    </row>
    <row r="745" spans="1:11" hidden="1" x14ac:dyDescent="0.2">
      <c r="A745" s="3"/>
      <c r="B745" s="3"/>
      <c r="C745" s="3"/>
      <c r="D745" s="3"/>
      <c r="E745" s="3"/>
      <c r="F745" s="3"/>
      <c r="G745" s="3"/>
      <c r="H745" s="3"/>
      <c r="I745" s="3"/>
      <c r="J745" s="3"/>
      <c r="K745" s="3"/>
    </row>
    <row r="746" spans="1:11" hidden="1" x14ac:dyDescent="0.2">
      <c r="A746" s="3"/>
      <c r="B746" s="3"/>
      <c r="C746" s="3"/>
      <c r="D746" s="3"/>
      <c r="E746" s="3"/>
      <c r="F746" s="3"/>
      <c r="G746" s="3"/>
      <c r="H746" s="3"/>
      <c r="I746" s="3"/>
      <c r="J746" s="3"/>
      <c r="K746" s="3"/>
    </row>
    <row r="747" spans="1:11" hidden="1" x14ac:dyDescent="0.2">
      <c r="A747" s="3"/>
      <c r="B747" s="3"/>
      <c r="C747" s="3"/>
      <c r="D747" s="3"/>
      <c r="E747" s="3"/>
      <c r="F747" s="3"/>
      <c r="G747" s="3"/>
      <c r="H747" s="3"/>
      <c r="I747" s="3"/>
      <c r="J747" s="3"/>
      <c r="K747" s="3"/>
    </row>
    <row r="748" spans="1:11" hidden="1" x14ac:dyDescent="0.2">
      <c r="A748" s="3"/>
      <c r="B748" s="3"/>
      <c r="C748" s="3"/>
      <c r="D748" s="3"/>
      <c r="E748" s="3"/>
      <c r="F748" s="3"/>
      <c r="G748" s="3"/>
      <c r="H748" s="3"/>
      <c r="I748" s="3"/>
      <c r="J748" s="3"/>
      <c r="K748" s="3"/>
    </row>
    <row r="749" spans="1:11" hidden="1" x14ac:dyDescent="0.2">
      <c r="A749" s="3"/>
      <c r="B749" s="3"/>
      <c r="C749" s="3"/>
      <c r="D749" s="3"/>
      <c r="E749" s="3"/>
      <c r="F749" s="3"/>
      <c r="G749" s="3"/>
      <c r="H749" s="3"/>
      <c r="I749" s="3"/>
      <c r="J749" s="3"/>
      <c r="K749" s="3"/>
    </row>
    <row r="750" spans="1:11" hidden="1" x14ac:dyDescent="0.2">
      <c r="A750" s="3"/>
      <c r="B750" s="3"/>
      <c r="C750" s="3"/>
      <c r="D750" s="3"/>
      <c r="E750" s="3"/>
      <c r="F750" s="3"/>
      <c r="G750" s="3"/>
      <c r="H750" s="3"/>
      <c r="I750" s="3"/>
      <c r="J750" s="3"/>
      <c r="K750" s="3"/>
    </row>
    <row r="751" spans="1:11" hidden="1" x14ac:dyDescent="0.2">
      <c r="A751" s="3"/>
      <c r="B751" s="3"/>
      <c r="C751" s="3"/>
      <c r="D751" s="3"/>
      <c r="E751" s="3"/>
      <c r="F751" s="3"/>
      <c r="G751" s="3"/>
      <c r="H751" s="3"/>
      <c r="I751" s="3"/>
      <c r="J751" s="3"/>
      <c r="K751" s="3"/>
    </row>
    <row r="752" spans="1:11" hidden="1" x14ac:dyDescent="0.2">
      <c r="A752" s="3"/>
      <c r="B752" s="3"/>
      <c r="C752" s="3"/>
      <c r="D752" s="3"/>
      <c r="E752" s="3"/>
      <c r="F752" s="3"/>
      <c r="G752" s="3"/>
      <c r="H752" s="3"/>
      <c r="I752" s="3"/>
      <c r="J752" s="3"/>
      <c r="K752" s="3"/>
    </row>
    <row r="753" spans="1:11" hidden="1" x14ac:dyDescent="0.2">
      <c r="A753" s="3"/>
      <c r="B753" s="3"/>
      <c r="C753" s="3"/>
      <c r="D753" s="3"/>
      <c r="E753" s="3"/>
      <c r="F753" s="3"/>
      <c r="G753" s="3"/>
      <c r="H753" s="3"/>
      <c r="I753" s="3"/>
      <c r="J753" s="3"/>
      <c r="K753" s="3"/>
    </row>
    <row r="754" spans="1:11" hidden="1" x14ac:dyDescent="0.2">
      <c r="A754" s="3"/>
      <c r="B754" s="3"/>
      <c r="C754" s="3"/>
      <c r="D754" s="3"/>
      <c r="E754" s="3"/>
      <c r="F754" s="3"/>
      <c r="G754" s="3"/>
      <c r="H754" s="3"/>
      <c r="I754" s="3"/>
      <c r="J754" s="3"/>
      <c r="K754" s="3"/>
    </row>
    <row r="755" spans="1:11" hidden="1" x14ac:dyDescent="0.2">
      <c r="A755" s="3"/>
      <c r="B755" s="3"/>
      <c r="C755" s="3"/>
      <c r="D755" s="3"/>
      <c r="E755" s="3"/>
      <c r="F755" s="3"/>
      <c r="G755" s="3"/>
      <c r="H755" s="3"/>
      <c r="I755" s="3"/>
      <c r="J755" s="3"/>
      <c r="K755" s="3"/>
    </row>
    <row r="756" spans="1:11" hidden="1" x14ac:dyDescent="0.2">
      <c r="A756" s="3"/>
      <c r="B756" s="3"/>
      <c r="C756" s="3"/>
      <c r="D756" s="3"/>
      <c r="E756" s="3"/>
      <c r="F756" s="3"/>
      <c r="G756" s="3"/>
      <c r="H756" s="3"/>
      <c r="I756" s="3"/>
      <c r="J756" s="3"/>
      <c r="K756" s="3"/>
    </row>
    <row r="757" spans="1:11" hidden="1" x14ac:dyDescent="0.2">
      <c r="A757" s="3"/>
      <c r="B757" s="3"/>
      <c r="C757" s="3"/>
      <c r="D757" s="3"/>
      <c r="E757" s="3"/>
      <c r="F757" s="3"/>
      <c r="G757" s="3"/>
      <c r="H757" s="3"/>
      <c r="I757" s="3"/>
      <c r="J757" s="3"/>
      <c r="K757" s="3"/>
    </row>
    <row r="758" spans="1:11" hidden="1" x14ac:dyDescent="0.2">
      <c r="A758" s="3"/>
      <c r="B758" s="3"/>
      <c r="C758" s="3"/>
      <c r="D758" s="3"/>
      <c r="E758" s="3"/>
      <c r="F758" s="3"/>
      <c r="G758" s="3"/>
      <c r="H758" s="3"/>
      <c r="I758" s="3"/>
      <c r="J758" s="3"/>
      <c r="K758" s="3"/>
    </row>
    <row r="759" spans="1:11" hidden="1" x14ac:dyDescent="0.2">
      <c r="A759" s="3"/>
      <c r="B759" s="3"/>
      <c r="C759" s="3"/>
      <c r="D759" s="3"/>
      <c r="E759" s="3"/>
      <c r="F759" s="3"/>
      <c r="G759" s="3"/>
      <c r="H759" s="3"/>
      <c r="I759" s="3"/>
      <c r="J759" s="3"/>
      <c r="K759" s="3"/>
    </row>
    <row r="760" spans="1:11" hidden="1" x14ac:dyDescent="0.2">
      <c r="A760" s="3"/>
      <c r="B760" s="3"/>
      <c r="C760" s="3"/>
      <c r="D760" s="3"/>
      <c r="E760" s="3"/>
      <c r="F760" s="3"/>
      <c r="G760" s="3"/>
      <c r="H760" s="3"/>
      <c r="I760" s="3"/>
      <c r="J760" s="3"/>
      <c r="K760" s="3"/>
    </row>
    <row r="761" spans="1:11" hidden="1" x14ac:dyDescent="0.2">
      <c r="A761" s="3"/>
      <c r="B761" s="3"/>
      <c r="C761" s="3"/>
      <c r="D761" s="3"/>
      <c r="E761" s="3"/>
      <c r="F761" s="3"/>
      <c r="G761" s="3"/>
      <c r="H761" s="3"/>
      <c r="I761" s="3"/>
      <c r="J761" s="3"/>
      <c r="K761" s="3"/>
    </row>
    <row r="762" spans="1:11" hidden="1" x14ac:dyDescent="0.2">
      <c r="A762" s="3"/>
      <c r="B762" s="3"/>
      <c r="C762" s="3"/>
      <c r="D762" s="3"/>
      <c r="E762" s="3"/>
      <c r="F762" s="3"/>
      <c r="G762" s="3"/>
      <c r="H762" s="3"/>
      <c r="I762" s="3"/>
      <c r="J762" s="3"/>
      <c r="K762" s="3"/>
    </row>
    <row r="763" spans="1:11" hidden="1" x14ac:dyDescent="0.2">
      <c r="A763" s="3"/>
      <c r="B763" s="3"/>
      <c r="C763" s="3"/>
      <c r="D763" s="3"/>
      <c r="E763" s="3"/>
      <c r="F763" s="3"/>
      <c r="G763" s="3"/>
      <c r="H763" s="3"/>
      <c r="I763" s="3"/>
      <c r="J763" s="3"/>
      <c r="K763" s="3"/>
    </row>
    <row r="764" spans="1:11" hidden="1" x14ac:dyDescent="0.2">
      <c r="A764" s="3"/>
      <c r="B764" s="3"/>
      <c r="C764" s="3"/>
      <c r="D764" s="3"/>
      <c r="E764" s="3"/>
      <c r="F764" s="3"/>
      <c r="G764" s="3"/>
      <c r="H764" s="3"/>
      <c r="I764" s="3"/>
      <c r="J764" s="3"/>
      <c r="K764" s="3"/>
    </row>
    <row r="765" spans="1:11" hidden="1" x14ac:dyDescent="0.2">
      <c r="A765" s="3"/>
      <c r="B765" s="3"/>
      <c r="C765" s="3"/>
      <c r="D765" s="3"/>
      <c r="E765" s="3"/>
      <c r="F765" s="3"/>
      <c r="G765" s="3"/>
      <c r="H765" s="3"/>
      <c r="I765" s="3"/>
      <c r="J765" s="3"/>
      <c r="K765" s="3"/>
    </row>
    <row r="766" spans="1:11" hidden="1" x14ac:dyDescent="0.2">
      <c r="A766" s="3"/>
      <c r="B766" s="3"/>
      <c r="C766" s="3"/>
      <c r="D766" s="3"/>
      <c r="E766" s="3"/>
      <c r="F766" s="3"/>
      <c r="G766" s="3"/>
      <c r="H766" s="3"/>
      <c r="I766" s="3"/>
      <c r="J766" s="3"/>
      <c r="K766" s="3"/>
    </row>
    <row r="767" spans="1:11" hidden="1" x14ac:dyDescent="0.2">
      <c r="A767" s="3"/>
      <c r="B767" s="3"/>
      <c r="C767" s="3"/>
      <c r="D767" s="3"/>
      <c r="E767" s="3"/>
      <c r="F767" s="3"/>
      <c r="G767" s="3"/>
      <c r="H767" s="3"/>
      <c r="I767" s="3"/>
      <c r="J767" s="3"/>
      <c r="K767" s="3"/>
    </row>
    <row r="768" spans="1:11" hidden="1" x14ac:dyDescent="0.2">
      <c r="A768" s="3"/>
      <c r="B768" s="3"/>
      <c r="C768" s="3"/>
      <c r="D768" s="3"/>
      <c r="E768" s="3"/>
      <c r="F768" s="3"/>
      <c r="G768" s="3"/>
      <c r="H768" s="3"/>
      <c r="I768" s="3"/>
      <c r="J768" s="3"/>
      <c r="K768" s="3"/>
    </row>
    <row r="769" spans="1:11" hidden="1" x14ac:dyDescent="0.2">
      <c r="A769" s="3"/>
      <c r="B769" s="3"/>
      <c r="C769" s="3"/>
      <c r="D769" s="3"/>
      <c r="E769" s="3"/>
      <c r="F769" s="3"/>
      <c r="G769" s="3"/>
      <c r="H769" s="3"/>
      <c r="I769" s="3"/>
      <c r="J769" s="3"/>
      <c r="K769" s="3"/>
    </row>
    <row r="770" spans="1:11" hidden="1" x14ac:dyDescent="0.2">
      <c r="A770" s="3"/>
      <c r="B770" s="3"/>
      <c r="C770" s="3"/>
      <c r="D770" s="3"/>
      <c r="E770" s="3"/>
      <c r="F770" s="3"/>
      <c r="G770" s="3"/>
      <c r="H770" s="3"/>
      <c r="I770" s="3"/>
      <c r="J770" s="3"/>
      <c r="K770" s="3"/>
    </row>
    <row r="771" spans="1:11" hidden="1" x14ac:dyDescent="0.2">
      <c r="A771" s="3"/>
      <c r="B771" s="3"/>
      <c r="C771" s="3"/>
      <c r="D771" s="3"/>
      <c r="E771" s="3"/>
      <c r="F771" s="3"/>
      <c r="G771" s="3"/>
      <c r="H771" s="3"/>
      <c r="I771" s="3"/>
      <c r="J771" s="3"/>
      <c r="K771" s="3"/>
    </row>
    <row r="772" spans="1:11" hidden="1" x14ac:dyDescent="0.2">
      <c r="A772" s="3"/>
      <c r="B772" s="3"/>
      <c r="C772" s="3"/>
      <c r="D772" s="3"/>
      <c r="E772" s="3"/>
      <c r="F772" s="3"/>
      <c r="G772" s="3"/>
      <c r="H772" s="3"/>
      <c r="I772" s="3"/>
      <c r="J772" s="3"/>
      <c r="K772" s="3"/>
    </row>
    <row r="773" spans="1:11" hidden="1" x14ac:dyDescent="0.2">
      <c r="A773" s="3"/>
      <c r="B773" s="3"/>
      <c r="C773" s="3"/>
      <c r="D773" s="3"/>
      <c r="E773" s="3"/>
      <c r="F773" s="3"/>
      <c r="G773" s="3"/>
      <c r="H773" s="3"/>
      <c r="I773" s="3"/>
      <c r="J773" s="3"/>
      <c r="K773" s="3"/>
    </row>
    <row r="774" spans="1:11" hidden="1" x14ac:dyDescent="0.2">
      <c r="A774" s="3"/>
      <c r="B774" s="3"/>
      <c r="C774" s="3"/>
      <c r="D774" s="3"/>
      <c r="E774" s="3"/>
      <c r="F774" s="3"/>
      <c r="G774" s="3"/>
      <c r="H774" s="3"/>
      <c r="I774" s="3"/>
      <c r="J774" s="3"/>
      <c r="K774" s="3"/>
    </row>
    <row r="775" spans="1:11" hidden="1" x14ac:dyDescent="0.2">
      <c r="A775" s="3"/>
      <c r="B775" s="3"/>
      <c r="C775" s="3"/>
      <c r="D775" s="3"/>
      <c r="E775" s="3"/>
      <c r="F775" s="3"/>
      <c r="G775" s="3"/>
      <c r="H775" s="3"/>
      <c r="I775" s="3"/>
      <c r="J775" s="3"/>
      <c r="K775" s="3"/>
    </row>
    <row r="776" spans="1:11" hidden="1" x14ac:dyDescent="0.2">
      <c r="A776" s="3"/>
      <c r="B776" s="3"/>
      <c r="C776" s="3"/>
      <c r="D776" s="3"/>
      <c r="E776" s="3"/>
      <c r="F776" s="3"/>
      <c r="G776" s="3"/>
      <c r="H776" s="3"/>
      <c r="I776" s="3"/>
      <c r="J776" s="3"/>
      <c r="K776" s="3"/>
    </row>
    <row r="777" spans="1:11" hidden="1" x14ac:dyDescent="0.2">
      <c r="A777" s="3"/>
      <c r="B777" s="3"/>
      <c r="C777" s="3"/>
      <c r="D777" s="3"/>
      <c r="E777" s="3"/>
      <c r="F777" s="3"/>
      <c r="G777" s="3"/>
      <c r="H777" s="3"/>
      <c r="I777" s="3"/>
      <c r="J777" s="3"/>
      <c r="K777" s="3"/>
    </row>
    <row r="778" spans="1:11" hidden="1" x14ac:dyDescent="0.2">
      <c r="A778" s="3"/>
      <c r="B778" s="3"/>
      <c r="C778" s="3"/>
      <c r="D778" s="3"/>
      <c r="E778" s="3"/>
      <c r="F778" s="3"/>
      <c r="G778" s="3"/>
      <c r="H778" s="3"/>
      <c r="I778" s="3"/>
      <c r="J778" s="3"/>
      <c r="K778" s="3"/>
    </row>
    <row r="779" spans="1:11" hidden="1" x14ac:dyDescent="0.2">
      <c r="A779" s="3"/>
      <c r="B779" s="3"/>
      <c r="C779" s="3"/>
      <c r="D779" s="3"/>
      <c r="E779" s="3"/>
      <c r="F779" s="3"/>
      <c r="G779" s="3"/>
      <c r="H779" s="3"/>
      <c r="I779" s="3"/>
      <c r="J779" s="3"/>
      <c r="K779" s="3"/>
    </row>
    <row r="780" spans="1:11" hidden="1" x14ac:dyDescent="0.2">
      <c r="A780" s="3"/>
      <c r="B780" s="3"/>
      <c r="C780" s="3"/>
      <c r="D780" s="3"/>
      <c r="E780" s="3"/>
      <c r="F780" s="3"/>
      <c r="G780" s="3"/>
      <c r="H780" s="3"/>
      <c r="I780" s="3"/>
      <c r="J780" s="3"/>
      <c r="K780" s="3"/>
    </row>
    <row r="781" spans="1:11" hidden="1" x14ac:dyDescent="0.2">
      <c r="A781" s="3"/>
      <c r="B781" s="3"/>
      <c r="C781" s="3"/>
      <c r="D781" s="3"/>
      <c r="E781" s="3"/>
      <c r="F781" s="3"/>
      <c r="G781" s="3"/>
      <c r="H781" s="3"/>
      <c r="I781" s="3"/>
      <c r="J781" s="3"/>
      <c r="K781" s="3"/>
    </row>
    <row r="782" spans="1:11" hidden="1" x14ac:dyDescent="0.2">
      <c r="A782" s="3"/>
      <c r="B782" s="3"/>
      <c r="C782" s="3"/>
      <c r="D782" s="3"/>
      <c r="E782" s="3"/>
      <c r="F782" s="3"/>
      <c r="G782" s="3"/>
      <c r="H782" s="3"/>
      <c r="I782" s="3"/>
      <c r="J782" s="3"/>
      <c r="K782" s="3"/>
    </row>
    <row r="783" spans="1:11" hidden="1" x14ac:dyDescent="0.2">
      <c r="A783" s="3"/>
      <c r="B783" s="3"/>
      <c r="C783" s="3"/>
      <c r="D783" s="3"/>
      <c r="E783" s="3"/>
      <c r="F783" s="3"/>
      <c r="G783" s="3"/>
      <c r="H783" s="3"/>
      <c r="I783" s="3"/>
      <c r="J783" s="3"/>
      <c r="K783" s="3"/>
    </row>
    <row r="784" spans="1:11" hidden="1" x14ac:dyDescent="0.2">
      <c r="A784" s="3"/>
      <c r="B784" s="3"/>
      <c r="C784" s="3"/>
      <c r="D784" s="3"/>
      <c r="E784" s="3"/>
      <c r="F784" s="3"/>
      <c r="G784" s="3"/>
      <c r="H784" s="3"/>
      <c r="I784" s="3"/>
      <c r="J784" s="3"/>
      <c r="K784" s="3"/>
    </row>
    <row r="785" spans="1:11" hidden="1" x14ac:dyDescent="0.2">
      <c r="A785" s="3"/>
      <c r="B785" s="3"/>
      <c r="C785" s="3"/>
      <c r="D785" s="3"/>
      <c r="E785" s="3"/>
      <c r="F785" s="3"/>
      <c r="G785" s="3"/>
      <c r="H785" s="3"/>
      <c r="I785" s="3"/>
      <c r="J785" s="3"/>
      <c r="K785" s="3"/>
    </row>
    <row r="786" spans="1:11" hidden="1" x14ac:dyDescent="0.2">
      <c r="A786" s="3"/>
      <c r="B786" s="3"/>
      <c r="C786" s="3"/>
      <c r="D786" s="3"/>
      <c r="E786" s="3"/>
      <c r="F786" s="3"/>
      <c r="G786" s="3"/>
      <c r="H786" s="3"/>
      <c r="I786" s="3"/>
      <c r="J786" s="3"/>
      <c r="K786" s="3"/>
    </row>
    <row r="787" spans="1:11" hidden="1" x14ac:dyDescent="0.2">
      <c r="A787" s="3"/>
      <c r="B787" s="3"/>
      <c r="C787" s="3"/>
      <c r="D787" s="3"/>
      <c r="E787" s="3"/>
      <c r="F787" s="3"/>
      <c r="G787" s="3"/>
      <c r="H787" s="3"/>
      <c r="I787" s="3"/>
      <c r="J787" s="3"/>
      <c r="K787" s="3"/>
    </row>
    <row r="788" spans="1:11" hidden="1" x14ac:dyDescent="0.2">
      <c r="A788" s="3"/>
      <c r="B788" s="3"/>
      <c r="C788" s="3"/>
      <c r="D788" s="3"/>
      <c r="E788" s="3"/>
      <c r="F788" s="3"/>
      <c r="G788" s="3"/>
      <c r="H788" s="3"/>
      <c r="I788" s="3"/>
      <c r="J788" s="3"/>
      <c r="K788" s="3"/>
    </row>
    <row r="789" spans="1:11" hidden="1" x14ac:dyDescent="0.2">
      <c r="A789" s="3"/>
      <c r="B789" s="3"/>
      <c r="C789" s="3"/>
      <c r="D789" s="3"/>
      <c r="E789" s="3"/>
      <c r="F789" s="3"/>
      <c r="G789" s="3"/>
      <c r="H789" s="3"/>
      <c r="I789" s="3"/>
      <c r="J789" s="3"/>
      <c r="K789" s="3"/>
    </row>
    <row r="790" spans="1:11" hidden="1" x14ac:dyDescent="0.2">
      <c r="A790" s="3"/>
      <c r="B790" s="3"/>
      <c r="C790" s="3"/>
      <c r="D790" s="3"/>
      <c r="E790" s="3"/>
      <c r="F790" s="3"/>
      <c r="G790" s="3"/>
      <c r="H790" s="3"/>
      <c r="I790" s="3"/>
      <c r="J790" s="3"/>
      <c r="K790" s="3"/>
    </row>
    <row r="791" spans="1:11" hidden="1" x14ac:dyDescent="0.2">
      <c r="A791" s="3"/>
      <c r="B791" s="3"/>
      <c r="C791" s="3"/>
      <c r="D791" s="3"/>
      <c r="E791" s="3"/>
      <c r="F791" s="3"/>
      <c r="G791" s="3"/>
      <c r="H791" s="3"/>
      <c r="I791" s="3"/>
      <c r="J791" s="3"/>
      <c r="K791" s="3"/>
    </row>
    <row r="792" spans="1:11" hidden="1" x14ac:dyDescent="0.2">
      <c r="A792" s="3"/>
      <c r="B792" s="3"/>
      <c r="C792" s="3"/>
      <c r="D792" s="3"/>
      <c r="E792" s="3"/>
      <c r="F792" s="3"/>
      <c r="G792" s="3"/>
      <c r="H792" s="3"/>
      <c r="I792" s="3"/>
      <c r="J792" s="3"/>
      <c r="K792" s="3"/>
    </row>
    <row r="793" spans="1:11" hidden="1" x14ac:dyDescent="0.2">
      <c r="A793" s="3"/>
      <c r="B793" s="3"/>
      <c r="C793" s="3"/>
      <c r="D793" s="3"/>
      <c r="E793" s="3"/>
      <c r="F793" s="3"/>
      <c r="G793" s="3"/>
      <c r="H793" s="3"/>
      <c r="I793" s="3"/>
      <c r="J793" s="3"/>
      <c r="K793" s="3"/>
    </row>
    <row r="794" spans="1:11" hidden="1" x14ac:dyDescent="0.2">
      <c r="A794" s="3"/>
      <c r="B794" s="3"/>
      <c r="C794" s="3"/>
      <c r="D794" s="3"/>
      <c r="E794" s="3"/>
      <c r="F794" s="3"/>
      <c r="G794" s="3"/>
      <c r="H794" s="3"/>
      <c r="I794" s="3"/>
      <c r="J794" s="3"/>
      <c r="K794" s="3"/>
    </row>
    <row r="795" spans="1:11" hidden="1" x14ac:dyDescent="0.2">
      <c r="A795" s="3"/>
      <c r="B795" s="3"/>
      <c r="C795" s="3"/>
      <c r="D795" s="3"/>
      <c r="E795" s="3"/>
      <c r="F795" s="3"/>
      <c r="G795" s="3"/>
      <c r="H795" s="3"/>
      <c r="I795" s="3"/>
      <c r="J795" s="3"/>
      <c r="K795" s="3"/>
    </row>
    <row r="796" spans="1:11" hidden="1" x14ac:dyDescent="0.2">
      <c r="A796" s="3"/>
      <c r="B796" s="3"/>
      <c r="C796" s="3"/>
      <c r="D796" s="3"/>
      <c r="E796" s="3"/>
      <c r="F796" s="3"/>
      <c r="G796" s="3"/>
      <c r="H796" s="3"/>
      <c r="I796" s="3"/>
      <c r="J796" s="3"/>
      <c r="K796" s="3"/>
    </row>
    <row r="797" spans="1:11" hidden="1" x14ac:dyDescent="0.2">
      <c r="A797" s="3"/>
      <c r="B797" s="3"/>
      <c r="C797" s="3"/>
      <c r="D797" s="3"/>
      <c r="E797" s="3"/>
      <c r="F797" s="3"/>
      <c r="G797" s="3"/>
      <c r="H797" s="3"/>
      <c r="I797" s="3"/>
      <c r="J797" s="3"/>
      <c r="K797" s="3"/>
    </row>
    <row r="798" spans="1:11" hidden="1" x14ac:dyDescent="0.2">
      <c r="A798" s="3"/>
      <c r="B798" s="3"/>
      <c r="C798" s="3"/>
      <c r="D798" s="3"/>
      <c r="E798" s="3"/>
      <c r="F798" s="3"/>
      <c r="G798" s="3"/>
      <c r="H798" s="3"/>
      <c r="I798" s="3"/>
      <c r="J798" s="3"/>
      <c r="K798" s="3"/>
    </row>
    <row r="799" spans="1:11" hidden="1" x14ac:dyDescent="0.2">
      <c r="A799" s="3"/>
      <c r="B799" s="3"/>
      <c r="C799" s="3"/>
      <c r="D799" s="3"/>
      <c r="E799" s="3"/>
      <c r="F799" s="3"/>
      <c r="G799" s="3"/>
      <c r="H799" s="3"/>
      <c r="I799" s="3"/>
      <c r="J799" s="3"/>
      <c r="K799" s="3"/>
    </row>
    <row r="800" spans="1:11" hidden="1" x14ac:dyDescent="0.2">
      <c r="A800" s="3"/>
      <c r="B800" s="3"/>
      <c r="C800" s="3"/>
      <c r="D800" s="3"/>
      <c r="E800" s="3"/>
      <c r="F800" s="3"/>
      <c r="G800" s="3"/>
      <c r="H800" s="3"/>
      <c r="I800" s="3"/>
      <c r="J800" s="3"/>
      <c r="K800" s="3"/>
    </row>
    <row r="801" spans="1:11" hidden="1" x14ac:dyDescent="0.2">
      <c r="A801" s="3"/>
      <c r="B801" s="3"/>
      <c r="C801" s="3"/>
      <c r="D801" s="3"/>
      <c r="E801" s="3"/>
      <c r="F801" s="3"/>
      <c r="G801" s="3"/>
      <c r="H801" s="3"/>
      <c r="I801" s="3"/>
      <c r="J801" s="3"/>
      <c r="K801" s="3"/>
    </row>
    <row r="802" spans="1:11" hidden="1" x14ac:dyDescent="0.2">
      <c r="A802" s="3"/>
      <c r="B802" s="3"/>
      <c r="C802" s="3"/>
      <c r="D802" s="3"/>
      <c r="E802" s="3"/>
      <c r="F802" s="3"/>
      <c r="G802" s="3"/>
      <c r="H802" s="3"/>
      <c r="I802" s="3"/>
      <c r="J802" s="3"/>
      <c r="K802" s="3"/>
    </row>
    <row r="803" spans="1:11" hidden="1" x14ac:dyDescent="0.2">
      <c r="A803" s="3"/>
      <c r="B803" s="3"/>
      <c r="C803" s="3"/>
      <c r="D803" s="3"/>
      <c r="E803" s="3"/>
      <c r="F803" s="3"/>
      <c r="G803" s="3"/>
      <c r="H803" s="3"/>
      <c r="I803" s="3"/>
      <c r="J803" s="3"/>
      <c r="K803" s="3"/>
    </row>
    <row r="804" spans="1:11" hidden="1" x14ac:dyDescent="0.2">
      <c r="A804" s="3"/>
      <c r="B804" s="3"/>
      <c r="C804" s="3"/>
      <c r="D804" s="3"/>
      <c r="E804" s="3"/>
      <c r="F804" s="3"/>
      <c r="G804" s="3"/>
      <c r="H804" s="3"/>
      <c r="I804" s="3"/>
      <c r="J804" s="3"/>
      <c r="K804" s="3"/>
    </row>
    <row r="805" spans="1:11" hidden="1" x14ac:dyDescent="0.2">
      <c r="A805" s="3"/>
      <c r="B805" s="3"/>
      <c r="C805" s="3"/>
      <c r="D805" s="3"/>
      <c r="E805" s="3"/>
      <c r="F805" s="3"/>
      <c r="G805" s="3"/>
      <c r="H805" s="3"/>
      <c r="I805" s="3"/>
      <c r="J805" s="3"/>
      <c r="K805" s="3"/>
    </row>
    <row r="806" spans="1:11" hidden="1" x14ac:dyDescent="0.2">
      <c r="A806" s="3"/>
      <c r="B806" s="3"/>
      <c r="C806" s="3"/>
      <c r="D806" s="3"/>
      <c r="E806" s="3"/>
      <c r="F806" s="3"/>
      <c r="G806" s="3"/>
      <c r="H806" s="3"/>
      <c r="I806" s="3"/>
      <c r="J806" s="3"/>
      <c r="K806" s="3"/>
    </row>
    <row r="807" spans="1:11" hidden="1" x14ac:dyDescent="0.2">
      <c r="A807" s="3"/>
      <c r="B807" s="3"/>
      <c r="C807" s="3"/>
      <c r="D807" s="3"/>
      <c r="E807" s="3"/>
      <c r="F807" s="3"/>
      <c r="G807" s="3"/>
      <c r="H807" s="3"/>
      <c r="I807" s="3"/>
      <c r="J807" s="3"/>
      <c r="K807" s="3"/>
    </row>
    <row r="808" spans="1:11" hidden="1" x14ac:dyDescent="0.2">
      <c r="A808" s="3"/>
      <c r="B808" s="3"/>
      <c r="C808" s="3"/>
      <c r="D808" s="3"/>
      <c r="E808" s="3"/>
      <c r="F808" s="3"/>
      <c r="G808" s="3"/>
      <c r="H808" s="3"/>
      <c r="I808" s="3"/>
      <c r="J808" s="3"/>
      <c r="K808" s="3"/>
    </row>
    <row r="809" spans="1:11" hidden="1" x14ac:dyDescent="0.2">
      <c r="A809" s="3"/>
      <c r="B809" s="3"/>
      <c r="C809" s="3"/>
      <c r="D809" s="3"/>
      <c r="E809" s="3"/>
      <c r="F809" s="3"/>
      <c r="G809" s="3"/>
      <c r="H809" s="3"/>
      <c r="I809" s="3"/>
      <c r="J809" s="3"/>
      <c r="K809" s="3"/>
    </row>
    <row r="810" spans="1:11" hidden="1" x14ac:dyDescent="0.2">
      <c r="A810" s="3"/>
      <c r="B810" s="3"/>
      <c r="C810" s="3"/>
      <c r="D810" s="3"/>
      <c r="E810" s="3"/>
      <c r="F810" s="3"/>
      <c r="G810" s="3"/>
      <c r="H810" s="3"/>
      <c r="I810" s="3"/>
      <c r="J810" s="3"/>
      <c r="K810" s="3"/>
    </row>
    <row r="811" spans="1:11" hidden="1" x14ac:dyDescent="0.2">
      <c r="A811" s="3"/>
      <c r="B811" s="3"/>
      <c r="C811" s="3"/>
      <c r="D811" s="3"/>
      <c r="E811" s="3"/>
      <c r="F811" s="3"/>
      <c r="G811" s="3"/>
      <c r="H811" s="3"/>
      <c r="I811" s="3"/>
      <c r="J811" s="3"/>
      <c r="K811" s="3"/>
    </row>
    <row r="812" spans="1:11" hidden="1" x14ac:dyDescent="0.2">
      <c r="A812" s="3"/>
      <c r="B812" s="3"/>
      <c r="C812" s="3"/>
      <c r="D812" s="3"/>
      <c r="E812" s="3"/>
      <c r="F812" s="3"/>
      <c r="G812" s="3"/>
      <c r="H812" s="3"/>
      <c r="I812" s="3"/>
      <c r="J812" s="3"/>
      <c r="K812" s="3"/>
    </row>
    <row r="813" spans="1:11" hidden="1" x14ac:dyDescent="0.2">
      <c r="A813" s="3"/>
      <c r="B813" s="3"/>
      <c r="C813" s="3"/>
      <c r="D813" s="3"/>
      <c r="E813" s="3"/>
      <c r="F813" s="3"/>
      <c r="G813" s="3"/>
      <c r="H813" s="3"/>
      <c r="I813" s="3"/>
      <c r="J813" s="3"/>
      <c r="K813" s="3"/>
    </row>
    <row r="814" spans="1:11" hidden="1" x14ac:dyDescent="0.2">
      <c r="A814" s="3"/>
      <c r="B814" s="3"/>
      <c r="C814" s="3"/>
      <c r="D814" s="3"/>
      <c r="E814" s="3"/>
      <c r="F814" s="3"/>
      <c r="G814" s="3"/>
      <c r="H814" s="3"/>
      <c r="I814" s="3"/>
      <c r="J814" s="3"/>
      <c r="K814" s="3"/>
    </row>
    <row r="815" spans="1:11" hidden="1" x14ac:dyDescent="0.2">
      <c r="A815" s="3"/>
      <c r="B815" s="3"/>
      <c r="C815" s="3"/>
      <c r="D815" s="3"/>
      <c r="E815" s="3"/>
      <c r="F815" s="3"/>
      <c r="G815" s="3"/>
      <c r="H815" s="3"/>
      <c r="I815" s="3"/>
      <c r="J815" s="3"/>
      <c r="K815" s="3"/>
    </row>
    <row r="816" spans="1:11" hidden="1" x14ac:dyDescent="0.2">
      <c r="A816" s="3"/>
      <c r="B816" s="3"/>
      <c r="C816" s="3"/>
      <c r="D816" s="3"/>
      <c r="E816" s="3"/>
      <c r="F816" s="3"/>
      <c r="G816" s="3"/>
      <c r="H816" s="3"/>
      <c r="I816" s="3"/>
      <c r="J816" s="3"/>
      <c r="K816" s="3"/>
    </row>
    <row r="817" spans="1:11" hidden="1" x14ac:dyDescent="0.2">
      <c r="A817" s="3"/>
      <c r="B817" s="3"/>
      <c r="C817" s="3"/>
      <c r="D817" s="3"/>
      <c r="E817" s="3"/>
      <c r="F817" s="3"/>
      <c r="G817" s="3"/>
      <c r="H817" s="3"/>
      <c r="I817" s="3"/>
      <c r="J817" s="3"/>
      <c r="K817" s="3"/>
    </row>
    <row r="818" spans="1:11" hidden="1" x14ac:dyDescent="0.2">
      <c r="A818" s="3"/>
      <c r="B818" s="3"/>
      <c r="C818" s="3"/>
      <c r="D818" s="3"/>
      <c r="E818" s="3"/>
      <c r="F818" s="3"/>
      <c r="G818" s="3"/>
      <c r="H818" s="3"/>
      <c r="I818" s="3"/>
      <c r="J818" s="3"/>
      <c r="K818" s="3"/>
    </row>
    <row r="819" spans="1:11" hidden="1" x14ac:dyDescent="0.2">
      <c r="A819" s="3"/>
      <c r="B819" s="3"/>
      <c r="C819" s="3"/>
      <c r="D819" s="3"/>
      <c r="E819" s="3"/>
      <c r="F819" s="3"/>
      <c r="G819" s="3"/>
      <c r="H819" s="3"/>
      <c r="I819" s="3"/>
      <c r="J819" s="3"/>
      <c r="K819" s="3"/>
    </row>
    <row r="820" spans="1:11" hidden="1" x14ac:dyDescent="0.2">
      <c r="A820" s="3"/>
      <c r="B820" s="3"/>
      <c r="C820" s="3"/>
      <c r="D820" s="3"/>
      <c r="E820" s="3"/>
      <c r="F820" s="3"/>
      <c r="G820" s="3"/>
      <c r="H820" s="3"/>
      <c r="I820" s="3"/>
      <c r="J820" s="3"/>
      <c r="K820" s="3"/>
    </row>
    <row r="821" spans="1:11" hidden="1" x14ac:dyDescent="0.2">
      <c r="A821" s="3"/>
      <c r="B821" s="3"/>
      <c r="C821" s="3"/>
      <c r="D821" s="3"/>
      <c r="E821" s="3"/>
      <c r="F821" s="3"/>
      <c r="G821" s="3"/>
      <c r="H821" s="3"/>
      <c r="I821" s="3"/>
      <c r="J821" s="3"/>
      <c r="K821" s="3"/>
    </row>
    <row r="822" spans="1:11" hidden="1" x14ac:dyDescent="0.2">
      <c r="A822" s="3"/>
      <c r="B822" s="3"/>
      <c r="C822" s="3"/>
      <c r="D822" s="3"/>
      <c r="E822" s="3"/>
      <c r="F822" s="3"/>
      <c r="G822" s="3"/>
      <c r="H822" s="3"/>
      <c r="I822" s="3"/>
      <c r="J822" s="3"/>
      <c r="K822" s="3"/>
    </row>
    <row r="823" spans="1:11" hidden="1" x14ac:dyDescent="0.2">
      <c r="A823" s="3"/>
      <c r="B823" s="3"/>
      <c r="C823" s="3"/>
      <c r="D823" s="3"/>
      <c r="E823" s="3"/>
      <c r="F823" s="3"/>
      <c r="G823" s="3"/>
      <c r="H823" s="3"/>
      <c r="I823" s="3"/>
      <c r="J823" s="3"/>
      <c r="K823" s="3"/>
    </row>
    <row r="824" spans="1:11" hidden="1" x14ac:dyDescent="0.2">
      <c r="A824" s="3"/>
      <c r="B824" s="3"/>
      <c r="C824" s="3"/>
      <c r="D824" s="3"/>
      <c r="E824" s="3"/>
      <c r="F824" s="3"/>
      <c r="G824" s="3"/>
      <c r="H824" s="3"/>
      <c r="I824" s="3"/>
      <c r="J824" s="3"/>
      <c r="K824" s="3"/>
    </row>
    <row r="825" spans="1:11" hidden="1" x14ac:dyDescent="0.2">
      <c r="A825" s="3"/>
      <c r="B825" s="3"/>
      <c r="C825" s="3"/>
      <c r="D825" s="3"/>
      <c r="E825" s="3"/>
      <c r="F825" s="3"/>
      <c r="G825" s="3"/>
      <c r="H825" s="3"/>
      <c r="I825" s="3"/>
      <c r="J825" s="3"/>
      <c r="K825" s="3"/>
    </row>
    <row r="826" spans="1:11" hidden="1" x14ac:dyDescent="0.2">
      <c r="A826" s="3"/>
      <c r="B826" s="3"/>
      <c r="C826" s="3"/>
      <c r="D826" s="3"/>
      <c r="E826" s="3"/>
      <c r="F826" s="3"/>
      <c r="G826" s="3"/>
      <c r="H826" s="3"/>
      <c r="I826" s="3"/>
      <c r="J826" s="3"/>
      <c r="K826" s="3"/>
    </row>
    <row r="827" spans="1:11" hidden="1" x14ac:dyDescent="0.2">
      <c r="A827" s="3"/>
      <c r="B827" s="3"/>
      <c r="C827" s="3"/>
      <c r="D827" s="3"/>
      <c r="E827" s="3"/>
      <c r="F827" s="3"/>
      <c r="G827" s="3"/>
      <c r="H827" s="3"/>
      <c r="I827" s="3"/>
      <c r="J827" s="3"/>
      <c r="K827" s="3"/>
    </row>
    <row r="828" spans="1:11" hidden="1" x14ac:dyDescent="0.2">
      <c r="A828" s="3"/>
      <c r="B828" s="3"/>
      <c r="C828" s="3"/>
      <c r="D828" s="3"/>
      <c r="E828" s="3"/>
      <c r="F828" s="3"/>
      <c r="G828" s="3"/>
      <c r="H828" s="3"/>
      <c r="I828" s="3"/>
      <c r="J828" s="3"/>
      <c r="K828" s="3"/>
    </row>
    <row r="829" spans="1:11" hidden="1" x14ac:dyDescent="0.2">
      <c r="A829" s="3"/>
      <c r="B829" s="3"/>
      <c r="C829" s="3"/>
      <c r="D829" s="3"/>
      <c r="E829" s="3"/>
      <c r="F829" s="3"/>
      <c r="G829" s="3"/>
      <c r="H829" s="3"/>
      <c r="I829" s="3"/>
      <c r="J829" s="3"/>
      <c r="K829" s="3"/>
    </row>
    <row r="830" spans="1:11" hidden="1" x14ac:dyDescent="0.2">
      <c r="A830" s="3"/>
      <c r="B830" s="3"/>
      <c r="C830" s="3"/>
      <c r="D830" s="3"/>
      <c r="E830" s="3"/>
      <c r="F830" s="3"/>
      <c r="G830" s="3"/>
      <c r="H830" s="3"/>
      <c r="I830" s="3"/>
      <c r="J830" s="3"/>
      <c r="K830" s="3"/>
    </row>
    <row r="831" spans="1:11" hidden="1" x14ac:dyDescent="0.2">
      <c r="A831" s="3"/>
      <c r="B831" s="3"/>
      <c r="C831" s="3"/>
      <c r="D831" s="3"/>
      <c r="E831" s="3"/>
      <c r="F831" s="3"/>
      <c r="G831" s="3"/>
      <c r="H831" s="3"/>
      <c r="I831" s="3"/>
      <c r="J831" s="3"/>
      <c r="K831" s="3"/>
    </row>
    <row r="832" spans="1:11" hidden="1" x14ac:dyDescent="0.2">
      <c r="A832" s="3"/>
      <c r="B832" s="3"/>
      <c r="C832" s="3"/>
      <c r="D832" s="3"/>
      <c r="E832" s="3"/>
      <c r="F832" s="3"/>
      <c r="G832" s="3"/>
      <c r="H832" s="3"/>
      <c r="I832" s="3"/>
      <c r="J832" s="3"/>
      <c r="K832" s="3"/>
    </row>
    <row r="833" spans="1:11" hidden="1" x14ac:dyDescent="0.2">
      <c r="A833" s="3"/>
      <c r="B833" s="3"/>
      <c r="C833" s="3"/>
      <c r="D833" s="3"/>
      <c r="E833" s="3"/>
      <c r="F833" s="3"/>
      <c r="G833" s="3"/>
      <c r="H833" s="3"/>
      <c r="I833" s="3"/>
      <c r="J833" s="3"/>
      <c r="K833" s="3"/>
    </row>
    <row r="834" spans="1:11" hidden="1" x14ac:dyDescent="0.2">
      <c r="A834" s="3"/>
      <c r="B834" s="3"/>
      <c r="C834" s="3"/>
      <c r="D834" s="3"/>
      <c r="E834" s="3"/>
      <c r="F834" s="3"/>
      <c r="G834" s="3"/>
      <c r="H834" s="3"/>
      <c r="I834" s="3"/>
      <c r="J834" s="3"/>
      <c r="K834" s="3"/>
    </row>
    <row r="835" spans="1:11" hidden="1" x14ac:dyDescent="0.2">
      <c r="A835" s="3"/>
      <c r="B835" s="3"/>
      <c r="C835" s="3"/>
      <c r="D835" s="3"/>
      <c r="E835" s="3"/>
      <c r="F835" s="3"/>
      <c r="G835" s="3"/>
      <c r="H835" s="3"/>
      <c r="I835" s="3"/>
      <c r="J835" s="3"/>
      <c r="K835" s="3"/>
    </row>
    <row r="836" spans="1:11" hidden="1" x14ac:dyDescent="0.2">
      <c r="A836" s="3"/>
      <c r="B836" s="3"/>
      <c r="C836" s="3"/>
      <c r="D836" s="3"/>
      <c r="E836" s="3"/>
      <c r="F836" s="3"/>
      <c r="G836" s="3"/>
      <c r="H836" s="3"/>
      <c r="I836" s="3"/>
      <c r="J836" s="3"/>
      <c r="K836" s="3"/>
    </row>
    <row r="837" spans="1:11" hidden="1" x14ac:dyDescent="0.2">
      <c r="A837" s="3"/>
      <c r="B837" s="3"/>
      <c r="C837" s="3"/>
      <c r="D837" s="3"/>
      <c r="E837" s="3"/>
      <c r="F837" s="3"/>
      <c r="G837" s="3"/>
      <c r="H837" s="3"/>
      <c r="I837" s="3"/>
      <c r="J837" s="3"/>
      <c r="K837" s="3"/>
    </row>
    <row r="838" spans="1:11" hidden="1" x14ac:dyDescent="0.2">
      <c r="A838" s="3"/>
      <c r="B838" s="3"/>
      <c r="C838" s="3"/>
      <c r="D838" s="3"/>
      <c r="E838" s="3"/>
      <c r="F838" s="3"/>
      <c r="G838" s="3"/>
      <c r="H838" s="3"/>
      <c r="I838" s="3"/>
      <c r="J838" s="3"/>
      <c r="K838" s="3"/>
    </row>
    <row r="839" spans="1:11" hidden="1" x14ac:dyDescent="0.2">
      <c r="A839" s="3"/>
      <c r="B839" s="3"/>
      <c r="C839" s="3"/>
      <c r="D839" s="3"/>
      <c r="E839" s="3"/>
      <c r="F839" s="3"/>
      <c r="G839" s="3"/>
      <c r="H839" s="3"/>
      <c r="I839" s="3"/>
      <c r="J839" s="3"/>
      <c r="K839" s="3"/>
    </row>
    <row r="840" spans="1:11" hidden="1" x14ac:dyDescent="0.2">
      <c r="A840" s="3"/>
      <c r="B840" s="3"/>
      <c r="C840" s="3"/>
      <c r="D840" s="3"/>
      <c r="E840" s="3"/>
      <c r="F840" s="3"/>
      <c r="G840" s="3"/>
      <c r="H840" s="3"/>
      <c r="I840" s="3"/>
      <c r="J840" s="3"/>
      <c r="K840" s="3"/>
    </row>
    <row r="841" spans="1:11" hidden="1" x14ac:dyDescent="0.2">
      <c r="A841" s="3"/>
      <c r="B841" s="3"/>
      <c r="C841" s="3"/>
      <c r="D841" s="3"/>
      <c r="E841" s="3"/>
      <c r="F841" s="3"/>
      <c r="G841" s="3"/>
      <c r="H841" s="3"/>
      <c r="I841" s="3"/>
      <c r="J841" s="3"/>
      <c r="K841" s="3"/>
    </row>
    <row r="842" spans="1:11" hidden="1" x14ac:dyDescent="0.2">
      <c r="A842" s="3"/>
      <c r="B842" s="3"/>
      <c r="C842" s="3"/>
      <c r="D842" s="3"/>
      <c r="E842" s="3"/>
      <c r="F842" s="3"/>
      <c r="G842" s="3"/>
      <c r="H842" s="3"/>
      <c r="I842" s="3"/>
      <c r="J842" s="3"/>
      <c r="K842" s="3"/>
    </row>
    <row r="843" spans="1:11" hidden="1" x14ac:dyDescent="0.2">
      <c r="A843" s="3"/>
      <c r="B843" s="3"/>
      <c r="C843" s="3"/>
      <c r="D843" s="3"/>
      <c r="E843" s="3"/>
      <c r="F843" s="3"/>
      <c r="G843" s="3"/>
      <c r="H843" s="3"/>
      <c r="I843" s="3"/>
      <c r="J843" s="3"/>
      <c r="K843" s="3"/>
    </row>
    <row r="844" spans="1:11" hidden="1" x14ac:dyDescent="0.2">
      <c r="A844" s="3"/>
      <c r="B844" s="3"/>
      <c r="C844" s="3"/>
      <c r="D844" s="3"/>
      <c r="E844" s="3"/>
      <c r="F844" s="3"/>
      <c r="G844" s="3"/>
      <c r="H844" s="3"/>
      <c r="I844" s="3"/>
      <c r="J844" s="3"/>
      <c r="K844" s="3"/>
    </row>
    <row r="845" spans="1:11" hidden="1" x14ac:dyDescent="0.2">
      <c r="A845" s="3"/>
      <c r="B845" s="3"/>
      <c r="C845" s="3"/>
      <c r="D845" s="3"/>
      <c r="E845" s="3"/>
      <c r="F845" s="3"/>
      <c r="G845" s="3"/>
      <c r="H845" s="3"/>
      <c r="I845" s="3"/>
      <c r="J845" s="3"/>
      <c r="K845" s="3"/>
    </row>
    <row r="846" spans="1:11" hidden="1" x14ac:dyDescent="0.2">
      <c r="A846" s="3"/>
      <c r="B846" s="3"/>
      <c r="C846" s="3"/>
      <c r="D846" s="3"/>
      <c r="E846" s="3"/>
      <c r="F846" s="3"/>
      <c r="G846" s="3"/>
      <c r="H846" s="3"/>
      <c r="I846" s="3"/>
      <c r="J846" s="3"/>
      <c r="K846" s="3"/>
    </row>
    <row r="847" spans="1:11" hidden="1" x14ac:dyDescent="0.2">
      <c r="A847" s="3"/>
      <c r="B847" s="3"/>
      <c r="C847" s="3"/>
      <c r="D847" s="3"/>
      <c r="E847" s="3"/>
      <c r="F847" s="3"/>
      <c r="G847" s="3"/>
      <c r="H847" s="3"/>
      <c r="I847" s="3"/>
      <c r="J847" s="3"/>
      <c r="K847" s="3"/>
    </row>
    <row r="848" spans="1:11" hidden="1" x14ac:dyDescent="0.2">
      <c r="A848" s="3"/>
      <c r="B848" s="3"/>
      <c r="C848" s="3"/>
      <c r="D848" s="3"/>
      <c r="E848" s="3"/>
      <c r="F848" s="3"/>
      <c r="G848" s="3"/>
      <c r="H848" s="3"/>
      <c r="I848" s="3"/>
      <c r="J848" s="3"/>
      <c r="K848" s="3"/>
    </row>
    <row r="849" spans="1:11" hidden="1" x14ac:dyDescent="0.2">
      <c r="A849" s="3"/>
      <c r="B849" s="3"/>
      <c r="C849" s="3"/>
      <c r="D849" s="3"/>
      <c r="E849" s="3"/>
      <c r="F849" s="3"/>
      <c r="G849" s="3"/>
      <c r="H849" s="3"/>
      <c r="I849" s="3"/>
      <c r="J849" s="3"/>
      <c r="K849" s="3"/>
    </row>
    <row r="850" spans="1:11" hidden="1" x14ac:dyDescent="0.2">
      <c r="A850" s="3"/>
      <c r="B850" s="3"/>
      <c r="C850" s="3"/>
      <c r="D850" s="3"/>
      <c r="E850" s="3"/>
      <c r="F850" s="3"/>
      <c r="G850" s="3"/>
      <c r="H850" s="3"/>
      <c r="I850" s="3"/>
      <c r="J850" s="3"/>
      <c r="K850" s="3"/>
    </row>
    <row r="851" spans="1:11" hidden="1" x14ac:dyDescent="0.2">
      <c r="A851" s="3"/>
      <c r="B851" s="3"/>
      <c r="C851" s="3"/>
      <c r="D851" s="3"/>
      <c r="E851" s="3"/>
      <c r="F851" s="3"/>
      <c r="G851" s="3"/>
      <c r="H851" s="3"/>
      <c r="I851" s="3"/>
      <c r="J851" s="3"/>
      <c r="K851" s="3"/>
    </row>
    <row r="852" spans="1:11" hidden="1" x14ac:dyDescent="0.2">
      <c r="A852" s="3"/>
      <c r="B852" s="3"/>
      <c r="C852" s="3"/>
      <c r="D852" s="3"/>
      <c r="E852" s="3"/>
      <c r="F852" s="3"/>
      <c r="G852" s="3"/>
      <c r="H852" s="3"/>
      <c r="I852" s="3"/>
      <c r="J852" s="3"/>
      <c r="K852" s="3"/>
    </row>
    <row r="853" spans="1:11" hidden="1" x14ac:dyDescent="0.2">
      <c r="A853" s="3"/>
      <c r="B853" s="3"/>
      <c r="C853" s="3"/>
      <c r="D853" s="3"/>
      <c r="E853" s="3"/>
      <c r="F853" s="3"/>
      <c r="G853" s="3"/>
      <c r="H853" s="3"/>
      <c r="I853" s="3"/>
      <c r="J853" s="3"/>
      <c r="K853" s="3"/>
    </row>
    <row r="854" spans="1:11" hidden="1" x14ac:dyDescent="0.2">
      <c r="A854" s="3"/>
      <c r="B854" s="3"/>
      <c r="C854" s="3"/>
      <c r="D854" s="3"/>
      <c r="E854" s="3"/>
      <c r="F854" s="3"/>
      <c r="G854" s="3"/>
      <c r="H854" s="3"/>
      <c r="I854" s="3"/>
      <c r="J854" s="3"/>
      <c r="K854" s="3"/>
    </row>
    <row r="855" spans="1:11" hidden="1" x14ac:dyDescent="0.2">
      <c r="A855" s="3"/>
      <c r="B855" s="3"/>
      <c r="C855" s="3"/>
      <c r="D855" s="3"/>
      <c r="E855" s="3"/>
      <c r="F855" s="3"/>
      <c r="G855" s="3"/>
      <c r="H855" s="3"/>
      <c r="I855" s="3"/>
      <c r="J855" s="3"/>
      <c r="K855" s="3"/>
    </row>
    <row r="856" spans="1:11" hidden="1" x14ac:dyDescent="0.2">
      <c r="A856" s="3"/>
      <c r="B856" s="3"/>
      <c r="C856" s="3"/>
      <c r="D856" s="3"/>
      <c r="E856" s="3"/>
      <c r="F856" s="3"/>
      <c r="G856" s="3"/>
      <c r="H856" s="3"/>
      <c r="I856" s="3"/>
      <c r="J856" s="3"/>
      <c r="K856" s="3"/>
    </row>
    <row r="857" spans="1:11" hidden="1" x14ac:dyDescent="0.2">
      <c r="A857" s="3"/>
      <c r="B857" s="3"/>
      <c r="C857" s="3"/>
      <c r="D857" s="3"/>
      <c r="E857" s="3"/>
      <c r="F857" s="3"/>
      <c r="G857" s="3"/>
      <c r="H857" s="3"/>
      <c r="I857" s="3"/>
      <c r="J857" s="3"/>
      <c r="K857" s="3"/>
    </row>
    <row r="858" spans="1:11" hidden="1" x14ac:dyDescent="0.2">
      <c r="A858" s="3"/>
      <c r="B858" s="3"/>
      <c r="C858" s="3"/>
      <c r="D858" s="3"/>
      <c r="E858" s="3"/>
      <c r="F858" s="3"/>
      <c r="G858" s="3"/>
      <c r="H858" s="3"/>
      <c r="I858" s="3"/>
      <c r="J858" s="3"/>
      <c r="K858" s="3"/>
    </row>
    <row r="859" spans="1:11" hidden="1" x14ac:dyDescent="0.2">
      <c r="A859" s="3"/>
      <c r="B859" s="3"/>
      <c r="C859" s="3"/>
      <c r="D859" s="3"/>
      <c r="E859" s="3"/>
      <c r="F859" s="3"/>
      <c r="G859" s="3"/>
      <c r="H859" s="3"/>
      <c r="I859" s="3"/>
      <c r="J859" s="3"/>
      <c r="K859" s="3"/>
    </row>
    <row r="860" spans="1:11" hidden="1" x14ac:dyDescent="0.2">
      <c r="A860" s="3"/>
      <c r="B860" s="3"/>
      <c r="C860" s="3"/>
      <c r="D860" s="3"/>
      <c r="E860" s="3"/>
      <c r="F860" s="3"/>
      <c r="G860" s="3"/>
      <c r="H860" s="3"/>
      <c r="I860" s="3"/>
      <c r="J860" s="3"/>
      <c r="K860" s="3"/>
    </row>
    <row r="861" spans="1:11" hidden="1" x14ac:dyDescent="0.2">
      <c r="A861" s="3"/>
      <c r="B861" s="3"/>
      <c r="C861" s="3"/>
      <c r="D861" s="3"/>
      <c r="E861" s="3"/>
      <c r="F861" s="3"/>
      <c r="G861" s="3"/>
      <c r="H861" s="3"/>
      <c r="I861" s="3"/>
      <c r="J861" s="3"/>
      <c r="K861" s="3"/>
    </row>
    <row r="862" spans="1:11" hidden="1" x14ac:dyDescent="0.2">
      <c r="A862" s="3"/>
      <c r="B862" s="3"/>
      <c r="C862" s="3"/>
      <c r="D862" s="3"/>
      <c r="E862" s="3"/>
      <c r="F862" s="3"/>
      <c r="G862" s="3"/>
      <c r="H862" s="3"/>
      <c r="I862" s="3"/>
      <c r="J862" s="3"/>
      <c r="K862" s="3"/>
    </row>
    <row r="863" spans="1:11" hidden="1" x14ac:dyDescent="0.2">
      <c r="A863" s="3"/>
      <c r="B863" s="3"/>
      <c r="C863" s="3"/>
      <c r="D863" s="3"/>
      <c r="E863" s="3"/>
      <c r="F863" s="3"/>
      <c r="G863" s="3"/>
      <c r="H863" s="3"/>
      <c r="I863" s="3"/>
      <c r="J863" s="3"/>
      <c r="K863" s="3"/>
    </row>
    <row r="864" spans="1:11" hidden="1" x14ac:dyDescent="0.2">
      <c r="A864" s="3"/>
      <c r="B864" s="3"/>
      <c r="C864" s="3"/>
      <c r="D864" s="3"/>
      <c r="E864" s="3"/>
      <c r="F864" s="3"/>
      <c r="G864" s="3"/>
      <c r="H864" s="3"/>
      <c r="I864" s="3"/>
      <c r="J864" s="3"/>
      <c r="K864" s="3"/>
    </row>
    <row r="865" spans="1:11" hidden="1" x14ac:dyDescent="0.2">
      <c r="A865" s="3"/>
      <c r="B865" s="3"/>
      <c r="C865" s="3"/>
      <c r="D865" s="3"/>
      <c r="E865" s="3"/>
      <c r="F865" s="3"/>
      <c r="G865" s="3"/>
      <c r="H865" s="3"/>
      <c r="I865" s="3"/>
      <c r="J865" s="3"/>
      <c r="K865" s="3"/>
    </row>
    <row r="866" spans="1:11" hidden="1" x14ac:dyDescent="0.2">
      <c r="A866" s="3"/>
      <c r="B866" s="3"/>
      <c r="C866" s="3"/>
      <c r="D866" s="3"/>
      <c r="E866" s="3"/>
      <c r="F866" s="3"/>
      <c r="G866" s="3"/>
      <c r="H866" s="3"/>
      <c r="I866" s="3"/>
      <c r="J866" s="3"/>
      <c r="K866" s="3"/>
    </row>
    <row r="867" spans="1:11" hidden="1" x14ac:dyDescent="0.2">
      <c r="A867" s="3"/>
      <c r="B867" s="3"/>
      <c r="C867" s="3"/>
      <c r="D867" s="3"/>
      <c r="E867" s="3"/>
      <c r="F867" s="3"/>
      <c r="G867" s="3"/>
      <c r="H867" s="3"/>
      <c r="I867" s="3"/>
      <c r="J867" s="3"/>
      <c r="K867" s="3"/>
    </row>
    <row r="868" spans="1:11" hidden="1" x14ac:dyDescent="0.2">
      <c r="A868" s="3"/>
      <c r="B868" s="3"/>
      <c r="C868" s="3"/>
      <c r="D868" s="3"/>
      <c r="E868" s="3"/>
      <c r="F868" s="3"/>
      <c r="G868" s="3"/>
      <c r="H868" s="3"/>
      <c r="I868" s="3"/>
      <c r="J868" s="3"/>
      <c r="K868" s="3"/>
    </row>
    <row r="869" spans="1:11" hidden="1" x14ac:dyDescent="0.2">
      <c r="A869" s="3"/>
      <c r="B869" s="3"/>
      <c r="C869" s="3"/>
      <c r="D869" s="3"/>
      <c r="E869" s="3"/>
      <c r="F869" s="3"/>
      <c r="G869" s="3"/>
      <c r="H869" s="3"/>
      <c r="I869" s="3"/>
      <c r="J869" s="3"/>
      <c r="K869" s="3"/>
    </row>
    <row r="870" spans="1:11" hidden="1" x14ac:dyDescent="0.2">
      <c r="A870" s="3"/>
      <c r="B870" s="3"/>
      <c r="C870" s="3"/>
      <c r="D870" s="3"/>
      <c r="E870" s="3"/>
      <c r="F870" s="3"/>
      <c r="G870" s="3"/>
      <c r="H870" s="3"/>
      <c r="I870" s="3"/>
      <c r="J870" s="3"/>
      <c r="K870" s="3"/>
    </row>
    <row r="871" spans="1:11" hidden="1" x14ac:dyDescent="0.2">
      <c r="A871" s="3"/>
      <c r="B871" s="3"/>
      <c r="C871" s="3"/>
      <c r="D871" s="3"/>
      <c r="E871" s="3"/>
      <c r="F871" s="3"/>
      <c r="G871" s="3"/>
      <c r="H871" s="3"/>
      <c r="I871" s="3"/>
      <c r="J871" s="3"/>
      <c r="K871" s="3"/>
    </row>
    <row r="872" spans="1:11" hidden="1" x14ac:dyDescent="0.2">
      <c r="A872" s="3"/>
      <c r="B872" s="3"/>
      <c r="C872" s="3"/>
      <c r="D872" s="3"/>
      <c r="E872" s="3"/>
      <c r="F872" s="3"/>
      <c r="G872" s="3"/>
      <c r="H872" s="3"/>
      <c r="I872" s="3"/>
      <c r="J872" s="3"/>
      <c r="K872" s="3"/>
    </row>
    <row r="873" spans="1:11" hidden="1" x14ac:dyDescent="0.2">
      <c r="A873" s="3"/>
      <c r="B873" s="3"/>
      <c r="C873" s="3"/>
      <c r="D873" s="3"/>
      <c r="E873" s="3"/>
      <c r="F873" s="3"/>
      <c r="G873" s="3"/>
      <c r="H873" s="3"/>
      <c r="I873" s="3"/>
      <c r="J873" s="3"/>
      <c r="K873" s="3"/>
    </row>
    <row r="874" spans="1:11" hidden="1" x14ac:dyDescent="0.2">
      <c r="A874" s="3"/>
      <c r="B874" s="3"/>
      <c r="C874" s="3"/>
      <c r="D874" s="3"/>
      <c r="E874" s="3"/>
      <c r="F874" s="3"/>
      <c r="G874" s="3"/>
      <c r="H874" s="3"/>
      <c r="I874" s="3"/>
      <c r="J874" s="3"/>
      <c r="K874" s="3"/>
    </row>
    <row r="875" spans="1:11" hidden="1" x14ac:dyDescent="0.2">
      <c r="A875" s="3"/>
      <c r="B875" s="3"/>
      <c r="C875" s="3"/>
      <c r="D875" s="3"/>
      <c r="E875" s="3"/>
      <c r="F875" s="3"/>
      <c r="G875" s="3"/>
      <c r="H875" s="3"/>
      <c r="I875" s="3"/>
      <c r="J875" s="3"/>
      <c r="K875" s="3"/>
    </row>
    <row r="876" spans="1:11" hidden="1" x14ac:dyDescent="0.2">
      <c r="A876" s="3"/>
      <c r="B876" s="3"/>
      <c r="C876" s="3"/>
      <c r="D876" s="3"/>
      <c r="E876" s="3"/>
      <c r="F876" s="3"/>
      <c r="G876" s="3"/>
      <c r="H876" s="3"/>
      <c r="I876" s="3"/>
      <c r="J876" s="3"/>
      <c r="K876" s="3"/>
    </row>
    <row r="877" spans="1:11" hidden="1" x14ac:dyDescent="0.2">
      <c r="A877" s="3"/>
      <c r="B877" s="3"/>
      <c r="C877" s="3"/>
      <c r="D877" s="3"/>
      <c r="E877" s="3"/>
      <c r="F877" s="3"/>
      <c r="G877" s="3"/>
      <c r="H877" s="3"/>
      <c r="I877" s="3"/>
      <c r="J877" s="3"/>
      <c r="K877" s="3"/>
    </row>
    <row r="878" spans="1:11" hidden="1" x14ac:dyDescent="0.2">
      <c r="A878" s="3"/>
      <c r="B878" s="3"/>
      <c r="C878" s="3"/>
      <c r="D878" s="3"/>
      <c r="E878" s="3"/>
      <c r="F878" s="3"/>
      <c r="G878" s="3"/>
      <c r="H878" s="3"/>
      <c r="I878" s="3"/>
      <c r="J878" s="3"/>
      <c r="K878" s="3"/>
    </row>
    <row r="879" spans="1:11" hidden="1" x14ac:dyDescent="0.2">
      <c r="A879" s="3"/>
      <c r="B879" s="3"/>
      <c r="C879" s="3"/>
      <c r="D879" s="3"/>
      <c r="E879" s="3"/>
      <c r="F879" s="3"/>
      <c r="G879" s="3"/>
      <c r="H879" s="3"/>
      <c r="I879" s="3"/>
      <c r="J879" s="3"/>
      <c r="K879" s="3"/>
    </row>
    <row r="880" spans="1:11" hidden="1" x14ac:dyDescent="0.2">
      <c r="A880" s="3"/>
      <c r="B880" s="3"/>
      <c r="C880" s="3"/>
      <c r="D880" s="3"/>
      <c r="E880" s="3"/>
      <c r="F880" s="3"/>
      <c r="G880" s="3"/>
      <c r="H880" s="3"/>
      <c r="I880" s="3"/>
      <c r="J880" s="3"/>
      <c r="K880" s="3"/>
    </row>
    <row r="881" spans="1:11" hidden="1" x14ac:dyDescent="0.2">
      <c r="A881" s="3"/>
      <c r="B881" s="3"/>
      <c r="C881" s="3"/>
      <c r="D881" s="3"/>
      <c r="E881" s="3"/>
      <c r="F881" s="3"/>
      <c r="G881" s="3"/>
      <c r="H881" s="3"/>
      <c r="I881" s="3"/>
      <c r="J881" s="3"/>
      <c r="K881" s="3"/>
    </row>
    <row r="882" spans="1:11" hidden="1" x14ac:dyDescent="0.2">
      <c r="A882" s="3"/>
      <c r="B882" s="3"/>
      <c r="C882" s="3"/>
      <c r="D882" s="3"/>
      <c r="E882" s="3"/>
      <c r="F882" s="3"/>
      <c r="G882" s="3"/>
      <c r="H882" s="3"/>
      <c r="I882" s="3"/>
      <c r="J882" s="3"/>
      <c r="K882" s="3"/>
    </row>
    <row r="883" spans="1:11" hidden="1" x14ac:dyDescent="0.2">
      <c r="A883" s="3"/>
      <c r="B883" s="3"/>
      <c r="C883" s="3"/>
      <c r="D883" s="3"/>
      <c r="E883" s="3"/>
      <c r="F883" s="3"/>
      <c r="G883" s="3"/>
      <c r="H883" s="3"/>
      <c r="I883" s="3"/>
      <c r="J883" s="3"/>
      <c r="K883" s="3"/>
    </row>
    <row r="884" spans="1:11" hidden="1" x14ac:dyDescent="0.2">
      <c r="A884" s="3"/>
      <c r="B884" s="3"/>
      <c r="C884" s="3"/>
      <c r="D884" s="3"/>
      <c r="E884" s="3"/>
      <c r="F884" s="3"/>
      <c r="G884" s="3"/>
      <c r="H884" s="3"/>
      <c r="I884" s="3"/>
      <c r="J884" s="3"/>
      <c r="K884" s="3"/>
    </row>
    <row r="885" spans="1:11" hidden="1" x14ac:dyDescent="0.2">
      <c r="A885" s="3"/>
      <c r="B885" s="3"/>
      <c r="C885" s="3"/>
      <c r="D885" s="3"/>
      <c r="E885" s="3"/>
      <c r="F885" s="3"/>
      <c r="G885" s="3"/>
      <c r="H885" s="3"/>
      <c r="I885" s="3"/>
      <c r="J885" s="3"/>
      <c r="K885" s="3"/>
    </row>
    <row r="886" spans="1:11" hidden="1" x14ac:dyDescent="0.2">
      <c r="A886" s="3"/>
      <c r="B886" s="3"/>
      <c r="C886" s="3"/>
      <c r="D886" s="3"/>
      <c r="E886" s="3"/>
      <c r="F886" s="3"/>
      <c r="G886" s="3"/>
      <c r="H886" s="3"/>
      <c r="I886" s="3"/>
      <c r="J886" s="3"/>
      <c r="K886" s="3"/>
    </row>
    <row r="887" spans="1:11" hidden="1" x14ac:dyDescent="0.2">
      <c r="A887" s="3"/>
      <c r="B887" s="3"/>
      <c r="C887" s="3"/>
      <c r="D887" s="3"/>
      <c r="E887" s="3"/>
      <c r="F887" s="3"/>
      <c r="G887" s="3"/>
      <c r="H887" s="3"/>
      <c r="I887" s="3"/>
      <c r="J887" s="3"/>
      <c r="K887" s="3"/>
    </row>
    <row r="888" spans="1:11" hidden="1" x14ac:dyDescent="0.2">
      <c r="A888" s="3"/>
      <c r="B888" s="3"/>
      <c r="C888" s="3"/>
      <c r="D888" s="3"/>
      <c r="E888" s="3"/>
      <c r="F888" s="3"/>
      <c r="G888" s="3"/>
      <c r="H888" s="3"/>
      <c r="I888" s="3"/>
      <c r="J888" s="3"/>
      <c r="K888" s="3"/>
    </row>
    <row r="889" spans="1:11" hidden="1" x14ac:dyDescent="0.2">
      <c r="A889" s="3"/>
      <c r="B889" s="3"/>
      <c r="C889" s="3"/>
      <c r="D889" s="3"/>
      <c r="E889" s="3"/>
      <c r="F889" s="3"/>
      <c r="G889" s="3"/>
      <c r="H889" s="3"/>
      <c r="I889" s="3"/>
      <c r="J889" s="3"/>
      <c r="K889" s="3"/>
    </row>
    <row r="890" spans="1:11" hidden="1" x14ac:dyDescent="0.2">
      <c r="A890" s="3"/>
      <c r="B890" s="3"/>
      <c r="C890" s="3"/>
      <c r="D890" s="3"/>
      <c r="E890" s="3"/>
      <c r="F890" s="3"/>
      <c r="G890" s="3"/>
      <c r="H890" s="3"/>
      <c r="I890" s="3"/>
      <c r="J890" s="3"/>
      <c r="K890" s="3"/>
    </row>
    <row r="891" spans="1:11" hidden="1" x14ac:dyDescent="0.2">
      <c r="A891" s="3"/>
      <c r="B891" s="3"/>
      <c r="C891" s="3"/>
      <c r="D891" s="3"/>
      <c r="E891" s="3"/>
      <c r="F891" s="3"/>
      <c r="G891" s="3"/>
      <c r="H891" s="3"/>
      <c r="I891" s="3"/>
      <c r="J891" s="3"/>
      <c r="K891" s="3"/>
    </row>
    <row r="892" spans="1:11" hidden="1" x14ac:dyDescent="0.2">
      <c r="A892" s="3"/>
      <c r="B892" s="3"/>
      <c r="C892" s="3"/>
      <c r="D892" s="3"/>
      <c r="E892" s="3"/>
      <c r="F892" s="3"/>
      <c r="G892" s="3"/>
      <c r="H892" s="3"/>
      <c r="I892" s="3"/>
      <c r="J892" s="3"/>
      <c r="K892" s="3"/>
    </row>
    <row r="893" spans="1:11" hidden="1" x14ac:dyDescent="0.2">
      <c r="A893" s="3"/>
      <c r="B893" s="3"/>
      <c r="C893" s="3"/>
      <c r="D893" s="3"/>
      <c r="E893" s="3"/>
      <c r="F893" s="3"/>
      <c r="G893" s="3"/>
      <c r="H893" s="3"/>
      <c r="I893" s="3"/>
      <c r="J893" s="3"/>
      <c r="K893" s="3"/>
    </row>
    <row r="894" spans="1:11" hidden="1" x14ac:dyDescent="0.2">
      <c r="A894" s="3"/>
      <c r="B894" s="3"/>
      <c r="C894" s="3"/>
      <c r="D894" s="3"/>
      <c r="E894" s="3"/>
      <c r="F894" s="3"/>
      <c r="G894" s="3"/>
      <c r="H894" s="3"/>
      <c r="I894" s="3"/>
      <c r="J894" s="3"/>
      <c r="K894" s="3"/>
    </row>
    <row r="895" spans="1:11" hidden="1" x14ac:dyDescent="0.2">
      <c r="A895" s="3"/>
      <c r="B895" s="3"/>
      <c r="C895" s="3"/>
      <c r="D895" s="3"/>
      <c r="E895" s="3"/>
      <c r="F895" s="3"/>
      <c r="G895" s="3"/>
      <c r="H895" s="3"/>
      <c r="I895" s="3"/>
      <c r="J895" s="3"/>
      <c r="K895" s="3"/>
    </row>
    <row r="896" spans="1:11" hidden="1" x14ac:dyDescent="0.2">
      <c r="A896" s="3"/>
      <c r="B896" s="3"/>
      <c r="C896" s="3"/>
      <c r="D896" s="3"/>
      <c r="E896" s="3"/>
      <c r="F896" s="3"/>
      <c r="G896" s="3"/>
      <c r="H896" s="3"/>
      <c r="I896" s="3"/>
      <c r="J896" s="3"/>
      <c r="K896" s="3"/>
    </row>
    <row r="897" spans="1:11" hidden="1" x14ac:dyDescent="0.2">
      <c r="A897" s="3"/>
      <c r="B897" s="3"/>
      <c r="C897" s="3"/>
      <c r="D897" s="3"/>
      <c r="E897" s="3"/>
      <c r="F897" s="3"/>
      <c r="G897" s="3"/>
      <c r="H897" s="3"/>
      <c r="I897" s="3"/>
      <c r="J897" s="3"/>
      <c r="K897" s="3"/>
    </row>
    <row r="898" spans="1:11" hidden="1" x14ac:dyDescent="0.2">
      <c r="A898" s="3"/>
      <c r="B898" s="3"/>
      <c r="C898" s="3"/>
      <c r="D898" s="3"/>
      <c r="E898" s="3"/>
      <c r="F898" s="3"/>
      <c r="G898" s="3"/>
      <c r="H898" s="3"/>
      <c r="I898" s="3"/>
      <c r="J898" s="3"/>
      <c r="K898" s="3"/>
    </row>
    <row r="899" spans="1:11" hidden="1" x14ac:dyDescent="0.2">
      <c r="A899" s="3"/>
      <c r="B899" s="3"/>
      <c r="C899" s="3"/>
      <c r="D899" s="3"/>
      <c r="E899" s="3"/>
      <c r="F899" s="3"/>
      <c r="G899" s="3"/>
      <c r="H899" s="3"/>
      <c r="I899" s="3"/>
      <c r="J899" s="3"/>
      <c r="K899" s="3"/>
    </row>
    <row r="900" spans="1:11" hidden="1" x14ac:dyDescent="0.2">
      <c r="A900" s="3"/>
      <c r="B900" s="3"/>
      <c r="C900" s="3"/>
      <c r="D900" s="3"/>
      <c r="E900" s="3"/>
      <c r="F900" s="3"/>
      <c r="G900" s="3"/>
      <c r="H900" s="3"/>
      <c r="I900" s="3"/>
      <c r="J900" s="3"/>
      <c r="K900" s="3"/>
    </row>
    <row r="901" spans="1:11" hidden="1" x14ac:dyDescent="0.2">
      <c r="A901" s="3"/>
      <c r="B901" s="3"/>
      <c r="C901" s="3"/>
      <c r="D901" s="3"/>
      <c r="E901" s="3"/>
      <c r="F901" s="3"/>
      <c r="G901" s="3"/>
      <c r="H901" s="3"/>
      <c r="I901" s="3"/>
      <c r="J901" s="3"/>
      <c r="K901" s="3"/>
    </row>
    <row r="902" spans="1:11" hidden="1" x14ac:dyDescent="0.2">
      <c r="A902" s="3"/>
      <c r="B902" s="3"/>
      <c r="C902" s="3"/>
      <c r="D902" s="3"/>
      <c r="E902" s="3"/>
      <c r="F902" s="3"/>
      <c r="G902" s="3"/>
      <c r="H902" s="3"/>
      <c r="I902" s="3"/>
      <c r="J902" s="3"/>
      <c r="K902" s="3"/>
    </row>
    <row r="903" spans="1:11" hidden="1" x14ac:dyDescent="0.2">
      <c r="A903" s="3"/>
      <c r="B903" s="3"/>
      <c r="C903" s="3"/>
      <c r="D903" s="3"/>
      <c r="E903" s="3"/>
      <c r="F903" s="3"/>
      <c r="G903" s="3"/>
      <c r="H903" s="3"/>
      <c r="I903" s="3"/>
      <c r="J903" s="3"/>
      <c r="K903" s="3"/>
    </row>
    <row r="904" spans="1:11" hidden="1" x14ac:dyDescent="0.2">
      <c r="A904" s="3"/>
      <c r="B904" s="3"/>
      <c r="C904" s="3"/>
      <c r="D904" s="3"/>
      <c r="E904" s="3"/>
      <c r="F904" s="3"/>
      <c r="G904" s="3"/>
      <c r="H904" s="3"/>
      <c r="I904" s="3"/>
      <c r="J904" s="3"/>
      <c r="K904" s="3"/>
    </row>
    <row r="905" spans="1:11" hidden="1" x14ac:dyDescent="0.2">
      <c r="A905" s="3"/>
      <c r="B905" s="3"/>
      <c r="C905" s="3"/>
      <c r="D905" s="3"/>
      <c r="E905" s="3"/>
      <c r="F905" s="3"/>
      <c r="G905" s="3"/>
      <c r="H905" s="3"/>
      <c r="I905" s="3"/>
      <c r="J905" s="3"/>
      <c r="K905" s="3"/>
    </row>
    <row r="906" spans="1:11" hidden="1" x14ac:dyDescent="0.2">
      <c r="A906" s="3"/>
      <c r="B906" s="3"/>
      <c r="C906" s="3"/>
      <c r="D906" s="3"/>
      <c r="E906" s="3"/>
      <c r="F906" s="3"/>
      <c r="G906" s="3"/>
      <c r="H906" s="3"/>
      <c r="I906" s="3"/>
      <c r="J906" s="3"/>
      <c r="K906" s="3"/>
    </row>
    <row r="907" spans="1:11" hidden="1" x14ac:dyDescent="0.2">
      <c r="A907" s="3"/>
      <c r="B907" s="3"/>
      <c r="C907" s="3"/>
      <c r="D907" s="3"/>
      <c r="E907" s="3"/>
      <c r="F907" s="3"/>
      <c r="G907" s="3"/>
      <c r="H907" s="3"/>
      <c r="I907" s="3"/>
      <c r="J907" s="3"/>
      <c r="K907" s="3"/>
    </row>
    <row r="908" spans="1:11" hidden="1" x14ac:dyDescent="0.2">
      <c r="A908" s="3"/>
      <c r="B908" s="3"/>
      <c r="C908" s="3"/>
      <c r="D908" s="3"/>
      <c r="E908" s="3"/>
      <c r="F908" s="3"/>
      <c r="G908" s="3"/>
      <c r="H908" s="3"/>
      <c r="I908" s="3"/>
      <c r="J908" s="3"/>
      <c r="K908" s="3"/>
    </row>
    <row r="909" spans="1:11" hidden="1" x14ac:dyDescent="0.2">
      <c r="A909" s="3"/>
      <c r="B909" s="3"/>
      <c r="C909" s="3"/>
      <c r="D909" s="3"/>
      <c r="E909" s="3"/>
      <c r="F909" s="3"/>
      <c r="G909" s="3"/>
      <c r="H909" s="3"/>
      <c r="I909" s="3"/>
      <c r="J909" s="3"/>
      <c r="K909" s="3"/>
    </row>
    <row r="910" spans="1:11" hidden="1" x14ac:dyDescent="0.2">
      <c r="A910" s="3"/>
      <c r="B910" s="3"/>
      <c r="C910" s="3"/>
      <c r="D910" s="3"/>
      <c r="E910" s="3"/>
      <c r="F910" s="3"/>
      <c r="G910" s="3"/>
      <c r="H910" s="3"/>
      <c r="I910" s="3"/>
      <c r="J910" s="3"/>
      <c r="K910" s="3"/>
    </row>
    <row r="911" spans="1:11" hidden="1" x14ac:dyDescent="0.2">
      <c r="A911" s="3"/>
      <c r="B911" s="3"/>
      <c r="C911" s="3"/>
      <c r="D911" s="3"/>
      <c r="E911" s="3"/>
      <c r="F911" s="3"/>
      <c r="G911" s="3"/>
      <c r="H911" s="3"/>
      <c r="I911" s="3"/>
      <c r="J911" s="3"/>
      <c r="K911" s="3"/>
    </row>
    <row r="912" spans="1:11" hidden="1" x14ac:dyDescent="0.2">
      <c r="A912" s="3"/>
      <c r="B912" s="3"/>
      <c r="C912" s="3"/>
      <c r="D912" s="3"/>
      <c r="E912" s="3"/>
      <c r="F912" s="3"/>
      <c r="G912" s="3"/>
      <c r="H912" s="3"/>
      <c r="I912" s="3"/>
      <c r="J912" s="3"/>
      <c r="K912" s="3"/>
    </row>
    <row r="913" spans="1:11" hidden="1" x14ac:dyDescent="0.2">
      <c r="A913" s="3"/>
      <c r="B913" s="3"/>
      <c r="C913" s="3"/>
      <c r="D913" s="3"/>
      <c r="E913" s="3"/>
      <c r="F913" s="3"/>
      <c r="G913" s="3"/>
      <c r="H913" s="3"/>
      <c r="I913" s="3"/>
      <c r="J913" s="3"/>
      <c r="K913" s="3"/>
    </row>
    <row r="914" spans="1:11" hidden="1" x14ac:dyDescent="0.2">
      <c r="A914" s="3"/>
      <c r="B914" s="3"/>
      <c r="C914" s="3"/>
      <c r="D914" s="3"/>
      <c r="E914" s="3"/>
      <c r="F914" s="3"/>
      <c r="G914" s="3"/>
      <c r="H914" s="3"/>
      <c r="I914" s="3"/>
      <c r="J914" s="3"/>
      <c r="K914" s="3"/>
    </row>
    <row r="915" spans="1:11" hidden="1" x14ac:dyDescent="0.2">
      <c r="A915" s="3"/>
      <c r="B915" s="3"/>
      <c r="C915" s="3"/>
      <c r="D915" s="3"/>
      <c r="E915" s="3"/>
      <c r="F915" s="3"/>
      <c r="G915" s="3"/>
      <c r="H915" s="3"/>
      <c r="I915" s="3"/>
      <c r="J915" s="3"/>
      <c r="K915" s="3"/>
    </row>
    <row r="916" spans="1:11" hidden="1" x14ac:dyDescent="0.2">
      <c r="A916" s="3"/>
      <c r="B916" s="3"/>
      <c r="C916" s="3"/>
      <c r="D916" s="3"/>
      <c r="E916" s="3"/>
      <c r="F916" s="3"/>
      <c r="G916" s="3"/>
      <c r="H916" s="3"/>
      <c r="I916" s="3"/>
      <c r="J916" s="3"/>
      <c r="K916" s="3"/>
    </row>
    <row r="917" spans="1:11" hidden="1" x14ac:dyDescent="0.2">
      <c r="A917" s="3"/>
      <c r="B917" s="3"/>
      <c r="C917" s="3"/>
      <c r="D917" s="3"/>
      <c r="E917" s="3"/>
      <c r="F917" s="3"/>
      <c r="G917" s="3"/>
      <c r="H917" s="3"/>
      <c r="I917" s="3"/>
      <c r="J917" s="3"/>
      <c r="K917" s="3"/>
    </row>
    <row r="918" spans="1:11" hidden="1" x14ac:dyDescent="0.2">
      <c r="A918" s="3"/>
      <c r="B918" s="3"/>
      <c r="C918" s="3"/>
      <c r="D918" s="3"/>
      <c r="E918" s="3"/>
      <c r="F918" s="3"/>
      <c r="G918" s="3"/>
      <c r="H918" s="3"/>
      <c r="I918" s="3"/>
      <c r="J918" s="3"/>
      <c r="K918" s="3"/>
    </row>
    <row r="919" spans="1:11" hidden="1" x14ac:dyDescent="0.2">
      <c r="A919" s="3"/>
      <c r="B919" s="3"/>
      <c r="C919" s="3"/>
      <c r="D919" s="3"/>
      <c r="E919" s="3"/>
      <c r="F919" s="3"/>
      <c r="G919" s="3"/>
      <c r="H919" s="3"/>
      <c r="I919" s="3"/>
      <c r="J919" s="3"/>
      <c r="K919" s="3"/>
    </row>
    <row r="920" spans="1:11" hidden="1" x14ac:dyDescent="0.2">
      <c r="A920" s="3"/>
      <c r="B920" s="3"/>
      <c r="C920" s="3"/>
      <c r="D920" s="3"/>
      <c r="E920" s="3"/>
      <c r="F920" s="3"/>
      <c r="G920" s="3"/>
      <c r="H920" s="3"/>
      <c r="I920" s="3"/>
      <c r="J920" s="3"/>
      <c r="K920" s="3"/>
    </row>
    <row r="921" spans="1:11" hidden="1" x14ac:dyDescent="0.2">
      <c r="A921" s="3"/>
      <c r="B921" s="3"/>
      <c r="C921" s="3"/>
      <c r="D921" s="3"/>
      <c r="E921" s="3"/>
      <c r="F921" s="3"/>
      <c r="G921" s="3"/>
      <c r="H921" s="3"/>
      <c r="I921" s="3"/>
      <c r="J921" s="3"/>
      <c r="K921" s="3"/>
    </row>
    <row r="922" spans="1:11" hidden="1" x14ac:dyDescent="0.2">
      <c r="A922" s="3"/>
      <c r="B922" s="3"/>
      <c r="C922" s="3"/>
      <c r="D922" s="3"/>
      <c r="E922" s="3"/>
      <c r="F922" s="3"/>
      <c r="G922" s="3"/>
      <c r="H922" s="3"/>
      <c r="I922" s="3"/>
      <c r="J922" s="3"/>
      <c r="K922" s="3"/>
    </row>
    <row r="923" spans="1:11" hidden="1" x14ac:dyDescent="0.2">
      <c r="A923" s="3"/>
      <c r="B923" s="3"/>
      <c r="C923" s="3"/>
      <c r="D923" s="3"/>
      <c r="E923" s="3"/>
      <c r="F923" s="3"/>
      <c r="G923" s="3"/>
      <c r="H923" s="3"/>
      <c r="I923" s="3"/>
      <c r="J923" s="3"/>
      <c r="K923" s="3"/>
    </row>
    <row r="924" spans="1:11" hidden="1" x14ac:dyDescent="0.2">
      <c r="A924" s="3"/>
      <c r="B924" s="3"/>
      <c r="C924" s="3"/>
      <c r="D924" s="3"/>
      <c r="E924" s="3"/>
      <c r="F924" s="3"/>
      <c r="G924" s="3"/>
      <c r="H924" s="3"/>
      <c r="I924" s="3"/>
      <c r="J924" s="3"/>
      <c r="K924" s="3"/>
    </row>
    <row r="925" spans="1:11" hidden="1" x14ac:dyDescent="0.2">
      <c r="A925" s="3"/>
      <c r="B925" s="3"/>
      <c r="C925" s="3"/>
      <c r="D925" s="3"/>
      <c r="E925" s="3"/>
      <c r="F925" s="3"/>
      <c r="G925" s="3"/>
      <c r="H925" s="3"/>
      <c r="I925" s="3"/>
      <c r="J925" s="3"/>
      <c r="K925" s="3"/>
    </row>
    <row r="926" spans="1:11" hidden="1" x14ac:dyDescent="0.2">
      <c r="A926" s="3"/>
      <c r="B926" s="3"/>
      <c r="C926" s="3"/>
      <c r="D926" s="3"/>
      <c r="E926" s="3"/>
      <c r="F926" s="3"/>
      <c r="G926" s="3"/>
      <c r="H926" s="3"/>
      <c r="I926" s="3"/>
      <c r="J926" s="3"/>
      <c r="K926" s="3"/>
    </row>
    <row r="927" spans="1:11" hidden="1" x14ac:dyDescent="0.2">
      <c r="A927" s="3"/>
      <c r="B927" s="3"/>
      <c r="C927" s="3"/>
      <c r="D927" s="3"/>
      <c r="E927" s="3"/>
      <c r="F927" s="3"/>
      <c r="G927" s="3"/>
      <c r="H927" s="3"/>
      <c r="I927" s="3"/>
      <c r="J927" s="3"/>
      <c r="K927" s="3"/>
    </row>
    <row r="928" spans="1:11" hidden="1" x14ac:dyDescent="0.2">
      <c r="A928" s="3"/>
      <c r="B928" s="3"/>
      <c r="C928" s="3"/>
      <c r="D928" s="3"/>
      <c r="E928" s="3"/>
      <c r="F928" s="3"/>
      <c r="G928" s="3"/>
      <c r="H928" s="3"/>
      <c r="I928" s="3"/>
      <c r="J928" s="3"/>
      <c r="K928" s="3"/>
    </row>
    <row r="929" spans="1:11" hidden="1" x14ac:dyDescent="0.2">
      <c r="A929" s="3"/>
      <c r="B929" s="3"/>
      <c r="C929" s="3"/>
      <c r="D929" s="3"/>
      <c r="E929" s="3"/>
      <c r="F929" s="3"/>
      <c r="G929" s="3"/>
      <c r="H929" s="3"/>
      <c r="I929" s="3"/>
      <c r="J929" s="3"/>
      <c r="K929" s="3"/>
    </row>
    <row r="930" spans="1:11" hidden="1" x14ac:dyDescent="0.2">
      <c r="A930" s="3"/>
      <c r="B930" s="3"/>
      <c r="C930" s="3"/>
      <c r="D930" s="3"/>
      <c r="E930" s="3"/>
      <c r="F930" s="3"/>
      <c r="G930" s="3"/>
      <c r="H930" s="3"/>
      <c r="I930" s="3"/>
      <c r="J930" s="3"/>
      <c r="K930" s="3"/>
    </row>
    <row r="931" spans="1:11" hidden="1" x14ac:dyDescent="0.2">
      <c r="A931" s="3"/>
      <c r="B931" s="3"/>
      <c r="C931" s="3"/>
      <c r="D931" s="3"/>
      <c r="E931" s="3"/>
      <c r="F931" s="3"/>
      <c r="G931" s="3"/>
      <c r="H931" s="3"/>
      <c r="I931" s="3"/>
      <c r="J931" s="3"/>
      <c r="K931" s="3"/>
    </row>
    <row r="932" spans="1:11" hidden="1" x14ac:dyDescent="0.2">
      <c r="A932" s="3"/>
      <c r="B932" s="3"/>
      <c r="C932" s="3"/>
      <c r="D932" s="3"/>
      <c r="E932" s="3"/>
      <c r="F932" s="3"/>
      <c r="G932" s="3"/>
      <c r="H932" s="3"/>
      <c r="I932" s="3"/>
      <c r="J932" s="3"/>
      <c r="K932" s="3"/>
    </row>
    <row r="933" spans="1:11" hidden="1" x14ac:dyDescent="0.2">
      <c r="A933" s="3"/>
      <c r="B933" s="3"/>
      <c r="C933" s="3"/>
      <c r="D933" s="3"/>
      <c r="E933" s="3"/>
      <c r="F933" s="3"/>
      <c r="G933" s="3"/>
      <c r="H933" s="3"/>
      <c r="I933" s="3"/>
      <c r="J933" s="3"/>
      <c r="K933" s="3"/>
    </row>
    <row r="934" spans="1:11" hidden="1" x14ac:dyDescent="0.2">
      <c r="A934" s="3"/>
      <c r="B934" s="3"/>
      <c r="C934" s="3"/>
      <c r="D934" s="3"/>
      <c r="E934" s="3"/>
      <c r="F934" s="3"/>
      <c r="G934" s="3"/>
      <c r="H934" s="3"/>
      <c r="I934" s="3"/>
      <c r="J934" s="3"/>
      <c r="K934" s="3"/>
    </row>
    <row r="935" spans="1:11" hidden="1" x14ac:dyDescent="0.2">
      <c r="A935" s="3"/>
      <c r="B935" s="3"/>
      <c r="C935" s="3"/>
      <c r="D935" s="3"/>
      <c r="E935" s="3"/>
      <c r="F935" s="3"/>
      <c r="G935" s="3"/>
      <c r="H935" s="3"/>
      <c r="I935" s="3"/>
      <c r="J935" s="3"/>
      <c r="K935" s="3"/>
    </row>
    <row r="936" spans="1:11" hidden="1" x14ac:dyDescent="0.2">
      <c r="A936" s="3"/>
      <c r="B936" s="3"/>
      <c r="C936" s="3"/>
      <c r="D936" s="3"/>
      <c r="E936" s="3"/>
      <c r="F936" s="3"/>
      <c r="G936" s="3"/>
      <c r="H936" s="3"/>
      <c r="I936" s="3"/>
      <c r="J936" s="3"/>
      <c r="K936" s="3"/>
    </row>
    <row r="937" spans="1:11" hidden="1" x14ac:dyDescent="0.2">
      <c r="A937" s="3"/>
      <c r="B937" s="3"/>
      <c r="C937" s="3"/>
      <c r="D937" s="3"/>
      <c r="E937" s="3"/>
      <c r="F937" s="3"/>
      <c r="G937" s="3"/>
      <c r="H937" s="3"/>
      <c r="I937" s="3"/>
      <c r="J937" s="3"/>
      <c r="K937" s="3"/>
    </row>
    <row r="938" spans="1:11" hidden="1" x14ac:dyDescent="0.2">
      <c r="A938" s="3"/>
      <c r="B938" s="3"/>
      <c r="C938" s="3"/>
      <c r="D938" s="3"/>
      <c r="E938" s="3"/>
      <c r="F938" s="3"/>
      <c r="G938" s="3"/>
      <c r="H938" s="3"/>
      <c r="I938" s="3"/>
      <c r="J938" s="3"/>
      <c r="K938" s="3"/>
    </row>
    <row r="939" spans="1:11" hidden="1" x14ac:dyDescent="0.2">
      <c r="A939" s="3"/>
      <c r="B939" s="3"/>
      <c r="C939" s="3"/>
      <c r="D939" s="3"/>
      <c r="E939" s="3"/>
      <c r="F939" s="3"/>
      <c r="G939" s="3"/>
      <c r="H939" s="3"/>
      <c r="I939" s="3"/>
      <c r="J939" s="3"/>
      <c r="K939" s="3"/>
    </row>
    <row r="940" spans="1:11" hidden="1" x14ac:dyDescent="0.2">
      <c r="A940" s="3"/>
      <c r="B940" s="3"/>
      <c r="C940" s="3"/>
      <c r="D940" s="3"/>
      <c r="E940" s="3"/>
      <c r="F940" s="3"/>
      <c r="G940" s="3"/>
      <c r="H940" s="3"/>
      <c r="I940" s="3"/>
      <c r="J940" s="3"/>
      <c r="K940" s="3"/>
    </row>
    <row r="941" spans="1:11" hidden="1" x14ac:dyDescent="0.2">
      <c r="A941" s="3"/>
      <c r="B941" s="3"/>
      <c r="C941" s="3"/>
      <c r="D941" s="3"/>
      <c r="E941" s="3"/>
      <c r="F941" s="3"/>
      <c r="G941" s="3"/>
      <c r="H941" s="3"/>
      <c r="I941" s="3"/>
      <c r="J941" s="3"/>
      <c r="K941" s="3"/>
    </row>
    <row r="942" spans="1:11" hidden="1" x14ac:dyDescent="0.2">
      <c r="A942" s="3"/>
      <c r="B942" s="3"/>
      <c r="C942" s="3"/>
      <c r="D942" s="3"/>
      <c r="E942" s="3"/>
      <c r="F942" s="3"/>
      <c r="G942" s="3"/>
      <c r="H942" s="3"/>
      <c r="I942" s="3"/>
      <c r="J942" s="3"/>
      <c r="K942" s="3"/>
    </row>
    <row r="943" spans="1:11" hidden="1" x14ac:dyDescent="0.2">
      <c r="A943" s="3"/>
      <c r="B943" s="3"/>
      <c r="C943" s="3"/>
      <c r="D943" s="3"/>
      <c r="E943" s="3"/>
      <c r="F943" s="3"/>
      <c r="G943" s="3"/>
      <c r="H943" s="3"/>
      <c r="I943" s="3"/>
      <c r="J943" s="3"/>
      <c r="K943" s="3"/>
    </row>
    <row r="944" spans="1:11" hidden="1" x14ac:dyDescent="0.2">
      <c r="A944" s="3"/>
      <c r="B944" s="3"/>
      <c r="C944" s="3"/>
      <c r="D944" s="3"/>
      <c r="E944" s="3"/>
      <c r="F944" s="3"/>
      <c r="G944" s="3"/>
      <c r="H944" s="3"/>
      <c r="I944" s="3"/>
      <c r="J944" s="3"/>
      <c r="K944" s="3"/>
    </row>
    <row r="945" spans="1:11" hidden="1" x14ac:dyDescent="0.2">
      <c r="A945" s="3"/>
      <c r="B945" s="3"/>
      <c r="C945" s="3"/>
      <c r="D945" s="3"/>
      <c r="E945" s="3"/>
      <c r="F945" s="3"/>
      <c r="G945" s="3"/>
      <c r="H945" s="3"/>
      <c r="I945" s="3"/>
      <c r="J945" s="3"/>
      <c r="K945" s="3"/>
    </row>
    <row r="946" spans="1:11" hidden="1" x14ac:dyDescent="0.2">
      <c r="A946" s="3"/>
      <c r="B946" s="3"/>
      <c r="C946" s="3"/>
      <c r="D946" s="3"/>
      <c r="E946" s="3"/>
      <c r="F946" s="3"/>
      <c r="G946" s="3"/>
      <c r="H946" s="3"/>
      <c r="I946" s="3"/>
      <c r="J946" s="3"/>
      <c r="K946" s="3"/>
    </row>
    <row r="947" spans="1:11" hidden="1" x14ac:dyDescent="0.2">
      <c r="A947" s="3"/>
      <c r="B947" s="3"/>
      <c r="C947" s="3"/>
      <c r="D947" s="3"/>
      <c r="E947" s="3"/>
      <c r="F947" s="3"/>
      <c r="G947" s="3"/>
      <c r="H947" s="3"/>
      <c r="I947" s="3"/>
      <c r="J947" s="3"/>
      <c r="K947" s="3"/>
    </row>
    <row r="948" spans="1:11" hidden="1" x14ac:dyDescent="0.2">
      <c r="A948" s="3"/>
      <c r="B948" s="3"/>
      <c r="C948" s="3"/>
      <c r="D948" s="3"/>
      <c r="E948" s="3"/>
      <c r="F948" s="3"/>
      <c r="G948" s="3"/>
      <c r="H948" s="3"/>
      <c r="I948" s="3"/>
      <c r="J948" s="3"/>
      <c r="K948" s="3"/>
    </row>
    <row r="949" spans="1:11" hidden="1" x14ac:dyDescent="0.2">
      <c r="A949" s="3"/>
      <c r="B949" s="3"/>
      <c r="C949" s="3"/>
      <c r="D949" s="3"/>
      <c r="E949" s="3"/>
      <c r="F949" s="3"/>
      <c r="G949" s="3"/>
      <c r="H949" s="3"/>
      <c r="I949" s="3"/>
      <c r="J949" s="3"/>
      <c r="K949" s="3"/>
    </row>
    <row r="950" spans="1:11" hidden="1" x14ac:dyDescent="0.2">
      <c r="A950" s="3"/>
      <c r="B950" s="3"/>
      <c r="C950" s="3"/>
      <c r="D950" s="3"/>
      <c r="E950" s="3"/>
      <c r="F950" s="3"/>
      <c r="G950" s="3"/>
      <c r="H950" s="3"/>
      <c r="I950" s="3"/>
      <c r="J950" s="3"/>
      <c r="K950" s="3"/>
    </row>
    <row r="951" spans="1:11" hidden="1" x14ac:dyDescent="0.2">
      <c r="A951" s="3"/>
      <c r="B951" s="3"/>
      <c r="C951" s="3"/>
      <c r="D951" s="3"/>
      <c r="E951" s="3"/>
      <c r="F951" s="3"/>
      <c r="G951" s="3"/>
      <c r="H951" s="3"/>
      <c r="I951" s="3"/>
      <c r="J951" s="3"/>
      <c r="K951" s="3"/>
    </row>
    <row r="952" spans="1:11" hidden="1" x14ac:dyDescent="0.2">
      <c r="A952" s="3"/>
      <c r="B952" s="3"/>
      <c r="C952" s="3"/>
      <c r="D952" s="3"/>
      <c r="E952" s="3"/>
      <c r="F952" s="3"/>
      <c r="G952" s="3"/>
      <c r="H952" s="3"/>
      <c r="I952" s="3"/>
      <c r="J952" s="3"/>
      <c r="K952" s="3"/>
    </row>
    <row r="953" spans="1:11" hidden="1" x14ac:dyDescent="0.2">
      <c r="A953" s="3"/>
      <c r="B953" s="3"/>
      <c r="C953" s="3"/>
      <c r="D953" s="3"/>
      <c r="E953" s="3"/>
      <c r="F953" s="3"/>
      <c r="G953" s="3"/>
      <c r="H953" s="3"/>
      <c r="I953" s="3"/>
      <c r="J953" s="3"/>
      <c r="K953" s="3"/>
    </row>
    <row r="954" spans="1:11" hidden="1" x14ac:dyDescent="0.2">
      <c r="A954" s="3"/>
      <c r="B954" s="3"/>
      <c r="C954" s="3"/>
      <c r="D954" s="3"/>
      <c r="E954" s="3"/>
      <c r="F954" s="3"/>
      <c r="G954" s="3"/>
      <c r="H954" s="3"/>
      <c r="I954" s="3"/>
      <c r="J954" s="3"/>
      <c r="K954" s="3"/>
    </row>
    <row r="955" spans="1:11" hidden="1" x14ac:dyDescent="0.2">
      <c r="A955" s="3"/>
      <c r="B955" s="3"/>
      <c r="C955" s="3"/>
      <c r="D955" s="3"/>
      <c r="E955" s="3"/>
      <c r="F955" s="3"/>
      <c r="G955" s="3"/>
      <c r="H955" s="3"/>
      <c r="I955" s="3"/>
      <c r="J955" s="3"/>
      <c r="K955" s="3"/>
    </row>
    <row r="956" spans="1:11" hidden="1" x14ac:dyDescent="0.2">
      <c r="A956" s="3"/>
      <c r="B956" s="3"/>
      <c r="C956" s="3"/>
      <c r="D956" s="3"/>
      <c r="E956" s="3"/>
      <c r="F956" s="3"/>
      <c r="G956" s="3"/>
      <c r="H956" s="3"/>
      <c r="I956" s="3"/>
      <c r="J956" s="3"/>
      <c r="K956" s="3"/>
    </row>
    <row r="957" spans="1:11" hidden="1" x14ac:dyDescent="0.2">
      <c r="A957" s="3"/>
      <c r="B957" s="3"/>
      <c r="C957" s="3"/>
      <c r="D957" s="3"/>
      <c r="E957" s="3"/>
      <c r="F957" s="3"/>
      <c r="G957" s="3"/>
      <c r="H957" s="3"/>
      <c r="I957" s="3"/>
      <c r="J957" s="3"/>
      <c r="K957" s="3"/>
    </row>
    <row r="958" spans="1:11" hidden="1" x14ac:dyDescent="0.2">
      <c r="A958" s="3"/>
      <c r="B958" s="3"/>
      <c r="C958" s="3"/>
      <c r="D958" s="3"/>
      <c r="E958" s="3"/>
      <c r="F958" s="3"/>
      <c r="G958" s="3"/>
      <c r="H958" s="3"/>
      <c r="I958" s="3"/>
      <c r="J958" s="3"/>
      <c r="K958" s="3"/>
    </row>
    <row r="959" spans="1:11" hidden="1" x14ac:dyDescent="0.2">
      <c r="A959" s="3"/>
      <c r="B959" s="3"/>
      <c r="C959" s="3"/>
      <c r="D959" s="3"/>
      <c r="E959" s="3"/>
      <c r="F959" s="3"/>
      <c r="G959" s="3"/>
      <c r="H959" s="3"/>
      <c r="I959" s="3"/>
      <c r="J959" s="3"/>
      <c r="K959" s="3"/>
    </row>
    <row r="960" spans="1:11" hidden="1" x14ac:dyDescent="0.2">
      <c r="A960" s="3"/>
      <c r="B960" s="3"/>
      <c r="C960" s="3"/>
      <c r="D960" s="3"/>
      <c r="E960" s="3"/>
      <c r="F960" s="3"/>
      <c r="G960" s="3"/>
      <c r="H960" s="3"/>
      <c r="I960" s="3"/>
      <c r="J960" s="3"/>
      <c r="K960" s="3"/>
    </row>
    <row r="961" spans="1:11" hidden="1" x14ac:dyDescent="0.2">
      <c r="A961" s="3"/>
      <c r="B961" s="3"/>
      <c r="C961" s="3"/>
      <c r="D961" s="3"/>
      <c r="E961" s="3"/>
      <c r="F961" s="3"/>
      <c r="G961" s="3"/>
      <c r="H961" s="3"/>
      <c r="I961" s="3"/>
      <c r="J961" s="3"/>
      <c r="K961" s="3"/>
    </row>
    <row r="962" spans="1:11" hidden="1" x14ac:dyDescent="0.2">
      <c r="A962" s="3"/>
      <c r="B962" s="3"/>
      <c r="C962" s="3"/>
      <c r="D962" s="3"/>
      <c r="E962" s="3"/>
      <c r="F962" s="3"/>
      <c r="G962" s="3"/>
      <c r="H962" s="3"/>
      <c r="I962" s="3"/>
      <c r="J962" s="3"/>
      <c r="K962" s="3"/>
    </row>
  </sheetData>
  <sheetProtection algorithmName="SHA-512" hashValue="EQPOQf93V5HHvAiAxBorlonM/F+AKzNkQKGXTdOfcLKFLDfMmkpLbgnDHabWveG8sALThpd2vdziklN0JKq5xA==" saltValue="1eodEqwSFaE8xubHA9DGIA==" spinCount="100000" sheet="1" objects="1" scenarios="1"/>
  <autoFilter ref="A2:V333" xr:uid="{00000000-0009-0000-0000-00000E000000}"/>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36C"/>
  </sheetPr>
  <dimension ref="A1:L112"/>
  <sheetViews>
    <sheetView showGridLines="0" showZeros="0" topLeftCell="A2" zoomScale="120" zoomScaleNormal="120" workbookViewId="0">
      <selection activeCell="C24" sqref="C24"/>
    </sheetView>
  </sheetViews>
  <sheetFormatPr baseColWidth="10" defaultColWidth="0" defaultRowHeight="0" customHeight="1" zeroHeight="1" x14ac:dyDescent="0.2"/>
  <cols>
    <col min="1" max="1" width="8.25" style="320" customWidth="1"/>
    <col min="2" max="2" width="55.125" style="1" customWidth="1"/>
    <col min="3" max="3" width="18.875" style="8" customWidth="1"/>
    <col min="4" max="4" width="55.75" style="9" customWidth="1"/>
    <col min="5" max="5" width="32" style="10" customWidth="1"/>
    <col min="6" max="6" width="30.75" style="1" customWidth="1"/>
    <col min="7" max="7" width="18.125" style="1" customWidth="1"/>
    <col min="8" max="8" width="18.125" style="1" hidden="1" customWidth="1"/>
    <col min="9" max="10" width="18.125" style="35" hidden="1" customWidth="1"/>
    <col min="11" max="11" width="4.5" style="1" hidden="1" customWidth="1"/>
    <col min="12" max="12" width="6.625" style="1" hidden="1" customWidth="1"/>
    <col min="13" max="13" width="6.625" style="320" hidden="1" customWidth="1"/>
    <col min="14" max="16384" width="6.625" style="320" hidden="1"/>
  </cols>
  <sheetData>
    <row r="1" spans="1:10" ht="0" hidden="1" customHeight="1" x14ac:dyDescent="0.2">
      <c r="A1" t="s">
        <v>346</v>
      </c>
    </row>
    <row r="2" spans="1:10" ht="36" customHeight="1" x14ac:dyDescent="0.2">
      <c r="A2" s="161" t="s">
        <v>372</v>
      </c>
      <c r="B2" s="161"/>
      <c r="C2" s="162"/>
      <c r="D2" s="271"/>
      <c r="E2" s="163"/>
      <c r="F2" s="163" t="str">
        <f>'Auto Responses'!$A$36</f>
        <v>Version 4.1.5</v>
      </c>
      <c r="J2" s="1"/>
    </row>
    <row r="3" spans="1:10" s="1" customFormat="1" ht="29" customHeight="1" x14ac:dyDescent="0.15">
      <c r="A3" s="37" t="s">
        <v>348</v>
      </c>
      <c r="B3" s="38"/>
      <c r="C3" s="64" t="str">
        <f>'START HERE'!$C$3</f>
        <v>2025-04-08</v>
      </c>
      <c r="D3" s="272"/>
      <c r="E3" s="36"/>
      <c r="F3" s="50"/>
      <c r="I3" s="35"/>
    </row>
    <row r="4" spans="1:10" s="1" customFormat="1" ht="36" customHeight="1" x14ac:dyDescent="0.15">
      <c r="A4" s="11" t="s">
        <v>350</v>
      </c>
      <c r="B4" s="12"/>
      <c r="C4" s="13"/>
      <c r="D4" s="14"/>
      <c r="E4" s="15"/>
      <c r="F4" s="15"/>
      <c r="I4" s="35"/>
    </row>
    <row r="5" spans="1:10" s="1" customFormat="1" ht="19.5" customHeight="1" x14ac:dyDescent="0.15">
      <c r="A5" s="42" t="str">
        <f>HLOOKUP($A$4,'Auto Responses'!$D$2:$D$8,2,0)&amp;""</f>
        <v>1. Complete the "Start Here" tab and review the "Required Questions" guidance to find the other sections are required for your product or service.</v>
      </c>
      <c r="B5" s="16"/>
      <c r="C5" s="65"/>
      <c r="D5" s="273"/>
      <c r="E5" s="16"/>
      <c r="F5" s="247"/>
      <c r="I5" s="35"/>
    </row>
    <row r="6" spans="1:10" s="1" customFormat="1" ht="19.5" customHeight="1" x14ac:dyDescent="0.15">
      <c r="A6" s="42" t="str">
        <f>HLOOKUP($A$4,'Auto Responses'!$D$2:$D$8,3,0)&amp;""</f>
        <v>2. Complete the "Organization" tab and the applicable questions in each of the next 5 tabs (Product through Privacy) that apply, based on your answers to the "Required Questions."</v>
      </c>
      <c r="B6" s="16"/>
      <c r="C6" s="65"/>
      <c r="D6" s="273"/>
      <c r="E6" s="16"/>
      <c r="F6" s="248"/>
      <c r="I6" s="35"/>
    </row>
    <row r="7" spans="1:10" s="1" customFormat="1" ht="19.5" customHeight="1" x14ac:dyDescent="0.15">
      <c r="A7" s="42" t="str">
        <f>HLOOKUP($A$4,'Auto Responses'!$D$2:$D$8,4,0)&amp;""</f>
        <v xml:space="preserve">3. Guidance in column E may change based on your answers to prompt details in "Additional Information." If leaving an answer blank, you must also state why in "Additional Information". </v>
      </c>
      <c r="B7" s="16"/>
      <c r="C7" s="65"/>
      <c r="D7" s="273"/>
      <c r="E7" s="16"/>
      <c r="F7" s="248"/>
      <c r="I7" s="35"/>
    </row>
    <row r="8" spans="1:10" s="1" customFormat="1" ht="19.5" customHeight="1" x14ac:dyDescent="0.15">
      <c r="A8" s="42" t="str">
        <f>HLOOKUP($A$4,'Auto Responses'!$D$2:$D$8,5,0)&amp;""</f>
        <v>4. DO NOT complete any fields in the "Evaluation" sheets or the "Analyst Notes" column.</v>
      </c>
      <c r="B8" s="16"/>
      <c r="C8" s="65"/>
      <c r="D8" s="273"/>
      <c r="E8" s="16"/>
      <c r="F8" s="248"/>
      <c r="I8" s="35"/>
    </row>
    <row r="9" spans="1:10" s="1" customFormat="1" ht="19.5" customHeight="1" x14ac:dyDescent="0.15">
      <c r="A9" s="42" t="str">
        <f>HLOOKUP($A$4,'Auto Responses'!$D$2:$D$8,6,0)&amp;""</f>
        <v>5. Return the completed file to institutions.</v>
      </c>
      <c r="B9" s="16"/>
      <c r="C9" s="65"/>
      <c r="D9" s="273"/>
      <c r="E9" s="16"/>
      <c r="F9" s="248"/>
      <c r="I9" s="35"/>
    </row>
    <row r="10" spans="1:10" s="1" customFormat="1" ht="19.5" customHeight="1" x14ac:dyDescent="0.15">
      <c r="A10" s="235" t="str">
        <f>HLOOKUP($A$4,'Auto Responses'!$D$2:$D$8,7,0)&amp;""</f>
        <v>* Denotes critical questions. Critical questions are those deemed most important to institutions by higher education volunteers.</v>
      </c>
      <c r="B10" s="16"/>
      <c r="C10" s="65"/>
      <c r="D10" s="273"/>
      <c r="E10" s="16"/>
      <c r="F10" s="248"/>
      <c r="I10" s="35"/>
    </row>
    <row r="11" spans="1:10" s="237" customFormat="1" ht="19.5" customHeight="1" x14ac:dyDescent="0.15">
      <c r="A11" s="234" t="str">
        <f>HLOOKUP($A$4,'Auto Responses'!$D$2:$D$9,8,0)&amp;""</f>
        <v>For full instructions, please visit educause.edu/HECVAT</v>
      </c>
      <c r="B11" s="235"/>
      <c r="C11" s="236"/>
      <c r="D11" s="281"/>
      <c r="E11" s="235"/>
      <c r="F11" s="250"/>
      <c r="I11" s="238"/>
    </row>
    <row r="12" spans="1:10" s="1" customFormat="1" ht="36" customHeight="1" x14ac:dyDescent="0.15">
      <c r="A12" s="61" t="str">
        <f>VLOOKUP(LEFT($A13,4),'Auto Responses'!$N$4:$O$38,2,0)&amp;""</f>
        <v xml:space="preserve"> General Information</v>
      </c>
      <c r="B12" s="12"/>
      <c r="C12" s="13" t="s">
        <v>351</v>
      </c>
      <c r="D12" s="274"/>
      <c r="E12" s="17"/>
      <c r="F12" s="17"/>
      <c r="I12" s="35"/>
      <c r="J12" s="35"/>
    </row>
    <row r="13" spans="1:10" s="1" customFormat="1" ht="22.25" customHeight="1" x14ac:dyDescent="0.15">
      <c r="A13" s="19" t="s">
        <v>7</v>
      </c>
      <c r="B13" s="20" t="str">
        <f>VLOOKUP($A13,Questions!$A$2:$X$333,2,0)&amp;""</f>
        <v>Solution Provider Name</v>
      </c>
      <c r="C13" s="72" t="str">
        <f ca="1">VLOOKUP($A13,'START HERE'!$A$13:$C$21,3,0)&amp;""</f>
        <v>Accredible (EdInvent Inc. d.b.a. Accredible)</v>
      </c>
      <c r="D13" s="32"/>
      <c r="E13" s="32"/>
      <c r="F13" s="50"/>
      <c r="I13" s="35"/>
      <c r="J13" s="35"/>
    </row>
    <row r="14" spans="1:10" s="1" customFormat="1" ht="22.25" customHeight="1" x14ac:dyDescent="0.15">
      <c r="A14" s="19" t="s">
        <v>8</v>
      </c>
      <c r="B14" s="20" t="str">
        <f>VLOOKUP($A14,Questions!$A$2:$X$333,2,0)&amp;""</f>
        <v>Solution Name</v>
      </c>
      <c r="C14" s="72" t="str">
        <f ca="1">VLOOKUP($A14,'START HERE'!$A$13:$C$21,3,0)&amp;""</f>
        <v>Accredible Digital Credentialing Platform</v>
      </c>
      <c r="D14" s="32"/>
      <c r="E14" s="32"/>
      <c r="F14" s="50"/>
      <c r="I14" s="35"/>
      <c r="J14" s="35"/>
    </row>
    <row r="15" spans="1:10" s="1" customFormat="1" ht="22.25" customHeight="1" x14ac:dyDescent="0.15">
      <c r="A15" s="19" t="s">
        <v>9</v>
      </c>
      <c r="B15" s="20" t="str">
        <f>VLOOKUP($A15,Questions!$A$2:$X$333,2,0)&amp;""</f>
        <v>Solution Description</v>
      </c>
      <c r="C15" s="72" t="str">
        <f ca="1">VLOOKUP($A15,'START HERE'!$A$13:$C$21,3,0)&amp;""</f>
        <v>Accredible is a cloud-hosted, multi-tenant Software as a Service (SaaS) digital credentialing platform that enables organizations to design, issue, manage, and verify digital credentials including certificates and badges.</v>
      </c>
      <c r="D15" s="32"/>
      <c r="E15" s="32"/>
      <c r="F15" s="50"/>
      <c r="I15" s="35"/>
      <c r="J15" s="35"/>
    </row>
    <row r="16" spans="1:10" s="1" customFormat="1" ht="22.25" customHeight="1" x14ac:dyDescent="0.15">
      <c r="A16" s="19" t="s">
        <v>10</v>
      </c>
      <c r="B16" s="20" t="str">
        <f>VLOOKUP($A16,Questions!$A$2:$X$333,2,0)&amp;""</f>
        <v>Solution Provider Contact Name</v>
      </c>
      <c r="C16" s="72" t="s">
        <v>2148</v>
      </c>
      <c r="D16" s="32"/>
      <c r="E16" s="32"/>
      <c r="F16" s="50"/>
      <c r="I16" s="35"/>
      <c r="J16" s="35"/>
    </row>
    <row r="17" spans="1:10" s="1" customFormat="1" ht="22.25" customHeight="1" x14ac:dyDescent="0.15">
      <c r="A17" s="19" t="s">
        <v>11</v>
      </c>
      <c r="B17" s="20" t="str">
        <f>VLOOKUP($A17,Questions!$A$2:$X$333,2,0)&amp;""</f>
        <v>Solution Provider Contact Title</v>
      </c>
      <c r="C17" s="72" t="s">
        <v>2149</v>
      </c>
      <c r="D17" s="32"/>
      <c r="E17" s="32"/>
      <c r="F17" s="50"/>
      <c r="I17" s="35"/>
      <c r="J17" s="35"/>
    </row>
    <row r="18" spans="1:10" s="1" customFormat="1" ht="22.25" customHeight="1" x14ac:dyDescent="0.15">
      <c r="A18" s="19" t="s">
        <v>12</v>
      </c>
      <c r="B18" s="20" t="str">
        <f>VLOOKUP($A18,Questions!$A$2:$X$333,2,0)&amp;""</f>
        <v>Solution Provider Contact Email</v>
      </c>
      <c r="C18" s="323" t="s">
        <v>2150</v>
      </c>
      <c r="D18" s="32"/>
      <c r="E18" s="32"/>
      <c r="F18" s="50"/>
      <c r="I18" s="35"/>
      <c r="J18" s="35"/>
    </row>
    <row r="19" spans="1:10" s="1" customFormat="1" ht="22.25" customHeight="1" x14ac:dyDescent="0.15">
      <c r="A19" s="19" t="s">
        <v>13</v>
      </c>
      <c r="B19" s="20" t="str">
        <f>VLOOKUP($A19,Questions!$A$2:$X$333,2,0)&amp;""</f>
        <v>Solution Provider Contact Phone Number</v>
      </c>
      <c r="C19" s="324" t="s">
        <v>2151</v>
      </c>
      <c r="D19" s="32"/>
      <c r="E19" s="32"/>
      <c r="F19" s="50"/>
      <c r="I19" s="35"/>
      <c r="J19" s="35"/>
    </row>
    <row r="20" spans="1:10" s="1" customFormat="1" ht="22.25" customHeight="1" thickBot="1" x14ac:dyDescent="0.2">
      <c r="A20" s="19" t="s">
        <v>14</v>
      </c>
      <c r="B20" s="20" t="str">
        <f>VLOOKUP($A20,Questions!$A$2:$X$333,2,0)&amp;""</f>
        <v>Country of Company Headquarters</v>
      </c>
      <c r="C20" s="72" t="str">
        <f ca="1">VLOOKUP($A20,'START HERE'!$A$13:$C$21,3,0)&amp;""</f>
        <v>United States</v>
      </c>
      <c r="D20" s="32"/>
      <c r="E20" s="32"/>
      <c r="F20" s="50"/>
      <c r="I20" s="35"/>
      <c r="J20" s="35"/>
    </row>
    <row r="21" spans="1:10" s="1" customFormat="1" ht="37.25" customHeight="1" thickBot="1" x14ac:dyDescent="0.2">
      <c r="A21" s="61" t="str">
        <f>VLOOKUP(LEFT($A22,4),'Auto Responses'!$N$4:$O$38,2,0)&amp;""</f>
        <v xml:space="preserve"> Documentation</v>
      </c>
      <c r="B21" s="22"/>
      <c r="C21" s="13" t="s">
        <v>351</v>
      </c>
      <c r="D21" s="13" t="s">
        <v>352</v>
      </c>
      <c r="E21" s="31" t="s">
        <v>353</v>
      </c>
      <c r="F21" s="178" t="s">
        <v>354</v>
      </c>
      <c r="I21" s="35"/>
      <c r="J21" s="35"/>
    </row>
    <row r="22" spans="1:10" s="1" customFormat="1" ht="51" x14ac:dyDescent="0.15">
      <c r="A22" s="19" t="s">
        <v>37</v>
      </c>
      <c r="B22" s="18" t="str">
        <f>VLOOKUP($A22,Questions!$A$2:$X$333,2,0)</f>
        <v>Do you have a well-documented business continuity plan (BCP), with a clear owner, that is tested annually?*</v>
      </c>
      <c r="C22" s="21" t="s">
        <v>355</v>
      </c>
      <c r="D22" s="34" t="s">
        <v>373</v>
      </c>
      <c r="E22" s="160" t="str">
        <f>IF($C22='Auto Responses'!$J$3,VLOOKUP($A22,Questions!$A$2:$X$333,17,0)&amp;"",IF($C22='Auto Responses'!$J$4,VLOOKUP($A22,Questions!$A$2:$X$333,16,0)&amp;"",VLOOKUP($A22,Questions!$A$2:$X$333,15,0)&amp;""))</f>
        <v/>
      </c>
      <c r="F22" s="191" t="str">
        <f>VLOOKUP($A22,'Institution Evaluation'!$A$56:$F$345,6,0)&amp;""</f>
        <v/>
      </c>
      <c r="I22" s="35"/>
      <c r="J22" s="35"/>
    </row>
    <row r="23" spans="1:10" s="1" customFormat="1" ht="34" x14ac:dyDescent="0.15">
      <c r="A23" s="19" t="s">
        <v>38</v>
      </c>
      <c r="B23" s="18" t="str">
        <f>VLOOKUP($A23,Questions!$A$2:$X$333,2,0)</f>
        <v>Do you have a well-documented disaster recovery plan (DRP), with a clear owner, that is tested annually?*</v>
      </c>
      <c r="C23" s="21" t="s">
        <v>355</v>
      </c>
      <c r="D23" s="34" t="s">
        <v>2154</v>
      </c>
      <c r="E23" s="160" t="str">
        <f>IF($C23='Auto Responses'!$J$3,VLOOKUP($A23,Questions!$A$2:$X$333,17,0)&amp;"",IF($C23='Auto Responses'!$J$4,VLOOKUP($A23,Questions!$A$2:$X$333,16,0)&amp;"",VLOOKUP($A23,Questions!$A$2:$X$333,15,0)&amp;""))</f>
        <v/>
      </c>
      <c r="F23" s="191" t="str">
        <f>VLOOKUP($A23,'Institution Evaluation'!$A$56:$F$345,6,0)&amp;""</f>
        <v/>
      </c>
      <c r="I23" s="35"/>
      <c r="J23" s="35"/>
    </row>
    <row r="24" spans="1:10" s="1" customFormat="1" ht="90" x14ac:dyDescent="0.15">
      <c r="A24" s="19" t="s">
        <v>39</v>
      </c>
      <c r="B24" s="18" t="str">
        <f>VLOOKUP($A24,Questions!$A$2:$X$333,2,0)</f>
        <v>Have you undergone a SSAE 18/SOC 2 audit?</v>
      </c>
      <c r="C24" s="21" t="s">
        <v>355</v>
      </c>
      <c r="D24" s="34" t="s">
        <v>2152</v>
      </c>
      <c r="E24" s="160" t="str">
        <f>IF($C24='Auto Responses'!$J$3,VLOOKUP($A24,Questions!$A$2:$X$333,17,0)&amp;"",IF($C24='Auto Responses'!$J$4,VLOOKUP($A24,Questions!$A$2:$X$333,16,0)&amp;"",VLOOKUP($A24,Questions!$A$2:$X$333,15,0)&amp;""))</f>
        <v>Provide the date of assessment and include a SOC 2 Type 2 (preferred) or SOC 3 report. If you have a SOC 3 report, state how to obtain a copy. Indicate if your hosting provider was the subject of the audit.</v>
      </c>
      <c r="F24" s="191" t="str">
        <f>VLOOKUP($A24,'Institution Evaluation'!$A$56:$F$345,6,0)&amp;""</f>
        <v/>
      </c>
      <c r="I24" s="35"/>
      <c r="J24" s="35"/>
    </row>
    <row r="25" spans="1:10" s="1" customFormat="1" ht="60" x14ac:dyDescent="0.15">
      <c r="A25" s="19" t="s">
        <v>40</v>
      </c>
      <c r="B25" s="18" t="str">
        <f>VLOOKUP($A25,Questions!$A$2:$X$333,2,0)</f>
        <v>Do you conform with a specific industry standard security framework (e.g., NIST Cybersecurity Framework, CIS Controls, ISO 27001, etc.)?</v>
      </c>
      <c r="C25" s="21" t="s">
        <v>355</v>
      </c>
      <c r="D25" s="34" t="s">
        <v>374</v>
      </c>
      <c r="E25" s="160" t="str">
        <f>IF($C25='Auto Responses'!$J$3,VLOOKUP($A25,Questions!$A$2:$X$333,17,0)&amp;"",IF($C25='Auto Responses'!$J$4,VLOOKUP($A25,Questions!$A$2:$X$333,16,0)&amp;"",VLOOKUP($A25,Questions!$A$2:$X$333,15,0)&amp;""))</f>
        <v>Provide documentation on how your organization conforms to your chosen framework and indicate current certification levels, where appropriate.</v>
      </c>
      <c r="F25" s="191" t="str">
        <f>VLOOKUP($A25,'Institution Evaluation'!$A$56:$F$345,6,0)&amp;""</f>
        <v/>
      </c>
      <c r="I25" s="35"/>
      <c r="J25" s="35"/>
    </row>
    <row r="26" spans="1:10" s="1" customFormat="1" ht="45" x14ac:dyDescent="0.15">
      <c r="A26" s="19" t="s">
        <v>41</v>
      </c>
      <c r="B26" s="18" t="str">
        <f>VLOOKUP($A26,Questions!$A$2:$X$333,2,0)</f>
        <v>Can you provide overall system and/or application architecture diagrams, including a full description of the data flow for all components of the system?</v>
      </c>
      <c r="C26" s="21" t="s">
        <v>355</v>
      </c>
      <c r="D26" s="34" t="s">
        <v>2153</v>
      </c>
      <c r="E26" s="160" t="str">
        <f>IF($C26='Auto Responses'!$J$3,VLOOKUP($A26,Questions!$A$2:$X$333,17,0)&amp;"",IF($C26='Auto Responses'!$J$4,VLOOKUP($A26,Questions!$A$2:$X$333,16,0)&amp;"",VLOOKUP($A26,Questions!$A$2:$X$333,15,0)&amp;""))</f>
        <v>Provide your diagrams (or a valid link to it) upon submission.</v>
      </c>
      <c r="F26" s="191" t="str">
        <f>VLOOKUP($A26,'Institution Evaluation'!$A$56:$F$345,6,0)&amp;""</f>
        <v/>
      </c>
      <c r="I26" s="35"/>
      <c r="J26" s="35"/>
    </row>
    <row r="27" spans="1:10" s="1" customFormat="1" ht="34" x14ac:dyDescent="0.15">
      <c r="A27" s="19" t="s">
        <v>42</v>
      </c>
      <c r="B27" s="18" t="str">
        <f>VLOOKUP($A27,Questions!$A$2:$X$333,2,0)</f>
        <v>Does your organization have a data privacy policy?</v>
      </c>
      <c r="C27" s="21" t="s">
        <v>355</v>
      </c>
      <c r="D27" s="34" t="s">
        <v>375</v>
      </c>
      <c r="E27" s="160" t="str">
        <f>IF($C27='Auto Responses'!$J$3,VLOOKUP($A27,Questions!$A$2:$X$333,17,0)&amp;"",IF($C27='Auto Responses'!$J$4,VLOOKUP($A27,Questions!$A$2:$X$333,16,0)&amp;"",VLOOKUP($A27,Questions!$A$2:$X$333,15,0)&amp;""))</f>
        <v>Provide your data privacy document (or a valid link to it) upon submission.</v>
      </c>
      <c r="F27" s="191" t="str">
        <f>VLOOKUP($A27,'Institution Evaluation'!$A$56:$F$345,6,0)&amp;""</f>
        <v/>
      </c>
      <c r="I27" s="35"/>
      <c r="J27" s="35"/>
    </row>
    <row r="28" spans="1:10" s="1" customFormat="1" ht="61" thickBot="1" x14ac:dyDescent="0.2">
      <c r="A28" s="19" t="s">
        <v>43</v>
      </c>
      <c r="B28" s="18" t="str">
        <f>VLOOKUP($A28,Questions!$A$2:$X$333,2,0)</f>
        <v>Do you have a documented, and currently implemented, employee onboarding and offboarding policy?</v>
      </c>
      <c r="C28" s="21" t="s">
        <v>355</v>
      </c>
      <c r="D28" s="34" t="s">
        <v>376</v>
      </c>
      <c r="E28" s="160" t="str">
        <f>IF($C28='Auto Responses'!$J$3,VLOOKUP($A28,Questions!$A$2:$X$333,17,0)&amp;"",IF($C28='Auto Responses'!$J$4,VLOOKUP($A28,Questions!$A$2:$X$333,16,0)&amp;"",VLOOKUP($A28,Questions!$A$2:$X$333,15,0)&amp;""))</f>
        <v>Provide a reference to your employee onboarding and offboarding policy and supporting documentation or submit it along with this fully populated HECVAT.</v>
      </c>
      <c r="F28" s="191" t="str">
        <f>VLOOKUP($A28,'Institution Evaluation'!$A$56:$F$345,6,0)&amp;""</f>
        <v/>
      </c>
      <c r="G28" s="228" t="s">
        <v>361</v>
      </c>
      <c r="I28" s="35"/>
      <c r="J28" s="35"/>
    </row>
    <row r="29" spans="1:10" s="1" customFormat="1" ht="20" thickBot="1" x14ac:dyDescent="0.2">
      <c r="A29" s="61" t="str">
        <f>VLOOKUP(LEFT($A30,4),'Auto Responses'!$N$4:$O$38,2,0)&amp;""</f>
        <v xml:space="preserve"> Assessment of Third Parties</v>
      </c>
      <c r="B29" s="22"/>
      <c r="C29" s="13" t="s">
        <v>351</v>
      </c>
      <c r="D29" s="13" t="s">
        <v>352</v>
      </c>
      <c r="E29" s="31" t="s">
        <v>353</v>
      </c>
      <c r="F29" s="178" t="s">
        <v>354</v>
      </c>
      <c r="I29" s="35"/>
      <c r="J29" s="35"/>
    </row>
    <row r="30" spans="1:10" s="1" customFormat="1" ht="75" x14ac:dyDescent="0.15">
      <c r="A30" s="19" t="s">
        <v>44</v>
      </c>
      <c r="B30" s="18" t="str">
        <f>VLOOKUP($A30,Questions!$A$2:$X$333,2,0)</f>
        <v>Do you perform security assessments of third-party companies with which you share data (e.g., hosting providers, cloud services, PaaS, IaaS, SaaS)?*</v>
      </c>
      <c r="C30" s="21" t="s">
        <v>355</v>
      </c>
      <c r="D30" s="282" t="s">
        <v>377</v>
      </c>
      <c r="E30" s="160" t="str">
        <f>IF($C30='Auto Responses'!$J$3,VLOOKUP($A30,Questions!$A$2:$X$333,17,0)&amp;"",IF($C30='Auto Responses'!$J$4,VLOOKUP($A30,Questions!$A$2:$X$333,16,0)&amp;"",IF($C30='Auto Responses'!$J$5,VLOOKUP($A30,Questions!$A$2:$X$333,18,0)&amp;"",VLOOKUP($A30,Questions!$A$2:$X$333,15,0)&amp;"")))</f>
        <v>Provide a summary of your practices that assures that the third party will be subject to the appropriate standards regarding security, service recoverability, and confidentiality.</v>
      </c>
      <c r="F30" s="191" t="str">
        <f>VLOOKUP($A30,'Institution Evaluation'!$A$56:$F$345,6,0)&amp;""</f>
        <v/>
      </c>
      <c r="I30" s="35"/>
      <c r="J30" s="35"/>
    </row>
    <row r="31" spans="1:10" s="1" customFormat="1" ht="45" x14ac:dyDescent="0.15">
      <c r="A31" s="19" t="s">
        <v>45</v>
      </c>
      <c r="B31" s="18" t="str">
        <f>VLOOKUP($A31,Questions!$A$2:$X$333,2,0)</f>
        <v>Do you have contractual language in place with third parties governing access to institutional data?*</v>
      </c>
      <c r="C31" s="21" t="s">
        <v>355</v>
      </c>
      <c r="D31" s="282" t="s">
        <v>378</v>
      </c>
      <c r="E31" s="160" t="str">
        <f>IF($C31='Auto Responses'!$J$3,VLOOKUP($A31,Questions!$A$2:$X$333,17,0)&amp;"",IF($C31='Auto Responses'!$J$4,VLOOKUP($A31,Questions!$A$2:$X$333,16,0)&amp;"",IF($C31='Auto Responses'!$J$5,VLOOKUP($A31,Questions!$A$2:$X$333,18,0)&amp;"",VLOOKUP($A31,Questions!$A$2:$X$333,15,0)&amp;"")))</f>
        <v>List each third party and why institutional data is shared with them. Format example: [Third Party Name] - Reason</v>
      </c>
      <c r="F31" s="191" t="str">
        <f>VLOOKUP($A31,'Institution Evaluation'!$A$56:$F$345,6,0)&amp;""</f>
        <v/>
      </c>
      <c r="I31" s="35"/>
      <c r="J31" s="35"/>
    </row>
    <row r="32" spans="1:10" s="1" customFormat="1" ht="45" x14ac:dyDescent="0.15">
      <c r="A32" s="19" t="s">
        <v>46</v>
      </c>
      <c r="B32" s="18" t="str">
        <f>VLOOKUP($A32,Questions!$A$2:$X$333,2,0)</f>
        <v>Do the contracts in place with these third parties address liability in the event of a data breach?*</v>
      </c>
      <c r="C32" s="21" t="s">
        <v>355</v>
      </c>
      <c r="D32" s="282" t="s">
        <v>379</v>
      </c>
      <c r="E32" s="160" t="str">
        <f>IF($C32='Auto Responses'!$J$3,VLOOKUP($A32,Questions!$A$2:$X$333,17,0)&amp;"",IF($C32='Auto Responses'!$J$4,VLOOKUP($A32,Questions!$A$2:$X$333,16,0)&amp;"",IF($C32='Auto Responses'!$J$5,VLOOKUP($A32,Questions!$A$2:$X$333,18,0)&amp;"",VLOOKUP($A32,Questions!$A$2:$X$333,15,0)&amp;"")))</f>
        <v/>
      </c>
      <c r="F32" s="191" t="str">
        <f>VLOOKUP($A32,'Institution Evaluation'!$A$56:$F$345,6,0)&amp;""</f>
        <v/>
      </c>
      <c r="I32" s="35"/>
      <c r="J32" s="35"/>
    </row>
    <row r="33" spans="1:10" s="1" customFormat="1" ht="60" x14ac:dyDescent="0.15">
      <c r="A33" s="19" t="s">
        <v>47</v>
      </c>
      <c r="B33" s="18" t="str">
        <f>VLOOKUP($A33,Questions!$A$2:$X$333,2,0)</f>
        <v>Do you have an implemented third-party management strategy?*</v>
      </c>
      <c r="C33" s="21" t="s">
        <v>355</v>
      </c>
      <c r="D33" s="282" t="s">
        <v>380</v>
      </c>
      <c r="E33" s="160" t="str">
        <f>IF($C33='Auto Responses'!$J$3,VLOOKUP($A33,Questions!$A$2:$X$333,17,0)&amp;"",IF($C33='Auto Responses'!$J$4,VLOOKUP($A33,Questions!$A$2:$X$333,16,0)&amp;"",IF($C33='Auto Responses'!$J$5,VLOOKUP($A33,Questions!$A$2:$X$333,18,0)&amp;"",VLOOKUP($A33,Questions!$A$2:$X$333,15,0)&amp;"")))</f>
        <v>Provide additional information that may help analysts better understand your environment and how it relates to third-party solutions.</v>
      </c>
      <c r="F33" s="191" t="str">
        <f>VLOOKUP($A33,'Institution Evaluation'!$A$56:$F$345,6,0)&amp;""</f>
        <v/>
      </c>
      <c r="I33" s="35"/>
      <c r="J33" s="35"/>
    </row>
    <row r="34" spans="1:10" s="1" customFormat="1" ht="46" thickBot="1" x14ac:dyDescent="0.2">
      <c r="A34" s="19" t="s">
        <v>48</v>
      </c>
      <c r="B34" s="18" t="str">
        <f>VLOOKUP($A34,Questions!$A$2:$X$333,2,0)</f>
        <v>Do you have a process and implemented procedures for managing your hardware supply chain (e.g., telecommunications equipment, export licensing, computing devices)?</v>
      </c>
      <c r="C34" s="21" t="s">
        <v>355</v>
      </c>
      <c r="D34" s="282" t="s">
        <v>381</v>
      </c>
      <c r="E34" s="160" t="str">
        <f>IF($C34='Auto Responses'!$J$3,VLOOKUP($A34,Questions!$A$2:$X$333,17,0)&amp;"",IF($C34='Auto Responses'!$J$4,VLOOKUP($A34,Questions!$A$2:$X$333,16,0)&amp;"",VLOOKUP($A34,Questions!$A$2:$X$333,15,0)&amp;""))</f>
        <v>State what countries and/or regions this process is compliant with.</v>
      </c>
      <c r="F34" s="191" t="str">
        <f>VLOOKUP($A34,'Institution Evaluation'!$A$56:$F$345,6,0)&amp;""</f>
        <v/>
      </c>
      <c r="G34" s="228" t="s">
        <v>361</v>
      </c>
      <c r="I34" s="35"/>
      <c r="J34" s="35"/>
    </row>
    <row r="35" spans="1:10" s="1" customFormat="1" ht="20" thickBot="1" x14ac:dyDescent="0.2">
      <c r="A35" s="61" t="str">
        <f>VLOOKUP(LEFT($A36,4),'Auto Responses'!$N$4:$O$38,2,0)&amp;""</f>
        <v xml:space="preserve"> Change Management</v>
      </c>
      <c r="B35" s="22"/>
      <c r="C35" s="13" t="s">
        <v>351</v>
      </c>
      <c r="D35" s="13" t="s">
        <v>352</v>
      </c>
      <c r="E35" s="31" t="s">
        <v>353</v>
      </c>
      <c r="F35" s="178" t="s">
        <v>354</v>
      </c>
      <c r="I35" s="35"/>
      <c r="J35" s="35"/>
    </row>
    <row r="36" spans="1:10" s="1" customFormat="1" ht="45" x14ac:dyDescent="0.15">
      <c r="A36" s="19" t="s">
        <v>49</v>
      </c>
      <c r="B36" s="18" t="str">
        <f>VLOOKUP($A36,Questions!$A$2:$X$333,2,0)</f>
        <v>Will the institution be notified of major changes to your environment that could impact the institution's security posture?*</v>
      </c>
      <c r="C36" s="21" t="s">
        <v>355</v>
      </c>
      <c r="D36" s="282" t="s">
        <v>382</v>
      </c>
      <c r="E36" s="160" t="str">
        <f>IF($C36='Auto Responses'!$J$3,VLOOKUP($A36,Questions!$A$2:$X$333,17,0)&amp;"",IF($C36='Auto Responses'!$J$4,VLOOKUP($A36,Questions!$A$2:$X$333,16,0)&amp;"",VLOOKUP($A36,Questions!$A$2:$X$333,15,0)&amp;""))</f>
        <v>State how and when the institution will be notified of major changes to your environment.</v>
      </c>
      <c r="F36" s="191" t="str">
        <f>VLOOKUP($A36,'Institution Evaluation'!$A$56:$F$345,6,0)&amp;""</f>
        <v/>
      </c>
      <c r="I36" s="35"/>
      <c r="J36" s="35"/>
    </row>
    <row r="37" spans="1:10" s="1" customFormat="1" ht="60" x14ac:dyDescent="0.15">
      <c r="A37" s="19" t="s">
        <v>50</v>
      </c>
      <c r="B37" s="18" t="str">
        <f>VLOOKUP($A37,Questions!$A$2:$X$333,2,0)</f>
        <v>Does the system support client customizations from one release to another?*</v>
      </c>
      <c r="C37" s="21" t="s">
        <v>355</v>
      </c>
      <c r="D37" s="282" t="s">
        <v>383</v>
      </c>
      <c r="E37" s="160" t="str">
        <f>IF($C37='Auto Responses'!$J$3,VLOOKUP($A37,Questions!$A$2:$X$333,17,0)&amp;"",IF($C37='Auto Responses'!$J$4,VLOOKUP($A37,Questions!$A$2:$X$333,16,0)&amp;"",IF($C37='Auto Responses'!$J$5,VLOOKUP($A37,Questions!$A$2:$X$333,18,0)&amp;"",VLOOKUP($A37,Questions!$A$2:$X$333,15,0)&amp;"")))</f>
        <v>Describe or provide reference to your solution support strategy in regard to maintaining client customizations from one release to another.</v>
      </c>
      <c r="F37" s="191" t="str">
        <f>VLOOKUP($A37,'Institution Evaluation'!$A$56:$F$345,6,0)&amp;""</f>
        <v/>
      </c>
      <c r="I37" s="35"/>
      <c r="J37" s="35"/>
    </row>
    <row r="38" spans="1:10" s="1" customFormat="1" ht="60" x14ac:dyDescent="0.15">
      <c r="A38" s="19" t="s">
        <v>51</v>
      </c>
      <c r="B38" s="18" t="str">
        <f>VLOOKUP($A38,Questions!$A$2:$X$333,2,0)</f>
        <v>Do you have an implemented system configuration management process (e.g., secure "gold" images, etc.)?*</v>
      </c>
      <c r="C38" s="21" t="s">
        <v>355</v>
      </c>
      <c r="D38" s="282" t="s">
        <v>2155</v>
      </c>
      <c r="E38" s="160" t="str">
        <f>IF($C38='Auto Responses'!$J$3,VLOOKUP($A38,Questions!$A$2:$X$333,17,0)&amp;"",IF($C38='Auto Responses'!$J$4,VLOOKUP($A38,Questions!$A$2:$X$333,16,0)&amp;"",IF($C38='Auto Responses'!$J$5,VLOOKUP($A38,Questions!$A$2:$X$333,18,0)&amp;"",VLOOKUP($A38,Questions!$A$2:$X$333,15,0)&amp;"")))</f>
        <v>Summarize your implemented system configuration management process.</v>
      </c>
      <c r="F38" s="191" t="str">
        <f>VLOOKUP($A38,'Institution Evaluation'!$A$56:$F$345,6,0)&amp;""</f>
        <v/>
      </c>
      <c r="I38" s="35"/>
      <c r="J38" s="35"/>
    </row>
    <row r="39" spans="1:10" s="1" customFormat="1" ht="30" x14ac:dyDescent="0.15">
      <c r="A39" s="19" t="s">
        <v>52</v>
      </c>
      <c r="B39" s="18" t="str">
        <f>VLOOKUP($A39,Questions!$A$2:$X$333,2,0)</f>
        <v>Do you have a documented change management process?</v>
      </c>
      <c r="C39" s="21" t="s">
        <v>355</v>
      </c>
      <c r="D39" s="282" t="s">
        <v>384</v>
      </c>
      <c r="E39" s="160" t="str">
        <f>IF($C39='Auto Responses'!$J$3,VLOOKUP($A39,Questions!$A$2:$X$333,17,0)&amp;"",IF($C39='Auto Responses'!$J$4,VLOOKUP($A39,Questions!$A$2:$X$333,16,0)&amp;"",VLOOKUP($A39,Questions!$A$2:$X$333,15,0)&amp;""))</f>
        <v>Summarize your current change management process.</v>
      </c>
      <c r="F39" s="191" t="str">
        <f>VLOOKUP($A39,'Institution Evaluation'!$A$56:$F$345,6,0)&amp;""</f>
        <v/>
      </c>
      <c r="I39" s="35"/>
      <c r="J39" s="35"/>
    </row>
    <row r="40" spans="1:10" s="1" customFormat="1" ht="150" x14ac:dyDescent="0.15">
      <c r="A40" s="19" t="s">
        <v>53</v>
      </c>
      <c r="B40" s="18" t="str">
        <f>VLOOKUP($A40,Questions!$A$2:$X$333,2,0)</f>
        <v>Does your change management process minimally include authorization, impact analysis, testing, and validation before moving changes to production?</v>
      </c>
      <c r="C40" s="21" t="s">
        <v>355</v>
      </c>
      <c r="D40" s="282" t="s">
        <v>385</v>
      </c>
      <c r="E40" s="160" t="str">
        <f>IF($C40='Auto Responses'!$J$3,VLOOKUP($A40,Questions!$A$2:$X$333,17,0)&amp;"",IF($C40='Auto Responses'!$J$4,VLOOKUP($A40,Questions!$A$2:$X$333,16,0)&amp;"",VLOOKUP($A40,Questions!$A$2:$X$333,15,0)&amp;""))</f>
        <v>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v>
      </c>
      <c r="F40" s="191" t="str">
        <f>VLOOKUP($A40,'Institution Evaluation'!$A$56:$F$345,6,0)&amp;""</f>
        <v/>
      </c>
      <c r="I40" s="35"/>
      <c r="J40" s="35"/>
    </row>
    <row r="41" spans="1:10" s="1" customFormat="1" ht="45" x14ac:dyDescent="0.15">
      <c r="A41" s="19" t="s">
        <v>54</v>
      </c>
      <c r="B41" s="18" t="str">
        <f>VLOOKUP($A41,Questions!$A$2:$X$333,2,0)</f>
        <v>Does your change management process verify that all required third-party libraries and dependencies are still supported with each major change?</v>
      </c>
      <c r="C41" s="21" t="s">
        <v>355</v>
      </c>
      <c r="D41" s="282" t="s">
        <v>2156</v>
      </c>
      <c r="E41" s="160" t="str">
        <f>IF($C41='Auto Responses'!$J$3,VLOOKUP($A41,Questions!$A$2:$X$333,17,0)&amp;"",IF($C41='Auto Responses'!$J$4,VLOOKUP($A41,Questions!$A$2:$X$333,16,0)&amp;"",VLOOKUP($A41,Questions!$A$2:$X$333,15,0)&amp;""))</f>
        <v>Please describe your program to track these dependencies.</v>
      </c>
      <c r="F41" s="191" t="str">
        <f>VLOOKUP($A41,'Institution Evaluation'!$A$56:$F$345,6,0)&amp;""</f>
        <v/>
      </c>
      <c r="I41" s="35"/>
      <c r="J41" s="35"/>
    </row>
    <row r="42" spans="1:10" s="1" customFormat="1" ht="60" x14ac:dyDescent="0.15">
      <c r="A42" s="19" t="s">
        <v>55</v>
      </c>
      <c r="B42" s="18" t="str">
        <f>VLOOKUP($A42,Questions!$A$2:$X$333,2,0)</f>
        <v>Do you have policy and procedure, currently implemented, managing how critical patches are applied to all systems and applications?</v>
      </c>
      <c r="C42" s="21" t="s">
        <v>355</v>
      </c>
      <c r="D42" s="282" t="s">
        <v>386</v>
      </c>
      <c r="E42" s="160" t="str">
        <f>IF($C42='Auto Responses'!$J$3,VLOOKUP($A42,Questions!$A$2:$X$333,17,0)&amp;"",IF($C42='Auto Responses'!$J$4,VLOOKUP($A42,Questions!$A$2:$X$333,16,0)&amp;"",VLOOKUP($A42,Questions!$A$2:$X$333,15,0)&amp;""))</f>
        <v>Summarize the policy and procedure(s) managing how critical patches are applied to systems and applications.</v>
      </c>
      <c r="F42" s="191" t="str">
        <f>VLOOKUP($A42,'Institution Evaluation'!$A$56:$F$345,6,0)&amp;""</f>
        <v/>
      </c>
      <c r="I42" s="35"/>
      <c r="J42" s="35"/>
    </row>
    <row r="43" spans="1:10" s="1" customFormat="1" ht="45" x14ac:dyDescent="0.15">
      <c r="A43" s="19" t="s">
        <v>56</v>
      </c>
      <c r="B43" s="18" t="str">
        <f>VLOOKUP($A43,Questions!$A$2:$X$333,2,0)</f>
        <v>Have you implemented policies and procedures that guide how security risks are mitigated until patches can be applied?</v>
      </c>
      <c r="C43" s="21" t="s">
        <v>355</v>
      </c>
      <c r="D43" s="282" t="s">
        <v>387</v>
      </c>
      <c r="E43" s="160" t="str">
        <f>IF($C43='Auto Responses'!$J$3,VLOOKUP($A43,Questions!$A$2:$X$333,17,0)&amp;"",IF($C43='Auto Responses'!$J$4,VLOOKUP($A43,Questions!$A$2:$X$333,16,0)&amp;"",VLOOKUP($A43,Questions!$A$2:$X$333,15,0)&amp;""))</f>
        <v>Summarize the policy and procedure(s) guiding risk mitigation practices before critical patches can be applied.</v>
      </c>
      <c r="F43" s="191" t="str">
        <f>VLOOKUP($A43,'Institution Evaluation'!$A$56:$F$345,6,0)&amp;""</f>
        <v/>
      </c>
      <c r="I43" s="35"/>
      <c r="J43" s="35"/>
    </row>
    <row r="44" spans="1:10" s="1" customFormat="1" ht="75" x14ac:dyDescent="0.15">
      <c r="A44" s="19" t="s">
        <v>57</v>
      </c>
      <c r="B44" s="18" t="str">
        <f>VLOOKUP($A44,Questions!$A$2:$X$333,2,0)</f>
        <v>Do clients have the option to not participate in or postpone an upgrade to a new release?</v>
      </c>
      <c r="C44" s="21" t="s">
        <v>364</v>
      </c>
      <c r="D44" s="282" t="s">
        <v>2157</v>
      </c>
      <c r="E44" s="160" t="str">
        <f>IF($C44='Auto Responses'!$J$3,VLOOKUP($A44,Questions!$A$2:$X$333,17,0)&amp;"",IF($C44='Auto Responses'!$J$4,VLOOKUP($A44,Questions!$A$2:$X$333,16,0)&amp;"",IF($C44='Auto Responses'!$J$5,VLOOKUP($A44,Questions!$A$2:$X$333,18,0)&amp;"",VLOOKUP($A44,Questions!$A$2:$X$333,15,0)&amp;"")))</f>
        <v>Summarize why clients do not have alternative release options.</v>
      </c>
      <c r="F44" s="191" t="str">
        <f>VLOOKUP($A44,'Institution Evaluation'!$A$56:$F$345,6,0)&amp;""</f>
        <v/>
      </c>
      <c r="I44" s="35"/>
      <c r="J44" s="35"/>
    </row>
    <row r="45" spans="1:10" s="1" customFormat="1" ht="75" x14ac:dyDescent="0.15">
      <c r="A45" s="19" t="s">
        <v>58</v>
      </c>
      <c r="B45" s="18" t="str">
        <f>VLOOKUP($A45,Questions!$A$2:$X$333,2,0)</f>
        <v>Do you have a fully implemented solution support strategy that defines how many concurrent versions you support?</v>
      </c>
      <c r="C45" s="21" t="s">
        <v>355</v>
      </c>
      <c r="D45" s="282" t="s">
        <v>388</v>
      </c>
      <c r="E45" s="160" t="str">
        <f>IF($C45='Auto Responses'!$J$3,VLOOKUP($A45,Questions!$A$2:$X$333,17,0)&amp;"",IF($C45='Auto Responses'!$J$4,VLOOKUP($A45,Questions!$A$2:$X$333,16,0)&amp;"",IF($C45='Auto Responses'!$J$5,VLOOKUP($A45,Questions!$A$2:$X$333,18,0)&amp;"",VLOOKUP($A45,Questions!$A$2:$X$333,15,0)&amp;"")))</f>
        <v>Describe or provide a reference to your solution support strategy in regard to maintaining software currency (i.e., how many concurrent versions are you willing to run and support?).</v>
      </c>
      <c r="F45" s="191" t="str">
        <f>VLOOKUP($A45,'Institution Evaluation'!$A$56:$F$345,6,0)&amp;""</f>
        <v/>
      </c>
      <c r="I45" s="35"/>
      <c r="J45" s="35"/>
    </row>
    <row r="46" spans="1:10" s="1" customFormat="1" ht="45" x14ac:dyDescent="0.15">
      <c r="A46" s="19" t="s">
        <v>59</v>
      </c>
      <c r="B46" s="18" t="str">
        <f>VLOOKUP($A46,Questions!$A$2:$X$333,2,0)</f>
        <v>Do you have a release schedule for product updates?</v>
      </c>
      <c r="C46" s="21" t="s">
        <v>355</v>
      </c>
      <c r="D46" s="282" t="s">
        <v>2158</v>
      </c>
      <c r="E46" s="160" t="str">
        <f>IF($C46='Auto Responses'!$J$3,VLOOKUP($A46,Questions!$A$2:$X$333,17,0)&amp;"",IF($C46='Auto Responses'!$J$4,VLOOKUP($A46,Questions!$A$2:$X$333,16,0)&amp;"",IF($C46='Auto Responses'!$J$5,VLOOKUP($A46,Questions!$A$2:$X$333,18,0)&amp;"",VLOOKUP($A46,Questions!$A$2:$X$333,15,0)&amp;"")))</f>
        <v>Provide a reference to this solution's release schedule.</v>
      </c>
      <c r="F46" s="191" t="str">
        <f>VLOOKUP($A46,'Institution Evaluation'!$A$56:$F$345,6,0)&amp;""</f>
        <v/>
      </c>
      <c r="I46" s="35"/>
      <c r="J46" s="35"/>
    </row>
    <row r="47" spans="1:10" s="1" customFormat="1" ht="45" x14ac:dyDescent="0.15">
      <c r="A47" s="19" t="s">
        <v>60</v>
      </c>
      <c r="B47" s="18" t="str">
        <f>VLOOKUP($A47,Questions!$A$2:$X$333,2,0)</f>
        <v>Do you have a technology roadmap, for at least the next two years, for enhancements and bug fixes for the solution being assessed?</v>
      </c>
      <c r="C47" s="21" t="s">
        <v>355</v>
      </c>
      <c r="D47" s="282" t="s">
        <v>389</v>
      </c>
      <c r="E47" s="160" t="str">
        <f>IF($C47='Auto Responses'!$J$3,VLOOKUP($A47,Questions!$A$2:$X$333,17,0)&amp;"",IF($C47='Auto Responses'!$J$4,VLOOKUP($A47,Questions!$A$2:$X$333,16,0)&amp;"",IF($C47='Auto Responses'!$J$5,VLOOKUP($A47,Questions!$A$2:$X$333,18,0)&amp;"",VLOOKUP($A47,Questions!$A$2:$X$333,15,0)&amp;"")))</f>
        <v>Provide a reference to your technology roadmap.</v>
      </c>
      <c r="F47" s="191" t="str">
        <f>VLOOKUP($A47,'Institution Evaluation'!$A$56:$F$345,6,0)&amp;""</f>
        <v/>
      </c>
      <c r="I47" s="35"/>
      <c r="J47" s="35"/>
    </row>
    <row r="48" spans="1:10" s="1" customFormat="1" ht="30" x14ac:dyDescent="0.15">
      <c r="A48" s="19" t="s">
        <v>61</v>
      </c>
      <c r="B48" s="18" t="str">
        <f>VLOOKUP($A48,Questions!$A$2:$X$333,2,0)</f>
        <v>Can solution updates be completed without institutional involvement (i.e., technically or organizationally)?</v>
      </c>
      <c r="C48" s="21" t="s">
        <v>355</v>
      </c>
      <c r="D48" s="282" t="s">
        <v>390</v>
      </c>
      <c r="E48" s="160" t="str">
        <f>IF($C48='Auto Responses'!$J$3,VLOOKUP($A48,Questions!$A$2:$X$333,17,0)&amp;"",IF($C48='Auto Responses'!$J$4,VLOOKUP($A48,Questions!$A$2:$X$333,16,0)&amp;"",VLOOKUP($A48,Questions!$A$2:$X$333,15,0)&amp;""))</f>
        <v/>
      </c>
      <c r="F48" s="191" t="str">
        <f>VLOOKUP($A48,'Institution Evaluation'!$A$56:$F$345,6,0)&amp;""</f>
        <v/>
      </c>
      <c r="I48" s="35"/>
      <c r="J48" s="35"/>
    </row>
    <row r="49" spans="1:10" s="1" customFormat="1" ht="30" x14ac:dyDescent="0.15">
      <c r="A49" s="19" t="s">
        <v>62</v>
      </c>
      <c r="B49" s="18" t="str">
        <f>VLOOKUP($A49,Questions!$A$2:$X$333,2,0)</f>
        <v>Are upgrades or system changes installed during off-peak hours or in a manner that does not impact the customer?</v>
      </c>
      <c r="C49" s="21" t="s">
        <v>355</v>
      </c>
      <c r="D49" s="282" t="s">
        <v>391</v>
      </c>
      <c r="E49" s="160" t="str">
        <f>IF($C49='Auto Responses'!$J$3,VLOOKUP($A49,Questions!$A$2:$X$333,17,0)&amp;"",IF($C49='Auto Responses'!$J$4,VLOOKUP($A49,Questions!$A$2:$X$333,16,0)&amp;"",VLOOKUP($A49,Questions!$A$2:$X$333,15,0)&amp;""))</f>
        <v>Define current off-peak hours, including time zones as necessary.</v>
      </c>
      <c r="F49" s="191" t="str">
        <f>VLOOKUP($A49,'Institution Evaluation'!$A$56:$F$345,6,0)&amp;""</f>
        <v/>
      </c>
      <c r="I49" s="35"/>
      <c r="J49" s="35"/>
    </row>
    <row r="50" spans="1:10" s="1" customFormat="1" ht="45" x14ac:dyDescent="0.15">
      <c r="A50" s="19" t="s">
        <v>63</v>
      </c>
      <c r="B50" s="18" t="str">
        <f>VLOOKUP($A50,Questions!$A$2:$X$333,2,0)</f>
        <v>Do procedures exist to provide that emergency changes are documented and authorized (including after-the-fact approval)?</v>
      </c>
      <c r="C50" s="21" t="s">
        <v>355</v>
      </c>
      <c r="D50" s="282" t="s">
        <v>2159</v>
      </c>
      <c r="E50" s="160" t="str">
        <f>IF($C50='Auto Responses'!$J$3,VLOOKUP($A50,Questions!$A$2:$X$333,17,0)&amp;"",IF($C50='Auto Responses'!$J$4,VLOOKUP($A50,Questions!$A$2:$X$333,16,0)&amp;"",VLOOKUP($A50,Questions!$A$2:$X$333,15,0)&amp;""))</f>
        <v>Summarize implemented procedures ensuring that emergency changes are documented and authorized.</v>
      </c>
      <c r="F50" s="191" t="str">
        <f>VLOOKUP($A50,'Institution Evaluation'!$A$56:$F$345,6,0)&amp;""</f>
        <v/>
      </c>
      <c r="I50" s="35"/>
      <c r="J50" s="35"/>
    </row>
    <row r="51" spans="1:10" s="1" customFormat="1" ht="46" thickBot="1" x14ac:dyDescent="0.2">
      <c r="A51" s="19" t="s">
        <v>64</v>
      </c>
      <c r="B51" s="18" t="str">
        <f>VLOOKUP($A51,Questions!$A$2:$X$333,2,0)</f>
        <v>Do you have a systems management and configuration strategy that encompasses servers, appliances, cloud services, applications, and mobile devices (company and employee owned)?</v>
      </c>
      <c r="C51" s="21" t="s">
        <v>355</v>
      </c>
      <c r="D51" s="282" t="s">
        <v>2160</v>
      </c>
      <c r="E51" s="160" t="str">
        <f>IF($C51='Auto Responses'!$J$3,VLOOKUP($A51,Questions!$A$2:$X$333,17,0)&amp;"",IF($C51='Auto Responses'!$J$4,VLOOKUP($A51,Questions!$A$2:$X$333,16,0)&amp;"",VLOOKUP($A51,Questions!$A$2:$X$333,15,0)&amp;""))</f>
        <v>Summarize your systems management and configuration strategy.</v>
      </c>
      <c r="F51" s="191" t="str">
        <f>VLOOKUP($A51,'Institution Evaluation'!$A$56:$F$345,6,0)&amp;""</f>
        <v/>
      </c>
      <c r="G51" s="228" t="s">
        <v>361</v>
      </c>
      <c r="I51" s="35"/>
      <c r="J51" s="35"/>
    </row>
    <row r="52" spans="1:10" s="1" customFormat="1" ht="20" thickBot="1" x14ac:dyDescent="0.2">
      <c r="A52" s="61" t="str">
        <f>VLOOKUP(LEFT($A53,4),'Auto Responses'!$N$4:$O$38,2,0)&amp;""</f>
        <v xml:space="preserve"> Policies, Processes, and Procedures</v>
      </c>
      <c r="B52" s="22"/>
      <c r="C52" s="13" t="s">
        <v>351</v>
      </c>
      <c r="D52" s="13" t="s">
        <v>352</v>
      </c>
      <c r="E52" s="31" t="s">
        <v>353</v>
      </c>
      <c r="F52" s="178" t="s">
        <v>354</v>
      </c>
      <c r="I52" s="35"/>
      <c r="J52" s="35"/>
    </row>
    <row r="53" spans="1:10" s="1" customFormat="1" ht="45" x14ac:dyDescent="0.15">
      <c r="A53" s="19" t="s">
        <v>65</v>
      </c>
      <c r="B53" s="18" t="str">
        <f>VLOOKUP($A53,Questions!$A$2:$X$333,2,0)</f>
        <v>Do you have a documented patch management process?*</v>
      </c>
      <c r="C53" s="21" t="s">
        <v>355</v>
      </c>
      <c r="D53" s="282" t="s">
        <v>392</v>
      </c>
      <c r="E53" s="160" t="str">
        <f>IF($C53='Auto Responses'!$J$3,VLOOKUP($A53,Questions!$A$2:$X$333,17,0)&amp;"",IF($C53='Auto Responses'!$J$4,VLOOKUP($A53,Questions!$A$2:$X$333,16,0)&amp;"",VLOOKUP($A53,Questions!$A$2:$X$333,15,0)&amp;""))</f>
        <v/>
      </c>
      <c r="F53" s="191" t="str">
        <f>VLOOKUP($A53,'Institution Evaluation'!$A$56:$F$345,6,0)&amp;""</f>
        <v/>
      </c>
      <c r="I53" s="35"/>
      <c r="J53" s="35"/>
    </row>
    <row r="54" spans="1:10" s="1" customFormat="1" ht="45" x14ac:dyDescent="0.15">
      <c r="A54" s="19" t="s">
        <v>66</v>
      </c>
      <c r="B54" s="18" t="str">
        <f>VLOOKUP($A54,Questions!$A$2:$X$333,2,0)</f>
        <v>Can your organization comply with institutional policies on privacy and data protection with regard to users of institutional systems, if required?*</v>
      </c>
      <c r="C54" s="21" t="s">
        <v>355</v>
      </c>
      <c r="D54" s="282" t="s">
        <v>393</v>
      </c>
      <c r="E54" s="160" t="str">
        <f>IF($C54='Auto Responses'!$J$3,VLOOKUP($A54,Questions!$A$2:$X$333,17,0)&amp;"",IF($C54='Auto Responses'!$J$4,VLOOKUP($A54,Questions!$A$2:$X$333,16,0)&amp;"",VLOOKUP($A54,Questions!$A$2:$X$333,15,0)&amp;""))</f>
        <v>State that you have reviewed the institution's IT policies with regards to user privacy and data protection.</v>
      </c>
      <c r="F54" s="191" t="str">
        <f>VLOOKUP($A54,'Institution Evaluation'!$A$56:$F$345,6,0)&amp;""</f>
        <v/>
      </c>
      <c r="I54" s="35"/>
      <c r="J54" s="35"/>
    </row>
    <row r="55" spans="1:10" s="1" customFormat="1" ht="45" x14ac:dyDescent="0.15">
      <c r="A55" s="19" t="s">
        <v>67</v>
      </c>
      <c r="B55" s="18" t="str">
        <f>VLOOKUP($A55,Questions!$A$2:$X$333,2,0)</f>
        <v>Is your company subject to the institution's geographic region's laws and regulations?*</v>
      </c>
      <c r="C55" s="21" t="s">
        <v>355</v>
      </c>
      <c r="D55" s="282" t="s">
        <v>394</v>
      </c>
      <c r="E55" s="160" t="str">
        <f>IF($C55='Auto Responses'!$J$3,VLOOKUP($A55,Questions!$A$2:$X$333,17,0)&amp;"",IF($C55='Auto Responses'!$J$4,VLOOKUP($A55,Questions!$A$2:$X$333,16,0)&amp;"",VLOOKUP($A55,Questions!$A$2:$X$333,15,0)&amp;""))</f>
        <v>State the country that governs and regulates your company.</v>
      </c>
      <c r="F55" s="191" t="str">
        <f>VLOOKUP($A55,'Institution Evaluation'!$A$56:$F$345,6,0)&amp;""</f>
        <v/>
      </c>
      <c r="I55" s="35"/>
      <c r="J55" s="35"/>
    </row>
    <row r="56" spans="1:10" s="1" customFormat="1" ht="30" x14ac:dyDescent="0.15">
      <c r="A56" s="19" t="s">
        <v>68</v>
      </c>
      <c r="B56" s="18" t="str">
        <f>VLOOKUP($A56,Questions!$A$2:$X$333,2,0)</f>
        <v>Can you accommodate encryption requirements using open standards?</v>
      </c>
      <c r="C56" s="21" t="s">
        <v>355</v>
      </c>
      <c r="D56" s="282" t="s">
        <v>395</v>
      </c>
      <c r="E56" s="160" t="str">
        <f>IF($C56='Auto Responses'!$J$3,VLOOKUP($A56,Questions!$A$2:$X$333,17,0)&amp;"",IF($C56='Auto Responses'!$J$4,VLOOKUP($A56,Questions!$A$2:$X$333,16,0)&amp;"",VLOOKUP($A56,Questions!$A$2:$X$333,15,0)&amp;""))</f>
        <v/>
      </c>
      <c r="F56" s="191" t="str">
        <f>VLOOKUP($A56,'Institution Evaluation'!$A$56:$F$345,6,0)&amp;""</f>
        <v/>
      </c>
      <c r="I56" s="35"/>
      <c r="J56" s="35"/>
    </row>
    <row r="57" spans="1:10" s="1" customFormat="1" ht="45" x14ac:dyDescent="0.15">
      <c r="A57" s="19" t="s">
        <v>69</v>
      </c>
      <c r="B57" s="18" t="str">
        <f>VLOOKUP($A57,Questions!$A$2:$X$333,2,0)</f>
        <v>Do you have a documented systems development life cycle (SDLC)?</v>
      </c>
      <c r="C57" s="21" t="s">
        <v>355</v>
      </c>
      <c r="D57" s="282" t="s">
        <v>396</v>
      </c>
      <c r="E57" s="160" t="str">
        <f>IF($C57='Auto Responses'!$J$3,VLOOKUP($A57,Questions!$A$2:$X$333,17,0)&amp;"",IF($C57='Auto Responses'!$J$4,VLOOKUP($A57,Questions!$A$2:$X$333,16,0)&amp;"",VLOOKUP($A57,Questions!$A$2:$X$333,15,0)&amp;""))</f>
        <v>Briefly summarize your SDLC or provide a link or attachment.</v>
      </c>
      <c r="F57" s="191" t="str">
        <f>VLOOKUP($A57,'Institution Evaluation'!$A$56:$F$345,6,0)&amp;""</f>
        <v/>
      </c>
      <c r="I57" s="35"/>
      <c r="J57" s="35"/>
    </row>
    <row r="58" spans="1:10" s="1" customFormat="1" ht="30" x14ac:dyDescent="0.15">
      <c r="A58" s="19" t="s">
        <v>70</v>
      </c>
      <c r="B58" s="18" t="str">
        <f>VLOOKUP($A58,Questions!$A$2:$X$333,2,0)</f>
        <v>Do you perform background screenings or multi-state background checks on all employees prior to their first day of work?</v>
      </c>
      <c r="C58" s="21" t="s">
        <v>355</v>
      </c>
      <c r="D58" s="282" t="s">
        <v>397</v>
      </c>
      <c r="E58" s="160" t="str">
        <f>IF($C58='Auto Responses'!$J$3,VLOOKUP($A58,Questions!$A$2:$X$333,17,0)&amp;"",IF($C58='Auto Responses'!$J$4,VLOOKUP($A58,Questions!$A$2:$X$333,16,0)&amp;"",VLOOKUP($A58,Questions!$A$2:$X$333,15,0)&amp;""))</f>
        <v>Summarize your background check practices.</v>
      </c>
      <c r="F58" s="191" t="str">
        <f>VLOOKUP($A58,'Institution Evaluation'!$A$56:$F$345,6,0)&amp;""</f>
        <v/>
      </c>
      <c r="I58" s="35"/>
      <c r="J58" s="35"/>
    </row>
    <row r="59" spans="1:10" s="1" customFormat="1" ht="30" x14ac:dyDescent="0.15">
      <c r="A59" s="19" t="s">
        <v>71</v>
      </c>
      <c r="B59" s="18" t="str">
        <f>VLOOKUP($A59,Questions!$A$2:$X$333,2,0)</f>
        <v>Do you require new employees to fill out agreements and review policies?</v>
      </c>
      <c r="C59" s="21" t="s">
        <v>355</v>
      </c>
      <c r="D59" s="282" t="s">
        <v>398</v>
      </c>
      <c r="E59" s="160" t="str">
        <f>IF($C59='Auto Responses'!$J$3,VLOOKUP($A59,Questions!$A$2:$X$333,17,0)&amp;"",IF($C59='Auto Responses'!$J$4,VLOOKUP($A59,Questions!$A$2:$X$333,16,0)&amp;"",VLOOKUP($A59,Questions!$A$2:$X$333,15,0)&amp;""))</f>
        <v>Summarize the required agreements and reviewed policies.</v>
      </c>
      <c r="F59" s="191" t="str">
        <f>VLOOKUP($A59,'Institution Evaluation'!$A$56:$F$345,6,0)&amp;""</f>
        <v/>
      </c>
      <c r="I59" s="35"/>
      <c r="J59" s="35"/>
    </row>
    <row r="60" spans="1:10" s="1" customFormat="1" ht="45" x14ac:dyDescent="0.15">
      <c r="A60" s="19" t="s">
        <v>72</v>
      </c>
      <c r="B60" s="18" t="str">
        <f>VLOOKUP($A60,Questions!$A$2:$X$333,2,0)</f>
        <v>Do you have a documented information security policy?</v>
      </c>
      <c r="C60" s="21" t="s">
        <v>355</v>
      </c>
      <c r="D60" s="282" t="s">
        <v>399</v>
      </c>
      <c r="E60" s="160" t="str">
        <f>IF($C60='Auto Responses'!$J$3,VLOOKUP($A60,Questions!$A$2:$X$333,17,0)&amp;"",IF($C60='Auto Responses'!$J$4,VLOOKUP($A60,Questions!$A$2:$X$333,16,0)&amp;"",VLOOKUP($A60,Questions!$A$2:$X$333,15,0)&amp;""))</f>
        <v>Provide a reference to your information security policy or submit documentation with this fully populated HECVAT.</v>
      </c>
      <c r="F60" s="191" t="str">
        <f>VLOOKUP($A60,'Institution Evaluation'!$A$56:$F$345,6,0)&amp;""</f>
        <v/>
      </c>
      <c r="I60" s="35"/>
      <c r="J60" s="35"/>
    </row>
    <row r="61" spans="1:10" s="1" customFormat="1" ht="45" x14ac:dyDescent="0.15">
      <c r="A61" s="19" t="s">
        <v>73</v>
      </c>
      <c r="B61" s="18" t="str">
        <f>VLOOKUP($A61,Questions!$A$2:$X$333,2,0)</f>
        <v>Are information security principles designed into the product lifecycle?</v>
      </c>
      <c r="C61" s="21" t="s">
        <v>355</v>
      </c>
      <c r="D61" s="282" t="s">
        <v>400</v>
      </c>
      <c r="E61" s="160" t="str">
        <f>IF($C61='Auto Responses'!$J$3,VLOOKUP($A61,Questions!$A$2:$X$333,17,0)&amp;"",IF($C61='Auto Responses'!$J$4,VLOOKUP($A61,Questions!$A$2:$X$333,16,0)&amp;"",VLOOKUP($A61,Questions!$A$2:$X$333,15,0)&amp;""))</f>
        <v>Summarize the information security principles designed into the product lifecycle.</v>
      </c>
      <c r="F61" s="191" t="str">
        <f>VLOOKUP($A61,'Institution Evaluation'!$A$56:$F$345,6,0)&amp;""</f>
        <v/>
      </c>
      <c r="I61" s="35"/>
      <c r="J61" s="35"/>
    </row>
    <row r="62" spans="1:10" s="1" customFormat="1" ht="45" x14ac:dyDescent="0.15">
      <c r="A62" s="19" t="s">
        <v>74</v>
      </c>
      <c r="B62" s="18" t="str">
        <f>VLOOKUP($A62,Questions!$A$2:$X$333,2,0)</f>
        <v>Will you comply with applicable breach notification laws?</v>
      </c>
      <c r="C62" s="21" t="s">
        <v>355</v>
      </c>
      <c r="D62" s="282" t="s">
        <v>401</v>
      </c>
      <c r="E62" s="160" t="str">
        <f>IF($C62='Auto Responses'!$J$3,VLOOKUP($A62,Questions!$A$2:$X$333,17,0)&amp;"",IF($C62='Auto Responses'!$J$4,VLOOKUP($A62,Questions!$A$2:$X$333,16,0)&amp;"",VLOOKUP($A62,Questions!$A$2:$X$333,15,0)&amp;""))</f>
        <v>State how quickly the institution will be notified of a data breach or security incident.</v>
      </c>
      <c r="F62" s="191" t="str">
        <f>VLOOKUP($A62,'Institution Evaluation'!$A$56:$F$345,6,0)&amp;""</f>
        <v/>
      </c>
      <c r="I62" s="35"/>
      <c r="J62" s="35"/>
    </row>
    <row r="63" spans="1:10" s="1" customFormat="1" ht="45" x14ac:dyDescent="0.15">
      <c r="A63" s="19" t="s">
        <v>75</v>
      </c>
      <c r="B63" s="18" t="str">
        <f>VLOOKUP($A63,Questions!$A$2:$X$333,2,0)</f>
        <v>Do you have an information security awareness program?</v>
      </c>
      <c r="C63" s="21" t="s">
        <v>355</v>
      </c>
      <c r="D63" s="282" t="s">
        <v>402</v>
      </c>
      <c r="E63" s="160" t="str">
        <f>IF($C63='Auto Responses'!$J$3,VLOOKUP($A63,Questions!$A$2:$X$333,17,0)&amp;"",IF($C63='Auto Responses'!$J$4,VLOOKUP($A63,Questions!$A$2:$X$333,16,0)&amp;"",VLOOKUP($A63,Questions!$A$2:$X$333,15,0)&amp;""))</f>
        <v>Summarize your information security awareness program.</v>
      </c>
      <c r="F63" s="191" t="str">
        <f>VLOOKUP($A63,'Institution Evaluation'!$A$56:$F$345,6,0)&amp;""</f>
        <v/>
      </c>
      <c r="I63" s="35"/>
      <c r="J63" s="35"/>
    </row>
    <row r="64" spans="1:10" s="1" customFormat="1" ht="60" x14ac:dyDescent="0.15">
      <c r="A64" s="19" t="s">
        <v>76</v>
      </c>
      <c r="B64" s="18" t="str">
        <f>VLOOKUP($A64,Questions!$A$2:$X$333,2,0)</f>
        <v>Is security awareness training mandatory for all employees?</v>
      </c>
      <c r="C64" s="21" t="s">
        <v>355</v>
      </c>
      <c r="D64" s="282" t="s">
        <v>403</v>
      </c>
      <c r="E64" s="160" t="str">
        <f>IF($C64='Auto Responses'!$J$3,VLOOKUP($A64,Questions!$A$2:$X$333,17,0)&amp;"",IF($C64='Auto Responses'!$J$4,VLOOKUP($A64,Questions!$A$2:$X$333,16,0)&amp;"",VLOOKUP($A64,Questions!$A$2:$X$333,15,0)&amp;""))</f>
        <v>Summarize your security awareness training content and state how frequently employees are required to undergo security awareness training.</v>
      </c>
      <c r="F64" s="191" t="str">
        <f>VLOOKUP($A64,'Institution Evaluation'!$A$56:$F$345,6,0)&amp;""</f>
        <v/>
      </c>
      <c r="I64" s="35"/>
      <c r="J64" s="35"/>
    </row>
    <row r="65" spans="1:10" s="1" customFormat="1" ht="45" x14ac:dyDescent="0.15">
      <c r="A65" s="19" t="s">
        <v>77</v>
      </c>
      <c r="B65" s="18" t="str">
        <f>VLOOKUP($A65,Questions!$A$2:$X$333,2,0)</f>
        <v>Do you have process and procedure(s) documented, and currently followed, that require a review and update of the access list(s) for privileged accounts?</v>
      </c>
      <c r="C65" s="21" t="s">
        <v>355</v>
      </c>
      <c r="D65" s="282" t="s">
        <v>404</v>
      </c>
      <c r="E65" s="160" t="str">
        <f>IF($C65='Auto Responses'!$J$3,VLOOKUP($A65,Questions!$A$2:$X$333,17,0)&amp;"",IF($C65='Auto Responses'!$J$4,VLOOKUP($A65,Questions!$A$2:$X$333,16,0)&amp;"",VLOOKUP($A65,Questions!$A$2:$X$333,15,0)&amp;""))</f>
        <v>Provide a brief summary and the implement review interval.</v>
      </c>
      <c r="F65" s="191" t="str">
        <f>VLOOKUP($A65,'Institution Evaluation'!$A$56:$F$345,6,0)&amp;""</f>
        <v/>
      </c>
      <c r="I65" s="35"/>
      <c r="J65" s="35"/>
    </row>
    <row r="66" spans="1:10" s="1" customFormat="1" ht="45" x14ac:dyDescent="0.15">
      <c r="A66" s="19" t="s">
        <v>78</v>
      </c>
      <c r="B66" s="18" t="str">
        <f>VLOOKUP($A66,Questions!$A$2:$X$333,2,0)</f>
        <v>Do you have documented, and currently implemented, internal audit processes and procedures?</v>
      </c>
      <c r="C66" s="21" t="s">
        <v>355</v>
      </c>
      <c r="D66" s="282" t="s">
        <v>405</v>
      </c>
      <c r="E66" s="160" t="str">
        <f>IF($C66='Auto Responses'!$J$3,VLOOKUP($A66,Questions!$A$2:$X$333,17,0)&amp;"",IF($C66='Auto Responses'!$J$4,VLOOKUP($A66,Questions!$A$2:$X$333,16,0)&amp;"",VLOOKUP($A66,Questions!$A$2:$X$333,15,0)&amp;""))</f>
        <v>Summarize your internal audit processes and procedures.</v>
      </c>
      <c r="F66" s="191" t="str">
        <f>VLOOKUP($A66,'Institution Evaluation'!$A$56:$F$345,6,0)&amp;""</f>
        <v/>
      </c>
      <c r="I66" s="35"/>
      <c r="J66" s="35"/>
    </row>
    <row r="67" spans="1:10" s="1" customFormat="1" ht="45" x14ac:dyDescent="0.15">
      <c r="A67" s="19" t="s">
        <v>79</v>
      </c>
      <c r="B67" s="18" t="str">
        <f>VLOOKUP($A67,Questions!$A$2:$X$333,2,0)</f>
        <v>Does your organization have physical security controls and policies in place?</v>
      </c>
      <c r="C67" s="21" t="s">
        <v>355</v>
      </c>
      <c r="D67" s="282" t="s">
        <v>406</v>
      </c>
      <c r="E67" s="160" t="str">
        <f>IF($C67='Auto Responses'!$J$3,VLOOKUP($A67,Questions!$A$2:$X$333,17,0)&amp;"",IF($C67='Auto Responses'!$J$4,VLOOKUP($A67,Questions!$A$2:$X$333,16,0)&amp;"",IF($C67='Auto Responses'!$J$5,VLOOKUP($A67,Questions!$A$2:$X$333,18,0)&amp;"",VLOOKUP($A67,Questions!$A$2:$X$333,15,0)&amp;"")))</f>
        <v>Provide a copy of your physical security controls and policies along with this document (link or attached).</v>
      </c>
      <c r="F67" s="191" t="str">
        <f>VLOOKUP($A67,'Institution Evaluation'!$A$56:$F$345,6,0)&amp;""</f>
        <v/>
      </c>
      <c r="G67" s="228" t="s">
        <v>361</v>
      </c>
      <c r="H67" s="35"/>
    </row>
    <row r="68" spans="1:10" s="1" customFormat="1" ht="39" customHeight="1" x14ac:dyDescent="0.15">
      <c r="A68" s="41" t="s">
        <v>2</v>
      </c>
      <c r="B68" s="241"/>
      <c r="C68" s="242"/>
      <c r="D68" s="283"/>
      <c r="E68" s="244"/>
      <c r="F68" s="23"/>
      <c r="G68" s="228"/>
      <c r="H68" s="35"/>
    </row>
    <row r="69" spans="1:10" s="1" customFormat="1" ht="15" customHeight="1" x14ac:dyDescent="0.15">
      <c r="A69" s="252"/>
      <c r="C69" s="8"/>
      <c r="D69" s="9"/>
      <c r="E69" s="10"/>
      <c r="I69" s="35"/>
      <c r="J69" s="35"/>
    </row>
    <row r="70" spans="1:10" s="1" customFormat="1" ht="15" hidden="1" customHeight="1" x14ac:dyDescent="0.15">
      <c r="A70"/>
      <c r="C70" s="8"/>
      <c r="D70" s="9"/>
      <c r="E70" s="10"/>
      <c r="I70" s="35"/>
      <c r="J70" s="35"/>
    </row>
    <row r="71" spans="1:10" ht="57" hidden="1" customHeight="1" x14ac:dyDescent="0.2">
      <c r="A71" s="19" t="e">
        <f>#REF!</f>
        <v>#REF!</v>
      </c>
    </row>
    <row r="72" spans="1:10" ht="42.75" hidden="1" customHeight="1" x14ac:dyDescent="0.2">
      <c r="A72" s="19" t="e">
        <f>#REF!</f>
        <v>#REF!</v>
      </c>
    </row>
    <row r="73" spans="1:10" ht="15" hidden="1" customHeight="1" x14ac:dyDescent="0.2">
      <c r="A73" s="19" t="e">
        <f>#REF!</f>
        <v>#REF!</v>
      </c>
    </row>
    <row r="74" spans="1:10" ht="15" hidden="1" customHeight="1" x14ac:dyDescent="0.2">
      <c r="A74" s="19" t="e">
        <f>#REF!</f>
        <v>#REF!</v>
      </c>
    </row>
    <row r="75" spans="1:10" ht="15" hidden="1" customHeight="1" x14ac:dyDescent="0.2">
      <c r="A75" s="19" t="e">
        <f>#REF!</f>
        <v>#REF!</v>
      </c>
    </row>
    <row r="76" spans="1:10" ht="15" hidden="1" customHeight="1" x14ac:dyDescent="0.2">
      <c r="A76" s="19" t="e">
        <f>#REF!</f>
        <v>#REF!</v>
      </c>
    </row>
    <row r="77" spans="1:10" ht="15" hidden="1" customHeight="1" x14ac:dyDescent="0.2">
      <c r="A77" s="19" t="e">
        <f>#REF!</f>
        <v>#REF!</v>
      </c>
    </row>
    <row r="78" spans="1:10" ht="15" hidden="1" customHeight="1" x14ac:dyDescent="0.2"/>
    <row r="79" spans="1:10" ht="15" hidden="1" customHeight="1" x14ac:dyDescent="0.2"/>
    <row r="80" spans="1:10"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row r="86" ht="15" hidden="1" customHeight="1" x14ac:dyDescent="0.2"/>
    <row r="87" ht="15" hidden="1" customHeight="1" x14ac:dyDescent="0.2"/>
    <row r="88" ht="15" hidden="1" customHeight="1" x14ac:dyDescent="0.2"/>
    <row r="89" ht="15" hidden="1" customHeight="1" x14ac:dyDescent="0.2"/>
    <row r="90" ht="15" hidden="1" customHeight="1" x14ac:dyDescent="0.2"/>
    <row r="91" ht="15" hidden="1" customHeight="1" x14ac:dyDescent="0.2"/>
    <row r="92" ht="15" hidden="1" customHeight="1" x14ac:dyDescent="0.2"/>
    <row r="93" ht="15" hidden="1" customHeight="1" x14ac:dyDescent="0.2"/>
    <row r="94" ht="15" hidden="1" customHeight="1" x14ac:dyDescent="0.2"/>
    <row r="95" ht="15" hidden="1" customHeight="1" x14ac:dyDescent="0.2"/>
    <row r="96" ht="15" hidden="1" customHeight="1" x14ac:dyDescent="0.2"/>
    <row r="97" ht="15" hidden="1" customHeight="1" x14ac:dyDescent="0.2"/>
    <row r="98" ht="15" hidden="1" customHeight="1" x14ac:dyDescent="0.2"/>
    <row r="99" ht="15" hidden="1" customHeight="1" x14ac:dyDescent="0.2"/>
    <row r="100" ht="15" hidden="1" customHeight="1" x14ac:dyDescent="0.2"/>
    <row r="101" ht="15" hidden="1" customHeight="1" x14ac:dyDescent="0.2"/>
    <row r="102" ht="15" hidden="1" customHeight="1" x14ac:dyDescent="0.2"/>
    <row r="103" ht="15" hidden="1" customHeight="1" x14ac:dyDescent="0.2"/>
    <row r="104" ht="15" hidden="1" customHeight="1" x14ac:dyDescent="0.2"/>
    <row r="105" ht="15" hidden="1" customHeight="1" x14ac:dyDescent="0.2"/>
    <row r="106" ht="15" hidden="1" customHeight="1" x14ac:dyDescent="0.2"/>
    <row r="107" ht="15" hidden="1" customHeight="1" x14ac:dyDescent="0.2"/>
    <row r="108" ht="15" hidden="1" customHeight="1" x14ac:dyDescent="0.2"/>
    <row r="109" ht="15" hidden="1" customHeight="1" x14ac:dyDescent="0.2"/>
    <row r="110" ht="15" hidden="1" customHeight="1" x14ac:dyDescent="0.2"/>
    <row r="111" ht="15" hidden="1" customHeight="1" x14ac:dyDescent="0.2"/>
    <row r="112" ht="15" hidden="1" customHeight="1" x14ac:dyDescent="0.2"/>
  </sheetData>
  <dataValidations count="2">
    <dataValidation allowBlank="1" showInputMessage="1" showErrorMessage="1" promptTitle="Warning!" prompt="The HECVAT is built using a number of complex formulas. Editing this cell can break the functionality of the tool. " sqref="A3:A68 B2:B68 C2:F2 C5:F12 C21 C29 C35:D35 C52:D52 D3:F3 D21:D29 E21:F67" xr:uid="{00000000-0002-0000-0100-000000000000}"/>
    <dataValidation allowBlank="1" showInputMessage="1" showErrorMessage="1" prompt="This answer has been populated from the &quot;START HERE&quot; tab and does not need to be re-entered." sqref="C3 C13:C20" xr:uid="{00000000-0002-0000-0100-000001000000}"/>
  </dataValidations>
  <hyperlinks>
    <hyperlink ref="A11" r:id="rId1" display="http://www.educause.edu/HECVAT" xr:uid="{00000000-0004-0000-0100-000000000000}"/>
    <hyperlink ref="C18" r:id="rId2" xr:uid="{F0CF7CF6-93B6-1046-A757-9D0E5A9C2B9E}"/>
  </hyperlinks>
  <pageMargins left="0.75" right="0.75" top="1" bottom="1" header="0.5" footer="0.5"/>
  <pageSetup orientation="landscape"/>
  <headerFooter>
    <oddFooter>&amp;L&amp;"Helvetica,Regular"&amp;12 &amp;K000000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36C"/>
  </sheetPr>
  <dimension ref="A1:L85"/>
  <sheetViews>
    <sheetView showGridLines="0" showZeros="0" topLeftCell="A52" zoomScale="120" zoomScaleNormal="120" workbookViewId="0">
      <selection activeCell="C56" sqref="C56"/>
    </sheetView>
  </sheetViews>
  <sheetFormatPr baseColWidth="10" defaultColWidth="0" defaultRowHeight="0" customHeight="1" zeroHeight="1" x14ac:dyDescent="0.2"/>
  <cols>
    <col min="1" max="1" width="8.25" style="320" customWidth="1"/>
    <col min="2" max="2" width="55.125" style="1" customWidth="1"/>
    <col min="3" max="3" width="18.875" style="8" customWidth="1"/>
    <col min="4" max="4" width="55.75" style="9" customWidth="1"/>
    <col min="5" max="5" width="32" style="10" customWidth="1"/>
    <col min="6" max="6" width="30.75" style="1" customWidth="1"/>
    <col min="7" max="7" width="18.125" style="1" customWidth="1"/>
    <col min="8" max="8" width="18.125" style="1" hidden="1" customWidth="1"/>
    <col min="9" max="10" width="18.125" style="35" hidden="1" customWidth="1"/>
    <col min="11" max="11" width="4.5" style="1" hidden="1" customWidth="1"/>
    <col min="12" max="12" width="6.625" style="1" hidden="1" customWidth="1"/>
    <col min="13" max="13" width="6.625" style="320" hidden="1" customWidth="1"/>
    <col min="14" max="16384" width="6.625" style="320" hidden="1"/>
  </cols>
  <sheetData>
    <row r="1" spans="1:10" ht="0" hidden="1" customHeight="1" x14ac:dyDescent="0.2">
      <c r="A1" t="s">
        <v>346</v>
      </c>
    </row>
    <row r="2" spans="1:10" ht="36" customHeight="1" x14ac:dyDescent="0.2">
      <c r="A2" s="161" t="s">
        <v>407</v>
      </c>
      <c r="B2" s="161"/>
      <c r="C2" s="162"/>
      <c r="D2" s="271"/>
      <c r="E2" s="163"/>
      <c r="F2" s="163" t="str">
        <f>'Auto Responses'!$A$36</f>
        <v>Version 4.1.5</v>
      </c>
      <c r="J2" s="1"/>
    </row>
    <row r="3" spans="1:10" s="1" customFormat="1" ht="29" customHeight="1" x14ac:dyDescent="0.15">
      <c r="A3" s="37" t="s">
        <v>348</v>
      </c>
      <c r="B3" s="38"/>
      <c r="C3" s="64" t="str">
        <f>'START HERE'!$C$3</f>
        <v>2025-04-08</v>
      </c>
      <c r="D3" s="272"/>
      <c r="E3" s="36"/>
      <c r="F3" s="50"/>
      <c r="I3" s="35"/>
    </row>
    <row r="4" spans="1:10" s="1" customFormat="1" ht="36" customHeight="1" x14ac:dyDescent="0.15">
      <c r="A4" s="11" t="s">
        <v>350</v>
      </c>
      <c r="B4" s="12"/>
      <c r="C4" s="13"/>
      <c r="D4" s="14"/>
      <c r="E4" s="15"/>
      <c r="F4" s="15"/>
      <c r="I4" s="35"/>
    </row>
    <row r="5" spans="1:10" s="1" customFormat="1" ht="19.5" customHeight="1" x14ac:dyDescent="0.15">
      <c r="A5" s="42" t="str">
        <f>HLOOKUP($A$4,'Auto Responses'!$D$2:$D$8,2,0)&amp;""</f>
        <v>1. Complete the "Start Here" tab and review the "Required Questions" guidance to find the other sections are required for your product or service.</v>
      </c>
      <c r="B5" s="16"/>
      <c r="C5" s="65"/>
      <c r="D5" s="273"/>
      <c r="E5" s="16"/>
      <c r="F5" s="16"/>
      <c r="I5" s="35"/>
    </row>
    <row r="6" spans="1:10" s="1" customFormat="1" ht="19.5" customHeight="1" x14ac:dyDescent="0.15">
      <c r="A6" s="42" t="str">
        <f>HLOOKUP($A$4,'Auto Responses'!$D$2:$D$8,3,0)&amp;""</f>
        <v>2. Complete the "Organization" tab and the applicable questions in each of the next 5 tabs (Product through Privacy) that apply, based on your answers to the "Required Questions."</v>
      </c>
      <c r="B6" s="16"/>
      <c r="C6" s="65"/>
      <c r="D6" s="273"/>
      <c r="E6" s="16"/>
      <c r="F6" s="16"/>
      <c r="I6" s="35"/>
    </row>
    <row r="7" spans="1:10" s="1" customFormat="1" ht="19.5" customHeight="1" x14ac:dyDescent="0.15">
      <c r="A7" s="42" t="str">
        <f>HLOOKUP($A$4,'Auto Responses'!$D$2:$D$8,4,0)&amp;""</f>
        <v xml:space="preserve">3. Guidance in column E may change based on your answers to prompt details in "Additional Information." If leaving an answer blank, you must also state why in "Additional Information". </v>
      </c>
      <c r="B7" s="16"/>
      <c r="C7" s="65"/>
      <c r="D7" s="273"/>
      <c r="E7" s="16"/>
      <c r="F7" s="16"/>
      <c r="I7" s="35"/>
    </row>
    <row r="8" spans="1:10" s="1" customFormat="1" ht="19.5" customHeight="1" x14ac:dyDescent="0.15">
      <c r="A8" s="42" t="str">
        <f>HLOOKUP($A$4,'Auto Responses'!$D$2:$D$8,5,0)&amp;""</f>
        <v>4. DO NOT complete any fields in the "Evaluation" sheets or the "Analyst Notes" column.</v>
      </c>
      <c r="B8" s="16"/>
      <c r="C8" s="65"/>
      <c r="D8" s="273"/>
      <c r="E8" s="16"/>
      <c r="F8" s="16"/>
      <c r="I8" s="35"/>
    </row>
    <row r="9" spans="1:10" s="1" customFormat="1" ht="19.5" customHeight="1" x14ac:dyDescent="0.15">
      <c r="A9" s="42" t="str">
        <f>HLOOKUP($A$4,'Auto Responses'!$D$2:$D$8,6,0)&amp;""</f>
        <v>5. Return the completed file to institutions.</v>
      </c>
      <c r="B9" s="16"/>
      <c r="C9" s="65"/>
      <c r="D9" s="273"/>
      <c r="E9" s="16"/>
      <c r="F9" s="16"/>
      <c r="I9" s="35"/>
    </row>
    <row r="10" spans="1:10" s="1" customFormat="1" ht="19.5" customHeight="1" x14ac:dyDescent="0.15">
      <c r="A10" s="235" t="str">
        <f>HLOOKUP($A$4,'Auto Responses'!$D$2:$D$8,7,0)&amp;""</f>
        <v>* Denotes critical questions. Critical questions are those deemed most important to institutions by higher education volunteers.</v>
      </c>
      <c r="B10" s="16"/>
      <c r="C10" s="65"/>
      <c r="D10" s="273"/>
      <c r="E10" s="16"/>
      <c r="F10" s="16"/>
      <c r="I10" s="35"/>
    </row>
    <row r="11" spans="1:10" s="1" customFormat="1" ht="19.5" customHeight="1" x14ac:dyDescent="0.15">
      <c r="A11" s="234" t="str">
        <f>HLOOKUP($A$4,'Auto Responses'!$D$2:$D$9,8,0)&amp;""</f>
        <v>For full instructions, please visit educause.edu/HECVAT</v>
      </c>
      <c r="B11" s="16"/>
      <c r="C11" s="65"/>
      <c r="D11" s="273"/>
      <c r="E11" s="16"/>
      <c r="F11" s="16"/>
      <c r="I11" s="35"/>
    </row>
    <row r="12" spans="1:10" s="1" customFormat="1" ht="36" customHeight="1" x14ac:dyDescent="0.15">
      <c r="A12" s="61" t="str">
        <f>VLOOKUP(LEFT($A13,4),'Auto Responses'!$N$4:$O$38,2,0)&amp;""</f>
        <v xml:space="preserve"> General Information</v>
      </c>
      <c r="B12" s="12"/>
      <c r="C12" s="13" t="s">
        <v>351</v>
      </c>
      <c r="D12" s="274"/>
      <c r="E12" s="17"/>
      <c r="F12" s="17"/>
      <c r="I12" s="35"/>
      <c r="J12" s="35"/>
    </row>
    <row r="13" spans="1:10" s="1" customFormat="1" ht="22.25" customHeight="1" x14ac:dyDescent="0.15">
      <c r="A13" s="19" t="s">
        <v>7</v>
      </c>
      <c r="B13" s="20" t="str">
        <f>VLOOKUP($A13,Questions!$A$2:$X$333,2,0)&amp;""</f>
        <v>Solution Provider Name</v>
      </c>
      <c r="C13" s="72" t="str">
        <f ca="1">VLOOKUP($A13,'START HERE'!$A$13:$C$21,3,0)&amp;""</f>
        <v>Accredible (EdInvent Inc. d.b.a. Accredible)</v>
      </c>
      <c r="D13" s="32"/>
      <c r="E13" s="32"/>
      <c r="F13" s="50"/>
      <c r="I13" s="35"/>
      <c r="J13" s="35"/>
    </row>
    <row r="14" spans="1:10" s="1" customFormat="1" ht="22.25" customHeight="1" x14ac:dyDescent="0.15">
      <c r="A14" s="19" t="s">
        <v>8</v>
      </c>
      <c r="B14" s="20" t="str">
        <f>VLOOKUP($A14,Questions!$A$2:$X$333,2,0)&amp;""</f>
        <v>Solution Name</v>
      </c>
      <c r="C14" s="72" t="str">
        <f ca="1">VLOOKUP($A14,'START HERE'!$A$13:$C$21,3,0)&amp;""</f>
        <v>Accredible Digital Credentialing Platform</v>
      </c>
      <c r="D14" s="32"/>
      <c r="E14" s="32"/>
      <c r="F14" s="50"/>
      <c r="I14" s="35"/>
      <c r="J14" s="35"/>
    </row>
    <row r="15" spans="1:10" s="1" customFormat="1" ht="22.25" customHeight="1" x14ac:dyDescent="0.15">
      <c r="A15" s="19" t="s">
        <v>9</v>
      </c>
      <c r="B15" s="20" t="str">
        <f>VLOOKUP($A15,Questions!$A$2:$X$333,2,0)&amp;""</f>
        <v>Solution Description</v>
      </c>
      <c r="C15" s="72" t="str">
        <f ca="1">VLOOKUP($A15,'START HERE'!$A$13:$C$21,3,0)&amp;""</f>
        <v>Accredible is a cloud-hosted, multi-tenant Software as a Service (SaaS) digital credentialing platform that enables organizations to design, issue, manage, and verify digital credentials including certificates and badges.</v>
      </c>
      <c r="D15" s="32"/>
      <c r="E15" s="32"/>
      <c r="F15" s="50"/>
      <c r="I15" s="35"/>
      <c r="J15" s="35"/>
    </row>
    <row r="16" spans="1:10" s="1" customFormat="1" ht="22.25" customHeight="1" thickBot="1" x14ac:dyDescent="0.2">
      <c r="A16" s="19" t="s">
        <v>14</v>
      </c>
      <c r="B16" s="20" t="str">
        <f>VLOOKUP($A16,Questions!$A$2:$X$333,2,0)&amp;""</f>
        <v>Country of Company Headquarters</v>
      </c>
      <c r="C16" s="72" t="str">
        <f ca="1">VLOOKUP($A16,'START HERE'!$A$13:$C$21,3,0)&amp;""</f>
        <v>United States</v>
      </c>
      <c r="D16" s="32"/>
      <c r="E16" s="32"/>
      <c r="F16" s="50"/>
      <c r="I16" s="35"/>
      <c r="J16" s="35"/>
    </row>
    <row r="17" spans="1:10" s="1" customFormat="1" ht="37.25" customHeight="1" thickBot="1" x14ac:dyDescent="0.2">
      <c r="A17" s="61" t="str">
        <f>VLOOKUP(LEFT($A18,4),'Auto Responses'!$N$4:$O$38,2,0)&amp;""</f>
        <v xml:space="preserve"> Required Questions</v>
      </c>
      <c r="B17" s="22"/>
      <c r="C17" s="13" t="s">
        <v>351</v>
      </c>
      <c r="D17" s="13"/>
      <c r="E17" s="31" t="s">
        <v>353</v>
      </c>
      <c r="F17" s="178" t="s">
        <v>354</v>
      </c>
      <c r="I17" s="35"/>
      <c r="J17" s="35"/>
    </row>
    <row r="18" spans="1:10" s="1" customFormat="1" ht="43.5" customHeight="1" thickBot="1" x14ac:dyDescent="0.2">
      <c r="A18" s="19" t="s">
        <v>23</v>
      </c>
      <c r="B18" s="18" t="str">
        <f>VLOOKUP($A18,Questions!$A$2:$X$333,2,0)</f>
        <v>Are you offering a cloud-based product?</v>
      </c>
      <c r="C18" s="69" t="str">
        <f>VLOOKUP($A18,'START HERE'!$A$23:$F$36,3,0)&amp;""</f>
        <v>Yes</v>
      </c>
      <c r="D18" s="275" t="str">
        <f>VLOOKUP($A18,'START HERE'!$A$23:$F$36,4,0)&amp;""</f>
        <v>Accredible is a cloud-based SaaS product hosted on Amazon Web Services.</v>
      </c>
      <c r="E18" s="160" t="str">
        <f>IF($C18='Auto Responses'!$J$3,VLOOKUP($A18,Questions!$A$2:$X$333,17,0)&amp;"",IF($C18='Auto Responses'!$J$4,VLOOKUP($A18,Questions!$A$2:$X$333,16,0)&amp;"",VLOOKUP($A18,Questions!$A$2:$X$333,15,0)&amp;""))</f>
        <v>DO complete the Product and Infrastructure worksheets</v>
      </c>
      <c r="F18" s="191" t="str">
        <f>VLOOKUP($A18,'Institution Evaluation'!$A$56:$F$345,6,0)&amp;""</f>
        <v/>
      </c>
      <c r="G18" s="228" t="s">
        <v>361</v>
      </c>
      <c r="I18" s="35"/>
      <c r="J18" s="35"/>
    </row>
    <row r="19" spans="1:10" s="1" customFormat="1" ht="37.25" customHeight="1" thickBot="1" x14ac:dyDescent="0.2">
      <c r="A19" s="61" t="str">
        <f>VLOOKUP(LEFT($A20,4),'Auto Responses'!$N$4:$O$38,2,0)&amp;""</f>
        <v xml:space="preserve"> Authentication, Authorization, and Account Management</v>
      </c>
      <c r="B19" s="22"/>
      <c r="C19" s="13" t="s">
        <v>351</v>
      </c>
      <c r="D19" s="13" t="s">
        <v>352</v>
      </c>
      <c r="E19" s="31" t="s">
        <v>353</v>
      </c>
      <c r="F19" s="178" t="s">
        <v>354</v>
      </c>
      <c r="I19" s="35"/>
      <c r="J19" s="35"/>
    </row>
    <row r="20" spans="1:10" s="1" customFormat="1" ht="60" x14ac:dyDescent="0.15">
      <c r="A20" s="19" t="s">
        <v>80</v>
      </c>
      <c r="B20" s="18" t="str">
        <f>VLOOKUP($A20,Questions!$A$2:$X$333,2,0)</f>
        <v>Does your solution support single sign-on (SSO) protocols for user and administrator authentication?*</v>
      </c>
      <c r="C20" s="21" t="s">
        <v>355</v>
      </c>
      <c r="D20" s="276" t="s">
        <v>408</v>
      </c>
      <c r="E20" s="160" t="str">
        <f>IF($C$18='Auto Responses'!$J$4,'Auto Responses'!$A$3,IF($C20='Auto Responses'!$J$3,VLOOKUP($A20,Questions!$A$2:$X$333,17,0)&amp;"",IF($C20='Auto Responses'!$J$4,VLOOKUP($A20,Questions!$A$2:$X$333,16,0)&amp;"",VLOOKUP($A20,Questions!$A$2:$X$333,15,0)&amp;"")))</f>
        <v>Describe how strong authentication is enforced (e.g., complex passwords, multifactor tokens, certificates, biometrics, aging requirements, re-use policy).</v>
      </c>
      <c r="F20" s="191" t="str">
        <f>VLOOKUP($A20,'Institution Evaluation'!$A$56:$F$345,6,0)&amp;""</f>
        <v/>
      </c>
      <c r="I20" s="35"/>
      <c r="J20" s="35"/>
    </row>
    <row r="21" spans="1:10" s="1" customFormat="1" ht="30" x14ac:dyDescent="0.15">
      <c r="A21" s="19" t="s">
        <v>81</v>
      </c>
      <c r="B21" s="18" t="str">
        <f>VLOOKUP($A21,Questions!$A$2:$X$333,2,0)</f>
        <v>For customers not using SSO, does your solution support local authentication protocols for user and administrator authentication?*</v>
      </c>
      <c r="C21" s="21" t="s">
        <v>355</v>
      </c>
      <c r="D21" s="276" t="s">
        <v>409</v>
      </c>
      <c r="E21" s="160" t="str">
        <f>IF($C$18='Auto Responses'!$J$4,'Auto Responses'!$A$3,IF($C21='Auto Responses'!$J$3,VLOOKUP($A21,Questions!$A$2:$X$333,17,0)&amp;"",IF($C21='Auto Responses'!$J$4,VLOOKUP($A21,Questions!$A$2:$X$333,16,0)&amp;"",VLOOKUP($A21,Questions!$A$2:$X$333,15,0)&amp;"")))</f>
        <v>Provide a detailed description of your local authentication mode practices.</v>
      </c>
      <c r="F21" s="191" t="str">
        <f>VLOOKUP($A21,'Institution Evaluation'!$A$56:$F$345,6,0)&amp;""</f>
        <v/>
      </c>
      <c r="I21" s="35"/>
      <c r="J21" s="35"/>
    </row>
    <row r="22" spans="1:10" s="1" customFormat="1" ht="45" x14ac:dyDescent="0.15">
      <c r="A22" s="19" t="s">
        <v>82</v>
      </c>
      <c r="B22" s="18" t="str">
        <f>VLOOKUP($A22,Questions!$A$2:$X$333,2,0)</f>
        <v>For customers not using SSO, can you enforce password/passphrase complexity requirements (provided by the institution)?*</v>
      </c>
      <c r="C22" s="21" t="s">
        <v>355</v>
      </c>
      <c r="D22" s="276" t="s">
        <v>410</v>
      </c>
      <c r="E22" s="160" t="str">
        <f>IF($C$18='Auto Responses'!$J$4,'Auto Responses'!$A$3,IF($C22='Auto Responses'!$J$3,VLOOKUP($A22,Questions!$A$2:$X$333,17,0)&amp;"",IF($C22='Auto Responses'!$J$4,VLOOKUP($A22,Questions!$A$2:$X$333,16,0)&amp;"",VLOOKUP($A22,Questions!$A$2:$X$333,15,0)&amp;"")))</f>
        <v>Describe how password/passphrase complexity requirements are implemented in the product.</v>
      </c>
      <c r="F22" s="191" t="str">
        <f>VLOOKUP($A22,'Institution Evaluation'!$A$56:$F$345,6,0)&amp;""</f>
        <v/>
      </c>
      <c r="I22" s="35"/>
      <c r="J22" s="35"/>
    </row>
    <row r="23" spans="1:10" s="1" customFormat="1" ht="45" x14ac:dyDescent="0.15">
      <c r="A23" s="19" t="s">
        <v>83</v>
      </c>
      <c r="B23" s="18" t="str">
        <f>VLOOKUP($A23,Questions!$A$2:$X$333,2,0)</f>
        <v>For customers not using SSO, does the system have password complexity or length limitations and/or restrictions?*</v>
      </c>
      <c r="C23" s="21" t="s">
        <v>355</v>
      </c>
      <c r="D23" s="276" t="s">
        <v>2161</v>
      </c>
      <c r="E23" s="160" t="str">
        <f>IF($C$18='Auto Responses'!$J$4,'Auto Responses'!$A$3,IF($C23='Auto Responses'!$J$3,VLOOKUP($A23,Questions!$A$2:$X$333,17,0)&amp;"",IF($C23='Auto Responses'!$J$4,VLOOKUP($A23,Questions!$A$2:$X$333,16,0)&amp;"",VLOOKUP($A23,Questions!$A$2:$X$333,15,0)&amp;"")))</f>
        <v>Describe these limitations and/or restrictions and state what lengths and complexities are supported.</v>
      </c>
      <c r="F23" s="191" t="str">
        <f>VLOOKUP($A23,'Institution Evaluation'!$A$56:$F$345,6,0)&amp;""</f>
        <v/>
      </c>
      <c r="I23" s="35"/>
      <c r="J23" s="35"/>
    </row>
    <row r="24" spans="1:10" s="1" customFormat="1" ht="60" x14ac:dyDescent="0.15">
      <c r="A24" s="19" t="s">
        <v>84</v>
      </c>
      <c r="B24" s="18" t="str">
        <f>VLOOKUP($A24,Questions!$A$2:$X$333,2,0)</f>
        <v>For customers not using SSO, do you have documented password/passphrase reset procedures that are currently implemented in the system and/or customer support?*</v>
      </c>
      <c r="C24" s="21" t="s">
        <v>355</v>
      </c>
      <c r="D24" s="276" t="s">
        <v>411</v>
      </c>
      <c r="E24" s="160" t="str">
        <f>IF($C$18='Auto Responses'!$J$4,'Auto Responses'!$A$3,IF($C24='Auto Responses'!$J$3,VLOOKUP($A24,Questions!$A$2:$X$333,17,0)&amp;"",IF($C24='Auto Responses'!$J$4,VLOOKUP($A24,Questions!$A$2:$X$333,16,0)&amp;"",VLOOKUP($A24,Questions!$A$2:$X$333,15,0)&amp;"")))</f>
        <v>Describe your documented password/passphrase reset procedures that are currently implemented in the system and/or customer support.</v>
      </c>
      <c r="F24" s="191" t="str">
        <f>VLOOKUP($A24,'Institution Evaluation'!$A$56:$F$345,6,0)&amp;""</f>
        <v/>
      </c>
      <c r="H24" s="35"/>
      <c r="I24" s="35"/>
      <c r="J24" s="35"/>
    </row>
    <row r="25" spans="1:10" s="1" customFormat="1" ht="45" x14ac:dyDescent="0.15">
      <c r="A25" s="19" t="s">
        <v>85</v>
      </c>
      <c r="B25" s="18" t="str">
        <f>VLOOKUP($A25,Questions!$A$2:$X$333,2,0)</f>
        <v>Does your organization participate in InCommon or another eduGAIN-affiliated trust federation?*</v>
      </c>
      <c r="C25" s="21" t="s">
        <v>364</v>
      </c>
      <c r="D25" s="276" t="s">
        <v>412</v>
      </c>
      <c r="E25" s="160" t="str">
        <f>IF($C$18='Auto Responses'!$J$4,'Auto Responses'!$A$3,IF($C25='Auto Responses'!$J$3,VLOOKUP($A25,Questions!$A$2:$X$333,17,0)&amp;"",IF($C25='Auto Responses'!$J$4,VLOOKUP($A25,Questions!$A$2:$X$333,16,0)&amp;"",VLOOKUP($A25,Questions!$A$2:$X$333,15,0)&amp;"")))</f>
        <v>Describe plans to participate in InCommon or another eduGAIN-affiliated trust federation.</v>
      </c>
      <c r="F25" s="191" t="str">
        <f>VLOOKUP($A25,'Institution Evaluation'!$A$56:$F$345,6,0)&amp;""</f>
        <v/>
      </c>
      <c r="I25" s="35"/>
      <c r="J25" s="35"/>
    </row>
    <row r="26" spans="1:10" s="1" customFormat="1" ht="30" x14ac:dyDescent="0.15">
      <c r="A26" s="19" t="s">
        <v>86</v>
      </c>
      <c r="B26" s="18" t="str">
        <f>VLOOKUP($A26,Questions!$A$2:$X$333,2,0)</f>
        <v>Are there any passwords/passphrases hard-coded into your systems or solutions?*</v>
      </c>
      <c r="C26" s="21" t="s">
        <v>364</v>
      </c>
      <c r="D26" s="276" t="s">
        <v>413</v>
      </c>
      <c r="E26" s="160" t="str">
        <f>IF($C$18='Auto Responses'!$J$4,'Auto Responses'!$A$3,IF($C26='Auto Responses'!$J$3,VLOOKUP($A26,Questions!$A$2:$X$333,17,0)&amp;"",IF($C26='Auto Responses'!$J$4,VLOOKUP($A26,Questions!$A$2:$X$333,16,0)&amp;"",VLOOKUP($A26,Questions!$A$2:$X$333,15,0)&amp;"")))</f>
        <v/>
      </c>
      <c r="F26" s="191" t="str">
        <f>VLOOKUP($A26,'Institution Evaluation'!$A$56:$F$345,6,0)&amp;""</f>
        <v/>
      </c>
      <c r="I26" s="35"/>
      <c r="J26" s="35"/>
    </row>
    <row r="27" spans="1:10" s="1" customFormat="1" ht="30" x14ac:dyDescent="0.15">
      <c r="A27" s="19" t="s">
        <v>87</v>
      </c>
      <c r="B27" s="18" t="str">
        <f>VLOOKUP($A27,Questions!$A$2:$X$333,2,0)</f>
        <v>Are you storing any passwords in plaintext?*</v>
      </c>
      <c r="C27" s="21" t="s">
        <v>364</v>
      </c>
      <c r="D27" s="276" t="s">
        <v>414</v>
      </c>
      <c r="E27" s="160" t="str">
        <f>IF($C$18='Auto Responses'!$J$4,'Auto Responses'!$A$3,IF($C27='Auto Responses'!$J$3,VLOOKUP($A27,Questions!$A$2:$X$333,17,0)&amp;"",IF($C27='Auto Responses'!$J$4,VLOOKUP($A27,Questions!$A$2:$X$333,16,0)&amp;"",VLOOKUP($A27,Questions!$A$2:$X$333,15,0)&amp;"")))</f>
        <v/>
      </c>
      <c r="F27" s="191" t="str">
        <f>VLOOKUP($A27,'Institution Evaluation'!$A$56:$F$345,6,0)&amp;""</f>
        <v/>
      </c>
      <c r="I27" s="35"/>
      <c r="J27" s="35"/>
    </row>
    <row r="28" spans="1:10" s="1" customFormat="1" ht="30" x14ac:dyDescent="0.15">
      <c r="A28" s="19" t="s">
        <v>88</v>
      </c>
      <c r="B28" s="18" t="str">
        <f>VLOOKUP($A28,Questions!$A$2:$X$333,2,0)</f>
        <v>Are audit logs available that include AT LEAST all of the following: login, logout, actions performed, and source IP address?*</v>
      </c>
      <c r="C28" s="21" t="s">
        <v>355</v>
      </c>
      <c r="D28" s="276" t="s">
        <v>415</v>
      </c>
      <c r="E28" s="160" t="str">
        <f>IF($C$18='Auto Responses'!$J$4,'Auto Responses'!$A$3,IF($C28='Auto Responses'!$J$3,VLOOKUP($A28,Questions!$A$2:$X$333,17,0)&amp;"",IF($C28='Auto Responses'!$J$4,VLOOKUP($A28,Questions!$A$2:$X$333,16,0)&amp;"",VLOOKUP($A28,Questions!$A$2:$X$333,15,0)&amp;"")))</f>
        <v/>
      </c>
      <c r="F28" s="191" t="str">
        <f>VLOOKUP($A28,'Institution Evaluation'!$A$56:$F$345,6,0)&amp;""</f>
        <v/>
      </c>
      <c r="I28" s="35"/>
      <c r="J28" s="35"/>
    </row>
    <row r="29" spans="1:10" s="1" customFormat="1" ht="90" x14ac:dyDescent="0.15">
      <c r="A29" s="19" t="s">
        <v>89</v>
      </c>
      <c r="B29" s="18" t="str">
        <f>VLOOKUP($A29,Questions!$A$2:$X$333,2,0)</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29" s="21" t="s">
        <v>355</v>
      </c>
      <c r="D29" s="276" t="s">
        <v>416</v>
      </c>
      <c r="E29" s="160" t="str">
        <f>IF($C$18='Auto Responses'!$J$4,'Auto Responses'!$A$3,IF($C29='Auto Responses'!$J$3,VLOOKUP($A29,Questions!$A$2:$X$333,17,0)&amp;"",IF($C29='Auto Responses'!$J$4,VLOOKUP($A29,Questions!$A$2:$X$333,16,0)&amp;"",VLOOKUP($A29,Questions!$A$2:$X$333,15,0)&amp;"")))</f>
        <v>Ensure that all elements of AAAI-10 are clearly stated in your response.</v>
      </c>
      <c r="F29" s="191" t="str">
        <f>VLOOKUP($A29,'Institution Evaluation'!$A$56:$F$345,6,0)&amp;""</f>
        <v/>
      </c>
      <c r="I29" s="35"/>
      <c r="J29" s="35"/>
    </row>
    <row r="30" spans="1:10" s="1" customFormat="1" ht="60" x14ac:dyDescent="0.15">
      <c r="A30" s="19" t="s">
        <v>90</v>
      </c>
      <c r="B30" s="18" t="str">
        <f>VLOOKUP($A30,Questions!$A$2:$X$333,2,0)</f>
        <v>Can you provide the institution documentation regarding the retention period for those logs, how logs are protected, and whether they are accessible to the customer (and if so, how)?*</v>
      </c>
      <c r="C30" s="21" t="s">
        <v>355</v>
      </c>
      <c r="D30" s="276" t="s">
        <v>417</v>
      </c>
      <c r="E30" s="160" t="str">
        <f>IF($C$18='Auto Responses'!$J$4,'Auto Responses'!$A$3,IF($C30='Auto Responses'!$J$3,VLOOKUP($A30,Questions!$A$2:$X$333,17,0)&amp;"",IF($C30='Auto Responses'!$J$4,VLOOKUP($A30,Questions!$A$2:$X$333,16,0)&amp;"",VLOOKUP($A30,Questions!$A$2:$X$333,15,0)&amp;"")))</f>
        <v>Ensure that all elements of AAAI-11 are clearly stated in your response.</v>
      </c>
      <c r="F30" s="191" t="str">
        <f>VLOOKUP($A30,'Institution Evaluation'!$A$56:$F$345,6,0)&amp;""</f>
        <v/>
      </c>
      <c r="I30" s="35"/>
      <c r="J30" s="35"/>
    </row>
    <row r="31" spans="1:10" s="1" customFormat="1" ht="60" x14ac:dyDescent="0.15">
      <c r="A31" s="19" t="s">
        <v>91</v>
      </c>
      <c r="B31" s="18" t="str">
        <f>VLOOKUP($A31,Questions!$A$2:$X$333,2,0)</f>
        <v>For customers not using SSO, does your application support integration with other authentication and authorization systems?</v>
      </c>
      <c r="C31" s="21" t="s">
        <v>355</v>
      </c>
      <c r="D31" s="276" t="s">
        <v>418</v>
      </c>
      <c r="E31" s="160" t="str">
        <f>IF($C$18='Auto Responses'!$J$4,'Auto Responses'!$A$3,IF($C31='Auto Responses'!$J$3,VLOOKUP($A31,Questions!$A$2:$X$333,17,0)&amp;"",IF($C31='Auto Responses'!$J$4,VLOOKUP($A31,Questions!$A$2:$X$333,16,0)&amp;"",VLOOKUP($A31,Questions!$A$2:$X$333,15,0)&amp;"")))</f>
        <v>List which systems and versions supported (such as Active Directory, Kerberos, or other LDAP compatible directory) in Additional Info.</v>
      </c>
      <c r="F31" s="191" t="str">
        <f>VLOOKUP($A31,'Institution Evaluation'!$A$56:$F$345,6,0)&amp;""</f>
        <v/>
      </c>
      <c r="I31" s="35"/>
      <c r="J31" s="35"/>
    </row>
    <row r="32" spans="1:10" s="1" customFormat="1" ht="45" x14ac:dyDescent="0.15">
      <c r="A32" s="19" t="s">
        <v>92</v>
      </c>
      <c r="B32" s="18" t="str">
        <f>VLOOKUP($A32,Questions!$A$2:$X$333,2,0)</f>
        <v>Do you allow the customer to specify attribute mappings for any needed information beyond a user identifier? (e.g., Reference eduPerson, ePPA/ePPN/ePE)</v>
      </c>
      <c r="C32" s="21" t="s">
        <v>355</v>
      </c>
      <c r="D32" s="276" t="s">
        <v>419</v>
      </c>
      <c r="E32" s="160" t="str">
        <f>IF($C$18='Auto Responses'!$J$4,'Auto Responses'!$A$3,IF($C32='Auto Responses'!$J$3,VLOOKUP($A32,Questions!$A$2:$X$333,17,0)&amp;"",IF($C32='Auto Responses'!$J$4,VLOOKUP($A32,Questions!$A$2:$X$333,16,0)&amp;"",VLOOKUP($A32,Questions!$A$2:$X$333,15,0)&amp;"")))</f>
        <v/>
      </c>
      <c r="F32" s="191" t="str">
        <f>VLOOKUP($A32,'Institution Evaluation'!$A$56:$F$345,6,0)&amp;""</f>
        <v/>
      </c>
      <c r="I32" s="35"/>
      <c r="J32" s="35"/>
    </row>
    <row r="33" spans="1:10" s="1" customFormat="1" ht="30" x14ac:dyDescent="0.15">
      <c r="A33" s="19" t="s">
        <v>93</v>
      </c>
      <c r="B33" s="18" t="str">
        <f>VLOOKUP($A33,Questions!$A$2:$X$333,2,0)</f>
        <v>For customers not using SSO, does your application support directory integration for user accounts?</v>
      </c>
      <c r="C33" s="21" t="s">
        <v>355</v>
      </c>
      <c r="D33" s="276" t="s">
        <v>420</v>
      </c>
      <c r="E33" s="160" t="str">
        <f>IF($C$18='Auto Responses'!$J$4,'Auto Responses'!$A$3,IF($C33='Auto Responses'!$J$3,VLOOKUP($A33,Questions!$A$2:$X$333,17,0)&amp;"",IF($C33='Auto Responses'!$J$4,VLOOKUP($A33,Questions!$A$2:$X$333,16,0)&amp;"",VLOOKUP($A33,Questions!$A$2:$X$333,15,0)&amp;"")))</f>
        <v>Describe all authentication services supported by the system.</v>
      </c>
      <c r="F33" s="191" t="str">
        <f>VLOOKUP($A33,'Institution Evaluation'!$A$56:$F$345,6,0)&amp;""</f>
        <v/>
      </c>
      <c r="I33" s="35"/>
      <c r="J33" s="35"/>
    </row>
    <row r="34" spans="1:10" s="1" customFormat="1" ht="75" x14ac:dyDescent="0.15">
      <c r="A34" s="19" t="s">
        <v>94</v>
      </c>
      <c r="B34" s="18" t="str">
        <f>VLOOKUP($A34,Questions!$A$2:$X$333,2,0)</f>
        <v>Does your solution support any of the following web SSO standards: SAML2 (with redirect flow), OIDC, CAS, or other?</v>
      </c>
      <c r="C34" s="21" t="s">
        <v>355</v>
      </c>
      <c r="D34" s="276" t="s">
        <v>421</v>
      </c>
      <c r="E34" s="160" t="str">
        <f>IF($C$18='Auto Responses'!$J$4,'Auto Responses'!$A$3,IF($C34='Auto Responses'!$J$3,VLOOKUP($A34,Questions!$A$2:$X$333,17,0)&amp;"",IF($C34='Auto Responses'!$J$4,VLOOKUP($A34,Questions!$A$2:$X$333,16,0)&amp;"",VLOOKUP($A34,Questions!$A$2:$X$333,15,0)&amp;"")))</f>
        <v>State the web SSO standards supported by your solution and provide additional details about your support, including framework(s) in use, how information is exchanged securely, etc.</v>
      </c>
      <c r="F34" s="191" t="str">
        <f>VLOOKUP($A34,'Institution Evaluation'!$A$56:$F$345,6,0)&amp;""</f>
        <v/>
      </c>
      <c r="I34" s="35"/>
      <c r="J34" s="35"/>
    </row>
    <row r="35" spans="1:10" s="1" customFormat="1" ht="30" x14ac:dyDescent="0.15">
      <c r="A35" s="19" t="s">
        <v>95</v>
      </c>
      <c r="B35" s="18" t="str">
        <f>VLOOKUP($A35,Questions!$A$2:$X$333,2,0)</f>
        <v>Do you support differentiation between email address and user identifier?</v>
      </c>
      <c r="C35" s="21" t="s">
        <v>355</v>
      </c>
      <c r="D35" s="276" t="s">
        <v>422</v>
      </c>
      <c r="E35" s="160" t="str">
        <f>IF($C$18='Auto Responses'!$J$4,'Auto Responses'!$A$3,IF($C35='Auto Responses'!$J$3,VLOOKUP($A35,Questions!$A$2:$X$333,17,0)&amp;"",IF($C35='Auto Responses'!$J$4,VLOOKUP($A35,Questions!$A$2:$X$333,16,0)&amp;"",VLOOKUP($A35,Questions!$A$2:$X$333,15,0)&amp;"")))</f>
        <v/>
      </c>
      <c r="F35" s="191" t="str">
        <f>VLOOKUP($A35,'Institution Evaluation'!$A$56:$F$345,6,0)&amp;""</f>
        <v/>
      </c>
      <c r="I35" s="35"/>
      <c r="J35" s="35"/>
    </row>
    <row r="36" spans="1:10" s="1" customFormat="1" ht="45" x14ac:dyDescent="0.15">
      <c r="A36" s="19" t="s">
        <v>96</v>
      </c>
      <c r="B36" s="18" t="str">
        <f>VLOOKUP($A36,Questions!$A$2:$X$333,2,0)</f>
        <v>For customers not using SSO, does your application and/or user frontend/portal support multifactor authentication (e.g., Duo, Google Authenticator, OTP, etc.)?</v>
      </c>
      <c r="C36" s="21" t="s">
        <v>355</v>
      </c>
      <c r="D36" s="276" t="s">
        <v>423</v>
      </c>
      <c r="E36" s="160" t="str">
        <f>IF($C$18='Auto Responses'!$J$4,'Auto Responses'!$A$3,IF($C$20='Auto Responses'!$J$4,'Auto Responses'!$A$28,IF($C36='Auto Responses'!$J$3,VLOOKUP($A36,Questions!$A$2:$X$333,17,0)&amp;"",IF($C36='Auto Responses'!$J$4,VLOOKUP($A36,Questions!$A$2:$X$333,16,0)&amp;"",VLOOKUP($A36,Questions!$A$2:$X$333,15,0)&amp;""))))</f>
        <v>List all supported multifactor authentication methods, technologies, and/or solutions and provide a brief summary of each.</v>
      </c>
      <c r="F36" s="191" t="str">
        <f>VLOOKUP($A36,'Institution Evaluation'!$A$56:$F$345,6,0)&amp;""</f>
        <v/>
      </c>
      <c r="I36" s="35"/>
      <c r="J36" s="35"/>
    </row>
    <row r="37" spans="1:10" s="1" customFormat="1" ht="31" thickBot="1" x14ac:dyDescent="0.2">
      <c r="A37" s="19" t="s">
        <v>97</v>
      </c>
      <c r="B37" s="18" t="str">
        <f>VLOOKUP($A37,Questions!$A$2:$X$333,2,0)</f>
        <v>Does your application automatically lock the session or log out an account after a period of inactivity?</v>
      </c>
      <c r="C37" s="21" t="s">
        <v>355</v>
      </c>
      <c r="D37" s="276" t="s">
        <v>424</v>
      </c>
      <c r="E37" s="160" t="str">
        <f>IF($C$18='Auto Responses'!$J$4,'Auto Responses'!$A$3,IF($C37='Auto Responses'!$J$3,VLOOKUP($A37,Questions!$A$2:$X$333,17,0)&amp;"",IF($C37='Auto Responses'!$J$4,VLOOKUP($A37,Questions!$A$2:$X$333,16,0)&amp;"",VLOOKUP($A37,Questions!$A$2:$X$333,15,0)&amp;"")))</f>
        <v>Describe the default behavior of this capability.</v>
      </c>
      <c r="F37" s="191" t="str">
        <f>VLOOKUP($A37,'Institution Evaluation'!$A$56:$F$345,6,0)&amp;""</f>
        <v/>
      </c>
      <c r="G37" s="228" t="s">
        <v>361</v>
      </c>
      <c r="I37" s="35"/>
      <c r="J37" s="35"/>
    </row>
    <row r="38" spans="1:10" s="1" customFormat="1" ht="20" thickBot="1" x14ac:dyDescent="0.2">
      <c r="A38" s="61" t="str">
        <f>VLOOKUP(LEFT($A39,4),'Auto Responses'!$N$4:$O$38,2,0)&amp;""</f>
        <v xml:space="preserve"> Data</v>
      </c>
      <c r="B38" s="22"/>
      <c r="C38" s="13" t="s">
        <v>351</v>
      </c>
      <c r="D38" s="13" t="s">
        <v>352</v>
      </c>
      <c r="E38" s="31" t="s">
        <v>353</v>
      </c>
      <c r="F38" s="178" t="s">
        <v>354</v>
      </c>
      <c r="I38" s="35"/>
      <c r="J38" s="35"/>
    </row>
    <row r="39" spans="1:10" s="1" customFormat="1" ht="45" x14ac:dyDescent="0.15">
      <c r="A39" s="19" t="s">
        <v>98</v>
      </c>
      <c r="B39" s="18" t="str">
        <f>VLOOKUP($A39,Questions!$A$2:$X$333,2,0)</f>
        <v>Will the institution's data be stored on any devices (database servers, file servers, SAN, NAS, etc.) configured with non-RFC 1918/4193 (i.e., publicly routable) IP addresses?*</v>
      </c>
      <c r="C39" s="21" t="s">
        <v>364</v>
      </c>
      <c r="D39" s="276" t="s">
        <v>425</v>
      </c>
      <c r="E39" s="160" t="str">
        <f>IF($C$18='Auto Responses'!$J$4,'Auto Responses'!$A$3,IF($C39='Auto Responses'!$J$3,VLOOKUP($A39,Questions!$A$2:$X$333,17,0)&amp;"",IF($C39='Auto Responses'!$J$4,VLOOKUP($A39,Questions!$A$2:$X$333,16,0)&amp;"",VLOOKUP($A39,Questions!$A$2:$X$333,15,0)&amp;"")))</f>
        <v/>
      </c>
      <c r="F39" s="191" t="str">
        <f>VLOOKUP($A39,'Institution Evaluation'!$A$56:$F$345,6,0)&amp;""</f>
        <v/>
      </c>
      <c r="I39" s="35"/>
      <c r="J39" s="35"/>
    </row>
    <row r="40" spans="1:10" s="1" customFormat="1" ht="30" x14ac:dyDescent="0.15">
      <c r="A40" s="19" t="s">
        <v>99</v>
      </c>
      <c r="B40" s="18" t="str">
        <f>VLOOKUP($A40,Questions!$A$2:$X$333,2,0)</f>
        <v>Is the transport of sensitive data encrypted using security protocols/algorithms (e.g., system-to-client)?*</v>
      </c>
      <c r="C40" s="21" t="s">
        <v>355</v>
      </c>
      <c r="D40" s="276" t="s">
        <v>426</v>
      </c>
      <c r="E40" s="160" t="str">
        <f>IF($C$18='Auto Responses'!$J$4,'Auto Responses'!$A$3,IF($C40='Auto Responses'!$J$3,VLOOKUP($A40,Questions!$A$2:$X$333,17,0)&amp;"",IF($C40='Auto Responses'!$J$4,VLOOKUP($A40,Questions!$A$2:$X$333,16,0)&amp;"",VLOOKUP($A40,Questions!$A$2:$X$333,15,0)&amp;"")))</f>
        <v>Summarize your transport encryption strategy.</v>
      </c>
      <c r="F40" s="191" t="str">
        <f>VLOOKUP($A40,'Institution Evaluation'!$A$56:$F$345,6,0)&amp;""</f>
        <v/>
      </c>
      <c r="I40" s="35"/>
      <c r="J40" s="35"/>
    </row>
    <row r="41" spans="1:10" s="1" customFormat="1" ht="45" x14ac:dyDescent="0.15">
      <c r="A41" s="19" t="s">
        <v>100</v>
      </c>
      <c r="B41" s="18" t="str">
        <f>VLOOKUP($A41,Questions!$A$2:$X$333,2,0)</f>
        <v>Is the storage of sensitive data encrypted using security protocols/algorithms (e.g., disk encryption, at-rest, files, and within a running database)?*</v>
      </c>
      <c r="C41" s="21" t="s">
        <v>355</v>
      </c>
      <c r="D41" s="276" t="s">
        <v>427</v>
      </c>
      <c r="E41" s="160" t="str">
        <f>IF($C$18='Auto Responses'!$J$4,'Auto Responses'!$A$3,IF($C41='Auto Responses'!$J$3,VLOOKUP($A41,Questions!$A$2:$X$333,17,0)&amp;"",IF($C41='Auto Responses'!$J$4,VLOOKUP($A41,Questions!$A$2:$X$333,16,0)&amp;"",VLOOKUP($A41,Questions!$A$2:$X$333,15,0)&amp;"")))</f>
        <v>Summarize your data encryption strategy and state what encryption options are available.</v>
      </c>
      <c r="F41" s="191" t="str">
        <f>VLOOKUP($A41,'Institution Evaluation'!$A$56:$F$345,6,0)&amp;""</f>
        <v/>
      </c>
      <c r="I41" s="35"/>
      <c r="J41" s="35"/>
    </row>
    <row r="42" spans="1:10" s="1" customFormat="1" ht="60" x14ac:dyDescent="0.15">
      <c r="A42" s="19" t="s">
        <v>101</v>
      </c>
      <c r="B42" s="18" t="str">
        <f>VLOOKUP($A42,Questions!$A$2:$X$333,2,0)</f>
        <v>Do all cryptographic modules in use in your solution conform to the Federal Information Processing Standards (FIPS PUB 140-2 or 140-3)?*</v>
      </c>
      <c r="C42" s="21" t="s">
        <v>364</v>
      </c>
      <c r="D42" s="276" t="s">
        <v>428</v>
      </c>
      <c r="E42" s="160" t="str">
        <f>IF($C$18='Auto Responses'!$J$4,'Auto Responses'!$A$3,IF($C42='Auto Responses'!$J$3,VLOOKUP($A42,Questions!$A$2:$X$333,17,0)&amp;"",IF($C42='Auto Responses'!$J$4,VLOOKUP($A42,Questions!$A$2:$X$333,16,0)&amp;"",VLOOKUP($A42,Questions!$A$2:$X$333,15,0)&amp;"")))</f>
        <v>Provide a detailed description of all non-conforming modules.</v>
      </c>
      <c r="F42" s="191" t="str">
        <f>VLOOKUP($A42,'Institution Evaluation'!$A$56:$F$345,6,0)&amp;""</f>
        <v/>
      </c>
      <c r="I42" s="35"/>
      <c r="J42" s="35"/>
    </row>
    <row r="43" spans="1:10" s="1" customFormat="1" ht="60" x14ac:dyDescent="0.15">
      <c r="A43" s="19" t="s">
        <v>102</v>
      </c>
      <c r="B43" s="18" t="str">
        <f>VLOOKUP($A43,Questions!$A$2:$X$333,2,0)</f>
        <v>Will the institution's data be available within the system for a period of time at the completion of this contract?*</v>
      </c>
      <c r="C43" s="21" t="s">
        <v>355</v>
      </c>
      <c r="D43" s="276" t="s">
        <v>2162</v>
      </c>
      <c r="E43" s="160" t="str">
        <f>IF($C$18='Auto Responses'!$J$4,'Auto Responses'!$A$3,IF($C43='Auto Responses'!$J$3,VLOOKUP($A43,Questions!$A$2:$X$333,17,0)&amp;"",IF($C43='Auto Responses'!$J$4,VLOOKUP($A43,Questions!$A$2:$X$333,16,0)&amp;"",VLOOKUP($A43,Questions!$A$2:$X$333,15,0)&amp;"")))</f>
        <v>State the length of time that the institution's data will be available in the system at the completion of the contract.</v>
      </c>
      <c r="F43" s="191" t="str">
        <f>VLOOKUP($A43,'Institution Evaluation'!$A$56:$F$345,6,0)&amp;""</f>
        <v/>
      </c>
      <c r="I43" s="35"/>
      <c r="J43" s="35"/>
    </row>
    <row r="44" spans="1:10" s="1" customFormat="1" ht="45" x14ac:dyDescent="0.15">
      <c r="A44" s="19" t="s">
        <v>103</v>
      </c>
      <c r="B44" s="18" t="str">
        <f>VLOOKUP($A44,Questions!$A$2:$X$333,2,0)</f>
        <v>Are ownership rights to all data, inputs, outputs, and metadata retained even through a provider acquisition or bankruptcy event?*</v>
      </c>
      <c r="C44" s="21" t="s">
        <v>355</v>
      </c>
      <c r="D44" s="276" t="s">
        <v>429</v>
      </c>
      <c r="E44" s="160" t="str">
        <f>IF($C$18='Auto Responses'!$J$4,'Auto Responses'!$A$3,IF($C44='Auto Responses'!$J$3,VLOOKUP($A44,Questions!$A$2:$X$333,17,0)&amp;"",IF($C44='Auto Responses'!$J$4,VLOOKUP($A44,Questions!$A$2:$X$333,16,0)&amp;"",VLOOKUP($A44,Questions!$A$2:$X$333,15,0)&amp;"")))</f>
        <v>Provide references, as needed.</v>
      </c>
      <c r="F44" s="191" t="str">
        <f>VLOOKUP($A44,'Institution Evaluation'!$A$56:$F$345,6,0)&amp;""</f>
        <v/>
      </c>
      <c r="I44" s="35"/>
      <c r="J44" s="35"/>
    </row>
    <row r="45" spans="1:10" s="1" customFormat="1" ht="30" x14ac:dyDescent="0.15">
      <c r="A45" s="19" t="s">
        <v>104</v>
      </c>
      <c r="B45" s="18" t="str">
        <f>VLOOKUP($A45,Questions!$A$2:$X$333,2,0)</f>
        <v>Do backups containing the institution's data ever leave the institution's data zone either physically or via network routing?*</v>
      </c>
      <c r="C45" s="21" t="s">
        <v>364</v>
      </c>
      <c r="D45" s="276" t="s">
        <v>2163</v>
      </c>
      <c r="E45" s="160" t="str">
        <f>IF($C$18='Auto Responses'!$J$4,'Auto Responses'!$A$3,IF($C45='Auto Responses'!$J$3,VLOOKUP($A45,Questions!$A$2:$X$333,17,0)&amp;"",IF($C45='Auto Responses'!$J$4,VLOOKUP($A45,Questions!$A$2:$X$333,16,0)&amp;"",VLOOKUP($A45,Questions!$A$2:$X$333,15,0)&amp;"")))</f>
        <v/>
      </c>
      <c r="F45" s="191" t="str">
        <f>VLOOKUP($A45,'Institution Evaluation'!$A$56:$F$345,6,0)&amp;""</f>
        <v/>
      </c>
      <c r="I45" s="35"/>
      <c r="J45" s="35"/>
    </row>
    <row r="46" spans="1:10" s="1" customFormat="1" ht="45" x14ac:dyDescent="0.15">
      <c r="A46" s="19" t="s">
        <v>105</v>
      </c>
      <c r="B46" s="18" t="str">
        <f>VLOOKUP($A46,Questions!$A$2:$X$333,2,0)</f>
        <v>Is media used for long-term retention of business data and archival purposes stored in a secure, environmentally protected area?*</v>
      </c>
      <c r="C46" s="21" t="s">
        <v>364</v>
      </c>
      <c r="D46" s="276" t="s">
        <v>430</v>
      </c>
      <c r="E46" s="160" t="str">
        <f>IF($C$18='Auto Responses'!$J$4,'Auto Responses'!$A$3,IF($C46='Auto Responses'!$J$3,VLOOKUP($A46,Questions!$A$2:$X$333,17,0)&amp;"",IF($C46='Auto Responses'!$J$4,VLOOKUP($A46,Questions!$A$2:$X$333,16,0)&amp;"",VLOOKUP($A46,Questions!$A$2:$X$333,15,0)&amp;"")))</f>
        <v>State plans to store long-term media in environmentally protected areas.</v>
      </c>
      <c r="F46" s="191" t="str">
        <f>VLOOKUP($A46,'Institution Evaluation'!$A$56:$F$345,6,0)&amp;""</f>
        <v/>
      </c>
      <c r="I46" s="35"/>
      <c r="J46" s="35"/>
    </row>
    <row r="47" spans="1:10" s="1" customFormat="1" ht="45" x14ac:dyDescent="0.15">
      <c r="A47" s="19" t="s">
        <v>106</v>
      </c>
      <c r="B47" s="18" t="str">
        <f>VLOOKUP($A47,Questions!$A$2:$X$333,2,0)</f>
        <v>At the completion of this contract, will data be returned to the institution and/or deleted from all your systems and archives?</v>
      </c>
      <c r="C47" s="21" t="s">
        <v>355</v>
      </c>
      <c r="D47" s="276" t="s">
        <v>431</v>
      </c>
      <c r="E47" s="160" t="str">
        <f>IF($C$18='Auto Responses'!$J$4,'Auto Responses'!$A$3,IF($C47='Auto Responses'!$J$3,VLOOKUP($A47,Questions!$A$2:$X$333,17,0)&amp;"",IF($C47='Auto Responses'!$J$4,VLOOKUP($A47,Questions!$A$2:$X$333,16,0)&amp;"",VLOOKUP($A47,Questions!$A$2:$X$333,15,0)&amp;"")))</f>
        <v>State the length of time that the institution's data will be available in the system at the completion of the contract.</v>
      </c>
      <c r="F47" s="191" t="str">
        <f>VLOOKUP($A47,'Institution Evaluation'!$A$56:$F$345,6,0)&amp;""</f>
        <v/>
      </c>
      <c r="I47" s="35"/>
      <c r="J47" s="35"/>
    </row>
    <row r="48" spans="1:10" s="1" customFormat="1" ht="45" x14ac:dyDescent="0.15">
      <c r="A48" s="19" t="s">
        <v>107</v>
      </c>
      <c r="B48" s="18" t="str">
        <f>VLOOKUP($A48,Questions!$A$2:$X$333,2,0)</f>
        <v>Can the institution extract a full or partial backup of data?</v>
      </c>
      <c r="C48" s="21" t="s">
        <v>355</v>
      </c>
      <c r="D48" s="276" t="s">
        <v>432</v>
      </c>
      <c r="E48" s="160" t="str">
        <f>IF($C$18='Auto Responses'!$J$4,'Auto Responses'!$A$3,IF($C48='Auto Responses'!$J$3,VLOOKUP($A48,Questions!$A$2:$X$333,17,0)&amp;"",IF($C48='Auto Responses'!$J$4,VLOOKUP($A48,Questions!$A$2:$X$333,16,0)&amp;"",VLOOKUP($A48,Questions!$A$2:$X$333,15,0)&amp;"")))</f>
        <v>Provide a general summary of how full and partial backups of data can be extracted.</v>
      </c>
      <c r="F48" s="191" t="str">
        <f>VLOOKUP($A48,'Institution Evaluation'!$A$56:$F$345,6,0)&amp;""</f>
        <v/>
      </c>
      <c r="I48" s="35"/>
      <c r="J48" s="35"/>
    </row>
    <row r="49" spans="1:10" s="1" customFormat="1" ht="45" x14ac:dyDescent="0.15">
      <c r="A49" s="19" t="s">
        <v>108</v>
      </c>
      <c r="B49" s="18" t="str">
        <f>VLOOKUP($A49,Questions!$A$2:$X$333,2,0)</f>
        <v>Do current backups include all operating system software, utilities, security software, application software, and data files necessary for recovery?</v>
      </c>
      <c r="C49" s="21" t="s">
        <v>355</v>
      </c>
      <c r="D49" s="276" t="s">
        <v>433</v>
      </c>
      <c r="E49" s="160" t="str">
        <f>IF($C$18='Auto Responses'!$J$4,'Auto Responses'!$A$3,IF($C49='Auto Responses'!$J$3,VLOOKUP($A49,Questions!$A$2:$X$333,17,0)&amp;"",IF($C49='Auto Responses'!$J$4,VLOOKUP($A49,Questions!$A$2:$X$333,16,0)&amp;"",VLOOKUP($A49,Questions!$A$2:$X$333,15,0)&amp;"")))</f>
        <v>Describe your overall strategy to accomplish these elements.</v>
      </c>
      <c r="F49" s="191" t="str">
        <f>VLOOKUP($A49,'Institution Evaluation'!$A$56:$F$345,6,0)&amp;""</f>
        <v/>
      </c>
      <c r="I49" s="35"/>
      <c r="J49" s="35"/>
    </row>
    <row r="50" spans="1:10" s="1" customFormat="1" ht="30" x14ac:dyDescent="0.15">
      <c r="A50" s="19" t="s">
        <v>109</v>
      </c>
      <c r="B50" s="18" t="str">
        <f>VLOOKUP($A50,Questions!$A$2:$X$333,2,0)</f>
        <v>Are you performing off-site backups (i.e., digitally moved off site)?</v>
      </c>
      <c r="C50" s="21" t="s">
        <v>364</v>
      </c>
      <c r="D50" s="276" t="s">
        <v>2163</v>
      </c>
      <c r="E50" s="160" t="str">
        <f>IF($C$18='Auto Responses'!$J$4,'Auto Responses'!$A$3,IF($C50='Auto Responses'!$J$3,VLOOKUP($A50,Questions!$A$2:$X$333,17,0)&amp;"",IF($C50='Auto Responses'!$J$4,VLOOKUP($A50,Questions!$A$2:$X$333,16,0)&amp;"",VLOOKUP($A50,Questions!$A$2:$X$333,15,0)&amp;"")))</f>
        <v>State any plans to implement off-site virtual backups in your environment.</v>
      </c>
      <c r="F50" s="191" t="str">
        <f>VLOOKUP($A50,'Institution Evaluation'!$A$56:$F$345,6,0)&amp;""</f>
        <v/>
      </c>
      <c r="I50" s="35"/>
      <c r="J50" s="35"/>
    </row>
    <row r="51" spans="1:10" s="1" customFormat="1" ht="30" x14ac:dyDescent="0.15">
      <c r="A51" s="19" t="s">
        <v>110</v>
      </c>
      <c r="B51" s="18" t="str">
        <f>VLOOKUP($A51,Questions!$A$2:$X$333,2,0)</f>
        <v>Are physical backups taken off-site (i.e., physically moved off site)?</v>
      </c>
      <c r="C51" s="21" t="s">
        <v>364</v>
      </c>
      <c r="D51" s="276" t="s">
        <v>2164</v>
      </c>
      <c r="E51" s="160" t="str">
        <f>IF($C$18='Auto Responses'!$J$4,'Auto Responses'!$A$3,IF($C$20='Auto Responses'!$J$4,'Auto Responses'!$A$28,IF($C51='Auto Responses'!$J$3,VLOOKUP($A51,Questions!$A$2:$X$333,17,0)&amp;"",IF($C51='Auto Responses'!$J$4,VLOOKUP($A51,Questions!$A$2:$X$333,16,0)&amp;"",VLOOKUP($A51,Questions!$A$2:$X$333,15,0)&amp;""))))</f>
        <v>State any plans to implement off-site physical backups in your environment.</v>
      </c>
      <c r="F51" s="191" t="str">
        <f>VLOOKUP($A51,'Institution Evaluation'!$A$56:$F$345,6,0)&amp;""</f>
        <v/>
      </c>
      <c r="I51" s="35"/>
      <c r="J51" s="35"/>
    </row>
    <row r="52" spans="1:10" s="1" customFormat="1" ht="45" x14ac:dyDescent="0.15">
      <c r="A52" s="19" t="s">
        <v>111</v>
      </c>
      <c r="B52" s="18" t="str">
        <f>VLOOKUP($A52,Questions!$A$2:$X$333,2,0)</f>
        <v>Are data backups encrypted?</v>
      </c>
      <c r="C52" s="21" t="s">
        <v>355</v>
      </c>
      <c r="D52" s="276" t="s">
        <v>434</v>
      </c>
      <c r="E52" s="160" t="str">
        <f>IF($C$18='Auto Responses'!$J$4,'Auto Responses'!$A$3,IF($C52='Auto Responses'!$J$3,VLOOKUP($A52,Questions!$A$2:$X$333,17,0)&amp;"",IF($C52='Auto Responses'!$J$4,VLOOKUP($A52,Questions!$A$2:$X$333,16,0)&amp;"",VLOOKUP($A52,Questions!$A$2:$X$333,15,0)&amp;"")))</f>
        <v>Summarize the encryption algorithm/strategy you are using to secure backups.</v>
      </c>
      <c r="F52" s="191" t="str">
        <f>VLOOKUP($A52,'Institution Evaluation'!$A$56:$F$345,6,0)&amp;""</f>
        <v/>
      </c>
      <c r="I52" s="35"/>
      <c r="J52" s="35"/>
    </row>
    <row r="53" spans="1:10" s="1" customFormat="1" ht="60" x14ac:dyDescent="0.15">
      <c r="A53" s="19" t="s">
        <v>112</v>
      </c>
      <c r="B53" s="18" t="str">
        <f>VLOOKUP($A53,Questions!$A$2:$X$333,2,0)</f>
        <v>Do you have a media handling process that is documented and currently implemented that meets established business needs and regulatory requirements, including end-of-life, repurposing, and data-sanitization procedures?</v>
      </c>
      <c r="C53" s="21" t="s">
        <v>355</v>
      </c>
      <c r="D53" s="276" t="s">
        <v>2165</v>
      </c>
      <c r="E53" s="160" t="str">
        <f>IF($C$18='Auto Responses'!$J$4,'Auto Responses'!$A$3,IF($C53='Auto Responses'!$J$3,VLOOKUP($A53,Questions!$A$2:$X$333,17,0)&amp;"",IF($C53='Auto Responses'!$J$4,VLOOKUP($A53,Questions!$A$2:$X$333,16,0)&amp;"",VLOOKUP($A53,Questions!$A$2:$X$333,15,0)&amp;"")))</f>
        <v>Provide documented details of this process (link or attached).</v>
      </c>
      <c r="F53" s="191" t="str">
        <f>VLOOKUP($A53,'Institution Evaluation'!$A$56:$F$345,6,0)&amp;""</f>
        <v/>
      </c>
      <c r="I53" s="35"/>
      <c r="J53" s="35"/>
    </row>
    <row r="54" spans="1:10" s="1" customFormat="1" ht="30" x14ac:dyDescent="0.15">
      <c r="A54" s="19" t="s">
        <v>113</v>
      </c>
      <c r="B54" s="18" t="str">
        <f>VLOOKUP($A54,Questions!$A$2:$X$333,2,0)</f>
        <v>Does the process described in DATA-15 adhere to DoD 5220.22-M and/or NIST SP 800-88 standards?</v>
      </c>
      <c r="C54" s="21" t="s">
        <v>364</v>
      </c>
      <c r="D54" s="276" t="s">
        <v>2166</v>
      </c>
      <c r="E54" s="160" t="str">
        <f>IF($C$18='Auto Responses'!$J$4,'Auto Responses'!$A$3,IF($C54='Auto Responses'!$J$3,VLOOKUP($A54,Questions!$A$2:$X$333,17,0)&amp;"",IF($C54='Auto Responses'!$J$4,VLOOKUP($A54,Questions!$A$2:$X$333,16,0)&amp;"",VLOOKUP($A54,Questions!$A$2:$X$333,15,0)&amp;"")))</f>
        <v>State plans to adhere to DoD 5220.22-M and/or NIST SP 800-88 standards.</v>
      </c>
      <c r="F54" s="191" t="str">
        <f>VLOOKUP($A54,'Institution Evaluation'!$A$56:$F$345,6,0)&amp;""</f>
        <v/>
      </c>
      <c r="I54" s="35"/>
      <c r="J54" s="35"/>
    </row>
    <row r="55" spans="1:10" s="1" customFormat="1" ht="45" x14ac:dyDescent="0.15">
      <c r="A55" s="19" t="s">
        <v>114</v>
      </c>
      <c r="B55" s="18" t="str">
        <f>VLOOKUP($A55,Questions!$A$2:$X$333,2,0)</f>
        <v>Does your staff (or third party) have access to institutional data (e.g., financial, PHI, or other sensitive information) through any means?</v>
      </c>
      <c r="C55" s="21" t="s">
        <v>2170</v>
      </c>
      <c r="D55" s="276" t="s">
        <v>435</v>
      </c>
      <c r="E55" s="160" t="str">
        <f>IF($C$18='Auto Responses'!$J$4,'Auto Responses'!$A$3,IF($C55='Auto Responses'!$J$3,VLOOKUP($A55,Questions!$A$2:$X$333,17,0)&amp;"",IF($C55='Auto Responses'!$J$4,VLOOKUP($A55,Questions!$A$2:$X$333,16,0)&amp;"",VLOOKUP($A55,Questions!$A$2:$X$333,15,0)&amp;"")))</f>
        <v/>
      </c>
      <c r="F55" s="191" t="str">
        <f>VLOOKUP($A55,'Institution Evaluation'!$A$56:$F$345,6,0)&amp;""</f>
        <v/>
      </c>
      <c r="I55" s="35"/>
      <c r="J55" s="35"/>
    </row>
    <row r="56" spans="1:10" s="1" customFormat="1" ht="45" x14ac:dyDescent="0.15">
      <c r="A56" s="19" t="s">
        <v>115</v>
      </c>
      <c r="B56" s="18" t="str">
        <f>VLOOKUP($A56,Questions!$A$2:$X$333,2,0)</f>
        <v>Do you have a documented and currently implemented strategy for securing employee workstations when they work remotely (i.e., not in a trusted computing environment)?</v>
      </c>
      <c r="C56" s="21" t="s">
        <v>355</v>
      </c>
      <c r="D56" s="276" t="s">
        <v>2167</v>
      </c>
      <c r="E56" s="160" t="str">
        <f>IF($C$18='Auto Responses'!$J$4,'Auto Responses'!$A$3,IF($C56='Auto Responses'!$J$3,VLOOKUP($A56,Questions!$A$2:$X$333,17,0)&amp;"",IF($C56='Auto Responses'!$J$4,VLOOKUP($A56,Questions!$A$2:$X$333,16,0)&amp;"",VLOOKUP($A56,Questions!$A$2:$X$333,15,0)&amp;"")))</f>
        <v>Provide a detailed summary outlining the security controls implemented to protect the institution's data.</v>
      </c>
      <c r="F56" s="191" t="str">
        <f>VLOOKUP($A56,'Institution Evaluation'!$A$56:$F$345,6,0)&amp;""</f>
        <v/>
      </c>
      <c r="I56" s="35"/>
      <c r="J56" s="35"/>
    </row>
    <row r="57" spans="1:10" s="1" customFormat="1" ht="60" x14ac:dyDescent="0.15">
      <c r="A57" s="19" t="s">
        <v>116</v>
      </c>
      <c r="B57" s="18" t="str">
        <f>VLOOKUP($A57,Questions!$A$2:$X$333,2,0)</f>
        <v>Does the environment provide for dedicated single-tenant capabilities? If not, describe how your solution or environment separates data from different customers (e.g., logically, physically, single tenancy, multi-tenancy).</v>
      </c>
      <c r="C57" s="21" t="s">
        <v>364</v>
      </c>
      <c r="D57" s="276" t="s">
        <v>2168</v>
      </c>
      <c r="E57" s="160" t="str">
        <f>IF($C$18='Auto Responses'!$J$4,'Auto Responses'!$A$3,IF($C57='Auto Responses'!$J$3,VLOOKUP($A57,Questions!$A$2:$X$333,17,0)&amp;"",IF($C57='Auto Responses'!$J$4,VLOOKUP($A57,Questions!$A$2:$X$333,16,0)&amp;"",VLOOKUP($A57,Questions!$A$2:$X$333,15,0)&amp;"")))</f>
        <v>Describe your plan to separate institution data from that of other customers.</v>
      </c>
      <c r="F57" s="191" t="str">
        <f>VLOOKUP($A57,'Institution Evaluation'!$A$56:$F$345,6,0)&amp;""</f>
        <v/>
      </c>
      <c r="I57" s="35"/>
      <c r="J57" s="35"/>
    </row>
    <row r="58" spans="1:10" s="1" customFormat="1" ht="30" x14ac:dyDescent="0.15">
      <c r="A58" s="19" t="s">
        <v>117</v>
      </c>
      <c r="B58" s="18" t="str">
        <f>VLOOKUP($A58,Questions!$A$2:$X$333,2,0)</f>
        <v>Are ownership rights to all data, inputs, outputs, and metadata retained by the institution?</v>
      </c>
      <c r="C58" s="21" t="s">
        <v>355</v>
      </c>
      <c r="D58" s="276" t="s">
        <v>436</v>
      </c>
      <c r="E58" s="160" t="str">
        <f>IF($C$18='Auto Responses'!$J$4,'Auto Responses'!$A$3,IF($C58='Auto Responses'!$J$3,VLOOKUP($A58,Questions!$A$2:$X$333,17,0)&amp;"",IF($C58='Auto Responses'!$J$4,VLOOKUP($A58,Questions!$A$2:$X$333,16,0)&amp;"",VLOOKUP($A58,Questions!$A$2:$X$333,15,0)&amp;"")))</f>
        <v>Provide reference to your data ownership documentation.</v>
      </c>
      <c r="F58" s="191" t="str">
        <f>VLOOKUP($A58,'Institution Evaluation'!$A$56:$F$345,6,0)&amp;""</f>
        <v/>
      </c>
      <c r="I58" s="35"/>
      <c r="J58" s="35"/>
    </row>
    <row r="59" spans="1:10" s="1" customFormat="1" ht="45" x14ac:dyDescent="0.15">
      <c r="A59" s="19" t="s">
        <v>118</v>
      </c>
      <c r="B59" s="18" t="str">
        <f>VLOOKUP($A59,Questions!$A$2:$X$333,2,0)</f>
        <v>In the event of imminent bankruptcy, closing of business, or retirement of service, will you provide 90 days for customers to get their data out of the system and migrate applications?</v>
      </c>
      <c r="C59" s="21" t="s">
        <v>355</v>
      </c>
      <c r="D59" s="276" t="s">
        <v>437</v>
      </c>
      <c r="E59" s="160" t="str">
        <f>IF($C$18='Auto Responses'!$J$4,'Auto Responses'!$A$3,IF($C59='Auto Responses'!$J$3,VLOOKUP($A59,Questions!$A$2:$X$333,17,0)&amp;"",IF($C59='Auto Responses'!$J$4,VLOOKUP($A59,Questions!$A$2:$X$333,16,0)&amp;"",VLOOKUP($A59,Questions!$A$2:$X$333,15,0)&amp;"")))</f>
        <v>State how the institution will be notified of imminent termination.</v>
      </c>
      <c r="F59" s="191" t="str">
        <f>VLOOKUP($A59,'Institution Evaluation'!$A$56:$F$345,6,0)&amp;""</f>
        <v/>
      </c>
      <c r="I59" s="35"/>
      <c r="J59" s="35"/>
    </row>
    <row r="60" spans="1:10" s="1" customFormat="1" ht="342" x14ac:dyDescent="0.15">
      <c r="A60" s="19" t="s">
        <v>119</v>
      </c>
      <c r="B60" s="18" t="str">
        <f>VLOOKUP($A60,Questions!$A$2:$X$333,2,0)</f>
        <v>Are involatile backup copies made according to predefined schedules and securely stored and protected?</v>
      </c>
      <c r="C60" s="21" t="s">
        <v>364</v>
      </c>
      <c r="D60" s="276" t="s">
        <v>2169</v>
      </c>
      <c r="E60" s="160" t="str">
        <f>IF($C$18='Auto Responses'!$J$4,'Auto Responses'!$A$3,IF($C60='Auto Responses'!$J$3,VLOOKUP($A60,Questions!$A$2:$X$333,17,0)&amp;"",IF($C60='Auto Responses'!$J$4,VLOOKUP($A60,Questions!$A$2:$X$333,16,0)&amp;"",VLOOKUP($A60,Questions!$A$2:$X$333,15,0)&amp;"")))</f>
        <v>State how the institution's data is protected from system failures and ransomware.</v>
      </c>
      <c r="F60" s="191" t="str">
        <f>VLOOKUP($A60,'Institution Evaluation'!$A$56:$F$345,6,0)&amp;""</f>
        <v/>
      </c>
      <c r="I60" s="35"/>
      <c r="J60" s="35"/>
    </row>
    <row r="61" spans="1:10" s="1" customFormat="1" ht="60" x14ac:dyDescent="0.15">
      <c r="A61" s="19" t="s">
        <v>120</v>
      </c>
      <c r="B61" s="18" t="str">
        <f>VLOOKUP($A61,Questions!$A$2:$X$333,2,0)</f>
        <v>Do you have a cryptographic key management process (generation, exchange, storage, safeguards, use, vetting, and replacement) that is documented and currently implemented, for all system components (e.g., database, system, web, etc.)?</v>
      </c>
      <c r="C61" s="21" t="s">
        <v>355</v>
      </c>
      <c r="D61" s="276" t="s">
        <v>438</v>
      </c>
      <c r="E61" s="160" t="str">
        <f>IF($C$18='Auto Responses'!$J$4,'Auto Responses'!$A$3,IF($C61='Auto Responses'!$J$3,VLOOKUP($A61,Questions!$A$2:$X$333,17,0)&amp;"",IF($C61='Auto Responses'!$J$4,VLOOKUP($A61,Questions!$A$2:$X$333,16,0)&amp;"",VLOOKUP($A61,Questions!$A$2:$X$333,15,0)&amp;"")))</f>
        <v>Summarize your cryptographic key management process.</v>
      </c>
      <c r="F61" s="191" t="str">
        <f>VLOOKUP($A61,'Institution Evaluation'!$A$56:$F$345,6,0)&amp;""</f>
        <v/>
      </c>
      <c r="G61" s="228" t="s">
        <v>361</v>
      </c>
      <c r="I61" s="35"/>
      <c r="J61" s="35"/>
    </row>
    <row r="62" spans="1:10" s="1" customFormat="1" ht="36.75" customHeight="1" x14ac:dyDescent="0.15">
      <c r="A62" s="41" t="s">
        <v>2</v>
      </c>
      <c r="B62" s="241"/>
      <c r="C62" s="242"/>
      <c r="D62" s="243"/>
      <c r="E62" s="244"/>
      <c r="F62" s="23"/>
      <c r="G62" s="228"/>
      <c r="I62" s="35"/>
      <c r="J62" s="35"/>
    </row>
    <row r="63" spans="1:10" s="1" customFormat="1" ht="15" customHeight="1" x14ac:dyDescent="0.15">
      <c r="A63" s="252"/>
      <c r="C63" s="8"/>
      <c r="D63" s="9"/>
      <c r="E63" s="10"/>
      <c r="I63" s="35"/>
      <c r="J63" s="35"/>
    </row>
    <row r="64" spans="1:10" s="1" customFormat="1" ht="15" hidden="1" customHeight="1" x14ac:dyDescent="0.15">
      <c r="A64"/>
      <c r="C64" s="8"/>
      <c r="D64" s="9"/>
      <c r="E64" s="10"/>
      <c r="I64" s="35"/>
      <c r="J64" s="35"/>
    </row>
    <row r="65" spans="1:12" ht="15" hidden="1" customHeight="1" x14ac:dyDescent="0.2">
      <c r="A65" s="1"/>
      <c r="B65" s="8"/>
      <c r="C65" s="68"/>
      <c r="D65" s="10"/>
      <c r="E65" s="1"/>
      <c r="H65" s="35"/>
      <c r="I65" s="1"/>
      <c r="J65" s="1"/>
      <c r="L65"/>
    </row>
    <row r="66" spans="1:12" ht="57" hidden="1" customHeight="1" x14ac:dyDescent="0.2">
      <c r="A66" s="19" t="e">
        <f>#REF!</f>
        <v>#REF!</v>
      </c>
    </row>
    <row r="67" spans="1:12" ht="42.75" hidden="1" customHeight="1" x14ac:dyDescent="0.2">
      <c r="A67" s="19" t="e">
        <f>#REF!</f>
        <v>#REF!</v>
      </c>
    </row>
    <row r="68" spans="1:12" ht="15" hidden="1" customHeight="1" x14ac:dyDescent="0.2">
      <c r="A68" s="19" t="e">
        <f>#REF!</f>
        <v>#REF!</v>
      </c>
    </row>
    <row r="69" spans="1:12" ht="15" hidden="1" customHeight="1" x14ac:dyDescent="0.2">
      <c r="A69" s="19" t="e">
        <f>#REF!</f>
        <v>#REF!</v>
      </c>
    </row>
    <row r="70" spans="1:12" ht="15" hidden="1" customHeight="1" x14ac:dyDescent="0.2">
      <c r="A70" s="19" t="e">
        <f>#REF!</f>
        <v>#REF!</v>
      </c>
    </row>
    <row r="71" spans="1:12" ht="15" hidden="1" customHeight="1" x14ac:dyDescent="0.2">
      <c r="A71" s="19" t="e">
        <f>#REF!</f>
        <v>#REF!</v>
      </c>
    </row>
    <row r="72" spans="1:12" ht="15" hidden="1" customHeight="1" x14ac:dyDescent="0.2">
      <c r="A72" s="19" t="e">
        <f>#REF!</f>
        <v>#REF!</v>
      </c>
    </row>
    <row r="73" spans="1:12" ht="15" hidden="1" customHeight="1" x14ac:dyDescent="0.2"/>
    <row r="74" spans="1:12" ht="15" hidden="1" customHeight="1" x14ac:dyDescent="0.2"/>
    <row r="75" spans="1:12" ht="15" hidden="1" customHeight="1" x14ac:dyDescent="0.2"/>
    <row r="76" spans="1:12" ht="15" hidden="1" customHeight="1" x14ac:dyDescent="0.2"/>
    <row r="77" spans="1:12" ht="15" hidden="1" customHeight="1" x14ac:dyDescent="0.2"/>
    <row r="78" spans="1:12" ht="15" hidden="1" customHeight="1" x14ac:dyDescent="0.2"/>
    <row r="79" spans="1:12" ht="15" hidden="1" customHeight="1" x14ac:dyDescent="0.2"/>
    <row r="80" spans="1:12" ht="15" hidden="1" customHeight="1" x14ac:dyDescent="0.2"/>
    <row r="81" ht="15" hidden="1" customHeight="1" x14ac:dyDescent="0.2"/>
    <row r="82" ht="15" hidden="1" customHeight="1" x14ac:dyDescent="0.2"/>
    <row r="83" ht="15" hidden="1" customHeight="1" x14ac:dyDescent="0.2"/>
    <row r="84" ht="15" hidden="1" customHeight="1" x14ac:dyDescent="0.2"/>
    <row r="85" ht="15" hidden="1" customHeight="1" x14ac:dyDescent="0.2"/>
  </sheetData>
  <dataValidations count="2">
    <dataValidation allowBlank="1" showInputMessage="1" showErrorMessage="1" promptTitle="Warning!" prompt="The HECVAT is built using a number of complex formulas. Editing this cell can break the functionality of the tool. " sqref="A1 A3:A62 B1:B62 C2 C4:C12 C17:D17 C19:D19 C38:D38 D2:F16 E17:F61" xr:uid="{00000000-0002-0000-0200-000000000000}"/>
    <dataValidation allowBlank="1" showInputMessage="1" showErrorMessage="1" prompt="This answer has been populated from the &quot;START HERE&quot; tab and does not need to be re-entered." sqref="C3 C13:C16 C18" xr:uid="{00000000-0002-0000-0200-000001000000}"/>
  </dataValidations>
  <hyperlinks>
    <hyperlink ref="A11" r:id="rId1" display="http://www.educause.edu/HECVAT" xr:uid="{00000000-0004-0000-0200-000000000000}"/>
  </hyperlinks>
  <pageMargins left="0.75" right="0.75" top="1" bottom="1" header="0.5" footer="0.5"/>
  <pageSetup orientation="landscape"/>
  <headerFooter>
    <oddFooter>&amp;L&amp;"Helvetica,Regular"&amp;12 &amp;K000000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36C"/>
  </sheetPr>
  <dimension ref="A1:L84"/>
  <sheetViews>
    <sheetView showGridLines="0" showZeros="0" topLeftCell="A54" zoomScale="120" zoomScaleNormal="120" workbookViewId="0">
      <selection activeCell="B22" sqref="B22"/>
    </sheetView>
  </sheetViews>
  <sheetFormatPr baseColWidth="10" defaultColWidth="0" defaultRowHeight="0" customHeight="1" zeroHeight="1" x14ac:dyDescent="0.15"/>
  <cols>
    <col min="1" max="1" width="8.25" style="23" customWidth="1"/>
    <col min="2" max="2" width="55.125" style="1" customWidth="1"/>
    <col min="3" max="3" width="18.875" style="8" customWidth="1"/>
    <col min="4" max="4" width="55.75" style="9" customWidth="1"/>
    <col min="5" max="5" width="32" style="10" customWidth="1"/>
    <col min="6" max="6" width="30.75" style="1" customWidth="1"/>
    <col min="7" max="7" width="18.125" style="1" customWidth="1"/>
    <col min="8" max="8" width="18.125" style="1" hidden="1" customWidth="1"/>
    <col min="9" max="10" width="18.125" style="35" hidden="1" customWidth="1"/>
    <col min="11" max="11" width="4.5" style="1" hidden="1" customWidth="1"/>
    <col min="12" max="12" width="6.625" style="1" hidden="1" customWidth="1"/>
    <col min="13" max="13" width="6.625" style="23" hidden="1" customWidth="1"/>
    <col min="14" max="16384" width="6.625" style="23" hidden="1"/>
  </cols>
  <sheetData>
    <row r="1" spans="1:10" ht="0" hidden="1" customHeight="1" x14ac:dyDescent="0.15">
      <c r="A1" s="23" t="s">
        <v>346</v>
      </c>
    </row>
    <row r="2" spans="1:10" ht="36" customHeight="1" x14ac:dyDescent="0.15">
      <c r="A2" s="161" t="s">
        <v>439</v>
      </c>
      <c r="B2" s="161"/>
      <c r="C2" s="162"/>
      <c r="D2" s="271"/>
      <c r="E2" s="163"/>
      <c r="F2" s="163" t="str">
        <f>'Auto Responses'!$A$36</f>
        <v>Version 4.1.5</v>
      </c>
      <c r="J2" s="1"/>
    </row>
    <row r="3" spans="1:10" s="1" customFormat="1" ht="29" customHeight="1" x14ac:dyDescent="0.15">
      <c r="A3" s="37" t="s">
        <v>348</v>
      </c>
      <c r="B3" s="38"/>
      <c r="C3" s="64" t="str">
        <f>'START HERE'!$C$3</f>
        <v>2025-04-08</v>
      </c>
      <c r="D3" s="272"/>
      <c r="E3" s="36"/>
      <c r="F3" s="50"/>
      <c r="I3" s="35"/>
    </row>
    <row r="4" spans="1:10" s="1" customFormat="1" ht="36" customHeight="1" x14ac:dyDescent="0.15">
      <c r="A4" s="11" t="s">
        <v>350</v>
      </c>
      <c r="B4" s="12"/>
      <c r="C4" s="13"/>
      <c r="D4" s="14"/>
      <c r="E4" s="15"/>
      <c r="F4" s="15"/>
      <c r="I4" s="35"/>
    </row>
    <row r="5" spans="1:10" s="1" customFormat="1" ht="19.5" customHeight="1" x14ac:dyDescent="0.15">
      <c r="A5" s="42" t="str">
        <f>HLOOKUP($A$4,'Auto Responses'!$D$2:$D$8,2,0)&amp;""</f>
        <v>1. Complete the "Start Here" tab and review the "Required Questions" guidance to find the other sections are required for your product or service.</v>
      </c>
      <c r="B5" s="16"/>
      <c r="C5" s="65"/>
      <c r="D5" s="273"/>
      <c r="E5" s="16"/>
      <c r="F5" s="247"/>
      <c r="I5" s="35"/>
    </row>
    <row r="6" spans="1:10" s="1" customFormat="1" ht="19.5" customHeight="1" x14ac:dyDescent="0.15">
      <c r="A6" s="42" t="str">
        <f>HLOOKUP($A$4,'Auto Responses'!$D$2:$D$8,3,0)&amp;""</f>
        <v>2. Complete the "Organization" tab and the applicable questions in each of the next 5 tabs (Product through Privacy) that apply, based on your answers to the "Required Questions."</v>
      </c>
      <c r="B6" s="16"/>
      <c r="C6" s="65"/>
      <c r="D6" s="273"/>
      <c r="E6" s="16"/>
      <c r="F6" s="248"/>
      <c r="I6" s="35"/>
    </row>
    <row r="7" spans="1:10" s="1" customFormat="1" ht="19.5" customHeight="1" x14ac:dyDescent="0.15">
      <c r="A7" s="42" t="str">
        <f>HLOOKUP($A$4,'Auto Responses'!$D$2:$D$8,4,0)&amp;""</f>
        <v xml:space="preserve">3. Guidance in column E may change based on your answers to prompt details in "Additional Information." If leaving an answer blank, you must also state why in "Additional Information". </v>
      </c>
      <c r="B7" s="16"/>
      <c r="C7" s="65"/>
      <c r="D7" s="273"/>
      <c r="E7" s="16"/>
      <c r="F7" s="248"/>
      <c r="I7" s="35"/>
    </row>
    <row r="8" spans="1:10" s="1" customFormat="1" ht="19.5" customHeight="1" x14ac:dyDescent="0.15">
      <c r="A8" s="42" t="str">
        <f>HLOOKUP($A$4,'Auto Responses'!$D$2:$D$8,5,0)&amp;""</f>
        <v>4. DO NOT complete any fields in the "Evaluation" sheets or the "Analyst Notes" column.</v>
      </c>
      <c r="B8" s="16"/>
      <c r="C8" s="65"/>
      <c r="D8" s="273"/>
      <c r="E8" s="16"/>
      <c r="F8" s="248"/>
      <c r="I8" s="35"/>
    </row>
    <row r="9" spans="1:10" s="1" customFormat="1" ht="19.5" customHeight="1" x14ac:dyDescent="0.15">
      <c r="A9" s="42" t="str">
        <f>HLOOKUP($A$4,'Auto Responses'!$D$2:$D$8,6,0)&amp;""</f>
        <v>5. Return the completed file to institutions.</v>
      </c>
      <c r="B9" s="16"/>
      <c r="C9" s="65"/>
      <c r="D9" s="273"/>
      <c r="E9" s="16"/>
      <c r="F9" s="248"/>
      <c r="I9" s="35"/>
    </row>
    <row r="10" spans="1:10" s="1" customFormat="1" ht="19.5" customHeight="1" x14ac:dyDescent="0.15">
      <c r="A10" s="235" t="str">
        <f>HLOOKUP($A$4,'Auto Responses'!$D$2:$D$8,7,0)&amp;""</f>
        <v>* Denotes critical questions. Critical questions are those deemed most important to institutions by higher education volunteers.</v>
      </c>
      <c r="B10" s="16"/>
      <c r="C10" s="65"/>
      <c r="D10" s="273"/>
      <c r="E10" s="16"/>
      <c r="F10" s="248"/>
      <c r="I10" s="35"/>
    </row>
    <row r="11" spans="1:10" s="1" customFormat="1" ht="19.5" customHeight="1" x14ac:dyDescent="0.15">
      <c r="A11" s="234" t="str">
        <f>HLOOKUP($A$4,'Auto Responses'!$D$2:$D$9,8,0)&amp;""</f>
        <v>For full instructions, please visit educause.edu/HECVAT</v>
      </c>
      <c r="B11" s="16"/>
      <c r="C11" s="65"/>
      <c r="D11" s="273"/>
      <c r="E11" s="16"/>
      <c r="F11" s="249"/>
      <c r="I11" s="35"/>
    </row>
    <row r="12" spans="1:10" s="1" customFormat="1" ht="36" customHeight="1" x14ac:dyDescent="0.15">
      <c r="A12" s="61" t="str">
        <f>VLOOKUP(LEFT($A13,4),'Auto Responses'!$N$4:$O$38,2,0)&amp;""</f>
        <v xml:space="preserve"> General Information</v>
      </c>
      <c r="B12" s="12"/>
      <c r="C12" s="13" t="s">
        <v>351</v>
      </c>
      <c r="D12" s="274"/>
      <c r="E12" s="17"/>
      <c r="F12" s="17"/>
      <c r="I12" s="35"/>
      <c r="J12" s="35"/>
    </row>
    <row r="13" spans="1:10" s="1" customFormat="1" ht="22.25" customHeight="1" x14ac:dyDescent="0.15">
      <c r="A13" s="19" t="s">
        <v>7</v>
      </c>
      <c r="B13" s="20" t="str">
        <f>VLOOKUP($A13,Questions!$A$2:$X$333,2,0)&amp;""</f>
        <v>Solution Provider Name</v>
      </c>
      <c r="C13" s="72" t="str">
        <f ca="1">VLOOKUP($A13,'START HERE'!$A$13:$C$21,3,0)&amp;""</f>
        <v>Accredible (EdInvent Inc. d.b.a. Accredible)</v>
      </c>
      <c r="D13" s="32"/>
      <c r="E13" s="32"/>
      <c r="F13" s="50"/>
      <c r="I13" s="35"/>
      <c r="J13" s="35"/>
    </row>
    <row r="14" spans="1:10" s="1" customFormat="1" ht="22.25" customHeight="1" x14ac:dyDescent="0.15">
      <c r="A14" s="19" t="s">
        <v>8</v>
      </c>
      <c r="B14" s="20" t="str">
        <f>VLOOKUP($A14,Questions!$A$2:$X$333,2,0)&amp;""</f>
        <v>Solution Name</v>
      </c>
      <c r="C14" s="72" t="str">
        <f ca="1">VLOOKUP($A14,'START HERE'!$A$13:$C$21,3,0)&amp;""</f>
        <v>Accredible Digital Credentialing Platform</v>
      </c>
      <c r="D14" s="32"/>
      <c r="E14" s="32"/>
      <c r="F14" s="50"/>
      <c r="I14" s="35"/>
      <c r="J14" s="35"/>
    </row>
    <row r="15" spans="1:10" s="1" customFormat="1" ht="22.25" customHeight="1" x14ac:dyDescent="0.15">
      <c r="A15" s="19" t="s">
        <v>9</v>
      </c>
      <c r="B15" s="20" t="str">
        <f>VLOOKUP($A15,Questions!$A$2:$X$333,2,0)&amp;""</f>
        <v>Solution Description</v>
      </c>
      <c r="C15" s="72" t="str">
        <f ca="1">VLOOKUP($A15,'START HERE'!$A$13:$C$21,3,0)&amp;""</f>
        <v>Accredible is a cloud-hosted, multi-tenant Software as a Service (SaaS) digital credentialing platform that enables organizations to design, issue, manage, and verify digital credentials including certificates and badges.</v>
      </c>
      <c r="D15" s="32"/>
      <c r="E15" s="32"/>
      <c r="F15" s="50"/>
      <c r="I15" s="35"/>
      <c r="J15" s="35"/>
    </row>
    <row r="16" spans="1:10" s="1" customFormat="1" ht="22.25" customHeight="1" thickBot="1" x14ac:dyDescent="0.2">
      <c r="A16" s="19" t="s">
        <v>14</v>
      </c>
      <c r="B16" s="20" t="str">
        <f>VLOOKUP($A16,Questions!$A$2:$X$333,2,0)&amp;""</f>
        <v>Country of Company Headquarters</v>
      </c>
      <c r="C16" s="72" t="str">
        <f ca="1">VLOOKUP($A16,'START HERE'!$A$13:$C$21,3,0)&amp;""</f>
        <v>United States</v>
      </c>
      <c r="D16" s="32"/>
      <c r="E16" s="32"/>
      <c r="F16" s="50"/>
      <c r="I16" s="35"/>
      <c r="J16" s="35"/>
    </row>
    <row r="17" spans="1:10" s="1" customFormat="1" ht="37.25" customHeight="1" thickBot="1" x14ac:dyDescent="0.2">
      <c r="A17" s="61" t="str">
        <f>VLOOKUP(LEFT($A18,4),'Auto Responses'!$N$4:$O$38,2,0)&amp;""</f>
        <v xml:space="preserve"> Required Questions</v>
      </c>
      <c r="B17" s="22"/>
      <c r="C17" s="13" t="s">
        <v>351</v>
      </c>
      <c r="D17" s="13"/>
      <c r="E17" s="31" t="s">
        <v>353</v>
      </c>
      <c r="F17" s="178" t="s">
        <v>354</v>
      </c>
      <c r="I17" s="35"/>
      <c r="J17" s="35"/>
    </row>
    <row r="18" spans="1:10" s="1" customFormat="1" ht="43.5" customHeight="1" thickBot="1" x14ac:dyDescent="0.2">
      <c r="A18" s="19" t="s">
        <v>23</v>
      </c>
      <c r="B18" s="18" t="str">
        <f>VLOOKUP($A18,Questions!$A$2:$X$333,2,0)</f>
        <v>Are you offering a cloud-based product?</v>
      </c>
      <c r="C18" s="70" t="str">
        <f>VLOOKUP($A18,'START HERE'!$A$23:$F$36,3,0)&amp;""</f>
        <v>Yes</v>
      </c>
      <c r="D18" s="277" t="str">
        <f>VLOOKUP($A18,'START HERE'!$A$23:$F$36,4,0)&amp;""</f>
        <v>Accredible is a cloud-based SaaS product hosted on Amazon Web Services.</v>
      </c>
      <c r="E18" s="160" t="str">
        <f>IF($C18='Auto Responses'!$J$3,VLOOKUP($A18,Questions!$A$2:$X$333,17,0)&amp;"",IF($C18='Auto Responses'!$J$4,VLOOKUP($A18,Questions!$A$2:$X$333,16,0)&amp;"",VLOOKUP($A18,Questions!$A$2:$X$333,15,0)&amp;""))</f>
        <v>DO complete the Product and Infrastructure worksheets</v>
      </c>
      <c r="F18" s="191" t="str">
        <f>VLOOKUP($A18,'Institution Evaluation'!$A$56:$F$345,6,0)&amp;""</f>
        <v/>
      </c>
      <c r="G18" s="228" t="s">
        <v>361</v>
      </c>
      <c r="I18" s="35"/>
      <c r="J18" s="35"/>
    </row>
    <row r="19" spans="1:10" s="1" customFormat="1" ht="37.25" customHeight="1" thickBot="1" x14ac:dyDescent="0.2">
      <c r="A19" s="61" t="str">
        <f>VLOOKUP(LEFT($A20,4),'Auto Responses'!$N$4:$O$38,2,0)&amp;""</f>
        <v xml:space="preserve"> Application/Service Security</v>
      </c>
      <c r="B19" s="22"/>
      <c r="C19" s="13" t="s">
        <v>351</v>
      </c>
      <c r="D19" s="13" t="s">
        <v>352</v>
      </c>
      <c r="E19" s="31" t="s">
        <v>353</v>
      </c>
      <c r="F19" s="178" t="s">
        <v>354</v>
      </c>
      <c r="I19" s="35"/>
      <c r="J19" s="35"/>
    </row>
    <row r="20" spans="1:10" s="1" customFormat="1" ht="45" x14ac:dyDescent="0.15">
      <c r="A20" s="19" t="s">
        <v>121</v>
      </c>
      <c r="B20" s="18" t="str">
        <f>VLOOKUP($A20,Questions!$A$2:$X$333,2,0)</f>
        <v>Are access controls for institutional accounts based on structured rules, such as role-based access control (RBAC), attribute-based access control (ABAC), or policy-based access control (PBAC)?*</v>
      </c>
      <c r="C20" s="21" t="s">
        <v>355</v>
      </c>
      <c r="D20" s="278" t="s">
        <v>440</v>
      </c>
      <c r="E20" s="160" t="str">
        <f>IF($C$18='Auto Responses'!$J$4,'Auto Responses'!$A$3,IF($C20='Auto Responses'!$J$3,VLOOKUP($A20,Questions!$A$2:$X$333,17,0)&amp;"",IF($C20='Auto Responses'!$J$4,VLOOKUP($A20,Questions!$A$2:$X$333,16,0)&amp;"",VLOOKUP($A20,Questions!$A$2:$X$333,15,0)&amp;"")))</f>
        <v>Describe available roles.</v>
      </c>
      <c r="F20" s="191" t="str">
        <f>VLOOKUP($A20,'Institution Evaluation'!$A$56:$F$345,6,0)&amp;""</f>
        <v/>
      </c>
      <c r="I20" s="35"/>
      <c r="J20" s="35"/>
    </row>
    <row r="21" spans="1:10" s="1" customFormat="1" ht="30" x14ac:dyDescent="0.15">
      <c r="A21" s="19" t="s">
        <v>122</v>
      </c>
      <c r="B21" s="18" t="str">
        <f>VLOOKUP($A21,Questions!$A$2:$X$333,2,0)</f>
        <v>Are you using a web application firewall (WAF)?*</v>
      </c>
      <c r="C21" s="21" t="s">
        <v>355</v>
      </c>
      <c r="D21" s="278" t="s">
        <v>441</v>
      </c>
      <c r="E21" s="160" t="str">
        <f>IF($C$18='Auto Responses'!$J$4,'Auto Responses'!$A$3,IF($C21='Auto Responses'!$J$3,VLOOKUP($A21,Questions!$A$2:$X$333,17,0)&amp;"",IF($C21='Auto Responses'!$J$4,VLOOKUP($A21,Questions!$A$2:$X$333,16,0)&amp;"",VLOOKUP($A21,Questions!$A$2:$X$333,15,0)&amp;"")))</f>
        <v>Describe the currently implemented WAF.</v>
      </c>
      <c r="F21" s="191" t="str">
        <f>VLOOKUP($A21,'Institution Evaluation'!$A$56:$F$345,6,0)&amp;""</f>
        <v/>
      </c>
      <c r="I21" s="35"/>
      <c r="J21" s="35"/>
    </row>
    <row r="22" spans="1:10" s="1" customFormat="1" ht="45" x14ac:dyDescent="0.15">
      <c r="A22" s="19" t="s">
        <v>123</v>
      </c>
      <c r="B22" s="18" t="str">
        <f>VLOOKUP($A22,Questions!$A$2:$X$333,2,0)</f>
        <v>Are only currently supported operating system(s), software, and libraries leveraged by the system(s)/application(s) that will have access to institution's data?*</v>
      </c>
      <c r="C22" s="21" t="s">
        <v>355</v>
      </c>
      <c r="D22" s="278" t="s">
        <v>442</v>
      </c>
      <c r="E22" s="160" t="str">
        <f>IF($C$18='Auto Responses'!$J$4,'Auto Responses'!$A$3,IF($C22='Auto Responses'!$J$3,VLOOKUP($A22,Questions!$A$2:$X$333,17,0)&amp;"",IF($C22='Auto Responses'!$J$4,VLOOKUP($A22,Questions!$A$2:$X$333,16,0)&amp;"",VLOOKUP($A22,Questions!$A$2:$X$333,15,0)&amp;"")))</f>
        <v>Please provide a list of all required dependencies.</v>
      </c>
      <c r="F22" s="191" t="str">
        <f>VLOOKUP($A22,'Institution Evaluation'!$A$56:$F$345,6,0)&amp;""</f>
        <v/>
      </c>
      <c r="I22" s="35"/>
      <c r="J22" s="35"/>
    </row>
    <row r="23" spans="1:10" s="1" customFormat="1" ht="30" x14ac:dyDescent="0.15">
      <c r="A23" s="19" t="s">
        <v>124</v>
      </c>
      <c r="B23" s="18" t="str">
        <f>VLOOKUP($A23,Questions!$A$2:$X$333,2,0)</f>
        <v>Does your application require access to location or GPS data?*</v>
      </c>
      <c r="C23" s="21" t="s">
        <v>364</v>
      </c>
      <c r="D23" s="278" t="s">
        <v>443</v>
      </c>
      <c r="E23" s="160" t="str">
        <f>IF($C$18='Auto Responses'!$J$4,'Auto Responses'!$A$3,IF($C23='Auto Responses'!$J$3,VLOOKUP($A23,Questions!$A$2:$X$333,17,0)&amp;"",IF($C23='Auto Responses'!$J$4,VLOOKUP($A23,Questions!$A$2:$X$333,16,0)&amp;"",VLOOKUP($A23,Questions!$A$2:$X$333,15,0)&amp;"")))</f>
        <v>Please indicate any future plans that would require access to this data</v>
      </c>
      <c r="F23" s="191" t="str">
        <f>VLOOKUP($A23,'Institution Evaluation'!$A$56:$F$345,6,0)&amp;""</f>
        <v/>
      </c>
      <c r="I23" s="35"/>
      <c r="J23" s="35"/>
    </row>
    <row r="24" spans="1:10" s="1" customFormat="1" ht="75" x14ac:dyDescent="0.15">
      <c r="A24" s="19" t="s">
        <v>125</v>
      </c>
      <c r="B24" s="18" t="str">
        <f>VLOOKUP($A24,Questions!$A$2:$X$333,2,0)</f>
        <v>Does your application provide separation of duties between security administration, system administration, and standard user functions?*</v>
      </c>
      <c r="C24" s="21" t="s">
        <v>355</v>
      </c>
      <c r="D24" s="278" t="s">
        <v>444</v>
      </c>
      <c r="E24" s="160" t="str">
        <f>IF($C$18='Auto Responses'!$J$4,'Auto Responses'!$A$3,IF($C24='Auto Responses'!$J$3,VLOOKUP($A24,Questions!$A$2:$X$333,17,0)&amp;"",IF($C24='Auto Responses'!$J$4,VLOOKUP($A24,Questions!$A$2:$X$333,16,0)&amp;"",VLOOKUP($A24,Questions!$A$2:$X$333,15,0)&amp;"")))</f>
        <v>Describe or provide a reference to the facilities available in the system to provide separation of duties between security administration and system administration functions.</v>
      </c>
      <c r="F24" s="191" t="str">
        <f>VLOOKUP($A24,'Institution Evaluation'!$A$56:$F$345,6,0)&amp;""</f>
        <v/>
      </c>
      <c r="I24" s="35"/>
      <c r="J24" s="35"/>
    </row>
    <row r="25" spans="1:10" s="1" customFormat="1" ht="45" x14ac:dyDescent="0.15">
      <c r="A25" s="19" t="s">
        <v>126</v>
      </c>
      <c r="B25" s="18" t="str">
        <f>VLOOKUP($A25,Questions!$A$2:$X$333,2,0)</f>
        <v>Do you subject your code to static code analysis and/or static application security testing prior to release?*</v>
      </c>
      <c r="C25" s="21" t="s">
        <v>355</v>
      </c>
      <c r="D25" s="278" t="s">
        <v>445</v>
      </c>
      <c r="E25" s="160" t="str">
        <f>IF($C$18='Auto Responses'!$J$4,'Auto Responses'!$A$3,IF($C25='Auto Responses'!$J$3,VLOOKUP($A25,Questions!$A$2:$X$333,17,0)&amp;"",IF($C25='Auto Responses'!$J$4,VLOOKUP($A25,Questions!$A$2:$X$333,16,0)&amp;"",VLOOKUP($A25,Questions!$A$2:$X$333,15,0)&amp;"")))</f>
        <v>Provide a list of all tools utilized during static code analysis or static application security testing.</v>
      </c>
      <c r="F25" s="191" t="str">
        <f>VLOOKUP($A25,'Institution Evaluation'!$A$56:$F$345,6,0)&amp;""</f>
        <v/>
      </c>
      <c r="I25" s="35"/>
      <c r="J25" s="35"/>
    </row>
    <row r="26" spans="1:10" s="1" customFormat="1" ht="75" x14ac:dyDescent="0.15">
      <c r="A26" s="19" t="s">
        <v>127</v>
      </c>
      <c r="B26" s="18" t="str">
        <f>VLOOKUP($A26,Questions!$A$2:$X$333,2,0)</f>
        <v>Do you have software testing processes (dynamic or static) that are established and followed?*</v>
      </c>
      <c r="C26" s="21" t="s">
        <v>355</v>
      </c>
      <c r="D26" s="278" t="s">
        <v>446</v>
      </c>
      <c r="E26" s="160" t="str">
        <f>IF($C$18='Auto Responses'!$J$4,'Auto Responses'!$A$3,IF($C26='Auto Responses'!$J$3,VLOOKUP($A26,Questions!$A$2:$X$333,17,0)&amp;"",IF($C26='Auto Responses'!$J$4,VLOOKUP($A26,Questions!$A$2:$X$333,16,0)&amp;"",VLOOKUP($A26,Questions!$A$2:$X$333,15,0)&amp;"")))</f>
        <v>Describe testing processes, including but not limited to, development of test plans, personnel involved in the testing process, and authorized individual accountable for approval and certification of test results.</v>
      </c>
      <c r="F26" s="191" t="str">
        <f>VLOOKUP($A26,'Institution Evaluation'!$A$56:$F$345,6,0)&amp;""</f>
        <v/>
      </c>
      <c r="I26" s="35"/>
      <c r="J26" s="35"/>
    </row>
    <row r="27" spans="1:10" s="1" customFormat="1" ht="90" x14ac:dyDescent="0.15">
      <c r="A27" s="19" t="s">
        <v>128</v>
      </c>
      <c r="B27" s="18" t="str">
        <f>VLOOKUP($A27,Questions!$A$2:$X$333,2,0)</f>
        <v>Are access controls for staff within your organization based on structured rules, such as RBAC, ABAC, or PBAC?</v>
      </c>
      <c r="C27" s="21" t="s">
        <v>355</v>
      </c>
      <c r="D27" s="278" t="s">
        <v>447</v>
      </c>
      <c r="E27" s="160" t="str">
        <f>IF($C$18='Auto Responses'!$J$4,'Auto Responses'!$A$3,IF($C27='Auto Responses'!$J$3,VLOOKUP($A27,Questions!$A$2:$X$333,17,0)&amp;"",IF($C27='Auto Responses'!$J$4,VLOOKUP($A27,Questions!$A$2:$X$333,16,0)&amp;"",VLOOKUP($A27,Questions!$A$2:$X$333,15,0)&amp;"")))</f>
        <v>This includes system administrators and third-party personnel with access to the system. PBAC would include various dynamic controls such as conditional access, risk-based access, location-based access, or system activity–based access.</v>
      </c>
      <c r="F27" s="191" t="str">
        <f>VLOOKUP($A27,'Institution Evaluation'!$A$56:$F$345,6,0)&amp;""</f>
        <v/>
      </c>
      <c r="I27" s="35"/>
      <c r="J27" s="35"/>
    </row>
    <row r="28" spans="1:10" s="1" customFormat="1" ht="30" x14ac:dyDescent="0.15">
      <c r="A28" s="19" t="s">
        <v>129</v>
      </c>
      <c r="B28" s="18" t="str">
        <f>VLOOKUP($A28,Questions!$A$2:$X$333,2,0)</f>
        <v>Does the system provide data input validation and error messages?</v>
      </c>
      <c r="C28" s="21" t="s">
        <v>355</v>
      </c>
      <c r="D28" s="278" t="s">
        <v>448</v>
      </c>
      <c r="E28" s="160" t="str">
        <f>IF($C$18='Auto Responses'!$J$4,'Auto Responses'!$A$3,IF($C28='Auto Responses'!$J$3,VLOOKUP($A28,Questions!$A$2:$X$333,17,0)&amp;"",IF($C28='Auto Responses'!$J$4,VLOOKUP($A28,Questions!$A$2:$X$333,16,0)&amp;"",VLOOKUP($A28,Questions!$A$2:$X$333,15,0)&amp;"")))</f>
        <v>Describe how your system(s) provide data input validation and error messages.</v>
      </c>
      <c r="F28" s="191" t="str">
        <f>VLOOKUP($A28,'Institution Evaluation'!$A$56:$F$345,6,0)&amp;""</f>
        <v/>
      </c>
      <c r="I28" s="35"/>
      <c r="J28" s="35"/>
    </row>
    <row r="29" spans="1:10" s="1" customFormat="1" ht="45" x14ac:dyDescent="0.15">
      <c r="A29" s="19" t="s">
        <v>130</v>
      </c>
      <c r="B29" s="18" t="str">
        <f>VLOOKUP($A29,Questions!$A$2:$X$333,2,0)</f>
        <v>Do you have a process and implemented procedures for managing your software supply chain (e.g., libraries, repositories, frameworks, etc.)?</v>
      </c>
      <c r="C29" s="21" t="s">
        <v>355</v>
      </c>
      <c r="D29" s="278" t="s">
        <v>449</v>
      </c>
      <c r="E29" s="160" t="str">
        <f>IF($C$18='Auto Responses'!$J$4,'Auto Responses'!$A$3,IF($C29='Auto Responses'!$J$3,VLOOKUP($A29,Questions!$A$2:$X$333,17,0)&amp;"",IF($C29='Auto Responses'!$J$4,VLOOKUP($A29,Questions!$A$2:$X$333,16,0)&amp;"",VLOOKUP($A29,Questions!$A$2:$X$333,15,0)&amp;"")))</f>
        <v>Provide supporting documentation of your processes.</v>
      </c>
      <c r="F29" s="191" t="str">
        <f>VLOOKUP($A29,'Institution Evaluation'!$A$56:$F$345,6,0)&amp;""</f>
        <v/>
      </c>
      <c r="I29" s="35"/>
      <c r="J29" s="35"/>
    </row>
    <row r="30" spans="1:10" s="1" customFormat="1" ht="30" x14ac:dyDescent="0.15">
      <c r="A30" s="19" t="s">
        <v>131</v>
      </c>
      <c r="B30" s="18" t="str">
        <f>VLOOKUP($A30,Questions!$A$2:$X$333,2,0)</f>
        <v>Have your developers been trained in secure coding techniques?</v>
      </c>
      <c r="C30" s="21" t="s">
        <v>355</v>
      </c>
      <c r="D30" s="278" t="s">
        <v>450</v>
      </c>
      <c r="E30" s="160" t="str">
        <f>IF($C$18='Auto Responses'!$J$4,'Auto Responses'!$A$3,IF($C30='Auto Responses'!$J$3,VLOOKUP($A30,Questions!$A$2:$X$333,17,0)&amp;"",IF($C30='Auto Responses'!$J$4,VLOOKUP($A30,Questions!$A$2:$X$333,16,0)&amp;"",VLOOKUP($A30,Questions!$A$2:$X$333,15,0)&amp;"")))</f>
        <v>Summarize your secure coding training.</v>
      </c>
      <c r="F30" s="191" t="str">
        <f>VLOOKUP($A30,'Institution Evaluation'!$A$56:$F$345,6,0)&amp;""</f>
        <v/>
      </c>
      <c r="I30" s="35"/>
      <c r="J30" s="35"/>
    </row>
    <row r="31" spans="1:10" s="1" customFormat="1" ht="30" x14ac:dyDescent="0.15">
      <c r="A31" s="19" t="s">
        <v>132</v>
      </c>
      <c r="B31" s="18" t="str">
        <f>VLOOKUP($A31,Questions!$A$2:$X$333,2,0)</f>
        <v>Was your application developed using secure coding techniques?</v>
      </c>
      <c r="C31" s="21" t="s">
        <v>355</v>
      </c>
      <c r="D31" s="279" t="s">
        <v>451</v>
      </c>
      <c r="E31" s="160" t="str">
        <f>IF($C$18='Auto Responses'!$J$4,'Auto Responses'!$A$3,IF($C31='Auto Responses'!$J$3,VLOOKUP($A31,Questions!$A$2:$X$333,17,0)&amp;"",IF($C31='Auto Responses'!$J$4,VLOOKUP($A31,Questions!$A$2:$X$333,16,0)&amp;"",VLOOKUP($A31,Questions!$A$2:$X$333,15,0)&amp;"")))</f>
        <v>Summarize your secure coding practices.</v>
      </c>
      <c r="F31" s="191" t="str">
        <f>VLOOKUP($A31,'Institution Evaluation'!$A$56:$F$345,6,0)&amp;""</f>
        <v/>
      </c>
      <c r="I31" s="35"/>
      <c r="J31" s="35"/>
    </row>
    <row r="32" spans="1:10" s="1" customFormat="1" ht="30" x14ac:dyDescent="0.15">
      <c r="A32" s="19" t="s">
        <v>133</v>
      </c>
      <c r="B32" s="18" t="str">
        <f>VLOOKUP($A32,Questions!$A$2:$X$333,2,0)</f>
        <v>If mobile, is the application available from a trusted source (e.g., App Store, Google Play Store)?</v>
      </c>
      <c r="C32" s="21" t="s">
        <v>452</v>
      </c>
      <c r="D32" s="279" t="s">
        <v>453</v>
      </c>
      <c r="E32" s="160" t="str">
        <f>IF($C$18='Auto Responses'!$J$4,'Auto Responses'!$A$3,IF($C32='Auto Responses'!$J$3,VLOOKUP($A32,Questions!$A$2:$X$333,17,0)&amp;"",IF($C32='Auto Responses'!$J$4,VLOOKUP($A32,Questions!$A$2:$X$333,16,0)&amp;"",IF($C32='Auto Responses'!$J$5,VLOOKUP($A32,Questions!$A$2:$X$333,18,0)&amp;"",VLOOKUP($A32,Questions!$A$2:$X$333,15,0)&amp;""))))</f>
        <v>Please explain why this does not apply to your product or service.</v>
      </c>
      <c r="F32" s="191" t="str">
        <f>VLOOKUP($A32,'Institution Evaluation'!$A$56:$F$345,6,0)&amp;""</f>
        <v/>
      </c>
      <c r="I32" s="35"/>
      <c r="J32" s="35"/>
    </row>
    <row r="33" spans="1:10" s="1" customFormat="1" ht="61" thickBot="1" x14ac:dyDescent="0.2">
      <c r="A33" s="19" t="s">
        <v>134</v>
      </c>
      <c r="B33" s="18" t="str">
        <f>VLOOKUP($A33,Questions!$A$2:$X$333,2,0)</f>
        <v>Do you have a fully implemented policy or procedure that details how your employees obtain administrator access to institutional instance of the application?</v>
      </c>
      <c r="C33" s="21" t="s">
        <v>355</v>
      </c>
      <c r="D33" s="279" t="s">
        <v>454</v>
      </c>
      <c r="E33" s="160" t="str">
        <f>IF($C$18='Auto Responses'!$J$4,'Auto Responses'!$A$3,IF($C33='Auto Responses'!$J$3,VLOOKUP($A33,Questions!$A$2:$X$333,17,0)&amp;"",IF($C33='Auto Responses'!$J$4,VLOOKUP($A33,Questions!$A$2:$X$333,16,0)&amp;"",VLOOKUP($A33,Questions!$A$2:$X$333,15,0)&amp;"")))</f>
        <v>Describe or provide a reference that details how administrator access is handled (e.g., provisioning, principle of least privilege, deprovisioning, etc.).</v>
      </c>
      <c r="F33" s="191" t="str">
        <f>VLOOKUP($A33,'Institution Evaluation'!$A$56:$F$345,6,0)&amp;""</f>
        <v/>
      </c>
      <c r="G33" s="228" t="s">
        <v>361</v>
      </c>
      <c r="I33" s="35"/>
      <c r="J33" s="35"/>
    </row>
    <row r="34" spans="1:10" s="1" customFormat="1" ht="20" thickBot="1" x14ac:dyDescent="0.2">
      <c r="A34" s="61" t="str">
        <f>VLOOKUP(LEFT($A35,4),'Auto Responses'!$N$4:$O$38,2,0)&amp;""</f>
        <v xml:space="preserve"> Datacenter</v>
      </c>
      <c r="B34" s="22"/>
      <c r="C34" s="13" t="s">
        <v>351</v>
      </c>
      <c r="D34" s="13" t="s">
        <v>352</v>
      </c>
      <c r="E34" s="31" t="s">
        <v>353</v>
      </c>
      <c r="F34" s="178" t="s">
        <v>354</v>
      </c>
      <c r="I34" s="35"/>
      <c r="J34" s="35"/>
    </row>
    <row r="35" spans="1:10" s="1" customFormat="1" ht="17" x14ac:dyDescent="0.15">
      <c r="A35" s="19" t="s">
        <v>135</v>
      </c>
      <c r="B35" s="18" t="str">
        <f>VLOOKUP($A35,Questions!$A$2:$X$333,2,0)</f>
        <v>Select your hosting option.</v>
      </c>
      <c r="C35" s="71" t="s">
        <v>455</v>
      </c>
      <c r="D35" s="279"/>
      <c r="E35" s="160" t="str">
        <f>IF(OR($C35="",$C35="Other"),VLOOKUP($A35,Questions!$A$2:$X$333,15,0),"")&amp;""</f>
        <v/>
      </c>
      <c r="F35" s="191" t="str">
        <f>VLOOKUP($A35,'Institution Evaluation'!$A$56:$F$345,6,0)&amp;""</f>
        <v/>
      </c>
      <c r="I35" s="35"/>
      <c r="J35" s="35"/>
    </row>
    <row r="36" spans="1:10" s="1" customFormat="1" ht="45" x14ac:dyDescent="0.15">
      <c r="A36" s="19" t="s">
        <v>136</v>
      </c>
      <c r="B36" s="18" t="str">
        <f>VLOOKUP($A36,Questions!$A$2:$X$333,2,0)</f>
        <v>Is a SOC 2 Type 2 report available for the hosting environment?</v>
      </c>
      <c r="C36" s="21" t="s">
        <v>355</v>
      </c>
      <c r="D36" s="279" t="s">
        <v>456</v>
      </c>
      <c r="E36" s="160" t="str">
        <f>IF($C$35="","",IF(OR($C$35='Auto Responses'!$J$20,$C$35='Auto Responses'!$J$21,$C$35='Auto Responses'!$J$22),'Auto Responses'!$A$26,IF($C36='Auto Responses'!$J$3,VLOOKUP($A36,Questions!$A$2:$X$333,17,0)&amp;"",IF($C36='Auto Responses'!$J$4,VLOOKUP($A36,Questions!$A$2:$X$333,16,0)&amp;"",VLOOKUP($A36,Questions!$A$2:$X$333,15,0)&amp;""))))</f>
        <v>Based on the response to DCTR-01, this question does not apply to this product or service.</v>
      </c>
      <c r="F36" s="191" t="str">
        <f>VLOOKUP($A36,'Institution Evaluation'!$A$56:$F$345,6,0)&amp;""</f>
        <v/>
      </c>
      <c r="I36" s="35"/>
      <c r="J36" s="35"/>
    </row>
    <row r="37" spans="1:10" s="1" customFormat="1" ht="45" x14ac:dyDescent="0.15">
      <c r="A37" s="19" t="s">
        <v>137</v>
      </c>
      <c r="B37" s="18" t="str">
        <f>VLOOKUP($A37,Questions!$A$2:$X$333,2,0)</f>
        <v>Are you generally able to accommodate storing each institution's data within its geographic region?</v>
      </c>
      <c r="C37" s="21" t="s">
        <v>355</v>
      </c>
      <c r="D37" s="279" t="s">
        <v>457</v>
      </c>
      <c r="E37" s="160" t="str">
        <f>IF($C$35="","",IF($C37='Auto Responses'!$J$3,VLOOKUP($A37,Questions!$A$2:$X$333,17,0)&amp;"",IF($C37='Auto Responses'!$J$4,VLOOKUP($A37,Questions!$A$2:$X$333,16,0)&amp;"",VLOOKUP($A37,Questions!$A$2:$X$333,15,0)&amp;"")))</f>
        <v>Please indicate which geographic regions you can provide storage in the Additional Info column.</v>
      </c>
      <c r="F37" s="191" t="str">
        <f>VLOOKUP($A37,'Institution Evaluation'!$A$56:$F$345,6,0)&amp;""</f>
        <v/>
      </c>
      <c r="I37" s="35"/>
      <c r="J37" s="35"/>
    </row>
    <row r="38" spans="1:10" s="1" customFormat="1" ht="45" x14ac:dyDescent="0.15">
      <c r="A38" s="19" t="s">
        <v>138</v>
      </c>
      <c r="B38" s="18" t="str">
        <f>VLOOKUP($A38,Questions!$A$2:$X$333,2,0)</f>
        <v>Are the data centers staffed 24 hours a day, seven days a week (i.e., 24 x 7 x 365)?</v>
      </c>
      <c r="C38" s="21" t="s">
        <v>355</v>
      </c>
      <c r="D38" s="279" t="s">
        <v>458</v>
      </c>
      <c r="E38" s="160" t="str">
        <f>IF($C$35="","",IF(OR($C$35='Auto Responses'!$J$20,$C$35='Auto Responses'!$J$21,$C$35='Auto Responses'!$J$22),'Auto Responses'!$A$26,IF($C38='Auto Responses'!$J$3,VLOOKUP($A38,Questions!$A$2:$X$333,17,0)&amp;"",IF($C38='Auto Responses'!$J$4,VLOOKUP($A38,Questions!$A$2:$X$333,16,0)&amp;"",VLOOKUP($A38,Questions!$A$2:$X$333,15,0)&amp;""))))</f>
        <v>Based on the response to DCTR-01, this question does not apply to this product or service.</v>
      </c>
      <c r="F38" s="191" t="str">
        <f>VLOOKUP($A38,'Institution Evaluation'!$A$56:$F$345,6,0)&amp;""</f>
        <v/>
      </c>
      <c r="I38" s="35"/>
      <c r="J38" s="35"/>
    </row>
    <row r="39" spans="1:10" s="1" customFormat="1" ht="45" x14ac:dyDescent="0.15">
      <c r="A39" s="19" t="s">
        <v>139</v>
      </c>
      <c r="B39" s="18" t="str">
        <f>VLOOKUP($A39,Questions!$A$2:$X$333,2,0)</f>
        <v>Are your servers separated from other companies via a physical barrier, such as a cage or hard walls?</v>
      </c>
      <c r="C39" s="21" t="s">
        <v>452</v>
      </c>
      <c r="D39" s="279" t="s">
        <v>459</v>
      </c>
      <c r="E39" s="160" t="str">
        <f>IF($C$35="","",IF(OR($C$35='Auto Responses'!$J$17,$C$35='Auto Responses'!$J$19,$C$35='Auto Responses'!$J$20,$C$35='Auto Responses'!$J$21,$C$35='Auto Responses'!$J$22),'Auto Responses'!$A$26,IF($C39='Auto Responses'!$J$3,VLOOKUP($A39,Questions!$A$2:$X$333,17,0)&amp;"",IF($C39='Auto Responses'!$J$4,VLOOKUP($A39,Questions!$A$2:$X$333,16,0)&amp;"",VLOOKUP($A39,Questions!$A$2:$X$333,15,0)&amp;""))))</f>
        <v>Based on the response to DCTR-01, this question does not apply to this product or service.</v>
      </c>
      <c r="F39" s="191" t="str">
        <f>VLOOKUP($A39,'Institution Evaluation'!$A$56:$F$345,6,0)&amp;""</f>
        <v/>
      </c>
      <c r="I39" s="35"/>
      <c r="J39" s="35"/>
    </row>
    <row r="40" spans="1:10" s="1" customFormat="1" ht="45" x14ac:dyDescent="0.15">
      <c r="A40" s="19" t="s">
        <v>140</v>
      </c>
      <c r="B40" s="18" t="str">
        <f>VLOOKUP($A40,Questions!$A$2:$X$333,2,0)</f>
        <v>Does a physical barrier fully enclose the physical space, preventing unauthorized physical contact with any of your devices?*</v>
      </c>
      <c r="C40" s="21" t="s">
        <v>452</v>
      </c>
      <c r="D40" s="279" t="s">
        <v>460</v>
      </c>
      <c r="E40" s="160" t="str">
        <f>IF($C$35="","",IF(OR($C$35='Auto Responses'!$J$19,$C$35='Auto Responses'!$J$20,$C$35='Auto Responses'!$J$21,$C$35='Auto Responses'!$J$22),'Auto Responses'!$A$26,IF($C40='Auto Responses'!$J$3,VLOOKUP($A40,Questions!$A$2:$X$333,17,0)&amp;"",IF($C40='Auto Responses'!$J$4,VLOOKUP($A40,Questions!$A$2:$X$333,16,0)&amp;"",VLOOKUP($A40,Questions!$A$2:$X$333,15,0)&amp;""))))</f>
        <v>Based on the response to DCTR-01, this question does not apply to this product or service.</v>
      </c>
      <c r="F40" s="191" t="str">
        <f>VLOOKUP($A40,'Institution Evaluation'!$A$56:$F$345,6,0)&amp;""</f>
        <v/>
      </c>
      <c r="I40" s="35"/>
      <c r="J40" s="35"/>
    </row>
    <row r="41" spans="1:10" s="1" customFormat="1" ht="45" x14ac:dyDescent="0.15">
      <c r="A41" s="19" t="s">
        <v>141</v>
      </c>
      <c r="B41" s="18" t="str">
        <f>VLOOKUP($A41,Questions!$A$2:$X$333,2,0)</f>
        <v>Are your primary and secondary data centers geographically diverse?</v>
      </c>
      <c r="C41" s="21" t="s">
        <v>355</v>
      </c>
      <c r="D41" s="279" t="s">
        <v>461</v>
      </c>
      <c r="E41" s="160" t="str">
        <f>IF($C$35="","",IF($C41='Auto Responses'!$J$3,VLOOKUP($A41,Questions!$A$2:$X$333,17,0)&amp;"",IF($C41='Auto Responses'!$J$4,VLOOKUP($A41,Questions!$A$2:$X$333,16,0)&amp;"",VLOOKUP($A41,Questions!$A$2:$X$333,15,0)&amp;"")))</f>
        <v>State your primary and secondary data center locations. For cloud infrastructures, state the primary and secondary zones.</v>
      </c>
      <c r="F41" s="191" t="str">
        <f>VLOOKUP($A41,'Institution Evaluation'!$A$56:$F$345,6,0)&amp;""</f>
        <v/>
      </c>
      <c r="I41" s="35"/>
      <c r="J41" s="35"/>
    </row>
    <row r="42" spans="1:10" s="1" customFormat="1" ht="45" x14ac:dyDescent="0.15">
      <c r="A42" s="19" t="s">
        <v>142</v>
      </c>
      <c r="B42" s="18" t="str">
        <f>VLOOKUP($A42,Questions!$A$2:$X$333,2,0)</f>
        <v>Is the service hosted in a high-availability environment?</v>
      </c>
      <c r="C42" s="21" t="s">
        <v>355</v>
      </c>
      <c r="D42" s="279" t="s">
        <v>462</v>
      </c>
      <c r="E42" s="160" t="str">
        <f>IF($C$35="","",IF($C42='Auto Responses'!$J$3,VLOOKUP($A42,Questions!$A$2:$X$333,17,0)&amp;"",IF($C42='Auto Responses'!$J$4,VLOOKUP($A42,Questions!$A$2:$X$333,16,0)&amp;"",VLOOKUP($A42,Questions!$A$2:$X$333,15,0)&amp;"")))</f>
        <v>Provide a summary to support your response selection.</v>
      </c>
      <c r="F42" s="191" t="str">
        <f>VLOOKUP($A42,'Institution Evaluation'!$A$56:$F$345,6,0)&amp;""</f>
        <v/>
      </c>
      <c r="I42" s="35"/>
      <c r="J42" s="35"/>
    </row>
    <row r="43" spans="1:10" s="1" customFormat="1" ht="45" x14ac:dyDescent="0.15">
      <c r="A43" s="19" t="s">
        <v>143</v>
      </c>
      <c r="B43" s="18" t="str">
        <f>VLOOKUP($A43,Questions!$A$2:$X$333,2,0)</f>
        <v>Is redundant power available for all data centers where institutional data will reside?</v>
      </c>
      <c r="C43" s="21" t="s">
        <v>355</v>
      </c>
      <c r="D43" s="279" t="s">
        <v>463</v>
      </c>
      <c r="E43" s="160" t="str">
        <f>IF($C$35="","",IF(OR($C$35='Auto Responses'!$J$20,$C$35='Auto Responses'!$J$21,$C$35='Auto Responses'!$J$22),'Auto Responses'!$A$26,IF($C43='Auto Responses'!$J$3,VLOOKUP($A43,Questions!$A$2:$X$333,17,0)&amp;"",IF($C43='Auto Responses'!$J$4,VLOOKUP($A43,Questions!$A$2:$X$333,16,0)&amp;"",VLOOKUP($A43,Questions!$A$2:$X$333,15,0)&amp;""))))</f>
        <v>Based on the response to DCTR-01, this question does not apply to this product or service.</v>
      </c>
      <c r="F43" s="191" t="str">
        <f>VLOOKUP($A43,'Institution Evaluation'!$A$56:$F$345,6,0)&amp;""</f>
        <v/>
      </c>
      <c r="I43" s="35"/>
      <c r="J43" s="35"/>
    </row>
    <row r="44" spans="1:10" s="1" customFormat="1" ht="45" x14ac:dyDescent="0.15">
      <c r="A44" s="19" t="s">
        <v>144</v>
      </c>
      <c r="B44" s="18" t="str">
        <f>VLOOKUP($A44,Questions!$A$2:$X$333,2,0)</f>
        <v>Are redundant power strategies tested?*</v>
      </c>
      <c r="C44" s="21" t="s">
        <v>452</v>
      </c>
      <c r="D44" s="279" t="s">
        <v>464</v>
      </c>
      <c r="E44" s="160" t="str">
        <f>IF($C$35="","",IF(OR($C$35='Auto Responses'!$J$20,$C$35='Auto Responses'!$J$21,$C$35='Auto Responses'!$J$22),'Auto Responses'!$A$26,IF($C44='Auto Responses'!$J$3,VLOOKUP($A44,Questions!$A$2:$X$333,17,0)&amp;"",IF($C44='Auto Responses'!$J$4,VLOOKUP($A44,Questions!$A$2:$X$333,16,0)&amp;"",VLOOKUP($A44,Questions!$A$2:$X$333,15,0)&amp;""))))</f>
        <v>Based on the response to DCTR-01, this question does not apply to this product or service.</v>
      </c>
      <c r="F44" s="191" t="str">
        <f>VLOOKUP($A44,'Institution Evaluation'!$A$56:$F$345,6,0)&amp;""</f>
        <v/>
      </c>
      <c r="I44" s="35"/>
      <c r="J44" s="35"/>
    </row>
    <row r="45" spans="1:10" s="1" customFormat="1" ht="45" x14ac:dyDescent="0.15">
      <c r="A45" s="19" t="s">
        <v>145</v>
      </c>
      <c r="B45" s="18" t="str">
        <f>VLOOKUP($A45,Questions!$A$2:$X$333,2,0)</f>
        <v>Does the center where the data will reside have cooling and fire-suppression systems that are active and regularly tested?</v>
      </c>
      <c r="C45" s="21" t="s">
        <v>355</v>
      </c>
      <c r="D45" s="279" t="s">
        <v>465</v>
      </c>
      <c r="E45" s="160" t="str">
        <f>IF($C$35="","",IF(OR($C$35='Auto Responses'!$J$19,$C$35='Auto Responses'!$J$20,$C$35='Auto Responses'!$J$21,$C$35='Auto Responses'!$J$22,$C$35='Auto Responses'!$J$23),'Auto Responses'!$A$26,IF($C45='Auto Responses'!$J$3,VLOOKUP($A45,Questions!$A$2:$X$333,17,0)&amp;"",IF($C45='Auto Responses'!$J$4,VLOOKUP($A45,Questions!$A$2:$X$333,16,0)&amp;"",VLOOKUP($A45,Questions!$A$2:$X$333,15,0)&amp;""))))</f>
        <v>Based on the response to DCTR-01, this question does not apply to this product or service.</v>
      </c>
      <c r="F45" s="191" t="str">
        <f>VLOOKUP($A45,'Institution Evaluation'!$A$56:$F$345,6,0)&amp;""</f>
        <v/>
      </c>
      <c r="I45" s="35"/>
      <c r="J45" s="35"/>
    </row>
    <row r="46" spans="1:10" s="1" customFormat="1" ht="45" x14ac:dyDescent="0.15">
      <c r="A46" s="19" t="s">
        <v>146</v>
      </c>
      <c r="B46" s="18" t="str">
        <f>VLOOKUP($A46,Questions!$A$2:$X$333,2,0)</f>
        <v>Do you have Internet Service Provider (ISP) redundancy?</v>
      </c>
      <c r="C46" s="21" t="s">
        <v>355</v>
      </c>
      <c r="D46" s="279" t="s">
        <v>466</v>
      </c>
      <c r="E46" s="160" t="str">
        <f>IF($C$35="","",IF(OR($C$35='Auto Responses'!$J$20,$C$35='Auto Responses'!$J$21,$C$35='Auto Responses'!$J$22),'Auto Responses'!$A$26,IF($C46='Auto Responses'!$J$3,VLOOKUP($A46,Questions!$A$2:$X$333,17,0)&amp;"",IF($C46='Auto Responses'!$J$4,VLOOKUP($A46,Questions!$A$2:$X$333,16,0)&amp;"",VLOOKUP($A46,Questions!$A$2:$X$333,15,0)&amp;""))))</f>
        <v>Based on the response to DCTR-01, this question does not apply to this product or service.</v>
      </c>
      <c r="F46" s="191" t="str">
        <f>VLOOKUP($A46,'Institution Evaluation'!$A$56:$F$345,6,0)&amp;""</f>
        <v/>
      </c>
      <c r="I46" s="35"/>
      <c r="J46" s="35"/>
    </row>
    <row r="47" spans="1:10" s="1" customFormat="1" ht="45" x14ac:dyDescent="0.15">
      <c r="A47" s="19" t="s">
        <v>147</v>
      </c>
      <c r="B47" s="18" t="str">
        <f>VLOOKUP($A47,Questions!$A$2:$X$333,2,0)</f>
        <v>Does every data center where the institution's data will reside have multiple telephone company or network provider entrances to the facility?</v>
      </c>
      <c r="C47" s="21" t="s">
        <v>452</v>
      </c>
      <c r="D47" s="279" t="s">
        <v>467</v>
      </c>
      <c r="E47" s="160" t="str">
        <f>IF($C$35="","",IF(OR($C$35='Auto Responses'!$J$20,$C$35='Auto Responses'!$J$21,$C$35='Auto Responses'!$J$22),'Auto Responses'!$A$26,IF($C47='Auto Responses'!$J$3,VLOOKUP($A47,Questions!$A$2:$X$333,17,0)&amp;"",IF($C47='Auto Responses'!$J$4,VLOOKUP($A47,Questions!$A$2:$X$333,16,0)&amp;"",VLOOKUP($A47,Questions!$A$2:$X$333,15,0)&amp;""))))</f>
        <v>Based on the response to DCTR-01, this question does not apply to this product or service.</v>
      </c>
      <c r="F47" s="191" t="str">
        <f>VLOOKUP($A47,'Institution Evaluation'!$A$56:$F$345,6,0)&amp;""</f>
        <v/>
      </c>
      <c r="I47" s="35"/>
      <c r="J47" s="35"/>
    </row>
    <row r="48" spans="1:10" s="1" customFormat="1" ht="45" x14ac:dyDescent="0.15">
      <c r="A48" s="19" t="s">
        <v>148</v>
      </c>
      <c r="B48" s="18" t="str">
        <f>VLOOKUP($A48,Questions!$A$2:$X$333,2,0)</f>
        <v>Do you require multifactor authentication for all administrative accounts in your environment?</v>
      </c>
      <c r="C48" s="21" t="s">
        <v>355</v>
      </c>
      <c r="D48" s="279" t="s">
        <v>468</v>
      </c>
      <c r="E48" s="160" t="str">
        <f>IF($C$35="","",IF($C48='Auto Responses'!$J$3,VLOOKUP($A48,Questions!$A$2:$X$333,17,0)&amp;"",IF($C48='Auto Responses'!$J$4,VLOOKUP($A48,Questions!$A$2:$X$333,16,0)&amp;"",VLOOKUP($A48,Questions!$A$2:$X$333,15,0)&amp;"")))</f>
        <v>State which model of MFA you are using.</v>
      </c>
      <c r="F48" s="191" t="str">
        <f>VLOOKUP($A48,'Institution Evaluation'!$A$56:$F$345,6,0)&amp;""</f>
        <v/>
      </c>
      <c r="I48" s="35"/>
      <c r="J48" s="35"/>
    </row>
    <row r="49" spans="1:10" s="1" customFormat="1" ht="30" x14ac:dyDescent="0.15">
      <c r="A49" s="19" t="s">
        <v>149</v>
      </c>
      <c r="B49" s="18" t="str">
        <f>VLOOKUP($A49,Questions!$A$2:$X$333,2,0)</f>
        <v>Are you using your cloud provider's available hardening tools or pre-hardened images?</v>
      </c>
      <c r="C49" s="21" t="s">
        <v>355</v>
      </c>
      <c r="D49" s="279" t="s">
        <v>469</v>
      </c>
      <c r="E49" s="160" t="str">
        <f>IF($C$35="","",IF(OR($C$35='Auto Responses'!$J$17,$C$35='Auto Responses'!$J$18),'Auto Responses'!$A$26,IF($C49='Auto Responses'!$J$3,VLOOKUP($A49,Questions!$A$2:$X$333,17,0)&amp;"",IF($C49='Auto Responses'!$J$4,VLOOKUP($A49,Questions!$A$2:$X$333,16,0)&amp;"",VLOOKUP($A49,Questions!$A$2:$X$333,15,0)&amp;""))))</f>
        <v/>
      </c>
      <c r="F49" s="191" t="str">
        <f>VLOOKUP($A49,'Institution Evaluation'!$A$56:$F$345,6,0)&amp;""</f>
        <v/>
      </c>
      <c r="I49" s="35"/>
      <c r="J49" s="35"/>
    </row>
    <row r="50" spans="1:10" s="1" customFormat="1" ht="31" thickBot="1" x14ac:dyDescent="0.2">
      <c r="A50" s="19" t="s">
        <v>150</v>
      </c>
      <c r="B50" s="18" t="str">
        <f>VLOOKUP($A50,Questions!$A$2:$X$333,2,0)</f>
        <v>Does your cloud solution provider have access to your encryption keys?</v>
      </c>
      <c r="C50" s="21" t="s">
        <v>364</v>
      </c>
      <c r="D50" s="279" t="s">
        <v>470</v>
      </c>
      <c r="E50" s="160" t="str">
        <f>IF($C$35="","",IF(OR($C$35='Auto Responses'!$J$17,$C$35='Auto Responses'!$J$18),'Auto Responses'!$A$26,IF($C50='Auto Responses'!$J$3,VLOOKUP($A50,Questions!$A$2:$X$333,17,0)&amp;"",IF($C50='Auto Responses'!$J$4,VLOOKUP($A50,Questions!$A$2:$X$333,16,0)&amp;"",VLOOKUP($A50,Questions!$A$2:$X$333,15,0)&amp;""))))</f>
        <v>Describe your key management practices.</v>
      </c>
      <c r="F50" s="191" t="str">
        <f>VLOOKUP($A50,'Institution Evaluation'!$A$56:$F$345,6,0)&amp;""</f>
        <v/>
      </c>
      <c r="I50" s="35"/>
      <c r="J50" s="35"/>
    </row>
    <row r="51" spans="1:10" s="1" customFormat="1" ht="20" thickBot="1" x14ac:dyDescent="0.2">
      <c r="A51" s="61" t="str">
        <f>VLOOKUP(LEFT($A52,4),'Auto Responses'!$N$4:$O$38,2,0)&amp;""</f>
        <v xml:space="preserve"> Firewalls, IDS, IPS, and Networking</v>
      </c>
      <c r="B51" s="22"/>
      <c r="C51" s="13" t="s">
        <v>351</v>
      </c>
      <c r="D51" s="13" t="s">
        <v>352</v>
      </c>
      <c r="E51" s="31" t="s">
        <v>353</v>
      </c>
      <c r="F51" s="178" t="s">
        <v>354</v>
      </c>
      <c r="I51" s="35"/>
      <c r="J51" s="35"/>
    </row>
    <row r="52" spans="1:10" s="1" customFormat="1" ht="30" x14ac:dyDescent="0.15">
      <c r="A52" s="19" t="s">
        <v>151</v>
      </c>
      <c r="B52" s="18" t="str">
        <f>VLOOKUP($A52,Questions!$A$2:$X$333,2,0)</f>
        <v>Are you utilizing a stateful packet inspection (SPI) firewall?*</v>
      </c>
      <c r="C52" s="21" t="s">
        <v>355</v>
      </c>
      <c r="D52" s="279" t="s">
        <v>471</v>
      </c>
      <c r="E52" s="160" t="str">
        <f>IF($C$18='Auto Responses'!$J$4,'Auto Responses'!$A$3,IF($C52='Auto Responses'!$J$3,VLOOKUP($A52,Questions!$A$2:$X$333,17,0)&amp;"",IF($C52='Auto Responses'!$J$4,VLOOKUP($A52,Questions!$A$2:$X$333,16,0)&amp;"",VLOOKUP($A52,Questions!$A$2:$X$333,15,0)&amp;"")))</f>
        <v>Describe the currently implemented SPI firewall.</v>
      </c>
      <c r="F52" s="191" t="str">
        <f>VLOOKUP($A52,'Institution Evaluation'!$A$56:$F$345,6,0)&amp;""</f>
        <v/>
      </c>
      <c r="I52" s="35"/>
      <c r="J52" s="35"/>
    </row>
    <row r="53" spans="1:10" s="1" customFormat="1" ht="30" x14ac:dyDescent="0.15">
      <c r="A53" s="19" t="s">
        <v>152</v>
      </c>
      <c r="B53" s="18" t="str">
        <f>VLOOKUP($A53,Questions!$A$2:$X$333,2,0)</f>
        <v>Do you have a documented policy for firewall change requests?*</v>
      </c>
      <c r="C53" s="21" t="s">
        <v>355</v>
      </c>
      <c r="D53" s="279" t="s">
        <v>472</v>
      </c>
      <c r="E53" s="160" t="str">
        <f>IF($C$18='Auto Responses'!$J$4,'Auto Responses'!$A$3,IF($C53='Auto Responses'!$J$3,VLOOKUP($A53,Questions!$A$2:$X$333,17,0)&amp;"",IF($C53='Auto Responses'!$J$4,VLOOKUP($A53,Questions!$A$2:$X$333,16,0)&amp;"",VLOOKUP($A53,Questions!$A$2:$X$333,15,0)&amp;"")))</f>
        <v>Describe your documented firewall change request policy.</v>
      </c>
      <c r="F53" s="191" t="str">
        <f>VLOOKUP($A53,'Institution Evaluation'!$A$56:$F$345,6,0)&amp;""</f>
        <v/>
      </c>
      <c r="I53" s="35"/>
      <c r="J53" s="35"/>
    </row>
    <row r="54" spans="1:10" s="1" customFormat="1" ht="17" x14ac:dyDescent="0.15">
      <c r="A54" s="19" t="s">
        <v>153</v>
      </c>
      <c r="B54" s="18" t="str">
        <f>VLOOKUP($A54,Questions!$A$2:$X$333,2,0)</f>
        <v>Have you implemented an intrusion detection system (network-based)?*</v>
      </c>
      <c r="C54" s="21" t="s">
        <v>355</v>
      </c>
      <c r="D54" s="279" t="s">
        <v>473</v>
      </c>
      <c r="E54" s="160" t="str">
        <f>IF($C$18='Auto Responses'!$J$4,'Auto Responses'!$A$3,IF($C54='Auto Responses'!$J$3,VLOOKUP($A54,Questions!$A$2:$X$333,17,0)&amp;"",IF($C54='Auto Responses'!$J$4,VLOOKUP($A54,Questions!$A$2:$X$333,16,0)&amp;"",VLOOKUP($A54,Questions!$A$2:$X$333,15,0)&amp;"")))</f>
        <v>Describe the currently implemented IDS.</v>
      </c>
      <c r="F54" s="191" t="str">
        <f>VLOOKUP($A54,'Institution Evaluation'!$A$56:$F$345,6,0)&amp;""</f>
        <v/>
      </c>
      <c r="I54" s="35"/>
      <c r="J54" s="35"/>
    </row>
    <row r="55" spans="1:10" s="1" customFormat="1" ht="30" x14ac:dyDescent="0.15">
      <c r="A55" s="19" t="s">
        <v>154</v>
      </c>
      <c r="B55" s="18" t="str">
        <f>VLOOKUP($A55,Questions!$A$2:$X$333,2,0)</f>
        <v>Do you employ host-based intrusion detection?*</v>
      </c>
      <c r="C55" s="21" t="s">
        <v>355</v>
      </c>
      <c r="D55" s="279" t="s">
        <v>474</v>
      </c>
      <c r="E55" s="160" t="str">
        <f>IF($C$18='Auto Responses'!$J$4,'Auto Responses'!$A$3,IF($C55='Auto Responses'!$J$3,VLOOKUP($A55,Questions!$A$2:$X$333,17,0)&amp;"",IF($C55='Auto Responses'!$J$4,VLOOKUP($A55,Questions!$A$2:$X$333,16,0)&amp;"",IF($C55='Auto Responses'!$J$5,VLOOKUP($A55,Questions!$A$2:$X$333,18,0)&amp;"",VLOOKUP($A55,Questions!$A$2:$X$333,15,0)&amp;""))))</f>
        <v>Describe the currently implemented host-based IDS solution(s).</v>
      </c>
      <c r="F55" s="191" t="str">
        <f>VLOOKUP($A55,'Institution Evaluation'!$A$56:$F$345,6,0)&amp;""</f>
        <v/>
      </c>
      <c r="I55" s="35"/>
      <c r="J55" s="35"/>
    </row>
    <row r="56" spans="1:10" s="1" customFormat="1" ht="30" x14ac:dyDescent="0.15">
      <c r="A56" s="19" t="s">
        <v>155</v>
      </c>
      <c r="B56" s="18" t="str">
        <f>VLOOKUP($A56,Questions!$A$2:$X$333,2,0)</f>
        <v>Are audit logs available for all changes to the network, firewall, IDS, and IPS systems?*</v>
      </c>
      <c r="C56" s="21" t="s">
        <v>355</v>
      </c>
      <c r="D56" s="279" t="s">
        <v>475</v>
      </c>
      <c r="E56" s="160" t="str">
        <f>IF($C$18='Auto Responses'!$J$4,'Auto Responses'!$A$3,IF($C56='Auto Responses'!$J$3,VLOOKUP($A56,Questions!$A$2:$X$333,17,0)&amp;"",IF($C56='Auto Responses'!$J$4,VLOOKUP($A56,Questions!$A$2:$X$333,16,0)&amp;"",VLOOKUP($A56,Questions!$A$2:$X$333,15,0)&amp;"")))</f>
        <v>Describe your current network systems logging strategy.</v>
      </c>
      <c r="F56" s="191" t="str">
        <f>VLOOKUP($A56,'Institution Evaluation'!$A$56:$F$345,6,0)&amp;""</f>
        <v/>
      </c>
      <c r="I56" s="35"/>
      <c r="J56" s="35"/>
    </row>
    <row r="57" spans="1:10" s="1" customFormat="1" ht="45" x14ac:dyDescent="0.15">
      <c r="A57" s="19" t="s">
        <v>156</v>
      </c>
      <c r="B57" s="18" t="str">
        <f>VLOOKUP($A57,Questions!$A$2:$X$333,2,0)</f>
        <v>Is authority for firewall change approval documented? Please list approver names or titles in Additional Info.</v>
      </c>
      <c r="C57" s="21" t="s">
        <v>355</v>
      </c>
      <c r="D57" s="279" t="s">
        <v>476</v>
      </c>
      <c r="E57" s="160" t="str">
        <f>IF($C$18='Auto Responses'!$J$4,'Auto Responses'!$A$3,IF($C57='Auto Responses'!$J$3,VLOOKUP($A57,Questions!$A$2:$X$333,17,0)&amp;"",IF($C57='Auto Responses'!$J$4,VLOOKUP($A57,Questions!$A$2:$X$333,16,0)&amp;"",VLOOKUP($A57,Questions!$A$2:$X$333,15,0)&amp;"")))</f>
        <v>List approver names or titles.</v>
      </c>
      <c r="F57" s="191" t="str">
        <f>VLOOKUP($A57,'Institution Evaluation'!$A$56:$F$345,6,0)&amp;""</f>
        <v/>
      </c>
      <c r="I57" s="35"/>
      <c r="J57" s="35"/>
    </row>
    <row r="58" spans="1:10" s="1" customFormat="1" ht="30" x14ac:dyDescent="0.15">
      <c r="A58" s="19" t="s">
        <v>157</v>
      </c>
      <c r="B58" s="18" t="str">
        <f>VLOOKUP($A58,Questions!$A$2:$X$333,2,0)</f>
        <v>Have you implemented an intrusion prevention system (network-based)?</v>
      </c>
      <c r="C58" s="21" t="s">
        <v>355</v>
      </c>
      <c r="D58" s="279" t="s">
        <v>477</v>
      </c>
      <c r="E58" s="160" t="str">
        <f>IF($C$18='Auto Responses'!$J$4,'Auto Responses'!$A$3,IF($C58='Auto Responses'!$J$3,VLOOKUP($A58,Questions!$A$2:$X$333,17,0)&amp;"",IF($C58='Auto Responses'!$J$4,VLOOKUP($A58,Questions!$A$2:$X$333,16,0)&amp;"",VLOOKUP($A58,Questions!$A$2:$X$333,15,0)&amp;"")))</f>
        <v>Describe the currently implemented IPS.</v>
      </c>
      <c r="F58" s="191" t="str">
        <f>VLOOKUP($A58,'Institution Evaluation'!$A$56:$F$345,6,0)&amp;""</f>
        <v/>
      </c>
      <c r="I58" s="35"/>
      <c r="J58" s="35"/>
    </row>
    <row r="59" spans="1:10" s="1" customFormat="1" ht="30" x14ac:dyDescent="0.15">
      <c r="A59" s="19" t="s">
        <v>158</v>
      </c>
      <c r="B59" s="18" t="str">
        <f>VLOOKUP($A59,Questions!$A$2:$X$333,2,0)</f>
        <v>Do you employ host-based intrusion prevention?</v>
      </c>
      <c r="C59" s="21" t="s">
        <v>355</v>
      </c>
      <c r="D59" s="279" t="s">
        <v>478</v>
      </c>
      <c r="E59" s="160" t="str">
        <f>IF($C$18='Auto Responses'!$J$4,'Auto Responses'!$A$3,IF($C59='Auto Responses'!$J$3,VLOOKUP($A59,Questions!$A$2:$X$333,17,0)&amp;"",IF($C59='Auto Responses'!$J$4,VLOOKUP($A59,Questions!$A$2:$X$333,16,0)&amp;"",IF($C59='Auto Responses'!$J$5,VLOOKUP($A59,Questions!$A$2:$X$333,18,0)&amp;"",VLOOKUP($A59,Questions!$A$2:$X$333,15,0)&amp;""))))</f>
        <v>Describe the currently implemented host-based IPS solution(s).</v>
      </c>
      <c r="F59" s="191" t="str">
        <f>VLOOKUP($A59,'Institution Evaluation'!$A$56:$F$345,6,0)&amp;""</f>
        <v/>
      </c>
      <c r="I59" s="35"/>
      <c r="J59" s="35"/>
    </row>
    <row r="60" spans="1:10" s="1" customFormat="1" ht="30" x14ac:dyDescent="0.15">
      <c r="A60" s="19" t="s">
        <v>159</v>
      </c>
      <c r="B60" s="18" t="str">
        <f>VLOOKUP($A60,Questions!$A$2:$X$333,2,0)</f>
        <v>Are you employing any next-generation persistent threat (NGPT) monitoring?</v>
      </c>
      <c r="C60" s="21" t="s">
        <v>355</v>
      </c>
      <c r="D60" s="279" t="s">
        <v>479</v>
      </c>
      <c r="E60" s="160" t="str">
        <f>IF($C$18='Auto Responses'!$J$4,'Auto Responses'!$A$3,IF($C60='Auto Responses'!$J$3,VLOOKUP($A60,Questions!$A$2:$X$333,17,0)&amp;"",IF($C60='Auto Responses'!$J$4,VLOOKUP($A60,Questions!$A$2:$X$333,16,0)&amp;"",VLOOKUP($A60,Questions!$A$2:$X$333,15,0)&amp;"")))</f>
        <v>Describe your NGPT monitoring strategy.</v>
      </c>
      <c r="F60" s="191" t="str">
        <f>VLOOKUP($A60,'Institution Evaluation'!$A$56:$F$345,6,0)&amp;""</f>
        <v/>
      </c>
      <c r="I60" s="35"/>
      <c r="J60" s="35"/>
    </row>
    <row r="61" spans="1:10" s="1" customFormat="1" ht="45" x14ac:dyDescent="0.15">
      <c r="A61" s="19" t="s">
        <v>160</v>
      </c>
      <c r="B61" s="18" t="str">
        <f>VLOOKUP($A61,Questions!$A$2:$X$333,2,0)</f>
        <v>Is intrusion monitoring performed internally or by a third-party service?</v>
      </c>
      <c r="C61" s="21" t="s">
        <v>355</v>
      </c>
      <c r="D61" s="276" t="s">
        <v>480</v>
      </c>
      <c r="E61" s="160" t="str">
        <f>IF($C$18='Auto Responses'!$J$4,'Auto Responses'!$A$3,IF($C61='Auto Responses'!$J$3,VLOOKUP($A61,Questions!$A$2:$X$333,17,0)&amp;"",IF($C61='Auto Responses'!$J$4,VLOOKUP($A61,Questions!$A$2:$X$333,16,0)&amp;"",VLOOKUP($A61,Questions!$A$2:$X$333,15,0)&amp;"")))</f>
        <v>In addition to stating your intrusion monitoring strategy, provide a brief summary of its implementation.</v>
      </c>
      <c r="F61" s="191" t="str">
        <f>VLOOKUP($A61,'Institution Evaluation'!$A$56:$F$345,6,0)&amp;""</f>
        <v/>
      </c>
      <c r="I61" s="35"/>
      <c r="J61" s="35"/>
    </row>
    <row r="62" spans="1:10" s="1" customFormat="1" ht="31" thickBot="1" x14ac:dyDescent="0.2">
      <c r="A62" s="19" t="s">
        <v>161</v>
      </c>
      <c r="B62" s="18" t="str">
        <f>VLOOKUP($A62,Questions!$A$2:$X$333,2,0)</f>
        <v>Do you monitor for intrusions on a 24 x 7 x 365 basis?</v>
      </c>
      <c r="C62" s="21" t="s">
        <v>355</v>
      </c>
      <c r="D62" s="279" t="s">
        <v>481</v>
      </c>
      <c r="E62" s="160" t="str">
        <f>IF($C$18='Auto Responses'!$J$4,'Auto Responses'!$A$3,IF($C62='Auto Responses'!$J$3,VLOOKUP($A62,Questions!$A$2:$X$333,17,0)&amp;"",IF($C62='Auto Responses'!$J$4,VLOOKUP($A62,Questions!$A$2:$X$333,16,0)&amp;"",VLOOKUP($A62,Questions!$A$2:$X$333,15,0)&amp;"")))</f>
        <v>Provide a brief summary of this activity.</v>
      </c>
      <c r="F62" s="191" t="str">
        <f>VLOOKUP($A62,'Institution Evaluation'!$A$56:$F$345,6,0)&amp;""</f>
        <v/>
      </c>
      <c r="G62" s="228" t="s">
        <v>361</v>
      </c>
      <c r="I62" s="35"/>
      <c r="J62" s="35"/>
    </row>
    <row r="63" spans="1:10" s="1" customFormat="1" ht="20" thickBot="1" x14ac:dyDescent="0.2">
      <c r="A63" s="61" t="str">
        <f>VLOOKUP(LEFT($A64,4),'Auto Responses'!$N$4:$O$38,2,0)&amp;""</f>
        <v xml:space="preserve"> Incident Handling</v>
      </c>
      <c r="B63" s="22"/>
      <c r="C63" s="13" t="s">
        <v>351</v>
      </c>
      <c r="D63" s="13" t="s">
        <v>352</v>
      </c>
      <c r="E63" s="31" t="s">
        <v>353</v>
      </c>
      <c r="F63" s="178" t="s">
        <v>354</v>
      </c>
      <c r="I63" s="35"/>
      <c r="J63" s="35"/>
    </row>
    <row r="64" spans="1:10" s="1" customFormat="1" ht="45" x14ac:dyDescent="0.15">
      <c r="A64" s="19" t="s">
        <v>162</v>
      </c>
      <c r="B64" s="18" t="str">
        <f>VLOOKUP($A64,Questions!$A$2:$X$333,2,0)</f>
        <v>Do you have a formal incident response plan?</v>
      </c>
      <c r="C64" s="21" t="s">
        <v>355</v>
      </c>
      <c r="D64" s="279" t="s">
        <v>482</v>
      </c>
      <c r="E64" s="160" t="str">
        <f>IF($C$18='Auto Responses'!$J$4,'Auto Responses'!$A$3,IF($C64='Auto Responses'!$J$3,VLOOKUP($A64,Questions!$A$2:$X$333,17,0)&amp;"",IF($C64='Auto Responses'!$J$4,VLOOKUP($A64,Questions!$A$2:$X$333,16,0)&amp;"",VLOOKUP($A64,Questions!$A$2:$X$333,15,0)&amp;"")))</f>
        <v>Summarize or provide a link to your formal incident response plan.</v>
      </c>
      <c r="F64" s="191" t="str">
        <f>VLOOKUP($A64,'Institution Evaluation'!$A$56:$F$345,6,0)&amp;""</f>
        <v/>
      </c>
      <c r="I64" s="35"/>
      <c r="J64" s="35"/>
    </row>
    <row r="65" spans="1:12" s="1" customFormat="1" ht="30" x14ac:dyDescent="0.15">
      <c r="A65" s="19" t="s">
        <v>163</v>
      </c>
      <c r="B65" s="18" t="str">
        <f>VLOOKUP($A65,Questions!$A$2:$X$333,2,0)</f>
        <v>Do you either have an internal incident response team or retain an external team?</v>
      </c>
      <c r="C65" s="21" t="s">
        <v>355</v>
      </c>
      <c r="D65" s="279" t="s">
        <v>483</v>
      </c>
      <c r="E65" s="160" t="str">
        <f>IF($C$18='Auto Responses'!$J$4,'Auto Responses'!$A$3,IF($C65='Auto Responses'!$J$3,VLOOKUP($A65,Questions!$A$2:$X$333,17,0)&amp;"",IF($C65='Auto Responses'!$J$4,VLOOKUP($A65,Questions!$A$2:$X$333,16,0)&amp;"",VLOOKUP($A65,Questions!$A$2:$X$333,15,0)&amp;"")))</f>
        <v>Summarize your incident response and reporting processes.</v>
      </c>
      <c r="F65" s="191" t="str">
        <f>VLOOKUP($A65,'Institution Evaluation'!$A$56:$F$345,6,0)&amp;""</f>
        <v/>
      </c>
      <c r="I65" s="35"/>
      <c r="J65" s="35"/>
    </row>
    <row r="66" spans="1:12" s="1" customFormat="1" ht="30" x14ac:dyDescent="0.15">
      <c r="A66" s="19" t="s">
        <v>164</v>
      </c>
      <c r="B66" s="18" t="str">
        <f>VLOOKUP($A66,Questions!$A$2:$X$333,2,0)</f>
        <v>Do you have the capability to respond to incidents on a 24 x 7 x 365 basis?</v>
      </c>
      <c r="C66" s="21" t="s">
        <v>355</v>
      </c>
      <c r="D66" s="279" t="s">
        <v>484</v>
      </c>
      <c r="E66" s="160" t="str">
        <f>IF($C$18='Auto Responses'!$J$4,'Auto Responses'!$A$3,IF($C66='Auto Responses'!$J$3,VLOOKUP($A66,Questions!$A$2:$X$333,17,0)&amp;"",IF($C66='Auto Responses'!$J$4,VLOOKUP($A66,Questions!$A$2:$X$333,16,0)&amp;"",VLOOKUP($A66,Questions!$A$2:$X$333,15,0)&amp;"")))</f>
        <v>Summarize your internal approach or reference your third-party contractor.</v>
      </c>
      <c r="F66" s="191" t="str">
        <f>VLOOKUP($A66,'Institution Evaluation'!$A$56:$F$345,6,0)&amp;""</f>
        <v/>
      </c>
      <c r="I66" s="35"/>
      <c r="J66" s="35"/>
    </row>
    <row r="67" spans="1:12" s="1" customFormat="1" ht="31" thickBot="1" x14ac:dyDescent="0.2">
      <c r="A67" s="19" t="s">
        <v>165</v>
      </c>
      <c r="B67" s="18" t="str">
        <f>VLOOKUP($A67,Questions!$A$2:$X$333,2,0)</f>
        <v>Do you carry cyber-risk insurance to protect against unforeseen service outages, data that is lost or stolen, and security incidents?</v>
      </c>
      <c r="C67" s="21" t="s">
        <v>355</v>
      </c>
      <c r="D67" s="279" t="s">
        <v>485</v>
      </c>
      <c r="E67" s="160" t="str">
        <f>IF($C$18='Auto Responses'!$J$4,'Auto Responses'!$A$3,IF($C67='Auto Responses'!$J$3,VLOOKUP($A67,Questions!$A$2:$X$333,17,0)&amp;"",IF($C67='Auto Responses'!$J$4,VLOOKUP($A67,Questions!$A$2:$X$333,16,0)&amp;"",VLOOKUP($A67,Questions!$A$2:$X$333,15,0)&amp;"")))</f>
        <v>Describe the coverage in place for this solution.</v>
      </c>
      <c r="F67" s="191" t="str">
        <f>VLOOKUP($A67,'Institution Evaluation'!$A$56:$F$345,6,0)&amp;""</f>
        <v/>
      </c>
      <c r="G67" s="228" t="s">
        <v>361</v>
      </c>
      <c r="I67" s="35"/>
      <c r="J67" s="35"/>
    </row>
    <row r="68" spans="1:12" s="1" customFormat="1" ht="20" thickBot="1" x14ac:dyDescent="0.2">
      <c r="A68" s="61" t="str">
        <f>VLOOKUP(LEFT($A69,4),'Auto Responses'!$N$4:$O$38,2,0)&amp;""</f>
        <v xml:space="preserve"> Vulnerability Management</v>
      </c>
      <c r="B68" s="22"/>
      <c r="C68" s="13" t="s">
        <v>351</v>
      </c>
      <c r="D68" s="13" t="s">
        <v>352</v>
      </c>
      <c r="E68" s="31" t="s">
        <v>353</v>
      </c>
      <c r="F68" s="178" t="s">
        <v>354</v>
      </c>
      <c r="I68" s="35"/>
      <c r="J68" s="35"/>
    </row>
    <row r="69" spans="1:12" s="1" customFormat="1" ht="45" x14ac:dyDescent="0.15">
      <c r="A69" s="19" t="s">
        <v>166</v>
      </c>
      <c r="B69" s="18" t="str">
        <f>VLOOKUP($A69,Questions!$A$2:$X$333,2,0)</f>
        <v>Are your systems and applications scanned with an authenticated user account for vulnerabilities (that are remediated) prior to new releases?*</v>
      </c>
      <c r="C69" s="21" t="s">
        <v>355</v>
      </c>
      <c r="D69" s="279" t="s">
        <v>486</v>
      </c>
      <c r="E69" s="160" t="str">
        <f>IF($C$18='Auto Responses'!$J$4,'Auto Responses'!$A$3,IF($C69='Auto Responses'!$J$3,VLOOKUP($A69,Questions!$A$2:$X$333,17,0)&amp;"",IF($C69='Auto Responses'!$J$4,VLOOKUP($A69,Questions!$A$2:$X$333,16,0)&amp;"",VLOOKUP($A69,Questions!$A$2:$X$333,15,0)&amp;"")))</f>
        <v>Provide a brief description.</v>
      </c>
      <c r="F69" s="191" t="str">
        <f>VLOOKUP($A69,'Institution Evaluation'!$A$56:$F$345,6,0)&amp;""</f>
        <v/>
      </c>
      <c r="I69" s="35"/>
      <c r="J69" s="35"/>
    </row>
    <row r="70" spans="1:12" s="1" customFormat="1" ht="30" x14ac:dyDescent="0.15">
      <c r="A70" s="19" t="s">
        <v>167</v>
      </c>
      <c r="B70" s="18" t="str">
        <f>VLOOKUP($A70,Questions!$A$2:$X$333,2,0)</f>
        <v>Will you provide results of application and system vulnerability scans to the institution?*</v>
      </c>
      <c r="C70" s="21" t="s">
        <v>355</v>
      </c>
      <c r="D70" s="279" t="s">
        <v>487</v>
      </c>
      <c r="E70" s="160" t="str">
        <f>IF($C$18='Auto Responses'!$J$4,'Auto Responses'!$A$3,IF($C70='Auto Responses'!$J$3,VLOOKUP($A70,Questions!$A$2:$X$333,17,0)&amp;"",IF($C70='Auto Responses'!$J$4,VLOOKUP($A70,Questions!$A$2:$X$333,16,0)&amp;"",VLOOKUP($A70,Questions!$A$2:$X$333,15,0)&amp;"")))</f>
        <v>Provide a reference to security scan documentation.</v>
      </c>
      <c r="F70" s="191" t="str">
        <f>VLOOKUP($A70,'Institution Evaluation'!$A$56:$F$345,6,0)&amp;""</f>
        <v/>
      </c>
      <c r="I70" s="35"/>
      <c r="J70" s="35"/>
    </row>
    <row r="71" spans="1:12" s="1" customFormat="1" ht="45" x14ac:dyDescent="0.15">
      <c r="A71" s="19" t="s">
        <v>168</v>
      </c>
      <c r="B71" s="18" t="str">
        <f>VLOOKUP($A71,Questions!$A$2:$X$333,2,0)</f>
        <v>Will you allow the institution to perform its own vulnerability testing and/or scanning of your systems and/or application, provided that testing is performed at a mutually agreed upon time and date?*</v>
      </c>
      <c r="C71" s="21" t="s">
        <v>355</v>
      </c>
      <c r="D71" s="279" t="s">
        <v>488</v>
      </c>
      <c r="E71" s="160" t="str">
        <f>IF($C$18='Auto Responses'!$J$4,'Auto Responses'!$A$3,IF($C71='Auto Responses'!$J$3,VLOOKUP($A71,Questions!$A$2:$X$333,17,0)&amp;"",IF($C71='Auto Responses'!$J$4,VLOOKUP($A71,Questions!$A$2:$X$333,16,0)&amp;"",VLOOKUP($A71,Questions!$A$2:$X$333,15,0)&amp;"")))</f>
        <v>Provide reference to the process or procedure to set up security testing times and scopes.</v>
      </c>
      <c r="F71" s="191" t="str">
        <f>VLOOKUP($A71,'Institution Evaluation'!$A$56:$F$345,6,0)&amp;""</f>
        <v/>
      </c>
      <c r="I71" s="35"/>
      <c r="J71" s="35"/>
    </row>
    <row r="72" spans="1:12" s="1" customFormat="1" ht="60" x14ac:dyDescent="0.15">
      <c r="A72" s="19" t="s">
        <v>169</v>
      </c>
      <c r="B72" s="18" t="str">
        <f>VLOOKUP($A72,Questions!$A$2:$X$333,2,0)</f>
        <v>Have your systems and applications had a third-party security assessment completed in the last year?</v>
      </c>
      <c r="C72" s="21" t="s">
        <v>355</v>
      </c>
      <c r="D72" s="279" t="s">
        <v>489</v>
      </c>
      <c r="E72" s="160" t="str">
        <f>IF($C$18='Auto Responses'!$J$4,'Auto Responses'!$A$3,IF($C72='Auto Responses'!$J$3,VLOOKUP($A72,Questions!$A$2:$X$333,17,0)&amp;"",IF($C72='Auto Responses'!$J$4,VLOOKUP($A72,Questions!$A$2:$X$333,16,0)&amp;"",VLOOKUP($A72,Questions!$A$2:$X$333,15,0)&amp;"")))</f>
        <v>Provide the results with this document (link or attached), if possible. State the date of the last completed third-party security assessment.</v>
      </c>
      <c r="F72" s="191" t="str">
        <f>VLOOKUP($A72,'Institution Evaluation'!$A$56:$F$345,6,0)&amp;""</f>
        <v/>
      </c>
      <c r="I72" s="35"/>
      <c r="J72" s="35"/>
    </row>
    <row r="73" spans="1:12" s="1" customFormat="1" ht="45" x14ac:dyDescent="0.15">
      <c r="A73" s="19" t="s">
        <v>170</v>
      </c>
      <c r="B73" s="18" t="str">
        <f>VLOOKUP($A73,Questions!$A$2:$X$333,2,0)</f>
        <v>Do you regularly scan for common web application security vulnerabilities (e.g., SQL injection, XSS, XSRF, etc.)?</v>
      </c>
      <c r="C73" s="21" t="s">
        <v>355</v>
      </c>
      <c r="D73" s="279" t="s">
        <v>490</v>
      </c>
      <c r="E73" s="160" t="str">
        <f>IF($C$18='Auto Responses'!$J$4,'Auto Responses'!$A$3,IF($C73='Auto Responses'!$J$3,VLOOKUP($A73,Questions!$A$2:$X$333,17,0)&amp;"",IF($C73='Auto Responses'!$J$4,VLOOKUP($A73,Questions!$A$2:$X$333,16,0)&amp;"",VLOOKUP($A73,Questions!$A$2:$X$333,15,0)&amp;"")))</f>
        <v>Ensure that all elements of VULN-05 are clearly stated in your response.</v>
      </c>
      <c r="F73" s="191" t="str">
        <f>VLOOKUP($A73,'Institution Evaluation'!$A$56:$F$345,6,0)&amp;""</f>
        <v/>
      </c>
      <c r="I73" s="35"/>
      <c r="J73" s="35"/>
    </row>
    <row r="74" spans="1:12" s="1" customFormat="1" ht="30" x14ac:dyDescent="0.15">
      <c r="A74" s="19" t="s">
        <v>171</v>
      </c>
      <c r="B74" s="18" t="str">
        <f>VLOOKUP($A74,Questions!$A$2:$X$333,2,0)</f>
        <v>Are your systems and applications regularly scanned externally for vulnerabilities?</v>
      </c>
      <c r="C74" s="21" t="s">
        <v>355</v>
      </c>
      <c r="D74" s="279" t="s">
        <v>491</v>
      </c>
      <c r="E74" s="160" t="str">
        <f>IF($C$18='Auto Responses'!$J$4,'Auto Responses'!$A$3,IF($C74='Auto Responses'!$J$3,VLOOKUP($A74,Questions!$A$2:$X$333,17,0)&amp;"",IF($C74='Auto Responses'!$J$4,VLOOKUP($A74,Questions!$A$2:$X$333,16,0)&amp;"",VLOOKUP($A74,Questions!$A$2:$X$333,15,0)&amp;"")))</f>
        <v>Describe your external application vulnerability scanning strategy.</v>
      </c>
      <c r="F74" s="191" t="str">
        <f>VLOOKUP($A74,'Institution Evaluation'!$A$56:$F$345,6,0)&amp;""</f>
        <v/>
      </c>
      <c r="G74" s="228" t="s">
        <v>361</v>
      </c>
      <c r="H74" s="35"/>
    </row>
    <row r="75" spans="1:12" s="1" customFormat="1" ht="36.75" customHeight="1" x14ac:dyDescent="0.15">
      <c r="A75" s="41" t="s">
        <v>2</v>
      </c>
      <c r="B75" s="241"/>
      <c r="C75" s="242"/>
      <c r="D75" s="280"/>
      <c r="E75" s="244"/>
      <c r="F75" s="23"/>
      <c r="G75" s="228"/>
      <c r="H75" s="35"/>
    </row>
    <row r="76" spans="1:12" s="1" customFormat="1" ht="15" hidden="1" customHeight="1" x14ac:dyDescent="0.15">
      <c r="A76" s="23"/>
      <c r="C76" s="8"/>
      <c r="D76" s="9"/>
      <c r="E76" s="10"/>
      <c r="I76" s="35"/>
      <c r="J76" s="35"/>
    </row>
    <row r="77" spans="1:12" ht="15" hidden="1" customHeight="1" x14ac:dyDescent="0.15">
      <c r="A77" s="1"/>
      <c r="B77" s="8"/>
      <c r="C77" s="68"/>
      <c r="D77" s="10"/>
      <c r="E77" s="1"/>
      <c r="H77" s="35"/>
      <c r="I77" s="1"/>
      <c r="J77" s="1"/>
      <c r="L77" s="23"/>
    </row>
    <row r="78" spans="1:12" ht="0" hidden="1" customHeight="1" x14ac:dyDescent="0.15">
      <c r="A78" s="19" t="e">
        <f>#REF!</f>
        <v>#REF!</v>
      </c>
    </row>
    <row r="79" spans="1:12" ht="0" hidden="1" customHeight="1" x14ac:dyDescent="0.15">
      <c r="A79" s="19" t="e">
        <f>#REF!</f>
        <v>#REF!</v>
      </c>
    </row>
    <row r="80" spans="1:12" ht="0" hidden="1" customHeight="1" x14ac:dyDescent="0.15">
      <c r="A80" s="19" t="e">
        <f>#REF!</f>
        <v>#REF!</v>
      </c>
    </row>
    <row r="81" spans="1:1" ht="0" hidden="1" customHeight="1" x14ac:dyDescent="0.15">
      <c r="A81" s="19" t="e">
        <f>#REF!</f>
        <v>#REF!</v>
      </c>
    </row>
    <row r="82" spans="1:1" ht="0" hidden="1" customHeight="1" x14ac:dyDescent="0.15">
      <c r="A82" s="19" t="e">
        <f>#REF!</f>
        <v>#REF!</v>
      </c>
    </row>
    <row r="83" spans="1:1" ht="0" hidden="1" customHeight="1" x14ac:dyDescent="0.15">
      <c r="A83" s="19" t="e">
        <f>#REF!</f>
        <v>#REF!</v>
      </c>
    </row>
    <row r="84" spans="1:1" ht="0" hidden="1" customHeight="1" x14ac:dyDescent="0.15">
      <c r="A84" s="19" t="e">
        <f>#REF!</f>
        <v>#REF!</v>
      </c>
    </row>
  </sheetData>
  <dataValidations count="3">
    <dataValidation allowBlank="1" showInputMessage="1" showErrorMessage="1" promptTitle="Warning!" prompt="The HECVAT is built using a number of complex formulas. Editing this cell can break the functionality of the tool. " sqref="A3:A75 B2:B75 C2 C4:C12 C17:D17 C19:D19 C34:D34 C51:D51 C63:D63 C68:D68 D2:F12 E17:F74" xr:uid="{00000000-0002-0000-0300-000000000000}"/>
    <dataValidation allowBlank="1" showInputMessage="1" showErrorMessage="1" prompt="This answer has been populated from the &quot;START HERE&quot; tab and does not need to be re-entered." sqref="C3 C13:C16 C18" xr:uid="{00000000-0002-0000-0300-000001000000}"/>
    <dataValidation allowBlank="1" showInputMessage="1" showErrorMessage="1" prompt="This cell should be left blank. Input your answer in column C." sqref="D61" xr:uid="{00000000-0002-0000-0300-000002000000}"/>
  </dataValidations>
  <hyperlinks>
    <hyperlink ref="A11" r:id="rId1" display="http://www.educause.edu/HECVAT" xr:uid="{00000000-0004-0000-0300-000000000000}"/>
  </hyperlinks>
  <pageMargins left="0.75" right="0.75" top="1" bottom="1" header="0.5" footer="0.5"/>
  <pageSetup orientation="landscape"/>
  <headerFooter>
    <oddFooter>&amp;L&amp;"Helvetica,Regular"&amp;12 &amp;K000000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36C"/>
  </sheetPr>
  <dimension ref="A1:L47"/>
  <sheetViews>
    <sheetView showGridLines="0" showZeros="0" topLeftCell="A2" zoomScale="120" zoomScaleNormal="120" workbookViewId="0">
      <selection activeCell="D36" sqref="D36"/>
    </sheetView>
  </sheetViews>
  <sheetFormatPr baseColWidth="10" defaultColWidth="0" defaultRowHeight="0" customHeight="1" zeroHeight="1" x14ac:dyDescent="0.2"/>
  <cols>
    <col min="1" max="1" width="8.25" style="320" customWidth="1"/>
    <col min="2" max="2" width="55.125" style="1" customWidth="1"/>
    <col min="3" max="3" width="18.875" style="8" customWidth="1"/>
    <col min="4" max="4" width="55.75" style="9" customWidth="1"/>
    <col min="5" max="5" width="32" style="10" customWidth="1"/>
    <col min="6" max="6" width="30.75" style="1" customWidth="1"/>
    <col min="7" max="7" width="18.125" style="1" customWidth="1"/>
    <col min="8" max="8" width="18.125" style="1" hidden="1" customWidth="1"/>
    <col min="9" max="10" width="18.125" style="35" hidden="1" customWidth="1"/>
    <col min="11" max="11" width="4.5" style="1" hidden="1" customWidth="1"/>
    <col min="12" max="12" width="6.625" style="1" hidden="1" customWidth="1"/>
    <col min="13" max="13" width="6.625" style="320" hidden="1" customWidth="1"/>
    <col min="14" max="16384" width="6.625" style="320" hidden="1"/>
  </cols>
  <sheetData>
    <row r="1" spans="1:10" ht="0" hidden="1" customHeight="1" x14ac:dyDescent="0.2">
      <c r="A1" t="s">
        <v>346</v>
      </c>
    </row>
    <row r="2" spans="1:10" ht="36" customHeight="1" x14ac:dyDescent="0.2">
      <c r="A2" s="161" t="s">
        <v>492</v>
      </c>
      <c r="B2" s="161"/>
      <c r="C2" s="162"/>
      <c r="D2" s="271"/>
      <c r="E2" s="163"/>
      <c r="F2" s="163" t="str">
        <f>'Auto Responses'!$A$36</f>
        <v>Version 4.1.5</v>
      </c>
      <c r="J2" s="1"/>
    </row>
    <row r="3" spans="1:10" s="1" customFormat="1" ht="29" customHeight="1" x14ac:dyDescent="0.15">
      <c r="A3" s="37" t="s">
        <v>348</v>
      </c>
      <c r="B3" s="38"/>
      <c r="C3" s="64" t="str">
        <f>'START HERE'!$C$3</f>
        <v>2025-04-08</v>
      </c>
      <c r="D3" s="272"/>
      <c r="E3" s="36"/>
      <c r="F3" s="50"/>
      <c r="I3" s="35"/>
    </row>
    <row r="4" spans="1:10" s="1" customFormat="1" ht="36" customHeight="1" x14ac:dyDescent="0.15">
      <c r="A4" s="11" t="s">
        <v>350</v>
      </c>
      <c r="B4" s="12"/>
      <c r="C4" s="13"/>
      <c r="D4" s="14"/>
      <c r="E4" s="15"/>
      <c r="F4" s="15"/>
      <c r="I4" s="35"/>
    </row>
    <row r="5" spans="1:10" s="1" customFormat="1" ht="19.5" customHeight="1" x14ac:dyDescent="0.15">
      <c r="A5" s="42" t="str">
        <f>HLOOKUP($A$4,'Auto Responses'!$D$2:$D$8,2,0)&amp;""</f>
        <v>1. Complete the "Start Here" tab and review the "Required Questions" guidance to find the other sections are required for your product or service.</v>
      </c>
      <c r="B5" s="16"/>
      <c r="C5" s="65"/>
      <c r="D5" s="273"/>
      <c r="E5" s="16"/>
      <c r="F5" s="247"/>
      <c r="I5" s="35"/>
    </row>
    <row r="6" spans="1:10" s="1" customFormat="1" ht="19.5" customHeight="1" x14ac:dyDescent="0.15">
      <c r="A6" s="42" t="str">
        <f>HLOOKUP($A$4,'Auto Responses'!$D$2:$D$8,3,0)&amp;""</f>
        <v>2. Complete the "Organization" tab and the applicable questions in each of the next 5 tabs (Product through Privacy) that apply, based on your answers to the "Required Questions."</v>
      </c>
      <c r="B6" s="16"/>
      <c r="C6" s="65"/>
      <c r="D6" s="273"/>
      <c r="E6" s="16"/>
      <c r="F6" s="248"/>
      <c r="I6" s="35"/>
    </row>
    <row r="7" spans="1:10" s="1" customFormat="1" ht="19.5" customHeight="1" x14ac:dyDescent="0.15">
      <c r="A7" s="42" t="str">
        <f>HLOOKUP($A$4,'Auto Responses'!$D$2:$D$8,4,0)&amp;""</f>
        <v xml:space="preserve">3. Guidance in column E may change based on your answers to prompt details in "Additional Information." If leaving an answer blank, you must also state why in "Additional Information". </v>
      </c>
      <c r="B7" s="16"/>
      <c r="C7" s="65"/>
      <c r="D7" s="273"/>
      <c r="E7" s="16"/>
      <c r="F7" s="248"/>
      <c r="I7" s="35"/>
    </row>
    <row r="8" spans="1:10" s="1" customFormat="1" ht="19.5" customHeight="1" x14ac:dyDescent="0.15">
      <c r="A8" s="42" t="str">
        <f>HLOOKUP($A$4,'Auto Responses'!$D$2:$D$8,5,0)&amp;""</f>
        <v>4. DO NOT complete any fields in the "Evaluation" sheets or the "Analyst Notes" column.</v>
      </c>
      <c r="B8" s="16"/>
      <c r="C8" s="65"/>
      <c r="D8" s="273"/>
      <c r="E8" s="16"/>
      <c r="F8" s="248"/>
      <c r="I8" s="35"/>
    </row>
    <row r="9" spans="1:10" s="1" customFormat="1" ht="19.5" customHeight="1" x14ac:dyDescent="0.15">
      <c r="A9" s="42" t="str">
        <f>HLOOKUP($A$4,'Auto Responses'!$D$2:$D$8,6,0)&amp;""</f>
        <v>5. Return the completed file to institutions.</v>
      </c>
      <c r="B9" s="16"/>
      <c r="C9" s="65"/>
      <c r="D9" s="273"/>
      <c r="E9" s="16"/>
      <c r="F9" s="248"/>
      <c r="I9" s="35"/>
    </row>
    <row r="10" spans="1:10" s="1" customFormat="1" ht="19.5" customHeight="1" x14ac:dyDescent="0.15">
      <c r="A10" s="235" t="str">
        <f>HLOOKUP($A$4,'Auto Responses'!$D$2:$D$8,7,0)&amp;""</f>
        <v>* Denotes critical questions. Critical questions are those deemed most important to institutions by higher education volunteers.</v>
      </c>
      <c r="B10" s="16"/>
      <c r="C10" s="65"/>
      <c r="D10" s="273"/>
      <c r="E10" s="16"/>
      <c r="F10" s="248"/>
      <c r="I10" s="35"/>
    </row>
    <row r="11" spans="1:10" s="1" customFormat="1" ht="19.5" customHeight="1" x14ac:dyDescent="0.15">
      <c r="A11" s="234" t="str">
        <f>HLOOKUP($A$4,'Auto Responses'!$D$2:$D$9,8,0)&amp;""</f>
        <v>For full instructions, please visit educause.edu/HECVAT</v>
      </c>
      <c r="B11" s="16"/>
      <c r="C11" s="65"/>
      <c r="D11" s="273"/>
      <c r="E11" s="16"/>
      <c r="F11" s="249"/>
      <c r="I11" s="35"/>
    </row>
    <row r="12" spans="1:10" s="1" customFormat="1" ht="36" customHeight="1" x14ac:dyDescent="0.15">
      <c r="A12" s="61" t="str">
        <f>VLOOKUP(LEFT($A13,4),'Auto Responses'!$N$4:$O$38,2,0)&amp;""</f>
        <v xml:space="preserve"> General Information</v>
      </c>
      <c r="B12" s="12"/>
      <c r="C12" s="13" t="s">
        <v>351</v>
      </c>
      <c r="D12" s="274"/>
      <c r="E12" s="17"/>
      <c r="F12" s="17"/>
      <c r="I12" s="35"/>
      <c r="J12" s="35"/>
    </row>
    <row r="13" spans="1:10" s="1" customFormat="1" ht="22.25" customHeight="1" x14ac:dyDescent="0.15">
      <c r="A13" s="19" t="s">
        <v>7</v>
      </c>
      <c r="B13" s="20" t="str">
        <f>VLOOKUP($A13,Questions!$A$2:$X$333,2,0)&amp;""</f>
        <v>Solution Provider Name</v>
      </c>
      <c r="C13" s="72" t="str">
        <f ca="1">VLOOKUP($A13,'START HERE'!$A$13:$C$21,3,0)&amp;""</f>
        <v>Accredible (EdInvent Inc. d.b.a. Accredible)</v>
      </c>
      <c r="D13" s="32"/>
      <c r="E13" s="32"/>
      <c r="F13" s="50"/>
      <c r="I13" s="35"/>
      <c r="J13" s="35"/>
    </row>
    <row r="14" spans="1:10" s="1" customFormat="1" ht="22.25" customHeight="1" x14ac:dyDescent="0.15">
      <c r="A14" s="19" t="s">
        <v>8</v>
      </c>
      <c r="B14" s="20" t="str">
        <f>VLOOKUP($A14,Questions!$A$2:$X$333,2,0)&amp;""</f>
        <v>Solution Name</v>
      </c>
      <c r="C14" s="72" t="str">
        <f ca="1">VLOOKUP($A14,'START HERE'!$A$13:$C$21,3,0)&amp;""</f>
        <v>Accredible Digital Credentialing Platform</v>
      </c>
      <c r="D14" s="32"/>
      <c r="E14" s="32"/>
      <c r="F14" s="50"/>
      <c r="I14" s="35"/>
      <c r="J14" s="35"/>
    </row>
    <row r="15" spans="1:10" s="1" customFormat="1" ht="22.25" customHeight="1" x14ac:dyDescent="0.15">
      <c r="A15" s="19" t="s">
        <v>9</v>
      </c>
      <c r="B15" s="20" t="str">
        <f>VLOOKUP($A15,Questions!$A$2:$X$333,2,0)&amp;""</f>
        <v>Solution Description</v>
      </c>
      <c r="C15" s="72" t="str">
        <f ca="1">VLOOKUP($A15,'START HERE'!$A$13:$C$21,3,0)&amp;""</f>
        <v>Accredible is a cloud-hosted, multi-tenant Software as a Service (SaaS) digital credentialing platform that enables organizations to design, issue, manage, and verify digital credentials including certificates and badges.</v>
      </c>
      <c r="D15" s="32"/>
      <c r="E15" s="32"/>
      <c r="F15" s="50"/>
      <c r="I15" s="35"/>
      <c r="J15" s="35"/>
    </row>
    <row r="16" spans="1:10" s="1" customFormat="1" ht="22.25" customHeight="1" thickBot="1" x14ac:dyDescent="0.2">
      <c r="A16" s="19" t="s">
        <v>14</v>
      </c>
      <c r="B16" s="20" t="str">
        <f>VLOOKUP($A16,Questions!$A$2:$X$333,2,0)&amp;""</f>
        <v>Country of Company Headquarters</v>
      </c>
      <c r="C16" s="72" t="str">
        <f ca="1">VLOOKUP($A16,'START HERE'!$A$13:$C$21,3,0)&amp;""</f>
        <v>United States</v>
      </c>
      <c r="D16" s="32"/>
      <c r="E16" s="32"/>
      <c r="F16" s="50"/>
      <c r="I16" s="35"/>
      <c r="J16" s="35"/>
    </row>
    <row r="17" spans="1:10" s="1" customFormat="1" ht="37.25" customHeight="1" thickBot="1" x14ac:dyDescent="0.2">
      <c r="A17" s="61" t="str">
        <f>VLOOKUP(LEFT($A18,4),'Auto Responses'!$N$4:$O$38,2,0)&amp;""</f>
        <v xml:space="preserve"> Required Questions</v>
      </c>
      <c r="B17" s="22"/>
      <c r="C17" s="13" t="s">
        <v>351</v>
      </c>
      <c r="D17" s="13"/>
      <c r="E17" s="31" t="s">
        <v>353</v>
      </c>
      <c r="F17" s="178" t="s">
        <v>354</v>
      </c>
      <c r="I17" s="35"/>
      <c r="J17" s="35"/>
    </row>
    <row r="18" spans="1:10" s="1" customFormat="1" ht="54" customHeight="1" thickBot="1" x14ac:dyDescent="0.2">
      <c r="A18" s="19" t="s">
        <v>25</v>
      </c>
      <c r="B18" s="18" t="str">
        <f>VLOOKUP($A18,Questions!$A$2:$X$333,2,0)</f>
        <v>Does your product or service have an interface?</v>
      </c>
      <c r="C18" s="69" t="str">
        <f>VLOOKUP($A18,'START HERE'!$A$23:$F$36,3,0)&amp;""</f>
        <v>Yes</v>
      </c>
      <c r="D18" s="275" t="str">
        <f>VLOOKUP($A18,'START HERE'!$A$23:$F$36,4,0)&amp;""</f>
        <v>Accredible provides a web-based Dashboard interface for issuers, and web-based credential pages for recipients accessible via modern browsers.</v>
      </c>
      <c r="E18" s="160" t="str">
        <f>IF($C18='Auto Responses'!$J$3,VLOOKUP($A18,Questions!$A$2:$X$333,17,0)&amp;"",IF($C18='Auto Responses'!$J$4,VLOOKUP($A18,Questions!$A$2:$X$333,16,0)&amp;"",VLOOKUP($A18,Questions!$A$2:$X$333,15,0)&amp;""))</f>
        <v>DO complete the IT Accessibility worksheet.</v>
      </c>
      <c r="F18" s="191" t="str">
        <f>VLOOKUP($A18,'Institution Evaluation'!$A$56:$F$345,6,0)&amp;""</f>
        <v/>
      </c>
      <c r="G18" s="228" t="s">
        <v>361</v>
      </c>
      <c r="I18" s="35"/>
      <c r="J18" s="35"/>
    </row>
    <row r="19" spans="1:10" s="1" customFormat="1" ht="37.25" customHeight="1" thickBot="1" x14ac:dyDescent="0.2">
      <c r="A19" s="61" t="str">
        <f>VLOOKUP(LEFT($A20,4),'Auto Responses'!$N$4:$O$38,2,0)&amp;""</f>
        <v xml:space="preserve"> IT Accessibility</v>
      </c>
      <c r="B19" s="22"/>
      <c r="C19" s="13" t="s">
        <v>351</v>
      </c>
      <c r="D19" s="13" t="s">
        <v>352</v>
      </c>
      <c r="E19" s="31" t="s">
        <v>353</v>
      </c>
      <c r="F19" s="178" t="s">
        <v>354</v>
      </c>
      <c r="I19" s="35"/>
      <c r="J19" s="35"/>
    </row>
    <row r="20" spans="1:10" s="1" customFormat="1" ht="30" customHeight="1" x14ac:dyDescent="0.15">
      <c r="A20" s="19" t="s">
        <v>172</v>
      </c>
      <c r="B20" s="18" t="str">
        <f>VLOOKUP($A20,Questions!$A$2:$X$333,2,0)</f>
        <v>Solution Provider Accessibility Contact Name</v>
      </c>
      <c r="C20" s="72" t="s">
        <v>2148</v>
      </c>
      <c r="D20" s="276"/>
      <c r="E20" s="160" t="str">
        <f>IF($C$18='Auto Responses'!$J$4,'Auto Responses'!$A$4,IF($C20='Auto Responses'!$J$3,VLOOKUP($A20,Questions!$A$2:$X$333,17,0)&amp;"",IF($C20='Auto Responses'!$J$4,VLOOKUP($A20,Questions!$A$2:$X$333,16,0)&amp;"",VLOOKUP($A20,Questions!$A$2:$X$333,15,0)&amp;"")))</f>
        <v/>
      </c>
      <c r="F20" s="191" t="str">
        <f>VLOOKUP($A20,'Institution Evaluation'!$A$56:$F$345,6,0)&amp;""</f>
        <v/>
      </c>
      <c r="I20" s="35"/>
      <c r="J20" s="35"/>
    </row>
    <row r="21" spans="1:10" s="1" customFormat="1" ht="30" customHeight="1" x14ac:dyDescent="0.15">
      <c r="A21" s="19" t="s">
        <v>173</v>
      </c>
      <c r="B21" s="18" t="str">
        <f>VLOOKUP($A21,Questions!$A$2:$X$333,2,0)</f>
        <v>Solution Provider Accessibility Contact Title</v>
      </c>
      <c r="C21" s="72" t="s">
        <v>2149</v>
      </c>
      <c r="D21" s="276"/>
      <c r="E21" s="160" t="str">
        <f>IF($C$18='Auto Responses'!$J$4,'Auto Responses'!$A$4,IF($C21='Auto Responses'!$J$3,VLOOKUP($A21,Questions!$A$2:$X$333,17,0)&amp;"",IF($C21='Auto Responses'!$J$4,VLOOKUP($A21,Questions!$A$2:$X$333,16,0)&amp;"",VLOOKUP($A21,Questions!$A$2:$X$333,15,0)&amp;"")))</f>
        <v/>
      </c>
      <c r="F21" s="191" t="str">
        <f>VLOOKUP($A21,'Institution Evaluation'!$A$56:$F$345,6,0)&amp;""</f>
        <v/>
      </c>
      <c r="I21" s="35"/>
      <c r="J21" s="35"/>
    </row>
    <row r="22" spans="1:10" s="1" customFormat="1" ht="30" customHeight="1" x14ac:dyDescent="0.15">
      <c r="A22" s="19" t="s">
        <v>174</v>
      </c>
      <c r="B22" s="18" t="str">
        <f>VLOOKUP($A22,Questions!$A$2:$X$333,2,0)</f>
        <v>Solution Provider Accessibility Contact Email</v>
      </c>
      <c r="C22" s="323" t="s">
        <v>2150</v>
      </c>
      <c r="D22" s="276"/>
      <c r="E22" s="160" t="str">
        <f>IF($C$18='Auto Responses'!$J$4,'Auto Responses'!$A$4,IF($C22='Auto Responses'!$J$3,VLOOKUP($A22,Questions!$A$2:$X$333,17,0)&amp;"",IF($C22='Auto Responses'!$J$4,VLOOKUP($A22,Questions!$A$2:$X$333,16,0)&amp;"",VLOOKUP($A22,Questions!$A$2:$X$333,15,0)&amp;"")))</f>
        <v/>
      </c>
      <c r="F22" s="191" t="str">
        <f>VLOOKUP($A22,'Institution Evaluation'!$A$56:$F$345,6,0)&amp;""</f>
        <v/>
      </c>
      <c r="I22" s="35"/>
      <c r="J22" s="35"/>
    </row>
    <row r="23" spans="1:10" s="1" customFormat="1" ht="30" customHeight="1" x14ac:dyDescent="0.15">
      <c r="A23" s="19" t="s">
        <v>175</v>
      </c>
      <c r="B23" s="18" t="str">
        <f>VLOOKUP($A23,Questions!$A$2:$X$333,2,0)</f>
        <v>Solution Provider Accessibility Contact Phone Number</v>
      </c>
      <c r="C23" s="324" t="s">
        <v>2151</v>
      </c>
      <c r="D23" s="276"/>
      <c r="E23" s="160" t="str">
        <f>IF($C$18='Auto Responses'!$J$4,'Auto Responses'!$A$4,IF($C23='Auto Responses'!$J$3,VLOOKUP($A23,Questions!$A$2:$X$333,17,0)&amp;"",IF($C23='Auto Responses'!$J$4,VLOOKUP($A23,Questions!$A$2:$X$333,16,0)&amp;"",VLOOKUP($A23,Questions!$A$2:$X$333,15,0)&amp;"")))</f>
        <v/>
      </c>
      <c r="F23" s="191" t="str">
        <f>VLOOKUP($A23,'Institution Evaluation'!$A$56:$F$345,6,0)&amp;""</f>
        <v/>
      </c>
      <c r="I23" s="35"/>
      <c r="J23" s="35"/>
    </row>
    <row r="24" spans="1:10" s="1" customFormat="1" ht="30" customHeight="1" x14ac:dyDescent="0.15">
      <c r="A24" s="19" t="s">
        <v>176</v>
      </c>
      <c r="B24" s="18" t="str">
        <f>VLOOKUP($A24,Questions!$A$2:$X$333,2,0)</f>
        <v>Web Link to Accessibility Statement or VPAT</v>
      </c>
      <c r="C24" s="323" t="s">
        <v>2171</v>
      </c>
      <c r="D24" s="276" t="s">
        <v>493</v>
      </c>
      <c r="E24" s="160" t="str">
        <f>IF($C$18='Auto Responses'!$J$4,'Auto Responses'!$A$4,IF($C24='Auto Responses'!$J$3,VLOOKUP($A24,Questions!$A$2:$X$333,17,0)&amp;"",IF($C24='Auto Responses'!$J$4,VLOOKUP($A24,Questions!$A$2:$X$333,16,0)&amp;"",VLOOKUP($A24,Questions!$A$2:$X$333,15,0)&amp;"")))</f>
        <v>VPAT can also be added as an attachment</v>
      </c>
      <c r="F24" s="191" t="str">
        <f>VLOOKUP($A24,'Institution Evaluation'!$A$56:$F$345,6,0)&amp;""</f>
        <v/>
      </c>
      <c r="I24" s="35"/>
      <c r="J24" s="35"/>
    </row>
    <row r="25" spans="1:10" s="1" customFormat="1" ht="45" x14ac:dyDescent="0.15">
      <c r="A25" s="19" t="s">
        <v>177</v>
      </c>
      <c r="B25" s="18" t="str">
        <f>VLOOKUP($A25,Questions!$A$2:$X$333,2,0)</f>
        <v>Has a VPAT or ACR been created or updated for the solution and version under consideration within the past 12 months?*</v>
      </c>
      <c r="C25" s="21" t="s">
        <v>355</v>
      </c>
      <c r="D25" s="276" t="s">
        <v>494</v>
      </c>
      <c r="E25" s="160" t="str">
        <f>IF($C$18='Auto Responses'!$J$4,'Auto Responses'!$A$4,IF($C25='Auto Responses'!$J$3,VLOOKUP($A25,Questions!$A$2:$X$333,17,0)&amp;"",IF($C25='Auto Responses'!$J$4,VLOOKUP($A25,Questions!$A$2:$X$333,16,0)&amp;"",VLOOKUP($A25,Questions!$A$2:$X$333,15,0)&amp;"")))</f>
        <v>State the date the VPAT was completed. Include this VPAT in your submission and/or link to its web location.</v>
      </c>
      <c r="F25" s="191" t="str">
        <f>VLOOKUP($A25,'Institution Evaluation'!$A$56:$F$345,6,0)&amp;""</f>
        <v/>
      </c>
      <c r="I25" s="35"/>
      <c r="J25" s="35"/>
    </row>
    <row r="26" spans="1:10" s="1" customFormat="1" ht="30" x14ac:dyDescent="0.15">
      <c r="A26" s="19" t="s">
        <v>178</v>
      </c>
      <c r="B26" s="18" t="str">
        <f>VLOOKUP($A26,Questions!$A$2:$X$333,2,0)</f>
        <v>Will your company agree to meet your stated accessibility standard or WCAG 2.1 AA as part of your contractual agreement for the solution?*</v>
      </c>
      <c r="C26" s="21" t="s">
        <v>355</v>
      </c>
      <c r="D26" s="276" t="s">
        <v>495</v>
      </c>
      <c r="E26" s="160" t="str">
        <f>IF($C$18='Auto Responses'!$J$4,'Auto Responses'!$A$4,IF($C26='Auto Responses'!$J$3,VLOOKUP($A26,Questions!$A$2:$X$333,17,0)&amp;"",IF($C26='Auto Responses'!$J$4,VLOOKUP($A26,Questions!$A$2:$X$333,16,0)&amp;"",VLOOKUP($A26,Questions!$A$2:$X$333,15,0)&amp;"")))</f>
        <v/>
      </c>
      <c r="F26" s="191" t="str">
        <f>VLOOKUP($A26,'Institution Evaluation'!$A$56:$F$345,6,0)&amp;""</f>
        <v/>
      </c>
      <c r="I26" s="35"/>
      <c r="J26" s="35"/>
    </row>
    <row r="27" spans="1:10" s="1" customFormat="1" ht="135" x14ac:dyDescent="0.15">
      <c r="A27" s="19" t="s">
        <v>179</v>
      </c>
      <c r="B27" s="18" t="str">
        <f>VLOOKUP($A27,Questions!$A$2:$X$333,2,0)</f>
        <v>Does the solution substantially conform to WCAG 2.1 AA?*</v>
      </c>
      <c r="C27" s="21" t="s">
        <v>355</v>
      </c>
      <c r="D27" s="276" t="s">
        <v>496</v>
      </c>
      <c r="E27" s="160" t="str">
        <f>IF($C$18='Auto Responses'!$J$4,'Auto Responses'!$A$4,IF($C27='Auto Responses'!$J$3,VLOOKUP($A27,Questions!$A$2:$X$333,17,0)&amp;"",IF($C27='Auto Responses'!$J$4,VLOOKUP($A27,Questions!$A$2:$X$333,16,0)&amp;"",VLOOKUP($A27,Questions!$A$2:$X$333,15,0)&amp;"")))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7" s="191" t="str">
        <f>VLOOKUP($A27,'Institution Evaluation'!$A$56:$F$345,6,0)&amp;""</f>
        <v/>
      </c>
      <c r="I27" s="35"/>
      <c r="J27" s="35"/>
    </row>
    <row r="28" spans="1:10" s="1" customFormat="1" ht="45" x14ac:dyDescent="0.15">
      <c r="A28" s="19" t="s">
        <v>180</v>
      </c>
      <c r="B28" s="18" t="str">
        <f>VLOOKUP($A28,Questions!$A$2:$X$333,2,0)</f>
        <v>Do you have a documented and implemented process for reporting and tracking accessibility issues?*</v>
      </c>
      <c r="C28" s="21" t="s">
        <v>355</v>
      </c>
      <c r="D28" s="276" t="s">
        <v>497</v>
      </c>
      <c r="E28" s="160" t="str">
        <f>IF($C$18='Auto Responses'!$J$4,'Auto Responses'!$A$4,IF($C28='Auto Responses'!$J$3,VLOOKUP($A28,Questions!$A$2:$X$333,17,0)&amp;"",IF($C28='Auto Responses'!$J$4,VLOOKUP($A28,Questions!$A$2:$X$333,16,0)&amp;"",VLOOKUP($A28,Questions!$A$2:$X$333,15,0)&amp;"")))</f>
        <v>Describe the process and any recent examples of fixes as a result of the process.</v>
      </c>
      <c r="F28" s="191" t="str">
        <f>VLOOKUP($A28,'Institution Evaluation'!$A$56:$F$345,6,0)&amp;""</f>
        <v/>
      </c>
      <c r="I28" s="35"/>
      <c r="J28" s="35"/>
    </row>
    <row r="29" spans="1:10" s="1" customFormat="1" ht="30" x14ac:dyDescent="0.15">
      <c r="A29" s="19" t="s">
        <v>181</v>
      </c>
      <c r="B29" s="18" t="str">
        <f>VLOOKUP($A29,Questions!$A$2:$X$333,2,0)</f>
        <v>Do you have documentation to support the accessibility features of your solution?</v>
      </c>
      <c r="C29" s="21" t="s">
        <v>355</v>
      </c>
      <c r="D29" s="276" t="s">
        <v>498</v>
      </c>
      <c r="E29" s="160" t="str">
        <f>IF($C$18='Auto Responses'!$J$4,'Auto Responses'!$A$4,IF($C29='Auto Responses'!$J$3,VLOOKUP($A29,Questions!$A$2:$X$333,17,0)&amp;"",IF($C29='Auto Responses'!$J$4,VLOOKUP($A29,Questions!$A$2:$X$333,16,0)&amp;"",VLOOKUP($A29,Questions!$A$2:$X$333,15,0)&amp;"")))</f>
        <v>Provide examples with links where possible.</v>
      </c>
      <c r="F29" s="191" t="str">
        <f>VLOOKUP($A29,'Institution Evaluation'!$A$56:$F$345,6,0)&amp;""</f>
        <v/>
      </c>
      <c r="I29" s="35"/>
      <c r="J29" s="35"/>
    </row>
    <row r="30" spans="1:10" s="1" customFormat="1" ht="60" x14ac:dyDescent="0.15">
      <c r="A30" s="19" t="s">
        <v>182</v>
      </c>
      <c r="B30" s="18" t="str">
        <f>VLOOKUP($A30,Questions!$A$2:$X$333,2,0)</f>
        <v>Has a third-party expert conducted an audit of the most recent version of your solution?</v>
      </c>
      <c r="C30" s="21" t="s">
        <v>355</v>
      </c>
      <c r="D30" s="276" t="s">
        <v>499</v>
      </c>
      <c r="E30" s="160" t="str">
        <f>IF($C$18='Auto Responses'!$J$4,'Auto Responses'!$A$4,IF($C30='Auto Responses'!$J$3,VLOOKUP($A30,Questions!$A$2:$X$333,17,0)&amp;"",IF($C30='Auto Responses'!$J$4,VLOOKUP($A30,Questions!$A$2:$X$333,16,0)&amp;"",VLOOKUP($A30,Questions!$A$2:$X$333,15,0)&amp;"")))</f>
        <v>State when the audit was conducted and by whom. Include the results in your submission and/or link to its web location.</v>
      </c>
      <c r="F30" s="191" t="str">
        <f>VLOOKUP($A30,'Institution Evaluation'!$A$56:$F$345,6,0)&amp;""</f>
        <v/>
      </c>
      <c r="I30" s="35"/>
      <c r="J30" s="35"/>
    </row>
    <row r="31" spans="1:10" s="1" customFormat="1" ht="45" x14ac:dyDescent="0.15">
      <c r="A31" s="19" t="s">
        <v>183</v>
      </c>
      <c r="B31" s="18" t="str">
        <f>VLOOKUP($A31,Questions!$A$2:$X$333,2,0)</f>
        <v>Do you have a documented and implemented process for verifying accessibility conformance?</v>
      </c>
      <c r="C31" s="21" t="s">
        <v>355</v>
      </c>
      <c r="D31" s="276" t="s">
        <v>500</v>
      </c>
      <c r="E31" s="160" t="str">
        <f>IF($C$18='Auto Responses'!$J$4,'Auto Responses'!$A$4,IF($C31='Auto Responses'!$J$3,VLOOKUP($A31,Questions!$A$2:$X$333,17,0)&amp;"",IF($C31='Auto Responses'!$J$4,VLOOKUP($A31,Questions!$A$2:$X$333,16,0)&amp;"",VLOOKUP($A31,Questions!$A$2:$X$333,15,0)&amp;"")))</f>
        <v>Describe your processes and methodologies for validating accessibility conformance.</v>
      </c>
      <c r="F31" s="191" t="str">
        <f>VLOOKUP($A31,'Institution Evaluation'!$A$56:$F$345,6,0)&amp;""</f>
        <v/>
      </c>
      <c r="I31" s="35"/>
      <c r="J31" s="35"/>
    </row>
    <row r="32" spans="1:10" s="1" customFormat="1" ht="30" x14ac:dyDescent="0.15">
      <c r="A32" s="19" t="s">
        <v>184</v>
      </c>
      <c r="B32" s="18" t="str">
        <f>VLOOKUP($A32,Questions!$A$2:$X$333,2,0)</f>
        <v>Have you adopted a technical or legal standard of conformance for the solution?</v>
      </c>
      <c r="C32" s="21" t="s">
        <v>355</v>
      </c>
      <c r="D32" s="276" t="s">
        <v>501</v>
      </c>
      <c r="E32" s="160" t="str">
        <f>IF($C$18='Auto Responses'!$J$4,'Auto Responses'!$A$4,IF($C32='Auto Responses'!$J$3,VLOOKUP($A32,Questions!$A$2:$X$333,17,0)&amp;"",IF($C32='Auto Responses'!$J$4,VLOOKUP($A32,Questions!$A$2:$X$333,16,0)&amp;"",VLOOKUP($A32,Questions!$A$2:$X$333,15,0)&amp;"")))</f>
        <v>Indicate which primary standards and all additional standards the solution meets.</v>
      </c>
      <c r="F32" s="191" t="str">
        <f>VLOOKUP($A32,'Institution Evaluation'!$A$56:$F$345,6,0)&amp;""</f>
        <v/>
      </c>
      <c r="I32" s="35"/>
      <c r="J32" s="35"/>
    </row>
    <row r="33" spans="1:12" s="1" customFormat="1" ht="60" x14ac:dyDescent="0.15">
      <c r="A33" s="19" t="s">
        <v>185</v>
      </c>
      <c r="B33" s="18" t="str">
        <f>VLOOKUP($A33,Questions!$A$2:$X$333,2,0)</f>
        <v>Can you provide a current, detailed accessibility roadmap with delivery timelines?</v>
      </c>
      <c r="C33" s="21" t="s">
        <v>355</v>
      </c>
      <c r="D33" s="276" t="s">
        <v>502</v>
      </c>
      <c r="E33" s="160" t="str">
        <f>IF($C$18='Auto Responses'!$J$4,'Auto Responses'!$A$4,IF($C33='Auto Responses'!$J$3,VLOOKUP($A33,Questions!$A$2:$X$333,17,0)&amp;"",IF($C33='Auto Responses'!$J$4,VLOOKUP($A33,Questions!$A$2:$X$333,16,0)&amp;"",VLOOKUP($A33,Questions!$A$2:$X$333,15,0)&amp;"")))</f>
        <v>Comment on how far into the future the roadmap extends. Provide evidence (including links) of having delivered upon the accessibility roadmap in the past.</v>
      </c>
      <c r="F33" s="191" t="str">
        <f>VLOOKUP($A33,'Institution Evaluation'!$A$56:$F$345,6,0)&amp;""</f>
        <v/>
      </c>
      <c r="I33" s="35"/>
      <c r="J33" s="35"/>
    </row>
    <row r="34" spans="1:12" s="1" customFormat="1" ht="120" x14ac:dyDescent="0.15">
      <c r="A34" s="19" t="s">
        <v>186</v>
      </c>
      <c r="B34" s="18" t="str">
        <f>VLOOKUP($A34,Questions!$A$2:$X$333,2,0)</f>
        <v>Do you expect your staff to maintain a current skill set in IT accessibility?</v>
      </c>
      <c r="C34" s="21" t="s">
        <v>355</v>
      </c>
      <c r="D34" s="276" t="s">
        <v>503</v>
      </c>
      <c r="E34" s="160" t="str">
        <f>IF($C$18='Auto Responses'!$J$4,'Auto Responses'!$A$4,IF($C34='Auto Responses'!$J$3,VLOOKUP($A34,Questions!$A$2:$X$333,17,0)&amp;"",IF($C34='Auto Responses'!$J$4,VLOOKUP($A34,Questions!$A$2:$X$333,16,0)&amp;"",VLOOKUP($A34,Questions!$A$2:$X$333,15,0)&amp;"")))</f>
        <v>Provide any further relevant information about how expertise is maintained; include any accessibility certifications staff may hold (e.g., IAAP WAS &lt;https://www.accessibilityassociation.org/certifications&gt; or DHS Trusted Tester &lt;https://section508.gov/test/trusted-tester&gt;).</v>
      </c>
      <c r="F34" s="191" t="str">
        <f>VLOOKUP($A34,'Institution Evaluation'!$A$56:$F$345,6,0)&amp;""</f>
        <v/>
      </c>
      <c r="I34" s="35"/>
      <c r="J34" s="35"/>
    </row>
    <row r="35" spans="1:12" s="1" customFormat="1" ht="30" x14ac:dyDescent="0.15">
      <c r="A35" s="19" t="s">
        <v>187</v>
      </c>
      <c r="B35" s="18" t="str">
        <f>VLOOKUP($A35,Questions!$A$2:$X$333,2,0)</f>
        <v>Do you have documented processes and procedures for implementing accessibility into your development lifecycle?</v>
      </c>
      <c r="C35" s="21" t="s">
        <v>355</v>
      </c>
      <c r="D35" s="276" t="s">
        <v>504</v>
      </c>
      <c r="E35" s="160" t="str">
        <f>IF($C$18='Auto Responses'!$J$4,'Auto Responses'!$A$4,IF($C35='Auto Responses'!$J$3,VLOOKUP($A35,Questions!$A$2:$X$333,17,0)&amp;"",IF($C35='Auto Responses'!$J$4,VLOOKUP($A35,Questions!$A$2:$X$333,16,0)&amp;"",VLOOKUP($A35,Questions!$A$2:$X$333,15,0)&amp;"")))</f>
        <v>Provide further details in Additional Information.</v>
      </c>
      <c r="F35" s="191" t="str">
        <f>VLOOKUP($A35,'Institution Evaluation'!$A$56:$F$345,6,0)&amp;""</f>
        <v/>
      </c>
      <c r="I35" s="35"/>
      <c r="J35" s="35"/>
    </row>
    <row r="36" spans="1:12" s="1" customFormat="1" ht="45" x14ac:dyDescent="0.15">
      <c r="A36" s="19" t="s">
        <v>188</v>
      </c>
      <c r="B36" s="18" t="str">
        <f>VLOOKUP($A36,Questions!$A$2:$X$333,2,0)</f>
        <v>Can all functions of the application or service be performed using only the keyboard?</v>
      </c>
      <c r="C36" s="21" t="s">
        <v>355</v>
      </c>
      <c r="D36" s="276" t="s">
        <v>505</v>
      </c>
      <c r="E36" s="160" t="str">
        <f>IF($C$18='Auto Responses'!$J$4,'Auto Responses'!$A$4,IF($C36='Auto Responses'!$J$3,VLOOKUP($A36,Questions!$A$2:$X$333,17,0)&amp;"",IF($C36='Auto Responses'!$J$4,VLOOKUP($A36,Questions!$A$2:$X$333,16,0)&amp;"",VLOOKUP($A36,Questions!$A$2:$X$333,15,0)&amp;"")))</f>
        <v>State when and on which platform this was verified.</v>
      </c>
      <c r="F36" s="191" t="str">
        <f>VLOOKUP($A36,'Institution Evaluation'!$A$56:$F$345,6,0)&amp;""</f>
        <v/>
      </c>
      <c r="I36" s="35"/>
      <c r="J36" s="35"/>
    </row>
    <row r="37" spans="1:12" s="1" customFormat="1" ht="120" x14ac:dyDescent="0.15">
      <c r="A37" s="19" t="s">
        <v>189</v>
      </c>
      <c r="B37" s="18" t="str">
        <f>VLOOKUP($A37,Questions!$A$2:$X$333,2,0)</f>
        <v>Does your product rely on activating a special "accessibility mode," a "lite version," or using an alternate interface (including “overlay” or AI-based alternates)  for accessibility purposes?</v>
      </c>
      <c r="C37" s="21" t="s">
        <v>364</v>
      </c>
      <c r="D37" s="276" t="s">
        <v>506</v>
      </c>
      <c r="E37" s="160" t="str">
        <f>IF($C$18='Auto Responses'!$J$4,'Auto Responses'!$A$4,IF($C37='Auto Responses'!$J$3,VLOOKUP($A37,Questions!$A$2:$X$333,17,0)&amp;"",IF($C37='Auto Responses'!$J$4,VLOOKUP($A37,Questions!$A$2:$X$333,16,0)&amp;"",VLOOKUP($A37,Questions!$A$2:$X$333,15,0)&amp;"")))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37" s="191" t="str">
        <f>VLOOKUP($A37,'Institution Evaluation'!$A$56:$F$345,6,0)&amp;""</f>
        <v/>
      </c>
      <c r="G37" s="228" t="s">
        <v>361</v>
      </c>
      <c r="I37" s="35"/>
      <c r="J37" s="35"/>
    </row>
    <row r="38" spans="1:12" s="1" customFormat="1" ht="42" customHeight="1" x14ac:dyDescent="0.15">
      <c r="A38" s="41" t="s">
        <v>2</v>
      </c>
      <c r="B38" s="241"/>
      <c r="C38" s="242"/>
      <c r="D38" s="243"/>
      <c r="E38" s="244"/>
      <c r="F38" s="23"/>
      <c r="G38" s="228"/>
      <c r="I38" s="35"/>
      <c r="J38" s="35"/>
    </row>
    <row r="39" spans="1:12" s="1" customFormat="1" ht="15" hidden="1" customHeight="1" x14ac:dyDescent="0.15">
      <c r="A39"/>
      <c r="C39" s="8"/>
      <c r="D39" s="9"/>
      <c r="E39" s="10"/>
      <c r="I39" s="35"/>
      <c r="J39" s="35"/>
    </row>
    <row r="40" spans="1:12" ht="15" hidden="1" customHeight="1" x14ac:dyDescent="0.2">
      <c r="A40" s="1"/>
      <c r="B40" s="8"/>
      <c r="C40" s="68"/>
      <c r="D40" s="10"/>
      <c r="E40" s="1"/>
      <c r="H40" s="35"/>
      <c r="I40" s="1"/>
      <c r="J40" s="1"/>
      <c r="L40"/>
    </row>
    <row r="41" spans="1:12" ht="0" hidden="1" customHeight="1" x14ac:dyDescent="0.2">
      <c r="A41" s="19" t="e">
        <f>#REF!</f>
        <v>#REF!</v>
      </c>
    </row>
    <row r="42" spans="1:12" ht="0" hidden="1" customHeight="1" x14ac:dyDescent="0.2">
      <c r="A42" s="19" t="e">
        <f>#REF!</f>
        <v>#REF!</v>
      </c>
    </row>
    <row r="43" spans="1:12" ht="0" hidden="1" customHeight="1" x14ac:dyDescent="0.2">
      <c r="A43" s="19" t="e">
        <f>#REF!</f>
        <v>#REF!</v>
      </c>
    </row>
    <row r="44" spans="1:12" ht="0" hidden="1" customHeight="1" x14ac:dyDescent="0.2">
      <c r="A44" s="19" t="e">
        <f>#REF!</f>
        <v>#REF!</v>
      </c>
    </row>
    <row r="45" spans="1:12" ht="0" hidden="1" customHeight="1" x14ac:dyDescent="0.2">
      <c r="A45" s="19" t="e">
        <f>#REF!</f>
        <v>#REF!</v>
      </c>
    </row>
    <row r="46" spans="1:12" ht="0" hidden="1" customHeight="1" x14ac:dyDescent="0.2">
      <c r="A46" s="19" t="e">
        <f>#REF!</f>
        <v>#REF!</v>
      </c>
    </row>
    <row r="47" spans="1:12" ht="0" hidden="1" customHeight="1" x14ac:dyDescent="0.2">
      <c r="A47" s="19" t="e">
        <f>#REF!</f>
        <v>#REF!</v>
      </c>
    </row>
  </sheetData>
  <dataValidations count="3">
    <dataValidation allowBlank="1" showInputMessage="1" showErrorMessage="1" promptTitle="Warning!" prompt="The HECVAT is built using a number of complex formulas. Editing this cell can break the functionality of the tool. " sqref="A3:A38 B2:B38 C2:F2 C4:F12 C17:D17 C19:D19 D3:F3 D13:F16 E17:F37" xr:uid="{00000000-0002-0000-0400-000000000000}"/>
    <dataValidation allowBlank="1" showInputMessage="1" showErrorMessage="1" prompt="This cell should be left blank. Input your answer in column C." sqref="D20:D24" xr:uid="{00000000-0002-0000-0400-000001000000}"/>
    <dataValidation allowBlank="1" showInputMessage="1" showErrorMessage="1" prompt="This answer has been populated from the &quot;START HERE&quot; tab and does not need to be re-entered." sqref="C3 C13:C16 C18 C20:C23" xr:uid="{00000000-0002-0000-0400-000002000000}"/>
  </dataValidations>
  <hyperlinks>
    <hyperlink ref="A11" r:id="rId1" display="http://www.educause.edu/HECVAT" xr:uid="{00000000-0004-0000-0400-000000000000}"/>
    <hyperlink ref="C22" r:id="rId2" xr:uid="{D2863489-FDFA-8E43-9616-5CFE592198EA}"/>
    <hyperlink ref="C24" r:id="rId3" xr:uid="{69A4BF78-942B-474E-BF8D-BFD697C58EA0}"/>
  </hyperlinks>
  <pageMargins left="0.75" right="0.75" top="1" bottom="1" header="0.5" footer="0.5"/>
  <pageSetup orientation="landscape"/>
  <headerFooter>
    <oddFooter>&amp;L&amp;"Helvetica,Regular"&amp;12 &amp;K000000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36C"/>
  </sheetPr>
  <dimension ref="A1:L94"/>
  <sheetViews>
    <sheetView showGridLines="0" showZeros="0" topLeftCell="A71" zoomScale="120" zoomScaleNormal="120" workbookViewId="0">
      <selection activeCell="C74" sqref="C74"/>
    </sheetView>
  </sheetViews>
  <sheetFormatPr baseColWidth="10" defaultColWidth="0" defaultRowHeight="0" customHeight="1" zeroHeight="1" x14ac:dyDescent="0.2"/>
  <cols>
    <col min="1" max="1" width="8.25" style="320" customWidth="1"/>
    <col min="2" max="2" width="55.125" style="1" customWidth="1"/>
    <col min="3" max="3" width="18.875" style="8" customWidth="1"/>
    <col min="4" max="4" width="55.75" style="9" customWidth="1"/>
    <col min="5" max="5" width="32" style="10" customWidth="1"/>
    <col min="6" max="6" width="32" style="1" customWidth="1"/>
    <col min="7" max="7" width="18.125" style="1" customWidth="1"/>
    <col min="8" max="8" width="18.125" style="1" hidden="1" customWidth="1"/>
    <col min="9" max="10" width="18.125" style="35" hidden="1" customWidth="1"/>
    <col min="11" max="11" width="4.5" style="1" hidden="1" customWidth="1"/>
    <col min="12" max="12" width="6.625" style="1" hidden="1" customWidth="1"/>
    <col min="13" max="13" width="6.625" style="320" hidden="1" customWidth="1"/>
    <col min="14" max="16384" width="6.625" style="320" hidden="1"/>
  </cols>
  <sheetData>
    <row r="1" spans="1:10" ht="0" hidden="1" customHeight="1" x14ac:dyDescent="0.2">
      <c r="A1" t="s">
        <v>346</v>
      </c>
    </row>
    <row r="2" spans="1:10" ht="36" customHeight="1" x14ac:dyDescent="0.2">
      <c r="A2" s="161" t="s">
        <v>507</v>
      </c>
      <c r="B2" s="161"/>
      <c r="C2" s="162"/>
      <c r="D2" s="271"/>
      <c r="E2" s="163"/>
      <c r="F2" s="163" t="str">
        <f>'Auto Responses'!$A$36</f>
        <v>Version 4.1.5</v>
      </c>
      <c r="J2" s="1"/>
    </row>
    <row r="3" spans="1:10" s="1" customFormat="1" ht="29" customHeight="1" x14ac:dyDescent="0.15">
      <c r="A3" s="37" t="s">
        <v>348</v>
      </c>
      <c r="B3" s="38"/>
      <c r="C3" s="64" t="str">
        <f>'START HERE'!$C$3</f>
        <v>2025-04-08</v>
      </c>
      <c r="D3" s="272"/>
      <c r="E3" s="36"/>
      <c r="F3" s="50"/>
      <c r="I3" s="35"/>
    </row>
    <row r="4" spans="1:10" s="1" customFormat="1" ht="36" customHeight="1" x14ac:dyDescent="0.15">
      <c r="A4" s="11" t="s">
        <v>350</v>
      </c>
      <c r="B4" s="12"/>
      <c r="C4" s="13"/>
      <c r="D4" s="14"/>
      <c r="E4" s="15"/>
      <c r="F4" s="15"/>
      <c r="I4" s="35"/>
    </row>
    <row r="5" spans="1:10" s="1" customFormat="1" ht="19.5" customHeight="1" x14ac:dyDescent="0.15">
      <c r="A5" s="42" t="str">
        <f>HLOOKUP($A$4,'Auto Responses'!$D$2:$D$8,2,0)&amp;""</f>
        <v>1. Complete the "Start Here" tab and review the "Required Questions" guidance to find the other sections are required for your product or service.</v>
      </c>
      <c r="B5" s="16"/>
      <c r="C5" s="65"/>
      <c r="D5" s="273"/>
      <c r="E5" s="16"/>
      <c r="F5" s="247"/>
      <c r="I5" s="35"/>
    </row>
    <row r="6" spans="1:10" s="1" customFormat="1" ht="19.5" customHeight="1" x14ac:dyDescent="0.15">
      <c r="A6" s="42" t="str">
        <f>HLOOKUP($A$4,'Auto Responses'!$D$2:$D$8,3,0)&amp;""</f>
        <v>2. Complete the "Organization" tab and the applicable questions in each of the next 5 tabs (Product through Privacy) that apply, based on your answers to the "Required Questions."</v>
      </c>
      <c r="B6" s="16"/>
      <c r="C6" s="65"/>
      <c r="D6" s="273"/>
      <c r="E6" s="16"/>
      <c r="F6" s="248"/>
      <c r="I6" s="35"/>
    </row>
    <row r="7" spans="1:10" s="1" customFormat="1" ht="19.5" customHeight="1" x14ac:dyDescent="0.15">
      <c r="A7" s="42" t="str">
        <f>HLOOKUP($A$4,'Auto Responses'!$D$2:$D$8,4,0)&amp;""</f>
        <v xml:space="preserve">3. Guidance in column E may change based on your answers to prompt details in "Additional Information." If leaving an answer blank, you must also state why in "Additional Information". </v>
      </c>
      <c r="B7" s="16"/>
      <c r="C7" s="65"/>
      <c r="D7" s="273"/>
      <c r="E7" s="16"/>
      <c r="F7" s="248"/>
      <c r="I7" s="35"/>
    </row>
    <row r="8" spans="1:10" s="1" customFormat="1" ht="19.5" customHeight="1" x14ac:dyDescent="0.15">
      <c r="A8" s="42" t="str">
        <f>HLOOKUP($A$4,'Auto Responses'!$D$2:$D$8,5,0)&amp;""</f>
        <v>4. DO NOT complete any fields in the "Evaluation" sheets or the "Analyst Notes" column.</v>
      </c>
      <c r="B8" s="16"/>
      <c r="C8" s="65"/>
      <c r="D8" s="273"/>
      <c r="E8" s="16"/>
      <c r="F8" s="248"/>
      <c r="I8" s="35"/>
    </row>
    <row r="9" spans="1:10" s="1" customFormat="1" ht="19.5" customHeight="1" x14ac:dyDescent="0.15">
      <c r="A9" s="42" t="str">
        <f>HLOOKUP($A$4,'Auto Responses'!$D$2:$D$8,6,0)&amp;""</f>
        <v>5. Return the completed file to institutions.</v>
      </c>
      <c r="B9" s="16"/>
      <c r="C9" s="65"/>
      <c r="D9" s="273"/>
      <c r="E9" s="16"/>
      <c r="F9" s="248"/>
      <c r="I9" s="35"/>
    </row>
    <row r="10" spans="1:10" s="1" customFormat="1" ht="19.5" customHeight="1" x14ac:dyDescent="0.15">
      <c r="A10" s="235" t="str">
        <f>HLOOKUP($A$4,'Auto Responses'!$D$2:$D$8,7,0)&amp;""</f>
        <v>* Denotes critical questions. Critical questions are those deemed most important to institutions by higher education volunteers.</v>
      </c>
      <c r="B10" s="16"/>
      <c r="C10" s="65"/>
      <c r="D10" s="273"/>
      <c r="E10" s="16"/>
      <c r="F10" s="248"/>
      <c r="I10" s="35"/>
    </row>
    <row r="11" spans="1:10" s="1" customFormat="1" ht="19.5" customHeight="1" x14ac:dyDescent="0.15">
      <c r="A11" s="234" t="str">
        <f>HLOOKUP($A$4,'Auto Responses'!$D$2:$D$9,8,0)&amp;""</f>
        <v>For full instructions, please visit educause.edu/HECVAT</v>
      </c>
      <c r="B11" s="16"/>
      <c r="C11" s="65"/>
      <c r="D11" s="273"/>
      <c r="E11" s="16"/>
      <c r="F11" s="249"/>
      <c r="I11" s="35"/>
    </row>
    <row r="12" spans="1:10" s="1" customFormat="1" ht="36" customHeight="1" x14ac:dyDescent="0.15">
      <c r="A12" s="61" t="str">
        <f>VLOOKUP(LEFT($A13,4),'Auto Responses'!$N$4:$O$38,2,0)&amp;""</f>
        <v xml:space="preserve"> General Information</v>
      </c>
      <c r="B12" s="12"/>
      <c r="C12" s="13" t="s">
        <v>351</v>
      </c>
      <c r="D12" s="274"/>
      <c r="E12" s="17"/>
      <c r="F12" s="17"/>
      <c r="I12" s="35"/>
      <c r="J12" s="35"/>
    </row>
    <row r="13" spans="1:10" s="1" customFormat="1" ht="22.25" customHeight="1" x14ac:dyDescent="0.15">
      <c r="A13" s="19" t="s">
        <v>7</v>
      </c>
      <c r="B13" s="20" t="str">
        <f>VLOOKUP($A13,Questions!$A$2:$X$333,2,0)&amp;""</f>
        <v>Solution Provider Name</v>
      </c>
      <c r="C13" s="72" t="str">
        <f ca="1">VLOOKUP($A13,'START HERE'!$A$13:$C$21,3,0)&amp;""</f>
        <v>Accredible (EdInvent Inc. d.b.a. Accredible)</v>
      </c>
      <c r="D13" s="32"/>
      <c r="E13" s="32"/>
      <c r="F13" s="50"/>
      <c r="I13" s="35"/>
      <c r="J13" s="35"/>
    </row>
    <row r="14" spans="1:10" s="1" customFormat="1" ht="22.25" customHeight="1" x14ac:dyDescent="0.15">
      <c r="A14" s="19" t="s">
        <v>8</v>
      </c>
      <c r="B14" s="20" t="str">
        <f>VLOOKUP($A14,Questions!$A$2:$X$333,2,0)&amp;""</f>
        <v>Solution Name</v>
      </c>
      <c r="C14" s="72" t="str">
        <f ca="1">VLOOKUP($A14,'START HERE'!$A$13:$C$21,3,0)&amp;""</f>
        <v>Accredible Digital Credentialing Platform</v>
      </c>
      <c r="D14" s="32"/>
      <c r="E14" s="32"/>
      <c r="F14" s="50"/>
      <c r="I14" s="35"/>
      <c r="J14" s="35"/>
    </row>
    <row r="15" spans="1:10" s="1" customFormat="1" ht="22.25" customHeight="1" x14ac:dyDescent="0.15">
      <c r="A15" s="19" t="s">
        <v>9</v>
      </c>
      <c r="B15" s="20" t="str">
        <f>VLOOKUP($A15,Questions!$A$2:$X$333,2,0)&amp;""</f>
        <v>Solution Description</v>
      </c>
      <c r="C15" s="72" t="str">
        <f ca="1">VLOOKUP($A15,'START HERE'!$A$13:$C$21,3,0)&amp;""</f>
        <v>Accredible is a cloud-hosted, multi-tenant Software as a Service (SaaS) digital credentialing platform that enables organizations to design, issue, manage, and verify digital credentials including certificates and badges.</v>
      </c>
      <c r="D15" s="32"/>
      <c r="E15" s="32"/>
      <c r="F15" s="50"/>
      <c r="I15" s="35"/>
      <c r="J15" s="35"/>
    </row>
    <row r="16" spans="1:10" s="1" customFormat="1" ht="22.25" customHeight="1" thickBot="1" x14ac:dyDescent="0.2">
      <c r="A16" s="19" t="s">
        <v>14</v>
      </c>
      <c r="B16" s="20" t="str">
        <f>VLOOKUP($A16,Questions!$A$2:$X$333,2,0)&amp;""</f>
        <v>Country of Company Headquarters</v>
      </c>
      <c r="C16" s="72" t="str">
        <f ca="1">VLOOKUP($A16,'START HERE'!$A$13:$C$21,3,0)&amp;""</f>
        <v>United States</v>
      </c>
      <c r="D16" s="32"/>
      <c r="E16" s="32"/>
      <c r="F16" s="50"/>
      <c r="I16" s="35"/>
      <c r="J16" s="35"/>
    </row>
    <row r="17" spans="1:10" s="1" customFormat="1" ht="37.25" customHeight="1" thickBot="1" x14ac:dyDescent="0.2">
      <c r="A17" s="61" t="str">
        <f>VLOOKUP(LEFT($A18,4),'Auto Responses'!$N$4:$O$38,2,0)&amp;""</f>
        <v xml:space="preserve"> Required Questions</v>
      </c>
      <c r="B17" s="22"/>
      <c r="C17" s="13" t="s">
        <v>351</v>
      </c>
      <c r="D17" s="13" t="s">
        <v>352</v>
      </c>
      <c r="E17" s="31" t="s">
        <v>353</v>
      </c>
      <c r="F17" s="178" t="s">
        <v>354</v>
      </c>
      <c r="I17" s="35"/>
      <c r="J17" s="35"/>
    </row>
    <row r="18" spans="1:10" s="1" customFormat="1" ht="30" x14ac:dyDescent="0.15">
      <c r="A18" s="19" t="s">
        <v>27</v>
      </c>
      <c r="B18" s="18" t="str">
        <f>VLOOKUP($A18,Questions!$A$2:$X$333,2,0)</f>
        <v>Are you providing consulting services?</v>
      </c>
      <c r="C18" s="70" t="str">
        <f>VLOOKUP($A18,'START HERE'!$A$23:$F$36,3,0)&amp;""</f>
        <v>No</v>
      </c>
      <c r="D18" s="277" t="str">
        <f>VLOOKUP($A18,'START HERE'!$A$23:$F$36,4,0)&amp;""</f>
        <v/>
      </c>
      <c r="E18" s="160" t="str">
        <f>IF($C18='Auto Responses'!$J$3,VLOOKUP($A18,Questions!$A$2:$X$333,17,0)&amp;"",IF($C18='Auto Responses'!$J$4,VLOOKUP($A18,Questions!$A$2:$X$333,16,0)&amp;"",VLOOKUP($A18,Questions!$A$2:$X$333,15,0)&amp;""))</f>
        <v>DO NOT complete the Consulting section in the Case-Specific worksheet</v>
      </c>
      <c r="F18" s="191" t="str">
        <f>VLOOKUP($A18,'Institution Evaluation'!$A$56:$F$345,6,0)&amp;""</f>
        <v/>
      </c>
      <c r="I18" s="35"/>
      <c r="J18" s="35"/>
    </row>
    <row r="19" spans="1:10" s="1" customFormat="1" ht="45" x14ac:dyDescent="0.15">
      <c r="A19" s="19" t="s">
        <v>31</v>
      </c>
      <c r="B19" s="18" t="str">
        <f>VLOOKUP($A19,Questions!$A$2:$X$333,2,0)</f>
        <v>Does your solution process protected health information (PHI) or any data covered by the Health Insurance Portability and Accountability Act (HIPAA)?</v>
      </c>
      <c r="C19" s="70" t="str">
        <f>VLOOKUP($A19,'START HERE'!$A$23:$F$36,3,0)&amp;""</f>
        <v>No</v>
      </c>
      <c r="D19" s="277" t="str">
        <f>VLOOKUP($A19,'START HERE'!$A$23:$F$36,4,0)&amp;""</f>
        <v>Accredible does not process Protected Health Information (PHI) or any HIPAA-covered data.</v>
      </c>
      <c r="E19" s="160" t="str">
        <f>IF($C19='Auto Responses'!$J$3,VLOOKUP($A19,Questions!$A$2:$X$333,17,0)&amp;"",IF($C19='Auto Responses'!$J$4,VLOOKUP($A19,Questions!$A$2:$X$333,16,0)&amp;"",VLOOKUP($A19,Questions!$A$2:$X$333,15,0)&amp;""))</f>
        <v>DO NOT complete the HIPAA section in the Case-Specific worksheet</v>
      </c>
      <c r="F19" s="191" t="str">
        <f>VLOOKUP($A19,'Institution Evaluation'!$A$56:$F$345,6,0)&amp;""</f>
        <v/>
      </c>
      <c r="I19" s="35"/>
      <c r="J19" s="35"/>
    </row>
    <row r="20" spans="1:10" s="1" customFormat="1" ht="45" x14ac:dyDescent="0.15">
      <c r="A20" s="19" t="s">
        <v>33</v>
      </c>
      <c r="B20" s="18" t="str">
        <f>VLOOKUP($A20,Questions!$A$2:$X$333,2,0)</f>
        <v>Is the solution designed to process, store, or transmit credit card information?</v>
      </c>
      <c r="C20" s="70" t="str">
        <f>VLOOKUP($A20,'START HERE'!$A$23:$F$36,3,0)&amp;""</f>
        <v>No</v>
      </c>
      <c r="D20" s="277" t="str">
        <f>VLOOKUP($A20,'START HERE'!$A$23:$F$36,4,0)&amp;""</f>
        <v>Accredible does not process, store, or transmit credit card data. Payment processing, where applicable, is handled through third-party payment processors.</v>
      </c>
      <c r="E20" s="160" t="str">
        <f>IF($C20='Auto Responses'!$J$3,VLOOKUP($A20,Questions!$A$2:$X$333,17,0)&amp;"",IF($C20='Auto Responses'!$J$4,VLOOKUP($A20,Questions!$A$2:$X$333,16,0)&amp;"",VLOOKUP($A20,Questions!$A$2:$X$333,15,0)&amp;""))</f>
        <v>DO NOT complete the PCI-DSS section in the Case-Specific worksheet</v>
      </c>
      <c r="F20" s="191" t="str">
        <f>VLOOKUP($A20,'Institution Evaluation'!$A$56:$F$345,6,0)&amp;""</f>
        <v/>
      </c>
      <c r="I20" s="35"/>
      <c r="J20" s="35"/>
    </row>
    <row r="21" spans="1:10" s="1" customFormat="1" ht="61" thickBot="1" x14ac:dyDescent="0.2">
      <c r="A21" s="19" t="s">
        <v>35</v>
      </c>
      <c r="B21" s="18" t="str">
        <f>VLOOKUP($A21,Questions!$A$2:$X$333,2,0)</f>
        <v>Does operating your solution require the institution to operate a physical or virtual appliance in their own environment or to provide inbound firewall exceptions to allow your employees to remotely administer systems in the institution's environment?</v>
      </c>
      <c r="C21" s="70" t="str">
        <f>VLOOKUP($A21,'START HERE'!$A$23:$F$36,3,0)&amp;""</f>
        <v>No</v>
      </c>
      <c r="D21" s="277" t="str">
        <f>VLOOKUP($A21,'START HERE'!$A$23:$F$36,4,0)&amp;""</f>
        <v>Accredible is a fully cloud-hosted SaaS solution. No on-premises appliance is required and no inbound firewall exceptions are needed in the institution's environment.</v>
      </c>
      <c r="E21" s="160" t="str">
        <f>IF($C21='Auto Responses'!$J$3,VLOOKUP($A21,Questions!$A$2:$X$333,17,0)&amp;"",IF($C21='Auto Responses'!$J$4,VLOOKUP($A21,Questions!$A$2:$X$333,16,0)&amp;"",VLOOKUP($A21,Questions!$A$2:$X$333,15,0)&amp;""))</f>
        <v>DO NOT complete the On-Prem section in the Case-Specific worksheet</v>
      </c>
      <c r="F21" s="191" t="str">
        <f>VLOOKUP($A21,'Institution Evaluation'!$A$56:$F$345,6,0)&amp;""</f>
        <v/>
      </c>
      <c r="G21" s="228" t="s">
        <v>361</v>
      </c>
      <c r="I21" s="35"/>
      <c r="J21" s="35"/>
    </row>
    <row r="22" spans="1:10" s="1" customFormat="1" ht="20" thickBot="1" x14ac:dyDescent="0.2">
      <c r="A22" s="61" t="str">
        <f>VLOOKUP(LEFT($A23,4),'Auto Responses'!$N$4:$O$38,2,0)&amp;""</f>
        <v xml:space="preserve"> Consulting Services</v>
      </c>
      <c r="B22" s="22"/>
      <c r="C22" s="13" t="s">
        <v>351</v>
      </c>
      <c r="D22" s="13" t="s">
        <v>352</v>
      </c>
      <c r="E22" s="31" t="s">
        <v>353</v>
      </c>
      <c r="F22" s="178" t="s">
        <v>354</v>
      </c>
      <c r="I22" s="35"/>
      <c r="J22" s="35"/>
    </row>
    <row r="23" spans="1:10" s="1" customFormat="1" ht="45" x14ac:dyDescent="0.15">
      <c r="A23" s="19" t="s">
        <v>190</v>
      </c>
      <c r="B23" s="18" t="str">
        <f>VLOOKUP($A23,Questions!$A$2:$X$333,2,0)</f>
        <v>Will the consultant require access to the institution's network resources?*</v>
      </c>
      <c r="C23" s="21" t="s">
        <v>452</v>
      </c>
      <c r="D23" s="23" t="s">
        <v>508</v>
      </c>
      <c r="E23" s="160" t="str">
        <f>IF($C$18='Auto Responses'!$J$4,'Auto Responses'!$A$5,IF($C23='Auto Responses'!$J$3,VLOOKUP($A23,Questions!$A$2:$X$333,17,0)&amp;"",IF($C23='Auto Responses'!$J$4,VLOOKUP($A23,Questions!$A$2:$X$333,16,0)&amp;"",VLOOKUP($A23,Questions!$A$2:$X$333,15,0)&amp;"")))</f>
        <v>Based on the response to REQU-03 on the "START HERE" tab, this question does not apply to this product or service.</v>
      </c>
      <c r="F23" s="191" t="str">
        <f>VLOOKUP($A23,'Institution Evaluation'!$A$56:$F$345,6,0)&amp;""</f>
        <v/>
      </c>
      <c r="I23" s="35"/>
      <c r="J23" s="35"/>
    </row>
    <row r="24" spans="1:10" s="1" customFormat="1" ht="45" x14ac:dyDescent="0.15">
      <c r="A24" s="19" t="s">
        <v>191</v>
      </c>
      <c r="B24" s="18" t="str">
        <f>VLOOKUP($A24,Questions!$A$2:$X$333,2,0)</f>
        <v>Has the consultant received training on (sensitive, HIPAA, PCI, etc.) data handling?*</v>
      </c>
      <c r="C24" s="21" t="s">
        <v>452</v>
      </c>
      <c r="D24" s="284" t="s">
        <v>508</v>
      </c>
      <c r="E24" s="160" t="str">
        <f>IF($C$18='Auto Responses'!$J$4,'Auto Responses'!$A$5,IF($C24='Auto Responses'!$J$3,VLOOKUP($A24,Questions!$A$2:$X$333,17,0)&amp;"",IF($C24='Auto Responses'!$J$4,VLOOKUP($A24,Questions!$A$2:$X$333,16,0)&amp;"",VLOOKUP($A24,Questions!$A$2:$X$333,15,0)&amp;"")))</f>
        <v>Based on the response to REQU-03 on the "START HERE" tab, this question does not apply to this product or service.</v>
      </c>
      <c r="F24" s="191" t="str">
        <f>VLOOKUP($A24,'Institution Evaluation'!$A$56:$F$345,6,0)&amp;""</f>
        <v/>
      </c>
      <c r="I24" s="35"/>
      <c r="J24" s="35"/>
    </row>
    <row r="25" spans="1:10" s="1" customFormat="1" ht="45" x14ac:dyDescent="0.15">
      <c r="A25" s="19" t="s">
        <v>192</v>
      </c>
      <c r="B25" s="18" t="str">
        <f>VLOOKUP($A25,Questions!$A$2:$X$333,2,0)</f>
        <v>Is the data encrypted (at rest) while in the consultant's possession?*</v>
      </c>
      <c r="C25" s="21" t="s">
        <v>452</v>
      </c>
      <c r="D25" s="284" t="s">
        <v>508</v>
      </c>
      <c r="E25" s="160" t="str">
        <f>IF($C$18='Auto Responses'!$J$4,'Auto Responses'!$A$5,IF($C25='Auto Responses'!$J$3,VLOOKUP($A25,Questions!$A$2:$X$333,17,0)&amp;"",IF($C25='Auto Responses'!$J$4,VLOOKUP($A25,Questions!$A$2:$X$333,16,0)&amp;"",IF($C25='Auto Responses'!$J$5,VLOOKUP($A25,Questions!$A$2:$X$333,18,0)&amp;"",VLOOKUP($A25,Questions!$A$2:$X$333,15,0)&amp;""))))</f>
        <v>Based on the response to REQU-03 on the "START HERE" tab, this question does not apply to this product or service.</v>
      </c>
      <c r="F25" s="191" t="str">
        <f>VLOOKUP($A25,'Institution Evaluation'!$A$56:$F$345,6,0)&amp;""</f>
        <v/>
      </c>
      <c r="I25" s="35"/>
      <c r="J25" s="35"/>
    </row>
    <row r="26" spans="1:10" s="1" customFormat="1" ht="45" x14ac:dyDescent="0.15">
      <c r="A26" s="19" t="s">
        <v>193</v>
      </c>
      <c r="B26" s="18" t="str">
        <f>VLOOKUP($A26,Questions!$A$2:$X$333,2,0)</f>
        <v>Can access be restricted based on source IP address?*</v>
      </c>
      <c r="C26" s="21" t="s">
        <v>452</v>
      </c>
      <c r="D26" s="284" t="s">
        <v>508</v>
      </c>
      <c r="E26" s="160" t="str">
        <f>IF($C$18='Auto Responses'!$J$4,'Auto Responses'!$A$5,IF($C26='Auto Responses'!$J$3,VLOOKUP($A26,Questions!$A$2:$X$333,17,0)&amp;"",IF($C26='Auto Responses'!$J$4,VLOOKUP($A26,Questions!$A$2:$X$333,16,0)&amp;"",IF($C26='Auto Responses'!$J$5,VLOOKUP($A26,Questions!$A$2:$X$333,18,0)&amp;"",VLOOKUP($A26,Questions!$A$2:$X$333,15,0)&amp;""))))</f>
        <v>Based on the response to REQU-03 on the "START HERE" tab, this question does not apply to this product or service.</v>
      </c>
      <c r="F26" s="191" t="str">
        <f>VLOOKUP($A26,'Institution Evaluation'!$A$56:$F$345,6,0)&amp;""</f>
        <v/>
      </c>
      <c r="I26" s="35"/>
      <c r="J26" s="35"/>
    </row>
    <row r="27" spans="1:10" s="1" customFormat="1" ht="45" x14ac:dyDescent="0.15">
      <c r="A27" s="19" t="s">
        <v>194</v>
      </c>
      <c r="B27" s="18" t="str">
        <f>VLOOKUP($A27,Questions!$A$2:$X$333,2,0)</f>
        <v>Will the consulting take place on-premises?</v>
      </c>
      <c r="C27" s="21" t="s">
        <v>452</v>
      </c>
      <c r="D27" s="284" t="s">
        <v>508</v>
      </c>
      <c r="E27" s="160" t="str">
        <f>IF($C$18='Auto Responses'!$J$4,'Auto Responses'!$A$5,IF($C27='Auto Responses'!$J$3,VLOOKUP($A27,Questions!$A$2:$X$333,17,0)&amp;"",IF($C27='Auto Responses'!$J$4,VLOOKUP($A27,Questions!$A$2:$X$333,16,0)&amp;"",VLOOKUP($A27,Questions!$A$2:$X$333,15,0)&amp;"")))</f>
        <v>Based on the response to REQU-03 on the "START HERE" tab, this question does not apply to this product or service.</v>
      </c>
      <c r="F27" s="191" t="str">
        <f>VLOOKUP($A27,'Institution Evaluation'!$A$56:$F$345,6,0)&amp;""</f>
        <v/>
      </c>
      <c r="I27" s="35"/>
      <c r="J27" s="35"/>
    </row>
    <row r="28" spans="1:10" s="1" customFormat="1" ht="45" x14ac:dyDescent="0.15">
      <c r="A28" s="19" t="s">
        <v>195</v>
      </c>
      <c r="B28" s="18" t="str">
        <f>VLOOKUP($A28,Questions!$A$2:$X$333,2,0)</f>
        <v>Will the consultant require access to hardware in the institution's data centers?</v>
      </c>
      <c r="C28" s="21" t="s">
        <v>452</v>
      </c>
      <c r="D28" s="284" t="s">
        <v>508</v>
      </c>
      <c r="E28" s="160" t="str">
        <f>IF($C$18='Auto Responses'!$J$4,'Auto Responses'!$A$5,IF($C28='Auto Responses'!$J$3,VLOOKUP($A28,Questions!$A$2:$X$333,17,0)&amp;"",IF($C28='Auto Responses'!$J$4,VLOOKUP($A28,Questions!$A$2:$X$333,16,0)&amp;"",VLOOKUP($A28,Questions!$A$2:$X$333,15,0)&amp;"")))</f>
        <v>Based on the response to REQU-03 on the "START HERE" tab, this question does not apply to this product or service.</v>
      </c>
      <c r="F28" s="191" t="str">
        <f>VLOOKUP($A28,'Institution Evaluation'!$A$56:$F$345,6,0)&amp;""</f>
        <v/>
      </c>
      <c r="I28" s="35"/>
      <c r="J28" s="35"/>
    </row>
    <row r="29" spans="1:10" s="1" customFormat="1" ht="45" x14ac:dyDescent="0.15">
      <c r="A29" s="19" t="s">
        <v>196</v>
      </c>
      <c r="B29" s="18" t="str">
        <f>VLOOKUP($A29,Questions!$A$2:$X$333,2,0)</f>
        <v>Will the consultant require an account within the institution's domain (@*.edu)?</v>
      </c>
      <c r="C29" s="21" t="s">
        <v>452</v>
      </c>
      <c r="D29" s="284" t="s">
        <v>508</v>
      </c>
      <c r="E29" s="160" t="str">
        <f>IF($C$18='Auto Responses'!$J$4,'Auto Responses'!$A$5,IF($C29='Auto Responses'!$J$3,VLOOKUP($A29,Questions!$A$2:$X$333,17,0)&amp;"",IF($C29='Auto Responses'!$J$4,VLOOKUP($A29,Questions!$A$2:$X$333,16,0)&amp;"",VLOOKUP($A29,Questions!$A$2:$X$333,15,0)&amp;"")))</f>
        <v>Based on the response to REQU-03 on the "START HERE" tab, this question does not apply to this product or service.</v>
      </c>
      <c r="F29" s="191" t="str">
        <f>VLOOKUP($A29,'Institution Evaluation'!$A$56:$F$345,6,0)&amp;""</f>
        <v/>
      </c>
      <c r="I29" s="35"/>
      <c r="J29" s="35"/>
    </row>
    <row r="30" spans="1:10" s="1" customFormat="1" ht="45" x14ac:dyDescent="0.15">
      <c r="A30" s="19" t="s">
        <v>197</v>
      </c>
      <c r="B30" s="18" t="str">
        <f>VLOOKUP($A30,Questions!$A$2:$X$333,2,0)</f>
        <v>Will any data be transferred to the consultant's possession?</v>
      </c>
      <c r="C30" s="21" t="s">
        <v>452</v>
      </c>
      <c r="D30" s="284" t="s">
        <v>508</v>
      </c>
      <c r="E30" s="160" t="str">
        <f>IF($C$18='Auto Responses'!$J$4,'Auto Responses'!$A$5,IF($C30='Auto Responses'!$J$3,VLOOKUP($A30,Questions!$A$2:$X$333,17,0)&amp;"",IF($C30='Auto Responses'!$J$4,VLOOKUP($A30,Questions!$A$2:$X$333,16,0)&amp;"",VLOOKUP($A30,Questions!$A$2:$X$333,15,0)&amp;"")))</f>
        <v>Based on the response to REQU-03 on the "START HERE" tab, this question does not apply to this product or service.</v>
      </c>
      <c r="F30" s="191" t="str">
        <f>VLOOKUP($A30,'Institution Evaluation'!$A$56:$F$345,6,0)&amp;""</f>
        <v/>
      </c>
      <c r="I30" s="35"/>
      <c r="J30" s="35"/>
    </row>
    <row r="31" spans="1:10" s="1" customFormat="1" ht="46" thickBot="1" x14ac:dyDescent="0.2">
      <c r="A31" s="19" t="s">
        <v>198</v>
      </c>
      <c r="B31" s="18" t="str">
        <f>VLOOKUP($A31,Questions!$A$2:$X$333,2,0)</f>
        <v>Will the consultant need remote access to the institution's network or systems?</v>
      </c>
      <c r="C31" s="21" t="s">
        <v>452</v>
      </c>
      <c r="D31" s="284" t="s">
        <v>508</v>
      </c>
      <c r="E31" s="160" t="str">
        <f>IF($C$18='Auto Responses'!$J$4,'Auto Responses'!$A$5,IF($C31='Auto Responses'!$J$3,VLOOKUP($A31,Questions!$A$2:$X$333,17,0)&amp;"",IF($C31='Auto Responses'!$J$4,VLOOKUP($A31,Questions!$A$2:$X$333,16,0)&amp;"",VLOOKUP($A31,Questions!$A$2:$X$333,15,0)&amp;"")))</f>
        <v>Based on the response to REQU-03 on the "START HERE" tab, this question does not apply to this product or service.</v>
      </c>
      <c r="F31" s="191" t="str">
        <f>VLOOKUP($A31,'Institution Evaluation'!$A$56:$F$345,6,0)&amp;""</f>
        <v/>
      </c>
      <c r="G31" s="228" t="s">
        <v>361</v>
      </c>
      <c r="I31" s="35"/>
      <c r="J31" s="35"/>
    </row>
    <row r="32" spans="1:10" s="1" customFormat="1" ht="20" thickBot="1" x14ac:dyDescent="0.2">
      <c r="A32" s="61" t="str">
        <f>VLOOKUP(LEFT($A33,4),'Auto Responses'!$N$4:$O$38,2,0)&amp;""</f>
        <v xml:space="preserve">HIPAA Compliance </v>
      </c>
      <c r="B32" s="22"/>
      <c r="C32" s="13" t="s">
        <v>351</v>
      </c>
      <c r="D32" s="13" t="s">
        <v>352</v>
      </c>
      <c r="E32" s="31" t="s">
        <v>353</v>
      </c>
      <c r="F32" s="178" t="s">
        <v>354</v>
      </c>
      <c r="I32" s="35"/>
      <c r="J32" s="35"/>
    </row>
    <row r="33" spans="1:10" s="1" customFormat="1" ht="45" x14ac:dyDescent="0.15">
      <c r="A33" s="19" t="s">
        <v>199</v>
      </c>
      <c r="B33" s="18" t="str">
        <f>VLOOKUP($A33,Questions!$A$2:$X$333,2,0)</f>
        <v>Do your workforce members receive regular training related to the Health Insurance Portability and Accountability Act (HIPAA) Privacy and Security Rules and the HITECH Act?*</v>
      </c>
      <c r="C33" s="21" t="s">
        <v>452</v>
      </c>
      <c r="D33" s="284" t="s">
        <v>509</v>
      </c>
      <c r="E33" s="160" t="str">
        <f>IF($C$19='Auto Responses'!$J$4,'Auto Responses'!$A$7,IF($C33='Auto Responses'!$J$3,VLOOKUP($A33,Questions!$A$2:$X$333,17,0)&amp;"",IF($C33='Auto Responses'!$J$4,VLOOKUP($A33,Questions!$A$2:$X$333,16,0)&amp;"",VLOOKUP($A33,Questions!$A$2:$X$333,15,0)&amp;"")))</f>
        <v>Based on the response to REQU-05 on the "START HERE" tab, this question does not apply to this product or service.</v>
      </c>
      <c r="F33" s="191" t="str">
        <f>VLOOKUP($A33,'Institution Evaluation'!$A$56:$F$345,6,0)&amp;""</f>
        <v/>
      </c>
      <c r="I33" s="35"/>
      <c r="J33" s="35"/>
    </row>
    <row r="34" spans="1:10" s="1" customFormat="1" ht="45" x14ac:dyDescent="0.15">
      <c r="A34" s="19" t="s">
        <v>200</v>
      </c>
      <c r="B34" s="18" t="str">
        <f>VLOOKUP($A34,Questions!$A$2:$X$333,2,0)</f>
        <v>Have you identified areas of risk?*</v>
      </c>
      <c r="C34" s="21" t="s">
        <v>452</v>
      </c>
      <c r="D34" s="284" t="s">
        <v>509</v>
      </c>
      <c r="E34" s="160" t="str">
        <f>IF($C$19='Auto Responses'!$J$4,'Auto Responses'!$A$7,IF($C34='Auto Responses'!$J$3,VLOOKUP($A34,Questions!$A$2:$X$333,17,0)&amp;"",IF($C34='Auto Responses'!$J$4,VLOOKUP($A34,Questions!$A$2:$X$333,16,0)&amp;"",VLOOKUP($A34,Questions!$A$2:$X$333,15,0)&amp;"")))</f>
        <v>Based on the response to REQU-05 on the "START HERE" tab, this question does not apply to this product or service.</v>
      </c>
      <c r="F34" s="191" t="str">
        <f>VLOOKUP($A34,'Institution Evaluation'!$A$56:$F$345,6,0)&amp;""</f>
        <v/>
      </c>
      <c r="I34" s="35"/>
      <c r="J34" s="35"/>
    </row>
    <row r="35" spans="1:10" s="1" customFormat="1" ht="45" x14ac:dyDescent="0.15">
      <c r="A35" s="19" t="s">
        <v>201</v>
      </c>
      <c r="B35" s="18" t="str">
        <f>VLOOKUP($A35,Questions!$A$2:$X$333,2,0)</f>
        <v>Have the relevant policies/plans been tested?*</v>
      </c>
      <c r="C35" s="21" t="s">
        <v>452</v>
      </c>
      <c r="D35" s="284" t="s">
        <v>509</v>
      </c>
      <c r="E35" s="160" t="str">
        <f>IF($C$19='Auto Responses'!$J$4,'Auto Responses'!$A$7,IF($C35='Auto Responses'!$J$3,VLOOKUP($A35,Questions!$A$2:$X$333,17,0)&amp;"",IF($C35='Auto Responses'!$J$4,VLOOKUP($A35,Questions!$A$2:$X$333,16,0)&amp;"",VLOOKUP($A35,Questions!$A$2:$X$333,15,0)&amp;"")))</f>
        <v>Based on the response to REQU-05 on the "START HERE" tab, this question does not apply to this product or service.</v>
      </c>
      <c r="F35" s="191" t="str">
        <f>VLOOKUP($A35,'Institution Evaluation'!$A$56:$F$345,6,0)&amp;""</f>
        <v/>
      </c>
      <c r="I35" s="35"/>
      <c r="J35" s="35"/>
    </row>
    <row r="36" spans="1:10" s="1" customFormat="1" ht="45" x14ac:dyDescent="0.15">
      <c r="A36" s="19" t="s">
        <v>202</v>
      </c>
      <c r="B36" s="18" t="str">
        <f>VLOOKUP($A36,Questions!$A$2:$X$333,2,0)</f>
        <v>Have you entered into a Business Associate Agreements with all subcontractors who may have access to protected health information (PHI)?*</v>
      </c>
      <c r="C36" s="21" t="s">
        <v>452</v>
      </c>
      <c r="D36" s="284" t="s">
        <v>509</v>
      </c>
      <c r="E36" s="160" t="str">
        <f>IF($C$19='Auto Responses'!$J$4,'Auto Responses'!$A$7,IF($C36='Auto Responses'!$J$3,VLOOKUP($A36,Questions!$A$2:$X$333,17,0)&amp;"",IF($C36='Auto Responses'!$J$4,VLOOKUP($A36,Questions!$A$2:$X$333,16,0)&amp;"",VLOOKUP($A36,Questions!$A$2:$X$333,15,0)&amp;"")))</f>
        <v>Based on the response to REQU-05 on the "START HERE" tab, this question does not apply to this product or service.</v>
      </c>
      <c r="F36" s="191" t="str">
        <f>VLOOKUP($A36,'Institution Evaluation'!$A$56:$F$345,6,0)&amp;""</f>
        <v/>
      </c>
      <c r="I36" s="35"/>
      <c r="J36" s="35"/>
    </row>
    <row r="37" spans="1:10" s="1" customFormat="1" ht="45" x14ac:dyDescent="0.15">
      <c r="A37" s="19" t="s">
        <v>203</v>
      </c>
      <c r="B37" s="18" t="str">
        <f>VLOOKUP($A37,Questions!$A$2:$X$333,2,0)</f>
        <v>Do you monitor or receive information regarding changes in HIPAA regulations?</v>
      </c>
      <c r="C37" s="21" t="s">
        <v>452</v>
      </c>
      <c r="D37" s="284" t="s">
        <v>509</v>
      </c>
      <c r="E37" s="160" t="str">
        <f>IF($C$19='Auto Responses'!$J$4,'Auto Responses'!$A$7,IF($C37='Auto Responses'!$J$3,VLOOKUP($A37,Questions!$A$2:$X$333,17,0)&amp;"",IF($C37='Auto Responses'!$J$4,VLOOKUP($A37,Questions!$A$2:$X$333,16,0)&amp;"",VLOOKUP($A37,Questions!$A$2:$X$333,15,0)&amp;"")))</f>
        <v>Based on the response to REQU-05 on the "START HERE" tab, this question does not apply to this product or service.</v>
      </c>
      <c r="F37" s="191" t="str">
        <f>VLOOKUP($A37,'Institution Evaluation'!$A$56:$F$345,6,0)&amp;""</f>
        <v/>
      </c>
      <c r="I37" s="35"/>
      <c r="J37" s="35"/>
    </row>
    <row r="38" spans="1:10" s="1" customFormat="1" ht="45" x14ac:dyDescent="0.15">
      <c r="A38" s="19" t="s">
        <v>204</v>
      </c>
      <c r="B38" s="18" t="str">
        <f>VLOOKUP($A38,Questions!$A$2:$X$333,2,0)</f>
        <v>Has your organization designated HIPAA Privacy and Security officers as required by the rules?</v>
      </c>
      <c r="C38" s="21" t="s">
        <v>452</v>
      </c>
      <c r="D38" s="284" t="s">
        <v>509</v>
      </c>
      <c r="E38" s="160" t="str">
        <f>IF($C$19='Auto Responses'!$J$4,'Auto Responses'!$A$7,IF($C38='Auto Responses'!$J$3,VLOOKUP($A38,Questions!$A$2:$X$333,17,0)&amp;"",IF($C38='Auto Responses'!$J$4,VLOOKUP($A38,Questions!$A$2:$X$333,16,0)&amp;"",VLOOKUP($A38,Questions!$A$2:$X$333,15,0)&amp;"")))</f>
        <v>Based on the response to REQU-05 on the "START HERE" tab, this question does not apply to this product or service.</v>
      </c>
      <c r="F38" s="191" t="str">
        <f>VLOOKUP($A38,'Institution Evaluation'!$A$56:$F$345,6,0)&amp;""</f>
        <v/>
      </c>
      <c r="I38" s="35"/>
      <c r="J38" s="35"/>
    </row>
    <row r="39" spans="1:10" s="1" customFormat="1" ht="45" x14ac:dyDescent="0.15">
      <c r="A39" s="19" t="s">
        <v>205</v>
      </c>
      <c r="B39" s="18" t="str">
        <f>VLOOKUP($A39,Questions!$A$2:$X$333,2,0)</f>
        <v>Do you comply with the requirements of the Health Information Technology for Economic and Clinical Health Act (HITECH)?</v>
      </c>
      <c r="C39" s="21" t="s">
        <v>452</v>
      </c>
      <c r="D39" s="284" t="s">
        <v>509</v>
      </c>
      <c r="E39" s="160" t="str">
        <f>IF($C$19='Auto Responses'!$J$4,'Auto Responses'!$A$7,IF($C39='Auto Responses'!$J$3,VLOOKUP($A39,Questions!$A$2:$X$333,17,0)&amp;"",IF($C39='Auto Responses'!$J$4,VLOOKUP($A39,Questions!$A$2:$X$333,16,0)&amp;"",VLOOKUP($A39,Questions!$A$2:$X$333,15,0)&amp;"")))</f>
        <v>Based on the response to REQU-05 on the "START HERE" tab, this question does not apply to this product or service.</v>
      </c>
      <c r="F39" s="191" t="str">
        <f>VLOOKUP($A39,'Institution Evaluation'!$A$56:$F$345,6,0)&amp;""</f>
        <v/>
      </c>
      <c r="I39" s="35"/>
      <c r="J39" s="35"/>
    </row>
    <row r="40" spans="1:10" s="1" customFormat="1" ht="45" x14ac:dyDescent="0.15">
      <c r="A40" s="19" t="s">
        <v>206</v>
      </c>
      <c r="B40" s="18" t="str">
        <f>VLOOKUP($A40,Questions!$A$2:$X$333,2,0)</f>
        <v>Have you conducted a risk analysis as required under the HIPAA Security Rule?</v>
      </c>
      <c r="C40" s="21" t="s">
        <v>452</v>
      </c>
      <c r="D40" s="284" t="s">
        <v>509</v>
      </c>
      <c r="E40" s="160" t="str">
        <f>IF($C$19='Auto Responses'!$J$4,'Auto Responses'!$A$7,IF($C40='Auto Responses'!$J$3,VLOOKUP($A40,Questions!$A$2:$X$333,17,0)&amp;"",IF($C40='Auto Responses'!$J$4,VLOOKUP($A40,Questions!$A$2:$X$333,16,0)&amp;"",VLOOKUP($A40,Questions!$A$2:$X$333,15,0)&amp;"")))</f>
        <v>Based on the response to REQU-05 on the "START HERE" tab, this question does not apply to this product or service.</v>
      </c>
      <c r="F40" s="191" t="str">
        <f>VLOOKUP($A40,'Institution Evaluation'!$A$56:$F$345,6,0)&amp;""</f>
        <v/>
      </c>
      <c r="I40" s="35"/>
      <c r="J40" s="35"/>
    </row>
    <row r="41" spans="1:10" s="1" customFormat="1" ht="45" x14ac:dyDescent="0.15">
      <c r="A41" s="19" t="s">
        <v>207</v>
      </c>
      <c r="B41" s="18" t="str">
        <f>VLOOKUP($A41,Questions!$A$2:$X$333,2,0)</f>
        <v>Have you taken actions to mitigate the identified risks?</v>
      </c>
      <c r="C41" s="21" t="s">
        <v>452</v>
      </c>
      <c r="D41" s="284" t="s">
        <v>509</v>
      </c>
      <c r="E41" s="160" t="str">
        <f>IF($C$19='Auto Responses'!$J$4,'Auto Responses'!$A$7,IF($C41='Auto Responses'!$J$3,VLOOKUP($A41,Questions!$A$2:$X$333,17,0)&amp;"",IF($C41='Auto Responses'!$J$4,VLOOKUP($A41,Questions!$A$2:$X$333,16,0)&amp;"",VLOOKUP($A41,Questions!$A$2:$X$333,15,0)&amp;"")))</f>
        <v>Based on the response to REQU-05 on the "START HERE" tab, this question does not apply to this product or service.</v>
      </c>
      <c r="F41" s="191" t="str">
        <f>VLOOKUP($A41,'Institution Evaluation'!$A$56:$F$345,6,0)&amp;""</f>
        <v/>
      </c>
      <c r="I41" s="35"/>
      <c r="J41" s="35"/>
    </row>
    <row r="42" spans="1:10" s="1" customFormat="1" ht="45" x14ac:dyDescent="0.15">
      <c r="A42" s="19" t="s">
        <v>208</v>
      </c>
      <c r="B42" s="18" t="str">
        <f>VLOOKUP($A42,Questions!$A$2:$X$333,2,0)</f>
        <v>Does your application require user and system administrator password changes at a frequency no greater than 90 days?</v>
      </c>
      <c r="C42" s="21" t="s">
        <v>452</v>
      </c>
      <c r="D42" s="284" t="s">
        <v>509</v>
      </c>
      <c r="E42" s="160" t="str">
        <f>IF($C$19='Auto Responses'!$J$4,'Auto Responses'!$A$7,IF($C42='Auto Responses'!$J$3,VLOOKUP($A42,Questions!$A$2:$X$333,17,0)&amp;"",IF($C42='Auto Responses'!$J$4,VLOOKUP($A42,Questions!$A$2:$X$333,16,0)&amp;"",VLOOKUP($A42,Questions!$A$2:$X$333,15,0)&amp;"")))</f>
        <v>Based on the response to REQU-05 on the "START HERE" tab, this question does not apply to this product or service.</v>
      </c>
      <c r="F42" s="191" t="str">
        <f>VLOOKUP($A42,'Institution Evaluation'!$A$56:$F$345,6,0)&amp;""</f>
        <v/>
      </c>
      <c r="I42" s="35"/>
      <c r="J42" s="35"/>
    </row>
    <row r="43" spans="1:10" s="1" customFormat="1" ht="45" x14ac:dyDescent="0.15">
      <c r="A43" s="19" t="s">
        <v>209</v>
      </c>
      <c r="B43" s="18" t="str">
        <f>VLOOKUP($A43,Questions!$A$2:$X$333,2,0)</f>
        <v>Does your application require users to set their own password after an administrator reset or on first use of the account?</v>
      </c>
      <c r="C43" s="21" t="s">
        <v>452</v>
      </c>
      <c r="D43" s="282" t="s">
        <v>509</v>
      </c>
      <c r="E43" s="160" t="str">
        <f>IF($C$19='Auto Responses'!$J$4,'Auto Responses'!$A$7,IF($C43='Auto Responses'!$J$3,VLOOKUP($A43,Questions!$A$2:$X$333,17,0)&amp;"",IF($C43='Auto Responses'!$J$4,VLOOKUP($A43,Questions!$A$2:$X$333,16,0)&amp;"",VLOOKUP($A43,Questions!$A$2:$X$333,15,0)&amp;"")))</f>
        <v>Based on the response to REQU-05 on the "START HERE" tab, this question does not apply to this product or service.</v>
      </c>
      <c r="F43" s="191" t="str">
        <f>VLOOKUP($A43,'Institution Evaluation'!$A$56:$F$345,6,0)&amp;""</f>
        <v/>
      </c>
      <c r="I43" s="35"/>
      <c r="J43" s="35"/>
    </row>
    <row r="44" spans="1:10" s="1" customFormat="1" ht="45" x14ac:dyDescent="0.15">
      <c r="A44" s="19" t="s">
        <v>210</v>
      </c>
      <c r="B44" s="18" t="str">
        <f>VLOOKUP($A44,Questions!$A$2:$X$333,2,0)</f>
        <v>Does your application lock out an account after a number of failed login attempts?</v>
      </c>
      <c r="C44" s="21" t="s">
        <v>452</v>
      </c>
      <c r="D44" s="282" t="s">
        <v>509</v>
      </c>
      <c r="E44" s="160" t="str">
        <f>IF($C$19='Auto Responses'!$J$4,'Auto Responses'!$A$7,IF($C44='Auto Responses'!$J$3,VLOOKUP($A44,Questions!$A$2:$X$333,17,0)&amp;"",IF($C44='Auto Responses'!$J$4,VLOOKUP($A44,Questions!$A$2:$X$333,16,0)&amp;"",VLOOKUP($A44,Questions!$A$2:$X$333,15,0)&amp;"")))</f>
        <v>Based on the response to REQU-05 on the "START HERE" tab, this question does not apply to this product or service.</v>
      </c>
      <c r="F44" s="191" t="str">
        <f>VLOOKUP($A44,'Institution Evaluation'!$A$56:$F$345,6,0)&amp;""</f>
        <v/>
      </c>
      <c r="I44" s="35"/>
      <c r="J44" s="35"/>
    </row>
    <row r="45" spans="1:10" s="1" customFormat="1" ht="45" x14ac:dyDescent="0.15">
      <c r="A45" s="19" t="s">
        <v>211</v>
      </c>
      <c r="B45" s="18" t="str">
        <f>VLOOKUP($A45,Questions!$A$2:$X$333,2,0)</f>
        <v>Does your application automatically lock or log-out an account after a period of inactivity?</v>
      </c>
      <c r="C45" s="21" t="s">
        <v>452</v>
      </c>
      <c r="D45" s="282" t="s">
        <v>509</v>
      </c>
      <c r="E45" s="160" t="str">
        <f>IF($C$19='Auto Responses'!$J$4,'Auto Responses'!$A$7,IF($C45='Auto Responses'!$J$3,VLOOKUP($A45,Questions!$A$2:$X$333,17,0)&amp;"",IF($C45='Auto Responses'!$J$4,VLOOKUP($A45,Questions!$A$2:$X$333,16,0)&amp;"",VLOOKUP($A45,Questions!$A$2:$X$333,15,0)&amp;"")))</f>
        <v>Based on the response to REQU-05 on the "START HERE" tab, this question does not apply to this product or service.</v>
      </c>
      <c r="F45" s="191" t="str">
        <f>VLOOKUP($A45,'Institution Evaluation'!$A$56:$F$345,6,0)&amp;""</f>
        <v/>
      </c>
      <c r="I45" s="35"/>
      <c r="J45" s="35"/>
    </row>
    <row r="46" spans="1:10" s="1" customFormat="1" ht="45" x14ac:dyDescent="0.15">
      <c r="A46" s="19" t="s">
        <v>212</v>
      </c>
      <c r="B46" s="18" t="str">
        <f>VLOOKUP($A46,Questions!$A$2:$X$333,2,0)</f>
        <v>Are passwords visible in plain text, whether when stored or entered, including service level accounts (i.e., database accounts, etc.)?</v>
      </c>
      <c r="C46" s="21" t="s">
        <v>452</v>
      </c>
      <c r="D46" s="282" t="s">
        <v>509</v>
      </c>
      <c r="E46" s="160" t="str">
        <f>IF($C$19='Auto Responses'!$J$4,'Auto Responses'!$A$7,IF($C46='Auto Responses'!$J$3,VLOOKUP($A46,Questions!$A$2:$X$333,17,0)&amp;"",IF($C46='Auto Responses'!$J$4,VLOOKUP($A46,Questions!$A$2:$X$333,16,0)&amp;"",VLOOKUP($A46,Questions!$A$2:$X$333,15,0)&amp;"")))</f>
        <v>Based on the response to REQU-05 on the "START HERE" tab, this question does not apply to this product or service.</v>
      </c>
      <c r="F46" s="191" t="str">
        <f>VLOOKUP($A46,'Institution Evaluation'!$A$56:$F$345,6,0)&amp;""</f>
        <v/>
      </c>
      <c r="I46" s="35"/>
      <c r="J46" s="35"/>
    </row>
    <row r="47" spans="1:10" s="1" customFormat="1" ht="45" x14ac:dyDescent="0.15">
      <c r="A47" s="19" t="s">
        <v>213</v>
      </c>
      <c r="B47" s="18" t="str">
        <f>VLOOKUP($A47,Questions!$A$2:$X$333,2,0)</f>
        <v>If the application is institution-hosted, can all service level and administrative account passwords be changed by the institution?</v>
      </c>
      <c r="C47" s="21" t="s">
        <v>452</v>
      </c>
      <c r="D47" s="282" t="s">
        <v>509</v>
      </c>
      <c r="E47" s="160" t="str">
        <f>IF($C$19='Auto Responses'!$J$4,'Auto Responses'!$A$7,IF($C47='Auto Responses'!$J$3,VLOOKUP($A47,Questions!$A$2:$X$333,17,0)&amp;"",IF($C47='Auto Responses'!$J$4,VLOOKUP($A47,Questions!$A$2:$X$333,16,0)&amp;"",VLOOKUP($A47,Questions!$A$2:$X$333,15,0)&amp;"")))</f>
        <v>Based on the response to REQU-05 on the "START HERE" tab, this question does not apply to this product or service.</v>
      </c>
      <c r="F47" s="191" t="str">
        <f>VLOOKUP($A47,'Institution Evaluation'!$A$56:$F$345,6,0)&amp;""</f>
        <v/>
      </c>
      <c r="I47" s="35"/>
      <c r="J47" s="35"/>
    </row>
    <row r="48" spans="1:10" s="1" customFormat="1" ht="45" x14ac:dyDescent="0.15">
      <c r="A48" s="19" t="s">
        <v>214</v>
      </c>
      <c r="B48" s="18" t="str">
        <f>VLOOKUP($A48,Questions!$A$2:$X$333,2,0)</f>
        <v>Does your application provide the ability to define user access levels?</v>
      </c>
      <c r="C48" s="21" t="s">
        <v>452</v>
      </c>
      <c r="D48" s="282" t="s">
        <v>509</v>
      </c>
      <c r="E48" s="160" t="str">
        <f>IF($C$19='Auto Responses'!$J$4,'Auto Responses'!$A$7,IF($C48='Auto Responses'!$J$3,VLOOKUP($A48,Questions!$A$2:$X$333,17,0)&amp;"",IF($C48='Auto Responses'!$J$4,VLOOKUP($A48,Questions!$A$2:$X$333,16,0)&amp;"",VLOOKUP($A48,Questions!$A$2:$X$333,15,0)&amp;"")))</f>
        <v>Based on the response to REQU-05 on the "START HERE" tab, this question does not apply to this product or service.</v>
      </c>
      <c r="F48" s="191" t="str">
        <f>VLOOKUP($A48,'Institution Evaluation'!$A$56:$F$345,6,0)&amp;""</f>
        <v/>
      </c>
      <c r="I48" s="35"/>
      <c r="J48" s="35"/>
    </row>
    <row r="49" spans="1:10" s="1" customFormat="1" ht="45" x14ac:dyDescent="0.15">
      <c r="A49" s="19" t="s">
        <v>215</v>
      </c>
      <c r="B49" s="18" t="str">
        <f>VLOOKUP($A49,Questions!$A$2:$X$333,2,0)</f>
        <v>Does your application support varying levels of access to administrative tasks defined individually per user?</v>
      </c>
      <c r="C49" s="21" t="s">
        <v>452</v>
      </c>
      <c r="D49" s="282" t="s">
        <v>509</v>
      </c>
      <c r="E49" s="160" t="str">
        <f>IF($C$19='Auto Responses'!$J$4,'Auto Responses'!$A$7,IF($C49='Auto Responses'!$J$3,VLOOKUP($A49,Questions!$A$2:$X$333,17,0)&amp;"",IF($C49='Auto Responses'!$J$4,VLOOKUP($A49,Questions!$A$2:$X$333,16,0)&amp;"",VLOOKUP($A49,Questions!$A$2:$X$333,15,0)&amp;"")))</f>
        <v>Based on the response to REQU-05 on the "START HERE" tab, this question does not apply to this product or service.</v>
      </c>
      <c r="F49" s="191" t="str">
        <f>VLOOKUP($A49,'Institution Evaluation'!$A$56:$F$345,6,0)&amp;""</f>
        <v/>
      </c>
      <c r="I49" s="35"/>
      <c r="J49" s="35"/>
    </row>
    <row r="50" spans="1:10" s="1" customFormat="1" ht="45" x14ac:dyDescent="0.15">
      <c r="A50" s="19" t="s">
        <v>216</v>
      </c>
      <c r="B50" s="18" t="str">
        <f>VLOOKUP($A50,Questions!$A$2:$X$333,2,0)</f>
        <v>Does your application support varying levels of access to records based on user ID?</v>
      </c>
      <c r="C50" s="21" t="s">
        <v>452</v>
      </c>
      <c r="D50" s="282" t="s">
        <v>509</v>
      </c>
      <c r="E50" s="160" t="str">
        <f>IF($C$19='Auto Responses'!$J$4,'Auto Responses'!$A$7,IF($C50='Auto Responses'!$J$3,VLOOKUP($A50,Questions!$A$2:$X$333,17,0)&amp;"",IF($C50='Auto Responses'!$J$4,VLOOKUP($A50,Questions!$A$2:$X$333,16,0)&amp;"",VLOOKUP($A50,Questions!$A$2:$X$333,15,0)&amp;"")))</f>
        <v>Based on the response to REQU-05 on the "START HERE" tab, this question does not apply to this product or service.</v>
      </c>
      <c r="F50" s="191" t="str">
        <f>VLOOKUP($A50,'Institution Evaluation'!$A$56:$F$345,6,0)&amp;""</f>
        <v/>
      </c>
      <c r="I50" s="35"/>
      <c r="J50" s="35"/>
    </row>
    <row r="51" spans="1:10" s="1" customFormat="1" ht="45" x14ac:dyDescent="0.15">
      <c r="A51" s="19" t="s">
        <v>217</v>
      </c>
      <c r="B51" s="18" t="str">
        <f>VLOOKUP($A51,Questions!$A$2:$X$333,2,0)</f>
        <v>Is there a limit to the number of groups to which a user can be assigned?</v>
      </c>
      <c r="C51" s="21" t="s">
        <v>452</v>
      </c>
      <c r="D51" s="282" t="s">
        <v>509</v>
      </c>
      <c r="E51" s="160" t="str">
        <f>IF($C$19='Auto Responses'!$J$4,'Auto Responses'!$A$7,IF($C51='Auto Responses'!$J$3,VLOOKUP($A51,Questions!$A$2:$X$333,17,0)&amp;"",IF($C51='Auto Responses'!$J$4,VLOOKUP($A51,Questions!$A$2:$X$333,16,0)&amp;"",VLOOKUP($A51,Questions!$A$2:$X$333,15,0)&amp;"")))</f>
        <v>Based on the response to REQU-05 on the "START HERE" tab, this question does not apply to this product or service.</v>
      </c>
      <c r="F51" s="191" t="str">
        <f>VLOOKUP($A51,'Institution Evaluation'!$A$56:$F$345,6,0)&amp;""</f>
        <v/>
      </c>
      <c r="I51" s="35"/>
      <c r="J51" s="35"/>
    </row>
    <row r="52" spans="1:10" s="1" customFormat="1" ht="45" x14ac:dyDescent="0.15">
      <c r="A52" s="19" t="s">
        <v>218</v>
      </c>
      <c r="B52" s="18" t="str">
        <f>VLOOKUP($A52,Questions!$A$2:$X$333,2,0)</f>
        <v>Do accounts used for solution provider-supplied remote support abide by the same authentication policies and access logging as the rest of the system?</v>
      </c>
      <c r="C52" s="21" t="s">
        <v>452</v>
      </c>
      <c r="D52" s="282" t="s">
        <v>509</v>
      </c>
      <c r="E52" s="160" t="str">
        <f>IF($C$19='Auto Responses'!$J$4,'Auto Responses'!$A$7,IF($C52='Auto Responses'!$J$3,VLOOKUP($A52,Questions!$A$2:$X$333,17,0)&amp;"",IF($C52='Auto Responses'!$J$4,VLOOKUP($A52,Questions!$A$2:$X$333,16,0)&amp;"",VLOOKUP($A52,Questions!$A$2:$X$333,15,0)&amp;"")))</f>
        <v>Based on the response to REQU-05 on the "START HERE" tab, this question does not apply to this product or service.</v>
      </c>
      <c r="F52" s="191" t="str">
        <f>VLOOKUP($A52,'Institution Evaluation'!$A$56:$F$345,6,0)&amp;""</f>
        <v/>
      </c>
      <c r="I52" s="35"/>
      <c r="J52" s="35"/>
    </row>
    <row r="53" spans="1:10" s="1" customFormat="1" ht="45" x14ac:dyDescent="0.15">
      <c r="A53" s="19" t="s">
        <v>219</v>
      </c>
      <c r="B53" s="18" t="str">
        <f>VLOOKUP($A53,Questions!$A$2:$X$333,2,0)</f>
        <v>Does the application log record access including specific user, date/time of access, and originating IP or device?</v>
      </c>
      <c r="C53" s="21" t="s">
        <v>452</v>
      </c>
      <c r="D53" s="282" t="s">
        <v>509</v>
      </c>
      <c r="E53" s="160" t="str">
        <f>IF($C$19='Auto Responses'!$J$4,'Auto Responses'!$A$7,IF($C53='Auto Responses'!$J$3,VLOOKUP($A53,Questions!$A$2:$X$333,17,0)&amp;"",IF($C53='Auto Responses'!$J$4,VLOOKUP($A53,Questions!$A$2:$X$333,16,0)&amp;"",VLOOKUP($A53,Questions!$A$2:$X$333,15,0)&amp;"")))</f>
        <v>Based on the response to REQU-05 on the "START HERE" tab, this question does not apply to this product or service.</v>
      </c>
      <c r="F53" s="191" t="str">
        <f>VLOOKUP($A53,'Institution Evaluation'!$A$56:$F$345,6,0)&amp;""</f>
        <v/>
      </c>
      <c r="I53" s="35"/>
      <c r="J53" s="35"/>
    </row>
    <row r="54" spans="1:10" s="1" customFormat="1" ht="45" x14ac:dyDescent="0.15">
      <c r="A54" s="19" t="s">
        <v>220</v>
      </c>
      <c r="B54" s="18" t="str">
        <f>VLOOKUP($A54,Questions!$A$2:$X$333,2,0)</f>
        <v>Does the application log administrative activity, such as user account access changes and password changes, including specific user, date/time of changes, and originating IP or device?</v>
      </c>
      <c r="C54" s="21" t="s">
        <v>452</v>
      </c>
      <c r="D54" s="282" t="s">
        <v>509</v>
      </c>
      <c r="E54" s="160" t="str">
        <f>IF($C$19='Auto Responses'!$J$4,'Auto Responses'!$A$7,IF($C54='Auto Responses'!$J$3,VLOOKUP($A54,Questions!$A$2:$X$333,17,0)&amp;"",IF($C54='Auto Responses'!$J$4,VLOOKUP($A54,Questions!$A$2:$X$333,16,0)&amp;"",VLOOKUP($A54,Questions!$A$2:$X$333,15,0)&amp;"")))</f>
        <v>Based on the response to REQU-05 on the "START HERE" tab, this question does not apply to this product or service.</v>
      </c>
      <c r="F54" s="191" t="str">
        <f>VLOOKUP($A54,'Institution Evaluation'!$A$56:$F$345,6,0)&amp;""</f>
        <v/>
      </c>
      <c r="I54" s="35"/>
      <c r="J54" s="35"/>
    </row>
    <row r="55" spans="1:10" s="1" customFormat="1" ht="45" x14ac:dyDescent="0.15">
      <c r="A55" s="19" t="s">
        <v>221</v>
      </c>
      <c r="B55" s="18" t="str">
        <f>VLOOKUP($A55,Questions!$A$2:$X$333,2,0)</f>
        <v>Do you retain logs for at least as long as required by HIPAA regulations?</v>
      </c>
      <c r="C55" s="21" t="s">
        <v>452</v>
      </c>
      <c r="D55" s="282" t="s">
        <v>509</v>
      </c>
      <c r="E55" s="160" t="str">
        <f>IF($C$19='Auto Responses'!$J$4,'Auto Responses'!$A$7,IF($C55='Auto Responses'!$J$3,VLOOKUP($A55,Questions!$A$2:$X$333,17,0)&amp;"",IF($C55='Auto Responses'!$J$4,VLOOKUP($A55,Questions!$A$2:$X$333,16,0)&amp;"",VLOOKUP($A55,Questions!$A$2:$X$333,15,0)&amp;"")))</f>
        <v>Based on the response to REQU-05 on the "START HERE" tab, this question does not apply to this product or service.</v>
      </c>
      <c r="F55" s="191" t="str">
        <f>VLOOKUP($A55,'Institution Evaluation'!$A$56:$F$345,6,0)&amp;""</f>
        <v/>
      </c>
      <c r="I55" s="35"/>
      <c r="J55" s="35"/>
    </row>
    <row r="56" spans="1:10" s="1" customFormat="1" ht="45" x14ac:dyDescent="0.15">
      <c r="A56" s="19" t="s">
        <v>222</v>
      </c>
      <c r="B56" s="18" t="str">
        <f>VLOOKUP($A56,Questions!$A$2:$X$333,2,0)</f>
        <v>Can the application logs be archived?</v>
      </c>
      <c r="C56" s="21" t="s">
        <v>452</v>
      </c>
      <c r="D56" s="282" t="s">
        <v>509</v>
      </c>
      <c r="E56" s="160" t="str">
        <f>IF($C$19='Auto Responses'!$J$4,'Auto Responses'!$A$7,IF($C56='Auto Responses'!$J$3,VLOOKUP($A56,Questions!$A$2:$X$333,17,0)&amp;"",IF($C56='Auto Responses'!$J$4,VLOOKUP($A56,Questions!$A$2:$X$333,16,0)&amp;"",VLOOKUP($A56,Questions!$A$2:$X$333,15,0)&amp;"")))</f>
        <v>Based on the response to REQU-05 on the "START HERE" tab, this question does not apply to this product or service.</v>
      </c>
      <c r="F56" s="191" t="str">
        <f>VLOOKUP($A56,'Institution Evaluation'!$A$56:$F$345,6,0)&amp;""</f>
        <v/>
      </c>
      <c r="I56" s="35"/>
      <c r="J56" s="35"/>
    </row>
    <row r="57" spans="1:10" s="1" customFormat="1" ht="45" x14ac:dyDescent="0.15">
      <c r="A57" s="19" t="s">
        <v>223</v>
      </c>
      <c r="B57" s="18" t="str">
        <f>VLOOKUP($A57,Questions!$A$2:$X$333,2,0)</f>
        <v>Can the application logs be saved externally?</v>
      </c>
      <c r="C57" s="21" t="s">
        <v>452</v>
      </c>
      <c r="D57" s="282" t="s">
        <v>509</v>
      </c>
      <c r="E57" s="160" t="str">
        <f>IF($C$19='Auto Responses'!$J$4,'Auto Responses'!$A$7,IF($C57='Auto Responses'!$J$3,VLOOKUP($A57,Questions!$A$2:$X$333,17,0)&amp;"",IF($C57='Auto Responses'!$J$4,VLOOKUP($A57,Questions!$A$2:$X$333,16,0)&amp;"",VLOOKUP($A57,Questions!$A$2:$X$333,15,0)&amp;"")))</f>
        <v>Based on the response to REQU-05 on the "START HERE" tab, this question does not apply to this product or service.</v>
      </c>
      <c r="F57" s="191" t="str">
        <f>VLOOKUP($A57,'Institution Evaluation'!$A$56:$F$345,6,0)&amp;""</f>
        <v/>
      </c>
      <c r="I57" s="35"/>
      <c r="J57" s="35"/>
    </row>
    <row r="58" spans="1:10" s="1" customFormat="1" ht="45" x14ac:dyDescent="0.15">
      <c r="A58" s="19" t="s">
        <v>224</v>
      </c>
      <c r="B58" s="18" t="str">
        <f>VLOOKUP($A58,Questions!$A$2:$X$333,2,0)</f>
        <v>Do you have a disaster recovery plan and emergency mode operation plan?</v>
      </c>
      <c r="C58" s="21" t="s">
        <v>452</v>
      </c>
      <c r="D58" s="282" t="s">
        <v>509</v>
      </c>
      <c r="E58" s="160" t="str">
        <f>IF($C$19='Auto Responses'!$J$4,'Auto Responses'!$A$7,IF($C58='Auto Responses'!$J$3,VLOOKUP($A58,Questions!$A$2:$X$333,17,0)&amp;"",IF($C58='Auto Responses'!$J$4,VLOOKUP($A58,Questions!$A$2:$X$333,16,0)&amp;"",VLOOKUP($A58,Questions!$A$2:$X$333,15,0)&amp;"")))</f>
        <v>Based on the response to REQU-05 on the "START HERE" tab, this question does not apply to this product or service.</v>
      </c>
      <c r="F58" s="191" t="str">
        <f>VLOOKUP($A58,'Institution Evaluation'!$A$56:$F$345,6,0)&amp;""</f>
        <v/>
      </c>
      <c r="I58" s="35"/>
      <c r="J58" s="35"/>
    </row>
    <row r="59" spans="1:10" s="1" customFormat="1" ht="45" x14ac:dyDescent="0.15">
      <c r="A59" s="19" t="s">
        <v>225</v>
      </c>
      <c r="B59" s="18" t="str">
        <f>VLOOKUP($A59,Questions!$A$2:$X$333,2,0)</f>
        <v>Can you provide a HIPAA compliance attestation document?</v>
      </c>
      <c r="C59" s="21" t="s">
        <v>452</v>
      </c>
      <c r="D59" s="282" t="s">
        <v>509</v>
      </c>
      <c r="E59" s="160" t="str">
        <f>IF($C$19='Auto Responses'!$J$4,'Auto Responses'!$A$7,IF($C59='Auto Responses'!$J$3,VLOOKUP($A59,Questions!$A$2:$X$333,17,0)&amp;"",IF($C59='Auto Responses'!$J$4,VLOOKUP($A59,Questions!$A$2:$X$333,16,0)&amp;"",VLOOKUP($A59,Questions!$A$2:$X$333,15,0)&amp;"")))</f>
        <v>Based on the response to REQU-05 on the "START HERE" tab, this question does not apply to this product or service.</v>
      </c>
      <c r="F59" s="191" t="str">
        <f>VLOOKUP($A59,'Institution Evaluation'!$A$56:$F$345,6,0)&amp;""</f>
        <v/>
      </c>
      <c r="I59" s="35"/>
      <c r="J59" s="35"/>
    </row>
    <row r="60" spans="1:10" s="1" customFormat="1" ht="45" x14ac:dyDescent="0.15">
      <c r="A60" s="19" t="s">
        <v>226</v>
      </c>
      <c r="B60" s="18" t="str">
        <f>VLOOKUP($A60,Questions!$A$2:$X$333,2,0)</f>
        <v>Are you willing to enter into a Business Associate Agreement (BAA)?</v>
      </c>
      <c r="C60" s="21" t="s">
        <v>452</v>
      </c>
      <c r="D60" s="282" t="s">
        <v>509</v>
      </c>
      <c r="E60" s="160" t="str">
        <f>IF($C$19='Auto Responses'!$J$4,'Auto Responses'!$A$7,IF($C60='Auto Responses'!$J$3,VLOOKUP($A60,Questions!$A$2:$X$333,17,0)&amp;"",IF($C60='Auto Responses'!$J$4,VLOOKUP($A60,Questions!$A$2:$X$333,16,0)&amp;"",VLOOKUP($A60,Questions!$A$2:$X$333,15,0)&amp;"")))</f>
        <v>Based on the response to REQU-05 on the "START HERE" tab, this question does not apply to this product or service.</v>
      </c>
      <c r="F60" s="191" t="str">
        <f>VLOOKUP($A60,'Institution Evaluation'!$A$56:$F$345,6,0)&amp;""</f>
        <v/>
      </c>
      <c r="I60" s="35"/>
      <c r="J60" s="35"/>
    </row>
    <row r="61" spans="1:10" s="1" customFormat="1" ht="46" thickBot="1" x14ac:dyDescent="0.2">
      <c r="A61" s="19" t="s">
        <v>227</v>
      </c>
      <c r="B61" s="18" t="str">
        <f>VLOOKUP($A61,Questions!$A$2:$X$333,2,0)</f>
        <v>Do your data backup and retention policies and practices meet HIPAA requirements?</v>
      </c>
      <c r="C61" s="21" t="s">
        <v>452</v>
      </c>
      <c r="D61" s="282" t="s">
        <v>509</v>
      </c>
      <c r="E61" s="160" t="str">
        <f>IF($C$19='Auto Responses'!$J$4,'Auto Responses'!$A$7,IF($C61='Auto Responses'!$J$3,VLOOKUP($A61,Questions!$A$2:$X$333,17,0)&amp;"",IF($C61='Auto Responses'!$J$4,VLOOKUP($A61,Questions!$A$2:$X$333,16,0)&amp;"",VLOOKUP($A61,Questions!$A$2:$X$333,15,0)&amp;"")))</f>
        <v>Based on the response to REQU-05 on the "START HERE" tab, this question does not apply to this product or service.</v>
      </c>
      <c r="F61" s="191" t="str">
        <f>VLOOKUP($A61,'Institution Evaluation'!$A$56:$F$345,6,0)&amp;""</f>
        <v/>
      </c>
      <c r="G61" s="228" t="s">
        <v>361</v>
      </c>
      <c r="I61" s="35"/>
      <c r="J61" s="35"/>
    </row>
    <row r="62" spans="1:10" s="1" customFormat="1" ht="20" thickBot="1" x14ac:dyDescent="0.2">
      <c r="A62" s="61" t="str">
        <f>VLOOKUP(LEFT($A63,4),'Auto Responses'!$N$4:$O$38,2,0)&amp;""</f>
        <v xml:space="preserve"> Payment Card Industry Data Security Standard (PCI DSS)</v>
      </c>
      <c r="B62" s="22"/>
      <c r="C62" s="13" t="s">
        <v>351</v>
      </c>
      <c r="D62" s="13" t="s">
        <v>352</v>
      </c>
      <c r="E62" s="31" t="s">
        <v>353</v>
      </c>
      <c r="F62" s="178" t="s">
        <v>354</v>
      </c>
      <c r="I62" s="35"/>
      <c r="J62" s="35"/>
    </row>
    <row r="63" spans="1:10" s="1" customFormat="1" ht="45" x14ac:dyDescent="0.15">
      <c r="A63" s="19" t="s">
        <v>228</v>
      </c>
      <c r="B63" s="18" t="str">
        <f>VLOOKUP($A63,Questions!$A$2:$X$333,2,0)</f>
        <v>Do you have a current, executed within the past year, Attestation of Compliance (AoC) or Report on Compliance (RoC)?*</v>
      </c>
      <c r="C63" s="21" t="s">
        <v>452</v>
      </c>
      <c r="D63" s="282" t="s">
        <v>510</v>
      </c>
      <c r="E63" s="160" t="str">
        <f>IF($C$20='Auto Responses'!$J$4,'Auto Responses'!$A$8,IF($C63='Auto Responses'!$J$3,VLOOKUP($A63,Questions!$A$2:$X$333,17,0)&amp;"",IF($C63='Auto Responses'!$J$4,VLOOKUP($A63,Questions!$A$2:$X$333,16,0)&amp;"",VLOOKUP($A63,Questions!$A$2:$X$333,15,0)&amp;"")))</f>
        <v>Based on the response to REQU-06 on the "START HERE" tab, this question does not apply to this product or service.</v>
      </c>
      <c r="F63" s="191" t="str">
        <f>VLOOKUP($A63,'Institution Evaluation'!$A$56:$F$345,6,0)&amp;""</f>
        <v/>
      </c>
      <c r="I63" s="35"/>
      <c r="J63" s="35"/>
    </row>
    <row r="64" spans="1:10" s="1" customFormat="1" ht="45" x14ac:dyDescent="0.15">
      <c r="A64" s="19" t="s">
        <v>229</v>
      </c>
      <c r="B64" s="18" t="str">
        <f>VLOOKUP($A64,Questions!$A$2:$X$333,2,0)</f>
        <v>Is the application listed as an approved Payment Application Data Security Standard (PA-DSS) application?*</v>
      </c>
      <c r="C64" s="21" t="s">
        <v>452</v>
      </c>
      <c r="D64" s="282" t="s">
        <v>510</v>
      </c>
      <c r="E64" s="160" t="str">
        <f>IF($C$20='Auto Responses'!$J$4,'Auto Responses'!$A$8,IF($C64='Auto Responses'!$J$3,VLOOKUP($A64,Questions!$A$2:$X$333,17,0)&amp;"",IF($C64='Auto Responses'!$J$4,VLOOKUP($A64,Questions!$A$2:$X$333,16,0)&amp;"",VLOOKUP($A64,Questions!$A$2:$X$333,15,0)&amp;"")))</f>
        <v>Based on the response to REQU-06 on the "START HERE" tab, this question does not apply to this product or service.</v>
      </c>
      <c r="F64" s="191" t="str">
        <f>VLOOKUP($A64,'Institution Evaluation'!$A$56:$F$345,6,0)&amp;""</f>
        <v/>
      </c>
      <c r="I64" s="35"/>
      <c r="J64" s="35"/>
    </row>
    <row r="65" spans="1:10" s="1" customFormat="1" ht="45" x14ac:dyDescent="0.15">
      <c r="A65" s="19" t="s">
        <v>230</v>
      </c>
      <c r="B65" s="18" t="str">
        <f>VLOOKUP($A65,Questions!$A$2:$X$333,2,0)</f>
        <v>Does the system or solutions use a third party to collect, store, process, or transmit cardholder (payment/credit/debt card) data?*</v>
      </c>
      <c r="C65" s="21" t="s">
        <v>452</v>
      </c>
      <c r="D65" s="282" t="s">
        <v>510</v>
      </c>
      <c r="E65" s="160" t="str">
        <f>IF($C$20='Auto Responses'!$J$4,'Auto Responses'!$A$8,IF($C65='Auto Responses'!$J$3,VLOOKUP($A65,Questions!$A$2:$X$333,17,0)&amp;"",IF($C65='Auto Responses'!$J$4,VLOOKUP($A65,Questions!$A$2:$X$333,16,0)&amp;"",VLOOKUP($A65,Questions!$A$2:$X$333,15,0)&amp;"")))</f>
        <v>Based on the response to REQU-06 on the "START HERE" tab, this question does not apply to this product or service.</v>
      </c>
      <c r="F65" s="191" t="str">
        <f>VLOOKUP($A65,'Institution Evaluation'!$A$56:$F$345,6,0)&amp;""</f>
        <v/>
      </c>
      <c r="I65" s="35"/>
      <c r="J65" s="35"/>
    </row>
    <row r="66" spans="1:10" s="1" customFormat="1" ht="45" x14ac:dyDescent="0.15">
      <c r="A66" s="19" t="s">
        <v>231</v>
      </c>
      <c r="B66" s="18" t="str">
        <f>VLOOKUP($A66,Questions!$A$2:$X$333,2,0)</f>
        <v>Do your systems or solutions store, process, or transmit cardholder (payment/credit/debt card) data?</v>
      </c>
      <c r="C66" s="21" t="s">
        <v>452</v>
      </c>
      <c r="D66" s="282" t="s">
        <v>510</v>
      </c>
      <c r="E66" s="160" t="str">
        <f>IF($C$20='Auto Responses'!$J$4,'Auto Responses'!$A$8,IF($C66='Auto Responses'!$J$3,VLOOKUP($A66,Questions!$A$2:$X$333,17,0)&amp;"",IF($C66='Auto Responses'!$J$4,VLOOKUP($A66,Questions!$A$2:$X$333,16,0)&amp;"",VLOOKUP($A66,Questions!$A$2:$X$333,15,0)&amp;"")))</f>
        <v>Based on the response to REQU-06 on the "START HERE" tab, this question does not apply to this product or service.</v>
      </c>
      <c r="F66" s="191" t="str">
        <f>VLOOKUP($A66,'Institution Evaluation'!$A$56:$F$345,6,0)&amp;""</f>
        <v/>
      </c>
      <c r="I66" s="35"/>
      <c r="J66" s="35"/>
    </row>
    <row r="67" spans="1:10" s="1" customFormat="1" ht="45" x14ac:dyDescent="0.15">
      <c r="A67" s="19" t="s">
        <v>232</v>
      </c>
      <c r="B67" s="18" t="str">
        <f>VLOOKUP($A67,Questions!$A$2:$X$333,2,0)</f>
        <v>Are you compliant with the Payment Card Industry Data Security Standard (PCI DSS)?</v>
      </c>
      <c r="C67" s="21" t="s">
        <v>452</v>
      </c>
      <c r="D67" s="282" t="s">
        <v>510</v>
      </c>
      <c r="E67" s="160" t="str">
        <f>IF($C$20='Auto Responses'!$J$4,'Auto Responses'!$A$8,IF($C67='Auto Responses'!$J$3,VLOOKUP($A67,Questions!$A$2:$X$333,17,0)&amp;"",IF($C67='Auto Responses'!$J$4,VLOOKUP($A67,Questions!$A$2:$X$333,16,0)&amp;"",VLOOKUP($A67,Questions!$A$2:$X$333,15,0)&amp;"")))</f>
        <v>Based on the response to REQU-06 on the "START HERE" tab, this question does not apply to this product or service.</v>
      </c>
      <c r="F67" s="191" t="str">
        <f>VLOOKUP($A67,'Institution Evaluation'!$A$56:$F$345,6,0)&amp;""</f>
        <v/>
      </c>
      <c r="I67" s="35"/>
      <c r="J67" s="35"/>
    </row>
    <row r="68" spans="1:10" s="1" customFormat="1" ht="45" x14ac:dyDescent="0.15">
      <c r="A68" s="19" t="s">
        <v>233</v>
      </c>
      <c r="B68" s="18" t="str">
        <f>VLOOKUP($A68,Questions!$A$2:$X$333,2,0)</f>
        <v>Are you classified as a service provider?</v>
      </c>
      <c r="C68" s="21" t="s">
        <v>452</v>
      </c>
      <c r="D68" s="282" t="s">
        <v>510</v>
      </c>
      <c r="E68" s="160" t="str">
        <f>IF($C$20='Auto Responses'!$J$4,'Auto Responses'!$A$8,IF($C68='Auto Responses'!$J$3,VLOOKUP($A68,Questions!$A$2:$X$333,17,0)&amp;"",IF($C68='Auto Responses'!$J$4,VLOOKUP($A68,Questions!$A$2:$X$333,16,0)&amp;"",VLOOKUP($A68,Questions!$A$2:$X$333,15,0)&amp;"")))</f>
        <v>Based on the response to REQU-06 on the "START HERE" tab, this question does not apply to this product or service.</v>
      </c>
      <c r="F68" s="191" t="str">
        <f>VLOOKUP($A68,'Institution Evaluation'!$A$56:$F$345,6,0)&amp;""</f>
        <v/>
      </c>
      <c r="I68" s="35"/>
      <c r="J68" s="35"/>
    </row>
    <row r="69" spans="1:10" s="1" customFormat="1" ht="45" x14ac:dyDescent="0.15">
      <c r="A69" s="19" t="s">
        <v>234</v>
      </c>
      <c r="B69" s="18" t="str">
        <f>VLOOKUP($A69,Questions!$A$2:$X$333,2,0)</f>
        <v>Are you on the list of Visa approved service providers?</v>
      </c>
      <c r="C69" s="21" t="s">
        <v>452</v>
      </c>
      <c r="D69" s="282" t="s">
        <v>510</v>
      </c>
      <c r="E69" s="160" t="str">
        <f>IF($C$20='Auto Responses'!$J$4,'Auto Responses'!$A$8,IF($C69='Auto Responses'!$J$3,VLOOKUP($A69,Questions!$A$2:$X$333,17,0)&amp;"",IF($C69='Auto Responses'!$J$4,VLOOKUP($A69,Questions!$A$2:$X$333,16,0)&amp;"",VLOOKUP($A69,Questions!$A$2:$X$333,15,0)&amp;"")))</f>
        <v>Based on the response to REQU-06 on the "START HERE" tab, this question does not apply to this product or service.</v>
      </c>
      <c r="F69" s="191" t="str">
        <f>VLOOKUP($A69,'Institution Evaluation'!$A$56:$F$345,6,0)&amp;""</f>
        <v/>
      </c>
      <c r="I69" s="35"/>
      <c r="J69" s="35"/>
    </row>
    <row r="70" spans="1:10" s="1" customFormat="1" ht="45" x14ac:dyDescent="0.15">
      <c r="A70" s="19" t="s">
        <v>235</v>
      </c>
      <c r="B70" s="18" t="str">
        <f>VLOOKUP($A70,Questions!$A$2:$X$333,2,0)</f>
        <v>Are you classified as a merchant? If so, what level (1, 2, 3, 4)?</v>
      </c>
      <c r="C70" s="21" t="s">
        <v>452</v>
      </c>
      <c r="D70" s="282" t="s">
        <v>510</v>
      </c>
      <c r="E70" s="160" t="str">
        <f>IF($C$20='Auto Responses'!$J$4,'Auto Responses'!$A$8,IF($C70='Auto Responses'!$J$3,VLOOKUP($A70,Questions!$A$2:$X$333,17,0)&amp;"",IF($C70='Auto Responses'!$J$4,VLOOKUP($A70,Questions!$A$2:$X$333,16,0)&amp;"",VLOOKUP($A70,Questions!$A$2:$X$333,15,0)&amp;"")))</f>
        <v>Based on the response to REQU-06 on the "START HERE" tab, this question does not apply to this product or service.</v>
      </c>
      <c r="F70" s="191" t="str">
        <f>VLOOKUP($A70,'Institution Evaluation'!$A$56:$F$345,6,0)&amp;""</f>
        <v/>
      </c>
      <c r="I70" s="35"/>
      <c r="J70" s="35"/>
    </row>
    <row r="71" spans="1:10" s="1" customFormat="1" ht="45" x14ac:dyDescent="0.15">
      <c r="A71" s="19" t="s">
        <v>236</v>
      </c>
      <c r="B71" s="18" t="str">
        <f>VLOOKUP($A71,Questions!$A$2:$X$333,2,0)</f>
        <v>Describe the architecture employed by the system to verify and authorize credit card transactions.</v>
      </c>
      <c r="C71" s="21" t="s">
        <v>452</v>
      </c>
      <c r="D71" s="282" t="s">
        <v>510</v>
      </c>
      <c r="E71" s="160" t="str">
        <f>IF($C$20='Auto Responses'!$J$4,'Auto Responses'!$A$8,IF($C71='Auto Responses'!$J$3,VLOOKUP($A71,Questions!$A$2:$X$333,17,0)&amp;"",IF($C71='Auto Responses'!$J$4,VLOOKUP($A71,Questions!$A$2:$X$333,16,0)&amp;"",VLOOKUP($A71,Questions!$A$2:$X$333,15,0)&amp;"")))</f>
        <v>Based on the response to REQU-06 on the "START HERE" tab, this question does not apply to this product or service.</v>
      </c>
      <c r="F71" s="191" t="str">
        <f>VLOOKUP($A71,'Institution Evaluation'!$A$56:$F$345,6,0)&amp;""</f>
        <v/>
      </c>
      <c r="I71" s="35"/>
      <c r="J71" s="35"/>
    </row>
    <row r="72" spans="1:10" s="1" customFormat="1" ht="45" x14ac:dyDescent="0.15">
      <c r="A72" s="19" t="s">
        <v>237</v>
      </c>
      <c r="B72" s="18" t="str">
        <f>VLOOKUP($A72,Questions!$A$2:$X$333,2,0)</f>
        <v>What payment processors/gateways does the system support?</v>
      </c>
      <c r="C72" s="21" t="s">
        <v>452</v>
      </c>
      <c r="D72" s="282" t="s">
        <v>510</v>
      </c>
      <c r="E72" s="160" t="str">
        <f>IF($C$20='Auto Responses'!$J$4,'Auto Responses'!$A$8,IF($C72='Auto Responses'!$J$3,VLOOKUP($A72,Questions!$A$2:$X$333,17,0)&amp;"",IF($C72='Auto Responses'!$J$4,VLOOKUP($A72,Questions!$A$2:$X$333,16,0)&amp;"",VLOOKUP($A72,Questions!$A$2:$X$333,15,0)&amp;"")))</f>
        <v>Based on the response to REQU-06 on the "START HERE" tab, this question does not apply to this product or service.</v>
      </c>
      <c r="F72" s="191" t="str">
        <f>VLOOKUP($A72,'Institution Evaluation'!$A$56:$F$345,6,0)&amp;""</f>
        <v/>
      </c>
      <c r="I72" s="35"/>
      <c r="J72" s="35"/>
    </row>
    <row r="73" spans="1:10" s="1" customFormat="1" ht="45" x14ac:dyDescent="0.15">
      <c r="A73" s="19" t="s">
        <v>238</v>
      </c>
      <c r="B73" s="18" t="str">
        <f>VLOOKUP($A73,Questions!$A$2:$X$333,2,0)</f>
        <v>Can the application be installed in a PCI DSS–compliant manner?</v>
      </c>
      <c r="C73" s="21" t="s">
        <v>452</v>
      </c>
      <c r="D73" s="282" t="s">
        <v>510</v>
      </c>
      <c r="E73" s="160" t="str">
        <f>IF($C$20='Auto Responses'!$J$4,'Auto Responses'!$A$8,IF($C73='Auto Responses'!$J$3,VLOOKUP($A73,Questions!$A$2:$X$333,17,0)&amp;"",IF($C73='Auto Responses'!$J$4,VLOOKUP($A73,Questions!$A$2:$X$333,16,0)&amp;"",VLOOKUP($A73,Questions!$A$2:$X$333,15,0)&amp;"")))</f>
        <v>Based on the response to REQU-06 on the "START HERE" tab, this question does not apply to this product or service.</v>
      </c>
      <c r="F73" s="191" t="str">
        <f>VLOOKUP($A73,'Institution Evaluation'!$A$56:$F$345,6,0)&amp;""</f>
        <v/>
      </c>
      <c r="I73" s="35"/>
      <c r="J73" s="35"/>
    </row>
    <row r="74" spans="1:10" s="1" customFormat="1" ht="46" thickBot="1" x14ac:dyDescent="0.2">
      <c r="A74" s="19" t="s">
        <v>239</v>
      </c>
      <c r="B74" s="18" t="str">
        <f>VLOOKUP($A74,Questions!$A$2:$X$333,2,0)</f>
        <v>Include documentation describing the system's abilities to comply with the PCI DSS and any features or capabilities of the system that must be added or changed in order to operate in compliance with the standards.</v>
      </c>
      <c r="C74" s="21" t="s">
        <v>452</v>
      </c>
      <c r="D74" s="282" t="s">
        <v>510</v>
      </c>
      <c r="E74" s="160" t="str">
        <f>IF($C$20='Auto Responses'!$J$4,'Auto Responses'!$A$8,IF($C74='Auto Responses'!$J$3,VLOOKUP($A74,Questions!$A$2:$X$333,17,0)&amp;"",IF($C74='Auto Responses'!$J$4,VLOOKUP($A74,Questions!$A$2:$X$333,16,0)&amp;"",VLOOKUP($A74,Questions!$A$2:$X$333,15,0)&amp;"")))</f>
        <v>Based on the response to REQU-06 on the "START HERE" tab, this question does not apply to this product or service.</v>
      </c>
      <c r="F74" s="191" t="str">
        <f>VLOOKUP($A74,'Institution Evaluation'!$A$56:$F$345,6,0)&amp;""</f>
        <v/>
      </c>
      <c r="G74" s="228" t="s">
        <v>361</v>
      </c>
      <c r="I74" s="35"/>
      <c r="J74" s="35"/>
    </row>
    <row r="75" spans="1:10" s="1" customFormat="1" ht="20" thickBot="1" x14ac:dyDescent="0.2">
      <c r="A75" s="61" t="str">
        <f>VLOOKUP(LEFT($A76,4),'Auto Responses'!$N$4:$O$38,2,0)&amp;""</f>
        <v xml:space="preserve"> On-Premises Data Solutions</v>
      </c>
      <c r="B75" s="22"/>
      <c r="C75" s="13" t="s">
        <v>351</v>
      </c>
      <c r="D75" s="13" t="s">
        <v>352</v>
      </c>
      <c r="E75" s="31" t="s">
        <v>353</v>
      </c>
      <c r="F75" s="178" t="s">
        <v>354</v>
      </c>
      <c r="I75" s="35"/>
      <c r="J75" s="35"/>
    </row>
    <row r="76" spans="1:10" s="1" customFormat="1" ht="45" x14ac:dyDescent="0.15">
      <c r="A76" s="19" t="s">
        <v>240</v>
      </c>
      <c r="B76" s="18" t="str">
        <f>VLOOKUP($A76,Questions!$A$2:$X$333,2,0)</f>
        <v>Do you support role-based access control (RBAC) for system administrators?</v>
      </c>
      <c r="C76" s="21" t="s">
        <v>355</v>
      </c>
      <c r="D76" s="282" t="s">
        <v>511</v>
      </c>
      <c r="E76" s="160" t="str">
        <f>IF($C$21='Auto Responses'!$J$4,'Auto Responses'!$A$9,IF($C76='Auto Responses'!$J$3,VLOOKUP($A76,Questions!$A$2:$X$333,17,0)&amp;"",IF($C76='Auto Responses'!$J$4,VLOOKUP($A76,Questions!$A$2:$X$333,16,0)&amp;"",VLOOKUP($A76,Questions!$A$2:$X$333,15,0)&amp;"")))</f>
        <v>Based on the response to REQU-07 on the "START HERE" tab, this question does not apply to this product or service.</v>
      </c>
      <c r="F76" s="191" t="str">
        <f>VLOOKUP($A76,'Institution Evaluation'!$A$56:$F$345,6,0)&amp;""</f>
        <v/>
      </c>
      <c r="I76" s="35"/>
      <c r="J76" s="35"/>
    </row>
    <row r="77" spans="1:10" s="1" customFormat="1" ht="45" x14ac:dyDescent="0.15">
      <c r="A77" s="19" t="s">
        <v>241</v>
      </c>
      <c r="B77" s="18" t="str">
        <f>VLOOKUP($A77,Questions!$A$2:$X$333,2,0)</f>
        <v>Can your employees access customer systems remotely?</v>
      </c>
      <c r="C77" s="21" t="s">
        <v>355</v>
      </c>
      <c r="D77" s="282" t="s">
        <v>512</v>
      </c>
      <c r="E77" s="160" t="str">
        <f>IF($C$21='Auto Responses'!$J$4,'Auto Responses'!$A$9,IF($C77='Auto Responses'!$J$3,VLOOKUP($A77,Questions!$A$2:$X$333,17,0)&amp;"",IF($C77='Auto Responses'!$J$4,VLOOKUP($A77,Questions!$A$2:$X$333,16,0)&amp;"",VLOOKUP($A77,Questions!$A$2:$X$333,15,0)&amp;"")))</f>
        <v>Based on the response to REQU-07 on the "START HERE" tab, this question does not apply to this product or service.</v>
      </c>
      <c r="F77" s="191" t="str">
        <f>VLOOKUP($A77,'Institution Evaluation'!$A$56:$F$345,6,0)&amp;""</f>
        <v/>
      </c>
      <c r="I77" s="35"/>
      <c r="J77" s="35"/>
    </row>
    <row r="78" spans="1:10" s="1" customFormat="1" ht="45" x14ac:dyDescent="0.15">
      <c r="A78" s="19" t="s">
        <v>242</v>
      </c>
      <c r="B78" s="18" t="str">
        <f>VLOOKUP($A78,Questions!$A$2:$X$333,2,0)</f>
        <v>Can you provide overall system and/or application architecture diagrams including a full description of the data communications architecture for all components of the system?</v>
      </c>
      <c r="C78" s="21" t="s">
        <v>355</v>
      </c>
      <c r="D78" s="282" t="s">
        <v>513</v>
      </c>
      <c r="E78" s="160" t="str">
        <f>IF($C$21='Auto Responses'!$J$4,'Auto Responses'!$A$9,IF($C78='Auto Responses'!$J$3,VLOOKUP($A78,Questions!$A$2:$X$333,17,0)&amp;"",IF($C78='Auto Responses'!$J$4,VLOOKUP($A78,Questions!$A$2:$X$333,16,0)&amp;"",VLOOKUP($A78,Questions!$A$2:$X$333,15,0)&amp;"")))</f>
        <v>Based on the response to REQU-07 on the "START HERE" tab, this question does not apply to this product or service.</v>
      </c>
      <c r="F78" s="191" t="str">
        <f>VLOOKUP($A78,'Institution Evaluation'!$A$56:$F$345,6,0)&amp;""</f>
        <v/>
      </c>
      <c r="I78" s="35"/>
      <c r="J78" s="35"/>
    </row>
    <row r="79" spans="1:10" s="1" customFormat="1" ht="45" x14ac:dyDescent="0.15">
      <c r="A79" s="19" t="s">
        <v>243</v>
      </c>
      <c r="B79" s="18" t="str">
        <f>VLOOKUP($A79,Questions!$A$2:$X$333,2,0)</f>
        <v>Do you require remote management of the system?</v>
      </c>
      <c r="C79" s="21" t="s">
        <v>355</v>
      </c>
      <c r="D79" s="282" t="s">
        <v>514</v>
      </c>
      <c r="E79" s="160" t="str">
        <f>IF($C$21='Auto Responses'!$J$4,'Auto Responses'!$A$9,IF($C79='Auto Responses'!$J$3,VLOOKUP($A79,Questions!$A$2:$X$333,17,0)&amp;"",IF($C79='Auto Responses'!$J$4,VLOOKUP($A79,Questions!$A$2:$X$333,16,0)&amp;"",VLOOKUP($A79,Questions!$A$2:$X$333,15,0)&amp;"")))</f>
        <v>Based on the response to REQU-07 on the "START HERE" tab, this question does not apply to this product or service.</v>
      </c>
      <c r="F79" s="191" t="str">
        <f>VLOOKUP($A79,'Institution Evaluation'!$A$56:$F$345,6,0)&amp;""</f>
        <v/>
      </c>
      <c r="I79" s="35"/>
      <c r="J79" s="35"/>
    </row>
    <row r="80" spans="1:10" s="1" customFormat="1" ht="45" x14ac:dyDescent="0.15">
      <c r="A80" s="19" t="s">
        <v>244</v>
      </c>
      <c r="B80" s="18" t="str">
        <f>VLOOKUP($A80,Questions!$A$2:$X$333,2,0)</f>
        <v>If you answered "yes" to OPEM-04, are your remote actions and changes logged or otherwise visible to the campus?</v>
      </c>
      <c r="C80" s="21" t="s">
        <v>355</v>
      </c>
      <c r="D80" s="282" t="s">
        <v>515</v>
      </c>
      <c r="E80" s="160" t="str">
        <f>IF($C$21='Auto Responses'!$J$4,'Auto Responses'!$A$9,IF($C80='Auto Responses'!$J$3,VLOOKUP($A80,Questions!$A$2:$X$333,17,0)&amp;"",IF($C80='Auto Responses'!$J$4,VLOOKUP($A80,Questions!$A$2:$X$333,16,0)&amp;"",IF($C80='Auto Responses'!$J$5,VLOOKUP($A80,Questions!$A$2:$X$333,18,0)&amp;"",VLOOKUP($A80,Questions!$A$2:$X$333,15,0)&amp;""))))</f>
        <v>Based on the response to REQU-07 on the "START HERE" tab, this question does not apply to this product or service.</v>
      </c>
      <c r="F80" s="191" t="str">
        <f>VLOOKUP($A80,'Institution Evaluation'!$A$56:$F$345,6,0)&amp;""</f>
        <v/>
      </c>
      <c r="I80" s="35"/>
      <c r="J80" s="35"/>
    </row>
    <row r="81" spans="1:12" s="1" customFormat="1" ht="45" x14ac:dyDescent="0.15">
      <c r="A81" s="19" t="s">
        <v>245</v>
      </c>
      <c r="B81" s="18" t="str">
        <f>VLOOKUP($A81,Questions!$A$2:$X$333,2,0)</f>
        <v>If you maintain remote access to the system, will you handle data in a FERPA-compliant manner?</v>
      </c>
      <c r="C81" s="21" t="s">
        <v>355</v>
      </c>
      <c r="D81" s="282" t="s">
        <v>516</v>
      </c>
      <c r="E81" s="160" t="str">
        <f>IF($C$21='Auto Responses'!$J$4,'Auto Responses'!$A$9,IF($C81='Auto Responses'!$J$3,VLOOKUP($A81,Questions!$A$2:$X$333,17,0)&amp;"",IF($C81='Auto Responses'!$J$4,VLOOKUP($A81,Questions!$A$2:$X$333,16,0)&amp;"",IF($C81='Auto Responses'!$J$5,VLOOKUP($A81,Questions!$A$2:$X$333,18,0)&amp;"",VLOOKUP($A81,Questions!$A$2:$X$333,15,0)&amp;""))))</f>
        <v>Based on the response to REQU-07 on the "START HERE" tab, this question does not apply to this product or service.</v>
      </c>
      <c r="F81" s="191" t="str">
        <f>VLOOKUP($A81,'Institution Evaluation'!$A$56:$F$345,6,0)&amp;""</f>
        <v/>
      </c>
      <c r="I81" s="35"/>
      <c r="J81" s="35"/>
    </row>
    <row r="82" spans="1:12" s="1" customFormat="1" ht="45" x14ac:dyDescent="0.15">
      <c r="A82" s="19" t="s">
        <v>246</v>
      </c>
      <c r="B82" s="18" t="str">
        <f>VLOOKUP($A82,Questions!$A$2:$X$333,2,0)</f>
        <v>Do you support campus status monitoring through SNMPv3 or other means?</v>
      </c>
      <c r="C82" s="21" t="s">
        <v>452</v>
      </c>
      <c r="D82" s="282" t="s">
        <v>517</v>
      </c>
      <c r="E82" s="160" t="str">
        <f>IF($C$21='Auto Responses'!$J$4,'Auto Responses'!$A$9,IF($C82='Auto Responses'!$J$3,VLOOKUP($A82,Questions!$A$2:$X$333,17,0)&amp;"",IF($C82='Auto Responses'!$J$4,VLOOKUP($A82,Questions!$A$2:$X$333,16,0)&amp;"",VLOOKUP($A82,Questions!$A$2:$X$333,15,0)&amp;"")))</f>
        <v>Based on the response to REQU-07 on the "START HERE" tab, this question does not apply to this product or service.</v>
      </c>
      <c r="F82" s="191" t="str">
        <f>VLOOKUP($A82,'Institution Evaluation'!$A$56:$F$345,6,0)&amp;""</f>
        <v/>
      </c>
      <c r="I82" s="35"/>
      <c r="J82" s="35"/>
    </row>
    <row r="83" spans="1:12" s="1" customFormat="1" ht="60" x14ac:dyDescent="0.15">
      <c r="A83" s="19" t="s">
        <v>247</v>
      </c>
      <c r="B83" s="18" t="str">
        <f>VLOOKUP($A83,Questions!$A$2:$X$333,2,0)</f>
        <v>Describe or provide a reference to any other safeguards used to monitor for malicious activity.</v>
      </c>
      <c r="C83" s="21" t="s">
        <v>355</v>
      </c>
      <c r="D83" s="282" t="s">
        <v>518</v>
      </c>
      <c r="E83" s="160" t="str">
        <f>IF($C$21='Auto Responses'!$J$4,'Auto Responses'!$A$9,IF($C83='Auto Responses'!$J$3,VLOOKUP($A83,Questions!$A$2:$X$333,17,0)&amp;"",IF($C83='Auto Responses'!$J$4,VLOOKUP($A83,Questions!$A$2:$X$333,16,0)&amp;"",VLOOKUP($A83,Questions!$A$2:$X$333,15,0)&amp;"")))</f>
        <v>Based on the response to REQU-07 on the "START HERE" tab, this question does not apply to this product or service.</v>
      </c>
      <c r="F83" s="191" t="str">
        <f>VLOOKUP($A83,'Institution Evaluation'!$A$56:$F$345,6,0)&amp;""</f>
        <v/>
      </c>
      <c r="I83" s="35"/>
      <c r="J83" s="35"/>
    </row>
    <row r="84" spans="1:12" s="1" customFormat="1" ht="60" x14ac:dyDescent="0.15">
      <c r="A84" s="19" t="s">
        <v>248</v>
      </c>
      <c r="B84" s="18" t="str">
        <f>VLOOKUP($A84,Questions!$A$2:$X$333,2,0)</f>
        <v>Describe how long your organization has conducted business in this area.</v>
      </c>
      <c r="C84" s="21" t="s">
        <v>355</v>
      </c>
      <c r="D84" s="282" t="s">
        <v>519</v>
      </c>
      <c r="E84" s="160" t="str">
        <f>IF($C$21='Auto Responses'!$J$4,'Auto Responses'!$A$9,IF($C84='Auto Responses'!$J$3,VLOOKUP($A84,Questions!$A$2:$X$333,17,0)&amp;"",IF($C84='Auto Responses'!$J$4,VLOOKUP($A84,Questions!$A$2:$X$333,16,0)&amp;"",VLOOKUP($A84,Questions!$A$2:$X$333,15,0)&amp;"")))</f>
        <v>Based on the response to REQU-07 on the "START HERE" tab, this question does not apply to this product or service.</v>
      </c>
      <c r="F84" s="191" t="str">
        <f>VLOOKUP($A84,'Institution Evaluation'!$A$56:$F$345,6,0)&amp;""</f>
        <v/>
      </c>
      <c r="I84" s="35"/>
      <c r="J84" s="35"/>
    </row>
    <row r="85" spans="1:12" s="1" customFormat="1" ht="45" x14ac:dyDescent="0.15">
      <c r="A85" s="19" t="s">
        <v>249</v>
      </c>
      <c r="B85" s="18" t="str">
        <f>VLOOKUP($A85,Questions!$A$2:$X$333,2,0)</f>
        <v>Do you have existing higher education customers?</v>
      </c>
      <c r="C85" s="21" t="s">
        <v>355</v>
      </c>
      <c r="D85" s="282" t="s">
        <v>520</v>
      </c>
      <c r="E85" s="160" t="str">
        <f>IF($C$21='Auto Responses'!$J$4,'Auto Responses'!$A$9,IF($C85='Auto Responses'!$J$3,VLOOKUP($A85,Questions!$A$2:$X$333,17,0)&amp;"",IF($C85='Auto Responses'!$J$4,VLOOKUP($A85,Questions!$A$2:$X$333,16,0)&amp;"",VLOOKUP($A85,Questions!$A$2:$X$333,15,0)&amp;"")))</f>
        <v>Based on the response to REQU-07 on the "START HERE" tab, this question does not apply to this product or service.</v>
      </c>
      <c r="F85" s="191" t="str">
        <f>VLOOKUP($A85,'Institution Evaluation'!$A$56:$F$345,6,0)&amp;""</f>
        <v/>
      </c>
      <c r="G85" s="228" t="s">
        <v>361</v>
      </c>
      <c r="I85" s="35"/>
      <c r="J85" s="35"/>
    </row>
    <row r="86" spans="1:12" s="1" customFormat="1" ht="14" x14ac:dyDescent="0.15">
      <c r="A86" s="41" t="s">
        <v>2</v>
      </c>
      <c r="C86" s="8"/>
      <c r="D86" s="9"/>
      <c r="E86" s="10"/>
      <c r="I86" s="35"/>
      <c r="J86" s="35"/>
    </row>
    <row r="87" spans="1:12" ht="15" hidden="1" customHeight="1" x14ac:dyDescent="0.2">
      <c r="A87" s="1"/>
      <c r="B87" s="8"/>
      <c r="C87" s="68"/>
      <c r="D87" s="10"/>
      <c r="E87" s="1"/>
      <c r="H87" s="35"/>
      <c r="I87" s="1"/>
      <c r="J87" s="1"/>
      <c r="L87"/>
    </row>
    <row r="88" spans="1:12" ht="0" hidden="1" customHeight="1" x14ac:dyDescent="0.2">
      <c r="A88" s="19" t="e">
        <f>#REF!</f>
        <v>#REF!</v>
      </c>
    </row>
    <row r="89" spans="1:12" ht="0" hidden="1" customHeight="1" x14ac:dyDescent="0.2">
      <c r="A89" s="19" t="e">
        <f>#REF!</f>
        <v>#REF!</v>
      </c>
    </row>
    <row r="90" spans="1:12" ht="0" hidden="1" customHeight="1" x14ac:dyDescent="0.2">
      <c r="A90" s="19" t="e">
        <f>#REF!</f>
        <v>#REF!</v>
      </c>
    </row>
    <row r="91" spans="1:12" ht="0" hidden="1" customHeight="1" x14ac:dyDescent="0.2">
      <c r="A91" s="19" t="e">
        <f>#REF!</f>
        <v>#REF!</v>
      </c>
    </row>
    <row r="92" spans="1:12" ht="0" hidden="1" customHeight="1" x14ac:dyDescent="0.2">
      <c r="A92" s="19" t="e">
        <f>#REF!</f>
        <v>#REF!</v>
      </c>
    </row>
    <row r="93" spans="1:12" ht="0" hidden="1" customHeight="1" x14ac:dyDescent="0.2">
      <c r="A93" s="19" t="e">
        <f>#REF!</f>
        <v>#REF!</v>
      </c>
    </row>
    <row r="94" spans="1:12" ht="0" hidden="1" customHeight="1" x14ac:dyDescent="0.2">
      <c r="A94" s="19" t="e">
        <f>#REF!</f>
        <v>#REF!</v>
      </c>
    </row>
  </sheetData>
  <dataValidations count="3">
    <dataValidation allowBlank="1" showInputMessage="1" showErrorMessage="1" promptTitle="Warning!" prompt="The HECVAT is built using a number of complex formulas. Editing this cell can break the functionality of the tool. " sqref="A3:A85 A86:B86 B2:B85 C2 C4:F12 C17:D17 C22:D22 C32:D32 C62:D62 C75:D75 D2:F3 E17:F85" xr:uid="{00000000-0002-0000-0500-000000000000}"/>
    <dataValidation allowBlank="1" showInputMessage="1" showErrorMessage="1" prompt="This cell should be left blank. Input your answer in column C." sqref="D55 D71:D72 D74 D83:D84" xr:uid="{00000000-0002-0000-0500-000001000000}"/>
    <dataValidation allowBlank="1" showInputMessage="1" showErrorMessage="1" prompt="This answer has been populated from the &quot;START HERE&quot; tab and does not need to be re-entered." sqref="C3 C13:C16 C18:C21" xr:uid="{00000000-0002-0000-0500-000002000000}"/>
  </dataValidations>
  <hyperlinks>
    <hyperlink ref="A11" r:id="rId1" display="http://www.educause.edu/HECVAT" xr:uid="{00000000-0004-0000-0500-000000000000}"/>
  </hyperlinks>
  <pageMargins left="0.75" right="0.75" top="1" bottom="1" header="0.5" footer="0.5"/>
  <pageSetup orientation="landscape"/>
  <headerFooter>
    <oddFooter>&amp;L&amp;"Helvetica,Regular"&amp;12 &amp;K000000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36C"/>
  </sheetPr>
  <dimension ref="A1:L1048576"/>
  <sheetViews>
    <sheetView showGridLines="0" showZeros="0" topLeftCell="A33" zoomScale="120" zoomScaleNormal="120" workbookViewId="0">
      <selection activeCell="D25" sqref="D25"/>
    </sheetView>
  </sheetViews>
  <sheetFormatPr baseColWidth="10" defaultColWidth="0" defaultRowHeight="0" customHeight="1" zeroHeight="1" x14ac:dyDescent="0.2"/>
  <cols>
    <col min="1" max="1" width="8.25" style="320" customWidth="1"/>
    <col min="2" max="2" width="55.125" style="1" customWidth="1"/>
    <col min="3" max="3" width="18.875" style="8" customWidth="1"/>
    <col min="4" max="4" width="55.75" style="9" customWidth="1"/>
    <col min="5" max="5" width="32" style="10" customWidth="1"/>
    <col min="6" max="6" width="30.75" style="189" customWidth="1"/>
    <col min="7" max="7" width="18.125" style="1" customWidth="1"/>
    <col min="8" max="8" width="18.125" style="1" hidden="1" customWidth="1"/>
    <col min="9" max="10" width="18.125" style="35" hidden="1" customWidth="1"/>
    <col min="11" max="11" width="4.5" style="1" hidden="1" customWidth="1"/>
    <col min="12" max="12" width="6.625" style="1" hidden="1" customWidth="1"/>
    <col min="13" max="13" width="6.625" style="320" hidden="1" customWidth="1"/>
    <col min="14" max="16384" width="6.625" style="320" hidden="1"/>
  </cols>
  <sheetData>
    <row r="1" spans="1:10" ht="0" hidden="1" customHeight="1" x14ac:dyDescent="0.2">
      <c r="A1" t="s">
        <v>346</v>
      </c>
    </row>
    <row r="2" spans="1:10" ht="36" customHeight="1" x14ac:dyDescent="0.2">
      <c r="A2" s="161" t="s">
        <v>521</v>
      </c>
      <c r="B2" s="161"/>
      <c r="C2" s="162"/>
      <c r="D2" s="271"/>
      <c r="E2" s="163"/>
      <c r="F2" s="188" t="str">
        <f>'Auto Responses'!$A$36</f>
        <v>Version 4.1.5</v>
      </c>
      <c r="J2" s="1"/>
    </row>
    <row r="3" spans="1:10" s="1" customFormat="1" ht="29" customHeight="1" x14ac:dyDescent="0.15">
      <c r="A3" s="37" t="s">
        <v>348</v>
      </c>
      <c r="B3" s="38"/>
      <c r="C3" s="64" t="str">
        <f>'START HERE'!$C$3</f>
        <v>2025-04-08</v>
      </c>
      <c r="D3" s="272"/>
      <c r="E3" s="36"/>
      <c r="F3" s="50"/>
      <c r="I3" s="35"/>
    </row>
    <row r="4" spans="1:10" s="1" customFormat="1" ht="36" customHeight="1" x14ac:dyDescent="0.15">
      <c r="A4" s="11" t="s">
        <v>350</v>
      </c>
      <c r="B4" s="12"/>
      <c r="C4" s="13"/>
      <c r="D4" s="14"/>
      <c r="E4" s="15"/>
      <c r="F4" s="15"/>
      <c r="I4" s="35"/>
    </row>
    <row r="5" spans="1:10" s="1" customFormat="1" ht="19.5" customHeight="1" x14ac:dyDescent="0.15">
      <c r="A5" s="42" t="str">
        <f>HLOOKUP($A$4,'Auto Responses'!$D$2:$D$8,2,0)&amp;""</f>
        <v>1. Complete the "Start Here" tab and review the "Required Questions" guidance to find the other sections are required for your product or service.</v>
      </c>
      <c r="B5" s="16"/>
      <c r="C5" s="65"/>
      <c r="D5" s="273"/>
      <c r="E5" s="16"/>
      <c r="F5" s="247"/>
      <c r="I5" s="35"/>
    </row>
    <row r="6" spans="1:10" s="1" customFormat="1" ht="19.5" customHeight="1" x14ac:dyDescent="0.15">
      <c r="A6" s="42" t="str">
        <f>HLOOKUP($A$4,'Auto Responses'!$D$2:$D$8,3,0)&amp;""</f>
        <v>2. Complete the "Organization" tab and the applicable questions in each of the next 5 tabs (Product through Privacy) that apply, based on your answers to the "Required Questions."</v>
      </c>
      <c r="B6" s="16"/>
      <c r="C6" s="65"/>
      <c r="D6" s="273"/>
      <c r="E6" s="16"/>
      <c r="F6" s="248"/>
      <c r="I6" s="35"/>
    </row>
    <row r="7" spans="1:10" s="1" customFormat="1" ht="19.5" customHeight="1" x14ac:dyDescent="0.15">
      <c r="A7" s="42" t="str">
        <f>HLOOKUP($A$4,'Auto Responses'!$D$2:$D$8,4,0)&amp;""</f>
        <v xml:space="preserve">3. Guidance in column E may change based on your answers to prompt details in "Additional Information." If leaving an answer blank, you must also state why in "Additional Information". </v>
      </c>
      <c r="B7" s="16"/>
      <c r="C7" s="65"/>
      <c r="D7" s="273"/>
      <c r="E7" s="16"/>
      <c r="F7" s="248"/>
      <c r="I7" s="35"/>
    </row>
    <row r="8" spans="1:10" s="1" customFormat="1" ht="19.5" customHeight="1" x14ac:dyDescent="0.15">
      <c r="A8" s="42" t="str">
        <f>HLOOKUP($A$4,'Auto Responses'!$D$2:$D$8,5,0)&amp;""</f>
        <v>4. DO NOT complete any fields in the "Evaluation" sheets or the "Analyst Notes" column.</v>
      </c>
      <c r="B8" s="16"/>
      <c r="C8" s="65"/>
      <c r="D8" s="273"/>
      <c r="E8" s="16"/>
      <c r="F8" s="248"/>
      <c r="I8" s="35"/>
    </row>
    <row r="9" spans="1:10" s="1" customFormat="1" ht="19.5" customHeight="1" x14ac:dyDescent="0.15">
      <c r="A9" s="42" t="str">
        <f>HLOOKUP($A$4,'Auto Responses'!$D$2:$D$8,6,0)&amp;""</f>
        <v>5. Return the completed file to institutions.</v>
      </c>
      <c r="B9" s="16"/>
      <c r="C9" s="65"/>
      <c r="D9" s="273"/>
      <c r="E9" s="16"/>
      <c r="F9" s="248"/>
      <c r="I9" s="35"/>
    </row>
    <row r="10" spans="1:10" s="1" customFormat="1" ht="19.5" customHeight="1" x14ac:dyDescent="0.15">
      <c r="A10" s="235" t="str">
        <f>HLOOKUP($A$4,'Auto Responses'!$D$2:$D$8,7,0)&amp;""</f>
        <v>* Denotes critical questions. Critical questions are those deemed most important to institutions by higher education volunteers.</v>
      </c>
      <c r="B10" s="16"/>
      <c r="C10" s="65"/>
      <c r="D10" s="273"/>
      <c r="E10" s="16"/>
      <c r="F10" s="248"/>
      <c r="I10" s="35"/>
    </row>
    <row r="11" spans="1:10" s="1" customFormat="1" ht="19.5" customHeight="1" x14ac:dyDescent="0.15">
      <c r="A11" s="234" t="str">
        <f>HLOOKUP($A$4,'Auto Responses'!$D$2:$D$9,8,0)&amp;""</f>
        <v>For full instructions, please visit educause.edu/HECVAT</v>
      </c>
      <c r="B11" s="16"/>
      <c r="C11" s="65"/>
      <c r="D11" s="273"/>
      <c r="E11" s="16"/>
      <c r="F11" s="249"/>
      <c r="I11" s="35"/>
    </row>
    <row r="12" spans="1:10" s="1" customFormat="1" ht="36" customHeight="1" x14ac:dyDescent="0.15">
      <c r="A12" s="61" t="str">
        <f>VLOOKUP(LEFT($A13,4),'Auto Responses'!$N$4:$O$38,2,0)&amp;""</f>
        <v xml:space="preserve"> General Information</v>
      </c>
      <c r="B12" s="12"/>
      <c r="C12" s="13" t="s">
        <v>351</v>
      </c>
      <c r="D12" s="274"/>
      <c r="E12" s="17"/>
      <c r="F12" s="17"/>
      <c r="I12" s="35"/>
      <c r="J12" s="35"/>
    </row>
    <row r="13" spans="1:10" s="1" customFormat="1" ht="22.25" customHeight="1" x14ac:dyDescent="0.15">
      <c r="A13" s="19" t="s">
        <v>7</v>
      </c>
      <c r="B13" s="20" t="str">
        <f>VLOOKUP($A13,Questions!$A$2:$X$333,2,0)&amp;""</f>
        <v>Solution Provider Name</v>
      </c>
      <c r="C13" s="72" t="str">
        <f ca="1">VLOOKUP($A13,'START HERE'!$A$13:$C$21,3,0)&amp;""</f>
        <v>Accredible (EdInvent Inc. d.b.a. Accredible)</v>
      </c>
      <c r="D13" s="32"/>
      <c r="E13" s="32"/>
      <c r="F13" s="50"/>
      <c r="I13" s="35"/>
      <c r="J13" s="35"/>
    </row>
    <row r="14" spans="1:10" s="1" customFormat="1" ht="22.25" customHeight="1" x14ac:dyDescent="0.15">
      <c r="A14" s="19" t="s">
        <v>8</v>
      </c>
      <c r="B14" s="20" t="str">
        <f>VLOOKUP($A14,Questions!$A$2:$X$333,2,0)&amp;""</f>
        <v>Solution Name</v>
      </c>
      <c r="C14" s="72" t="str">
        <f ca="1">VLOOKUP($A14,'START HERE'!$A$13:$C$21,3,0)&amp;""</f>
        <v>Accredible Digital Credentialing Platform</v>
      </c>
      <c r="D14" s="32"/>
      <c r="E14" s="32"/>
      <c r="F14" s="50"/>
      <c r="I14" s="35"/>
      <c r="J14" s="35"/>
    </row>
    <row r="15" spans="1:10" s="1" customFormat="1" ht="22.25" customHeight="1" x14ac:dyDescent="0.15">
      <c r="A15" s="19" t="s">
        <v>9</v>
      </c>
      <c r="B15" s="20" t="str">
        <f>VLOOKUP($A15,Questions!$A$2:$X$333,2,0)&amp;""</f>
        <v>Solution Description</v>
      </c>
      <c r="C15" s="72" t="str">
        <f ca="1">VLOOKUP($A15,'START HERE'!$A$13:$C$21,3,0)&amp;""</f>
        <v>Accredible is a cloud-hosted, multi-tenant Software as a Service (SaaS) digital credentialing platform that enables organizations to design, issue, manage, and verify digital credentials including certificates and badges.</v>
      </c>
      <c r="D15" s="32"/>
      <c r="E15" s="32"/>
      <c r="F15" s="50"/>
      <c r="I15" s="35"/>
      <c r="J15" s="35"/>
    </row>
    <row r="16" spans="1:10" s="1" customFormat="1" ht="22.25" customHeight="1" thickBot="1" x14ac:dyDescent="0.2">
      <c r="A16" s="19" t="s">
        <v>14</v>
      </c>
      <c r="B16" s="20" t="str">
        <f>VLOOKUP($A16,Questions!$A$2:$X$333,2,0)&amp;""</f>
        <v>Country of Company Headquarters</v>
      </c>
      <c r="C16" s="72" t="str">
        <f ca="1">VLOOKUP($A16,'START HERE'!$A$13:$C$21,3,0)&amp;""</f>
        <v>United States</v>
      </c>
      <c r="D16" s="32"/>
      <c r="E16" s="32"/>
      <c r="F16" s="50"/>
      <c r="I16" s="35"/>
      <c r="J16" s="35"/>
    </row>
    <row r="17" spans="1:10" s="1" customFormat="1" ht="37.25" customHeight="1" thickBot="1" x14ac:dyDescent="0.2">
      <c r="A17" s="61" t="str">
        <f>VLOOKUP(LEFT($A18,4),'Auto Responses'!$N$4:$O$38,2,0)&amp;""</f>
        <v xml:space="preserve"> Required Questions</v>
      </c>
      <c r="B17" s="22"/>
      <c r="C17" s="13" t="s">
        <v>351</v>
      </c>
      <c r="D17" s="13" t="s">
        <v>352</v>
      </c>
      <c r="E17" s="31" t="s">
        <v>353</v>
      </c>
      <c r="F17" s="192" t="s">
        <v>354</v>
      </c>
      <c r="I17" s="35"/>
      <c r="J17" s="35"/>
    </row>
    <row r="18" spans="1:10" s="1" customFormat="1" ht="61" thickBot="1" x14ac:dyDescent="0.2">
      <c r="A18" s="19" t="s">
        <v>29</v>
      </c>
      <c r="B18" s="18" t="str">
        <f>VLOOKUP($A18,Questions!$A$2:$X$333,2,0)</f>
        <v>Does your solution have AI features, or are there plans to implement AI features in the next 12 months?</v>
      </c>
      <c r="C18" s="69" t="str">
        <f>VLOOKUP($A18,'START HERE'!$A$23:$F$36,3,0)&amp;""</f>
        <v>Yes</v>
      </c>
      <c r="D18" s="275" t="str">
        <f>VLOOKUP($A18,'START HERE'!$A$23:$F$36,4,0)&amp;""</f>
        <v>Accredible uses OpenAI's API as part of a Skills Extraction Service that takes course descriptions as input and suggests relevant skill tags. Results are processed through a CritiqueEvaluatorService before being surfaced to users.</v>
      </c>
      <c r="E18" s="160" t="str">
        <f>IF($C18='Auto Responses'!$J$3,VLOOKUP($A18,Questions!$A$2:$X$333,17,0)&amp;"",IF($C18='Auto Responses'!$J$4,VLOOKUP($A18,Questions!$A$2:$X$333,16,0)&amp;"",VLOOKUP($A18,Questions!$A$2:$X$333,15,0)&amp;""))</f>
        <v>DO complete the Artificial Intelligence (AI) worksheet</v>
      </c>
      <c r="F18" s="191" t="str">
        <f>VLOOKUP($A18,'Institution Evaluation'!$A$56:$F$345,6,0)&amp;""</f>
        <v/>
      </c>
      <c r="G18" s="228" t="s">
        <v>361</v>
      </c>
      <c r="I18" s="35"/>
      <c r="J18" s="35"/>
    </row>
    <row r="19" spans="1:10" s="1" customFormat="1" ht="20" thickBot="1" x14ac:dyDescent="0.2">
      <c r="A19" s="61" t="str">
        <f>VLOOKUP(LEFT($A20,4),'Auto Responses'!$N$4:$O$38,2,0)&amp;""</f>
        <v xml:space="preserve"> AI Qualifying Questions</v>
      </c>
      <c r="B19" s="22"/>
      <c r="C19" s="13" t="s">
        <v>351</v>
      </c>
      <c r="D19" s="13" t="s">
        <v>352</v>
      </c>
      <c r="E19" s="31" t="s">
        <v>353</v>
      </c>
      <c r="F19" s="192" t="s">
        <v>354</v>
      </c>
      <c r="I19" s="35"/>
      <c r="J19" s="35"/>
    </row>
    <row r="20" spans="1:10" s="1" customFormat="1" ht="45" x14ac:dyDescent="0.15">
      <c r="A20" s="19" t="s">
        <v>250</v>
      </c>
      <c r="B20" s="18" t="str">
        <f>VLOOKUP($A20,Questions!$A$2:$X$333,2,0)</f>
        <v>Does your solution leverage machine learning (ML) or do you plan to do so in the next 12 months?</v>
      </c>
      <c r="C20" s="21" t="s">
        <v>355</v>
      </c>
      <c r="D20" s="276" t="s">
        <v>522</v>
      </c>
      <c r="E20" s="160" t="str">
        <f>IF($C$18='Auto Responses'!$J$4,'Auto Responses'!$A$6,IF($C20='Auto Responses'!$J$3,VLOOKUP($A20,Questions!$A$2:$X$333,17,0)&amp;"",IF($C20='Auto Responses'!$J$4,VLOOKUP($A20,Questions!$A$2:$X$333,16,0)&amp;"",VLOOKUP($A20,Questions!$A$2:$X$333,15,0)&amp;"")))</f>
        <v>DO complete the Machine Learning section (AIML)</v>
      </c>
      <c r="F20" s="191" t="str">
        <f>VLOOKUP($A20,'Institution Evaluation'!$A$56:$F$345,6,0)&amp;""</f>
        <v/>
      </c>
      <c r="I20" s="35"/>
      <c r="J20" s="35"/>
    </row>
    <row r="21" spans="1:10" s="1" customFormat="1" ht="31" thickBot="1" x14ac:dyDescent="0.2">
      <c r="A21" s="19" t="s">
        <v>251</v>
      </c>
      <c r="B21" s="18" t="str">
        <f>VLOOKUP($A21,Questions!$A$2:$X$333,2,0)</f>
        <v>Does your solution leverage a large language model (LLM) or do you plan to do so in the next 12 months?</v>
      </c>
      <c r="C21" s="21" t="s">
        <v>355</v>
      </c>
      <c r="D21" s="276" t="s">
        <v>523</v>
      </c>
      <c r="E21" s="160" t="str">
        <f>IF($C$18='Auto Responses'!$J$4,'Auto Responses'!$A$6,IF($C21='Auto Responses'!$J$3,VLOOKUP($A21,Questions!$A$2:$X$333,17,0)&amp;"",IF($C21='Auto Responses'!$J$4,VLOOKUP($A21,Questions!$A$2:$X$333,16,0)&amp;"",VLOOKUP($A21,Questions!$A$2:$X$333,15,0)&amp;"")))</f>
        <v>DO complete the Large Language Model section (AILM)</v>
      </c>
      <c r="F21" s="191" t="str">
        <f>VLOOKUP($A21,'Institution Evaluation'!$A$56:$F$345,6,0)&amp;""</f>
        <v/>
      </c>
      <c r="G21" s="228" t="s">
        <v>361</v>
      </c>
      <c r="I21" s="35"/>
      <c r="J21" s="35"/>
    </row>
    <row r="22" spans="1:10" s="1" customFormat="1" ht="20" thickBot="1" x14ac:dyDescent="0.2">
      <c r="A22" s="61" t="str">
        <f>VLOOKUP(LEFT($A23,4),'Auto Responses'!$N$4:$O$38,2,0)&amp;""</f>
        <v xml:space="preserve"> General AI Questions</v>
      </c>
      <c r="B22" s="22"/>
      <c r="C22" s="13" t="s">
        <v>351</v>
      </c>
      <c r="D22" s="13" t="s">
        <v>352</v>
      </c>
      <c r="E22" s="31" t="s">
        <v>353</v>
      </c>
      <c r="F22" s="192" t="s">
        <v>354</v>
      </c>
      <c r="I22" s="35"/>
      <c r="J22" s="35"/>
    </row>
    <row r="23" spans="1:10" s="1" customFormat="1" ht="45" x14ac:dyDescent="0.15">
      <c r="A23" s="19" t="s">
        <v>252</v>
      </c>
      <c r="B23" s="18" t="str">
        <f>VLOOKUP($A23,Questions!$A$2:$X$333,2,0)</f>
        <v>Does your solution have an AI risk model when developing or implementing your solution's AI model?*</v>
      </c>
      <c r="C23" s="21" t="s">
        <v>355</v>
      </c>
      <c r="D23" s="276" t="s">
        <v>524</v>
      </c>
      <c r="E23" s="160" t="str">
        <f>IF($C$18='Auto Responses'!$J$4,'Auto Responses'!$A$6,IF($C23='Auto Responses'!$J$3,VLOOKUP($A23,Questions!$A$2:$X$333,17,0)&amp;"",IF($C23='Auto Responses'!$J$4,VLOOKUP($A23,Questions!$A$2:$X$333,16,0)&amp;"",VLOOKUP($A23,Questions!$A$2:$X$333,15,0)&amp;"")))</f>
        <v>Provide the AI risk framework, model, or methodology used.</v>
      </c>
      <c r="F23" s="191" t="str">
        <f>VLOOKUP($A23,'Institution Evaluation'!$A$56:$F$345,6,0)&amp;""</f>
        <v/>
      </c>
      <c r="I23" s="35"/>
      <c r="J23" s="35"/>
    </row>
    <row r="24" spans="1:10" s="1" customFormat="1" ht="30" x14ac:dyDescent="0.15">
      <c r="A24" s="19" t="s">
        <v>253</v>
      </c>
      <c r="B24" s="18" t="str">
        <f>VLOOKUP($A24,Questions!$A$2:$X$333,2,0)</f>
        <v>Can your solution's AI features be disabled by tenant and/or user?*</v>
      </c>
      <c r="C24" s="21" t="s">
        <v>355</v>
      </c>
      <c r="D24" s="276" t="s">
        <v>2172</v>
      </c>
      <c r="E24" s="160" t="str">
        <f>IF($C$18='Auto Responses'!$J$4,'Auto Responses'!$A$6,IF($C24='Auto Responses'!$J$3,VLOOKUP($A24,Questions!$A$2:$X$333,17,0)&amp;"",IF($C24='Auto Responses'!$J$4,VLOOKUP($A24,Questions!$A$2:$X$333,16,0)&amp;"",IF($C24='Auto Responses'!$J$5,VLOOKUP($A24,Questions!$A$2:$X$333,18,0)&amp;"",VLOOKUP($A24,Questions!$A$2:$X$333,15,0)&amp;""))))</f>
        <v>Describe the level of AI feature control at the institutional and user level.</v>
      </c>
      <c r="F24" s="191" t="str">
        <f>VLOOKUP($A24,'Institution Evaluation'!$A$56:$F$345,6,0)&amp;""</f>
        <v/>
      </c>
      <c r="I24" s="35"/>
      <c r="J24" s="35"/>
    </row>
    <row r="25" spans="1:10" s="1" customFormat="1" ht="75" x14ac:dyDescent="0.15">
      <c r="A25" s="19" t="s">
        <v>254</v>
      </c>
      <c r="B25" s="18" t="str">
        <f>VLOOKUP($A25,Questions!$A$2:$X$333,2,0)</f>
        <v>Have your staff completed responsible AI training?*</v>
      </c>
      <c r="C25" s="21" t="s">
        <v>355</v>
      </c>
      <c r="D25" s="276" t="s">
        <v>525</v>
      </c>
      <c r="E25" s="160" t="str">
        <f>IF($C$18='Auto Responses'!$J$4,'Auto Responses'!$A$6,IF($C25='Auto Responses'!$J$3,VLOOKUP($A25,Questions!$A$2:$X$333,17,0)&amp;"",IF($C25='Auto Responses'!$J$4,VLOOKUP($A25,Questions!$A$2:$X$333,16,0)&amp;"",VLOOKUP($A25,Questions!$A$2:$X$333,15,0)&amp;"")))</f>
        <v>Provide the following details about your responsible AI training program: learning objectives, frequency, alignment with standards (e.g., NIST), and who is required to complete the training.</v>
      </c>
      <c r="F25" s="191" t="str">
        <f>VLOOKUP($A25,'Institution Evaluation'!$A$56:$F$345,6,0)&amp;""</f>
        <v/>
      </c>
      <c r="I25" s="35"/>
      <c r="J25" s="35"/>
    </row>
    <row r="26" spans="1:10" s="1" customFormat="1" ht="105" x14ac:dyDescent="0.15">
      <c r="A26" s="19" t="s">
        <v>255</v>
      </c>
      <c r="B26" s="18" t="str">
        <f>VLOOKUP($A26,Questions!$A$2:$X$333,2,0)</f>
        <v>Please describe the capabilities of your solution's AI features.</v>
      </c>
      <c r="C26" s="21" t="s">
        <v>355</v>
      </c>
      <c r="D26" s="276" t="s">
        <v>526</v>
      </c>
      <c r="E26" s="160" t="str">
        <f>IF($C$18='Auto Responses'!$J$4,'Auto Responses'!$A$6,IF($C26='Auto Responses'!$J$3,VLOOKUP($A26,Questions!$A$2:$X$333,17,0)&amp;"",IF($C26='Auto Responses'!$J$4,VLOOKUP($A26,Questions!$A$2:$X$333,16,0)&amp;"",VLOOKUP($A26,Questions!$A$2:$X$333,15,0)&amp;"")))</f>
        <v/>
      </c>
      <c r="F26" s="191" t="str">
        <f>VLOOKUP($A26,'Institution Evaluation'!$A$56:$F$345,6,0)&amp;""</f>
        <v/>
      </c>
      <c r="I26" s="35"/>
      <c r="J26" s="35"/>
    </row>
    <row r="27" spans="1:10" s="1" customFormat="1" ht="76" thickBot="1" x14ac:dyDescent="0.2">
      <c r="A27" s="19" t="s">
        <v>256</v>
      </c>
      <c r="B27" s="18" t="str">
        <f>VLOOKUP($A27,Questions!$A$2:$X$333,2,0)</f>
        <v>Does your solution support business rules to protect sensitive data from being ingested by the AI model?</v>
      </c>
      <c r="C27" s="21" t="s">
        <v>355</v>
      </c>
      <c r="D27" s="276" t="s">
        <v>2173</v>
      </c>
      <c r="E27" s="160" t="str">
        <f>IF($C$18='Auto Responses'!$J$4,'Auto Responses'!$A$6,IF($C27='Auto Responses'!$J$3,VLOOKUP($A27,Questions!$A$2:$X$333,17,0)&amp;"",IF($C27='Auto Responses'!$J$4,VLOOKUP($A27,Questions!$A$2:$X$333,16,0)&amp;"",VLOOKUP($A27,Questions!$A$2:$X$333,15,0)&amp;"")))</f>
        <v>Provide data loss prevention (DLP) features as they relate to your AI offerings. Indicate whether these DLP rules are configurable at the institutional and/or user level.</v>
      </c>
      <c r="F27" s="191" t="str">
        <f>VLOOKUP($A27,'Institution Evaluation'!$A$56:$F$345,6,0)&amp;""</f>
        <v/>
      </c>
      <c r="G27" s="228" t="s">
        <v>361</v>
      </c>
      <c r="I27" s="35"/>
      <c r="J27" s="35"/>
    </row>
    <row r="28" spans="1:10" s="1" customFormat="1" ht="20" thickBot="1" x14ac:dyDescent="0.2">
      <c r="A28" s="61" t="str">
        <f>VLOOKUP(LEFT($A29,4),'Auto Responses'!$N$4:$O$38,2,0)&amp;""</f>
        <v xml:space="preserve"> AI Policy</v>
      </c>
      <c r="B28" s="22"/>
      <c r="C28" s="13" t="s">
        <v>351</v>
      </c>
      <c r="D28" s="13" t="s">
        <v>352</v>
      </c>
      <c r="E28" s="31" t="s">
        <v>353</v>
      </c>
      <c r="F28" s="192" t="s">
        <v>354</v>
      </c>
      <c r="I28" s="35"/>
      <c r="J28" s="35"/>
    </row>
    <row r="29" spans="1:10" s="1" customFormat="1" ht="60" x14ac:dyDescent="0.15">
      <c r="A29" s="19" t="s">
        <v>257</v>
      </c>
      <c r="B29" s="18" t="str">
        <f>VLOOKUP($A29,Questions!$A$2:$X$333,2,0)</f>
        <v>Are your AI developer's policies, processes, procedures, and practices across the organization related to the mapping, measuring, and managing of AI risks conspicuously posted, unambiguous, and implemented effectively?*</v>
      </c>
      <c r="C29" s="21" t="s">
        <v>355</v>
      </c>
      <c r="D29" s="276" t="s">
        <v>527</v>
      </c>
      <c r="E29" s="160" t="str">
        <f>IF($C$18='Auto Responses'!$J$4,'Auto Responses'!$A$6,IF($C29='Auto Responses'!$J$3,VLOOKUP($A29,Questions!$A$2:$X$333,17,0)&amp;"",IF($C29='Auto Responses'!$J$4,VLOOKUP($A29,Questions!$A$2:$X$333,16,0)&amp;"",VLOOKUP($A29,Questions!$A$2:$X$333,15,0)&amp;"")))</f>
        <v/>
      </c>
      <c r="F29" s="191" t="str">
        <f>VLOOKUP($A29,'Institution Evaluation'!$A$56:$F$345,6,0)&amp;""</f>
        <v/>
      </c>
      <c r="I29" s="35"/>
      <c r="J29" s="35"/>
    </row>
    <row r="30" spans="1:10" s="1" customFormat="1" ht="45" x14ac:dyDescent="0.15">
      <c r="A30" s="19" t="s">
        <v>258</v>
      </c>
      <c r="B30" s="18" t="str">
        <f>VLOOKUP($A30,Questions!$A$2:$X$333,2,0)</f>
        <v>Have you identified and measured AI risks?*</v>
      </c>
      <c r="C30" s="21" t="s">
        <v>355</v>
      </c>
      <c r="D30" s="276" t="s">
        <v>528</v>
      </c>
      <c r="E30" s="160" t="str">
        <f>IF($C$18='Auto Responses'!$J$4,'Auto Responses'!$A$6,IF($C30='Auto Responses'!$J$3,VLOOKUP($A30,Questions!$A$2:$X$333,17,0)&amp;"",IF($C30='Auto Responses'!$J$4,VLOOKUP($A30,Questions!$A$2:$X$333,16,0)&amp;"",VLOOKUP($A30,Questions!$A$2:$X$333,15,0)&amp;"")))</f>
        <v>Provide the standard or framework used to identify and measure AI risk.</v>
      </c>
      <c r="F30" s="191" t="str">
        <f>VLOOKUP($A30,'Institution Evaluation'!$A$56:$F$345,6,0)&amp;""</f>
        <v/>
      </c>
      <c r="I30" s="35"/>
      <c r="J30" s="35"/>
    </row>
    <row r="31" spans="1:10" s="1" customFormat="1" ht="60" x14ac:dyDescent="0.15">
      <c r="A31" s="19" t="s">
        <v>259</v>
      </c>
      <c r="B31" s="18" t="str">
        <f>VLOOKUP($A31,Questions!$A$2:$X$333,2,0)</f>
        <v>In the event of an incident, can your solution's AI features be disabled in a timely manner?*</v>
      </c>
      <c r="C31" s="21" t="s">
        <v>355</v>
      </c>
      <c r="D31" s="276" t="s">
        <v>529</v>
      </c>
      <c r="E31" s="160" t="str">
        <f>IF($C$18='Auto Responses'!$J$4,'Auto Responses'!$A$6,IF($C31='Auto Responses'!$J$3,VLOOKUP($A31,Questions!$A$2:$X$333,17,0)&amp;"",IF($C31='Auto Responses'!$J$4,VLOOKUP($A31,Questions!$A$2:$X$333,16,0)&amp;"",VLOOKUP($A31,Questions!$A$2:$X$333,15,0)&amp;"")))</f>
        <v>Provide documentation on how to disable AI features. Include a time estimate for the time between disabling the feature and when the feature is inaccessible to users.</v>
      </c>
      <c r="F31" s="191" t="str">
        <f>VLOOKUP($A31,'Institution Evaluation'!$A$56:$F$345,6,0)&amp;""</f>
        <v/>
      </c>
      <c r="I31" s="35"/>
      <c r="J31" s="35"/>
    </row>
    <row r="32" spans="1:10" s="1" customFormat="1" ht="60" x14ac:dyDescent="0.15">
      <c r="A32" s="19" t="s">
        <v>260</v>
      </c>
      <c r="B32" s="18" t="str">
        <f>VLOOKUP($A32,Questions!$A$2:$X$333,2,0)</f>
        <v>If disabled because of an incident, can your solution's AI features be re-enabled in a timely manner?*</v>
      </c>
      <c r="C32" s="21" t="s">
        <v>355</v>
      </c>
      <c r="D32" s="276" t="s">
        <v>530</v>
      </c>
      <c r="E32" s="160" t="str">
        <f>IF($C$18='Auto Responses'!$J$4,'Auto Responses'!$A$6,IF($C$31='Auto Responses'!$J$4,'Auto Responses'!$A$27,IF($C32='Auto Responses'!$J$3,VLOOKUP($A32,Questions!$A$2:$X$333,17,0)&amp;"",IF($C32='Auto Responses'!$J$4,VLOOKUP($A32,Questions!$A$2:$X$333,16,0)&amp;"",IF($C32='Auto Responses'!$J$5,VLOOKUP($A32,Questions!$A$2:$X$333,18,0)&amp;"",VLOOKUP($A32,Questions!$A$2:$X$333,15,0)&amp;"")))))</f>
        <v>Provide documentation on how to enable AI features. Include a time estimate for the time between enabling the feature and when the feature is accessible to users.</v>
      </c>
      <c r="F32" s="191" t="str">
        <f>VLOOKUP($A32,'Institution Evaluation'!$A$56:$F$345,6,0)&amp;""</f>
        <v/>
      </c>
      <c r="I32" s="35"/>
      <c r="J32" s="35"/>
    </row>
    <row r="33" spans="1:10" s="1" customFormat="1" ht="46" thickBot="1" x14ac:dyDescent="0.2">
      <c r="A33" s="19" t="s">
        <v>261</v>
      </c>
      <c r="B33" s="18" t="str">
        <f>VLOOKUP($A33,Questions!$A$2:$X$333,2,0)</f>
        <v>Do you have documented technical and procedural processes to address potential negative impacts of AI as described by the AI Risk Management Framework (RMF)?</v>
      </c>
      <c r="C33" s="21" t="s">
        <v>355</v>
      </c>
      <c r="D33" s="276" t="s">
        <v>531</v>
      </c>
      <c r="E33" s="160" t="str">
        <f>IF($C$18='Auto Responses'!$J$4,'Auto Responses'!$A$6,IF($C33='Auto Responses'!$J$3,VLOOKUP($A33,Questions!$A$2:$X$333,17,0)&amp;"",IF($C33='Auto Responses'!$J$4,VLOOKUP($A33,Questions!$A$2:$X$333,16,0)&amp;"",VLOOKUP($A33,Questions!$A$2:$X$333,15,0)&amp;"")))</f>
        <v/>
      </c>
      <c r="F33" s="191" t="str">
        <f>VLOOKUP($A33,'Institution Evaluation'!$A$56:$F$345,6,0)&amp;""</f>
        <v/>
      </c>
      <c r="G33" s="228" t="s">
        <v>361</v>
      </c>
      <c r="I33" s="35"/>
      <c r="J33" s="35"/>
    </row>
    <row r="34" spans="1:10" s="1" customFormat="1" ht="20" thickBot="1" x14ac:dyDescent="0.2">
      <c r="A34" s="61" t="str">
        <f>VLOOKUP(LEFT($A35,4),'Auto Responses'!$N$4:$O$38,2,0)&amp;""</f>
        <v xml:space="preserve"> AI Data Security</v>
      </c>
      <c r="B34" s="22"/>
      <c r="C34" s="13" t="s">
        <v>351</v>
      </c>
      <c r="D34" s="13" t="s">
        <v>352</v>
      </c>
      <c r="E34" s="31" t="s">
        <v>353</v>
      </c>
      <c r="F34" s="192" t="s">
        <v>354</v>
      </c>
      <c r="I34" s="35"/>
      <c r="J34" s="35"/>
    </row>
    <row r="35" spans="1:10" s="1" customFormat="1" ht="105" x14ac:dyDescent="0.15">
      <c r="A35" s="19" t="s">
        <v>262</v>
      </c>
      <c r="B35" s="18" t="str">
        <f>VLOOKUP($A35,Questions!$A$2:$X$333,2,0)</f>
        <v>If sensitive data is introduced to your solution's AI model, can the data be removed from the AI model by request?*</v>
      </c>
      <c r="C35" s="21" t="s">
        <v>355</v>
      </c>
      <c r="D35" s="276" t="s">
        <v>532</v>
      </c>
      <c r="E35" s="160" t="str">
        <f>IF($C$18='Auto Responses'!$J$4,'Auto Responses'!$A$6,IF($C$31='Auto Responses'!$J$4,'Auto Responses'!$A$27,IF($C35='Auto Responses'!$J$3,VLOOKUP($A35,Questions!$A$2:$X$333,17,0)&amp;"",IF($C35='Auto Responses'!$J$4,VLOOKUP($A35,Questions!$A$2:$X$333,16,0)&amp;"",IF($C35='Auto Responses'!$J$5,VLOOKUP($A35,Questions!$A$2:$X$333,18,0)&amp;"",VLOOKUP($A35,Questions!$A$2:$X$333,15,0)&amp;"")))))</f>
        <v>Describe how the AI model supports data deletion or unlearning and whether it is manual or automated; include retention timelines, limitations, and how requests are handled. Reference compliance with FERPA, GDPR Article 17, and state privacy laws.</v>
      </c>
      <c r="F35" s="191" t="str">
        <f>VLOOKUP($A35,'Institution Evaluation'!$A$56:$F$345,6,0)&amp;""</f>
        <v/>
      </c>
      <c r="I35" s="35"/>
      <c r="J35" s="35"/>
    </row>
    <row r="36" spans="1:10" s="1" customFormat="1" ht="105" x14ac:dyDescent="0.15">
      <c r="A36" s="19" t="s">
        <v>263</v>
      </c>
      <c r="B36" s="18" t="str">
        <f>VLOOKUP($A36,Questions!$A$2:$X$333,2,0)</f>
        <v>Is user input data used to influence your solution's AI model?*</v>
      </c>
      <c r="C36" s="21" t="s">
        <v>364</v>
      </c>
      <c r="D36" s="276" t="s">
        <v>533</v>
      </c>
      <c r="E36" s="160" t="str">
        <f>IF($C$18='Auto Responses'!$J$4,'Auto Responses'!$A$6,IF($C36='Auto Responses'!$J$3,VLOOKUP($A36,Questions!$A$2:$X$333,17,0)&amp;"",IF($C36='Auto Responses'!$J$4,VLOOKUP($A36,Questions!$A$2:$X$333,16,0)&amp;"",VLOOKUP($A36,Questions!$A$2:$X$333,15,0)&amp;"")))</f>
        <v>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v>
      </c>
      <c r="F36" s="191" t="str">
        <f>VLOOKUP($A36,'Institution Evaluation'!$A$56:$F$345,6,0)&amp;""</f>
        <v/>
      </c>
      <c r="I36" s="35"/>
      <c r="J36" s="35"/>
    </row>
    <row r="37" spans="1:10" s="1" customFormat="1" ht="60" x14ac:dyDescent="0.15">
      <c r="A37" s="19" t="s">
        <v>264</v>
      </c>
      <c r="B37" s="18" t="str">
        <f>VLOOKUP($A37,Questions!$A$2:$X$333,2,0)</f>
        <v>Do you provide logging for your solution's AI feature(s) that includes user, date, and action taken?*</v>
      </c>
      <c r="C37" s="21" t="s">
        <v>355</v>
      </c>
      <c r="D37" s="276" t="s">
        <v>534</v>
      </c>
      <c r="E37" s="160" t="str">
        <f>IF($C$18='Auto Responses'!$J$4,'Auto Responses'!$A$6,IF($C37='Auto Responses'!$J$3,VLOOKUP($A37,Questions!$A$2:$X$333,17,0)&amp;"",IF($C37='Auto Responses'!$J$4,VLOOKUP($A37,Questions!$A$2:$X$333,16,0)&amp;"",VLOOKUP($A37,Questions!$A$2:$X$333,15,0)&amp;"")))</f>
        <v>Describe what audit logs capture, how long they are retained, whether they are immutable, and how they support audits and oversight.</v>
      </c>
      <c r="F37" s="191" t="str">
        <f>VLOOKUP($A37,'Institution Evaluation'!$A$56:$F$345,6,0)&amp;""</f>
        <v/>
      </c>
      <c r="I37" s="35"/>
      <c r="J37" s="35"/>
    </row>
    <row r="38" spans="1:10" s="1" customFormat="1" ht="45" x14ac:dyDescent="0.15">
      <c r="A38" s="19" t="s">
        <v>265</v>
      </c>
      <c r="B38" s="18" t="str">
        <f>VLOOKUP($A38,Questions!$A$2:$X$333,2,0)</f>
        <v>Please describe how you validate user inputs.</v>
      </c>
      <c r="C38" s="21" t="s">
        <v>355</v>
      </c>
      <c r="D38" s="276" t="s">
        <v>535</v>
      </c>
      <c r="E38" s="160" t="str">
        <f>IF($C$18='Auto Responses'!$J$4,'Auto Responses'!$A$6,IF($C38='Auto Responses'!$J$3,VLOOKUP($A38,Questions!$A$2:$X$333,17,0)&amp;"",IF($C38='Auto Responses'!$J$4,VLOOKUP($A38,Questions!$A$2:$X$333,16,0)&amp;"",VLOOKUP($A38,Questions!$A$2:$X$333,15,0)&amp;"")))</f>
        <v/>
      </c>
      <c r="F38" s="191" t="str">
        <f>VLOOKUP($A38,'Institution Evaluation'!$A$56:$F$345,6,0)&amp;""</f>
        <v/>
      </c>
      <c r="I38" s="35"/>
      <c r="J38" s="35"/>
    </row>
    <row r="39" spans="1:10" s="1" customFormat="1" ht="61" thickBot="1" x14ac:dyDescent="0.2">
      <c r="A39" s="19" t="s">
        <v>266</v>
      </c>
      <c r="B39" s="18" t="str">
        <f>VLOOKUP($A39,Questions!$A$2:$X$333,2,0)</f>
        <v>Do you plan for and mitigate supply-chain risk related to your AI features?</v>
      </c>
      <c r="C39" s="21" t="s">
        <v>355</v>
      </c>
      <c r="D39" s="276" t="s">
        <v>536</v>
      </c>
      <c r="E39" s="160" t="str">
        <f>IF($C$18='Auto Responses'!$J$4,'Auto Responses'!$A$6,IF($C39='Auto Responses'!$J$3,VLOOKUP($A39,Questions!$A$2:$X$333,17,0)&amp;"",IF($C39='Auto Responses'!$J$4,VLOOKUP($A39,Questions!$A$2:$X$333,16,0)&amp;"",VLOOKUP($A39,Questions!$A$2:$X$333,15,0)&amp;"")))</f>
        <v>Describe your use of SAST, SBOM, and monitoring of third-party AI components, and how you address vulnerabilities in line with NIST and state requirements</v>
      </c>
      <c r="F39" s="191" t="str">
        <f>VLOOKUP($A39,'Institution Evaluation'!$A$56:$F$345,6,0)&amp;""</f>
        <v/>
      </c>
      <c r="G39" s="228" t="s">
        <v>361</v>
      </c>
      <c r="I39" s="35"/>
      <c r="J39" s="35"/>
    </row>
    <row r="40" spans="1:10" s="1" customFormat="1" ht="20" thickBot="1" x14ac:dyDescent="0.2">
      <c r="A40" s="61" t="str">
        <f>VLOOKUP(LEFT($A41,4),'Auto Responses'!$N$4:$O$38,2,0)&amp;""</f>
        <v xml:space="preserve"> AI Machine Learning</v>
      </c>
      <c r="B40" s="22"/>
      <c r="C40" s="13" t="s">
        <v>351</v>
      </c>
      <c r="D40" s="13" t="s">
        <v>352</v>
      </c>
      <c r="E40" s="31" t="s">
        <v>353</v>
      </c>
      <c r="F40" s="192" t="s">
        <v>354</v>
      </c>
      <c r="I40" s="35"/>
      <c r="J40" s="35"/>
    </row>
    <row r="41" spans="1:10" s="1" customFormat="1" ht="105" x14ac:dyDescent="0.15">
      <c r="A41" s="19" t="s">
        <v>267</v>
      </c>
      <c r="B41" s="18" t="str">
        <f>VLOOKUP($A41,Questions!$A$2:$X$333,2,0)</f>
        <v>Do you separate ML training data from your ML solution data?*</v>
      </c>
      <c r="C41" s="21" t="s">
        <v>452</v>
      </c>
      <c r="D41" s="276" t="s">
        <v>537</v>
      </c>
      <c r="E41" s="160" t="str">
        <f>IF($C$18='Auto Responses'!$J$4,'Auto Responses'!$A$6,IF($C$20='Auto Responses'!$J$4,'Auto Responses'!$A$10,IF($C41='Auto Responses'!$J$3,VLOOKUP($A41,Questions!$A$2:$X$333,17,0)&amp;"",IF($C41='Auto Responses'!$J$4,VLOOKUP($A41,Questions!$A$2:$X$333,16,0)&amp;"",VLOOKUP($A41,Questions!$A$2:$X$333,15,0)&amp;""))))</f>
        <v>Please answer based on whether training data is kept separate from production data to protect institutional information. Include how organizational data is segregated, anonymized, or excluded from training, and state whether institutions can opt out of data use for model improvement.</v>
      </c>
      <c r="F41" s="191" t="str">
        <f>VLOOKUP($A41,'Institution Evaluation'!$A$56:$F$345,6,0)&amp;""</f>
        <v/>
      </c>
      <c r="I41" s="35"/>
      <c r="J41" s="35"/>
    </row>
    <row r="42" spans="1:10" s="1" customFormat="1" ht="60" x14ac:dyDescent="0.15">
      <c r="A42" s="19" t="s">
        <v>268</v>
      </c>
      <c r="B42" s="18" t="str">
        <f>VLOOKUP($A42,Questions!$A$2:$X$333,2,0)</f>
        <v>Do you authenticate and verify your ML model's feedback?*</v>
      </c>
      <c r="C42" s="21" t="s">
        <v>452</v>
      </c>
      <c r="D42" s="276" t="s">
        <v>537</v>
      </c>
      <c r="E42" s="160" t="str">
        <f>IF($C$18='Auto Responses'!$J$4,'Auto Responses'!$A$6,IF($C$20='Auto Responses'!$J$4,'Auto Responses'!$A$10,IF($C42='Auto Responses'!$J$3,VLOOKUP($A42,Questions!$A$2:$X$333,17,0)&amp;"",IF($C42='Auto Responses'!$J$4,VLOOKUP($A42,Questions!$A$2:$X$333,16,0)&amp;"",VLOOKUP($A42,Questions!$A$2:$X$333,15,0)&amp;""))))</f>
        <v/>
      </c>
      <c r="F42" s="191" t="str">
        <f>VLOOKUP($A42,'Institution Evaluation'!$A$56:$F$345,6,0)&amp;""</f>
        <v/>
      </c>
      <c r="I42" s="35"/>
      <c r="J42" s="35"/>
    </row>
    <row r="43" spans="1:10" s="1" customFormat="1" ht="60" x14ac:dyDescent="0.15">
      <c r="A43" s="19" t="s">
        <v>269</v>
      </c>
      <c r="B43" s="18" t="str">
        <f>VLOOKUP($A43,Questions!$A$2:$X$333,2,0)</f>
        <v>Is your ML training data vetted, validated, and verified before training the solution's AI model?</v>
      </c>
      <c r="C43" s="21" t="s">
        <v>452</v>
      </c>
      <c r="D43" s="276" t="s">
        <v>537</v>
      </c>
      <c r="E43" s="160" t="str">
        <f>IF($C$18='Auto Responses'!$J$4,'Auto Responses'!$A$6,IF($C$20='Auto Responses'!$J$4,'Auto Responses'!$A$10,IF($C43='Auto Responses'!$J$3,VLOOKUP($A43,Questions!$A$2:$X$333,17,0)&amp;"",IF($C43='Auto Responses'!$J$4,VLOOKUP($A43,Questions!$A$2:$X$333,16,0)&amp;"",VLOOKUP($A43,Questions!$A$2:$X$333,15,0)&amp;""))))</f>
        <v/>
      </c>
      <c r="F43" s="191" t="str">
        <f>VLOOKUP($A43,'Institution Evaluation'!$A$56:$F$345,6,0)&amp;""</f>
        <v/>
      </c>
      <c r="I43" s="35"/>
      <c r="J43" s="35"/>
    </row>
    <row r="44" spans="1:10" s="1" customFormat="1" ht="60" x14ac:dyDescent="0.15">
      <c r="A44" s="19" t="s">
        <v>270</v>
      </c>
      <c r="B44" s="18" t="str">
        <f>VLOOKUP($A44,Questions!$A$2:$X$333,2,0)</f>
        <v>Is your ML training data monitored and audited?</v>
      </c>
      <c r="C44" s="21" t="s">
        <v>452</v>
      </c>
      <c r="D44" s="276" t="s">
        <v>537</v>
      </c>
      <c r="E44" s="160" t="str">
        <f>IF($C$18='Auto Responses'!$J$4,'Auto Responses'!$A$6,IF($C$20='Auto Responses'!$J$4,'Auto Responses'!$A$10,IF($C44='Auto Responses'!$J$3,VLOOKUP($A44,Questions!$A$2:$X$333,17,0)&amp;"",IF($C44='Auto Responses'!$J$4,VLOOKUP($A44,Questions!$A$2:$X$333,16,0)&amp;"",VLOOKUP($A44,Questions!$A$2:$X$333,15,0)&amp;""))))</f>
        <v/>
      </c>
      <c r="F44" s="191" t="str">
        <f>VLOOKUP($A44,'Institution Evaluation'!$A$56:$F$345,6,0)&amp;""</f>
        <v/>
      </c>
      <c r="I44" s="35"/>
      <c r="J44" s="35"/>
    </row>
    <row r="45" spans="1:10" s="1" customFormat="1" ht="60" x14ac:dyDescent="0.15">
      <c r="A45" s="19" t="s">
        <v>271</v>
      </c>
      <c r="B45" s="18" t="str">
        <f>VLOOKUP($A45,Questions!$A$2:$X$333,2,0)</f>
        <v>Have you limited access to your ML training data to only staff with an explicit business need?</v>
      </c>
      <c r="C45" s="21" t="s">
        <v>452</v>
      </c>
      <c r="D45" s="276" t="s">
        <v>537</v>
      </c>
      <c r="E45" s="160" t="str">
        <f>IF($C$18='Auto Responses'!$J$4,'Auto Responses'!$A$6,IF($C$20='Auto Responses'!$J$4,'Auto Responses'!$A$10,IF($C45='Auto Responses'!$J$3,VLOOKUP($A45,Questions!$A$2:$X$333,17,0)&amp;"",IF($C45='Auto Responses'!$J$4,VLOOKUP($A45,Questions!$A$2:$X$333,16,0)&amp;"",VLOOKUP($A45,Questions!$A$2:$X$333,15,0)&amp;""))))</f>
        <v/>
      </c>
      <c r="F45" s="191" t="str">
        <f>VLOOKUP($A45,'Institution Evaluation'!$A$56:$F$345,6,0)&amp;""</f>
        <v/>
      </c>
      <c r="I45" s="35"/>
      <c r="J45" s="35"/>
    </row>
    <row r="46" spans="1:10" s="1" customFormat="1" ht="60" x14ac:dyDescent="0.15">
      <c r="A46" s="19" t="s">
        <v>272</v>
      </c>
      <c r="B46" s="18" t="str">
        <f>VLOOKUP($A46,Questions!$A$2:$X$333,2,0)</f>
        <v>Have you implemented adversarial training or other model defense mechanisms to protect your ML-related features?</v>
      </c>
      <c r="C46" s="21" t="s">
        <v>452</v>
      </c>
      <c r="D46" s="276" t="s">
        <v>537</v>
      </c>
      <c r="E46" s="160" t="str">
        <f>IF($C$18='Auto Responses'!$J$4,'Auto Responses'!$A$6,IF($C$20='Auto Responses'!$J$4,'Auto Responses'!$A$10,IF($C46='Auto Responses'!$J$3,VLOOKUP($A46,Questions!$A$2:$X$333,17,0)&amp;"",IF($C46='Auto Responses'!$J$4,VLOOKUP($A46,Questions!$A$2:$X$333,16,0)&amp;"",VLOOKUP($A46,Questions!$A$2:$X$333,15,0)&amp;""))))</f>
        <v/>
      </c>
      <c r="F46" s="191" t="str">
        <f>VLOOKUP($A46,'Institution Evaluation'!$A$56:$F$345,6,0)&amp;""</f>
        <v/>
      </c>
      <c r="I46" s="35"/>
      <c r="J46" s="35"/>
    </row>
    <row r="47" spans="1:10" s="1" customFormat="1" ht="60" x14ac:dyDescent="0.15">
      <c r="A47" s="19" t="s">
        <v>273</v>
      </c>
      <c r="B47" s="18" t="str">
        <f>VLOOKUP($A47,Questions!$A$2:$X$333,2,0)</f>
        <v>Do you make your ML model transparent through documentation and log inputs and outputs?</v>
      </c>
      <c r="C47" s="21" t="s">
        <v>452</v>
      </c>
      <c r="D47" s="276" t="s">
        <v>537</v>
      </c>
      <c r="E47" s="160" t="str">
        <f>IF($C$18='Auto Responses'!$J$4,'Auto Responses'!$A$6,IF($C$20='Auto Responses'!$J$4,'Auto Responses'!$A$10,IF($C47='Auto Responses'!$J$3,VLOOKUP($A47,Questions!$A$2:$X$333,17,0)&amp;"",IF($C47='Auto Responses'!$J$4,VLOOKUP($A47,Questions!$A$2:$X$333,16,0)&amp;"",VLOOKUP($A47,Questions!$A$2:$X$333,15,0)&amp;""))))</f>
        <v/>
      </c>
      <c r="F47" s="191" t="str">
        <f>VLOOKUP($A47,'Institution Evaluation'!$A$56:$F$345,6,0)&amp;""</f>
        <v/>
      </c>
      <c r="I47" s="35"/>
      <c r="J47" s="35"/>
    </row>
    <row r="48" spans="1:10" s="1" customFormat="1" ht="61" thickBot="1" x14ac:dyDescent="0.2">
      <c r="A48" s="19" t="s">
        <v>274</v>
      </c>
      <c r="B48" s="18" t="str">
        <f>VLOOKUP($A48,Questions!$A$2:$X$333,2,0)</f>
        <v>Do you watermark your ML training data?</v>
      </c>
      <c r="C48" s="21" t="s">
        <v>452</v>
      </c>
      <c r="D48" s="276" t="s">
        <v>537</v>
      </c>
      <c r="E48" s="160" t="str">
        <f>IF($C$18='Auto Responses'!$J$4,'Auto Responses'!$A$6,IF($C$20='Auto Responses'!$J$4,'Auto Responses'!$A$10,IF($C48='Auto Responses'!$J$3,VLOOKUP($A48,Questions!$A$2:$X$333,17,0)&amp;"",IF($C48='Auto Responses'!$J$4,VLOOKUP($A48,Questions!$A$2:$X$333,16,0)&amp;"",VLOOKUP($A48,Questions!$A$2:$X$333,15,0)&amp;""))))</f>
        <v/>
      </c>
      <c r="F48" s="191" t="str">
        <f>VLOOKUP($A48,'Institution Evaluation'!$A$56:$F$345,6,0)&amp;""</f>
        <v/>
      </c>
      <c r="G48" s="228" t="s">
        <v>361</v>
      </c>
      <c r="I48" s="35"/>
      <c r="J48" s="35"/>
    </row>
    <row r="49" spans="1:12" s="1" customFormat="1" ht="20" thickBot="1" x14ac:dyDescent="0.2">
      <c r="A49" s="61" t="str">
        <f>VLOOKUP(LEFT($A50,4),'Auto Responses'!$N$4:$O$38,2,0)&amp;""</f>
        <v xml:space="preserve"> AI Large Language Model (LLM)</v>
      </c>
      <c r="B49" s="22"/>
      <c r="C49" s="13" t="s">
        <v>351</v>
      </c>
      <c r="D49" s="13" t="s">
        <v>352</v>
      </c>
      <c r="E49" s="31" t="s">
        <v>353</v>
      </c>
      <c r="F49" s="192" t="s">
        <v>354</v>
      </c>
      <c r="I49" s="35"/>
      <c r="J49" s="35"/>
    </row>
    <row r="50" spans="1:12" s="1" customFormat="1" ht="105" x14ac:dyDescent="0.15">
      <c r="A50" s="19" t="s">
        <v>275</v>
      </c>
      <c r="B50" s="18" t="str">
        <f>VLOOKUP($A50,Questions!$A$2:$X$333,2,0)</f>
        <v>Do you limit your solution's LLM privileges by default?*</v>
      </c>
      <c r="C50" s="21" t="s">
        <v>355</v>
      </c>
      <c r="D50" s="276" t="s">
        <v>538</v>
      </c>
      <c r="E50" s="160" t="str">
        <f>IF($C$18='Auto Responses'!$J$4,'Auto Responses'!$A$6,IF($C$21='Auto Responses'!$J$4,'Auto Responses'!$A$11,IF($C50='Auto Responses'!$J$3,VLOOKUP($A50,Questions!$A$2:$X$333,17,0)&amp;"",IF($C50='Auto Responses'!$J$4,VLOOKUP($A50,Questions!$A$2:$X$333,16,0)&amp;"",VLOOKUP($A50,Questions!$A$2:$X$333,15,0)&amp;""))))</f>
        <v>Describe how privilege control is implemented for the LLM and how trust boundaries are established between LLM, external sources, and extensible functionality (plugins or downstream functions). Include how you leverage "human in the loop" principals.</v>
      </c>
      <c r="F50" s="191" t="str">
        <f>VLOOKUP($A50,'Institution Evaluation'!$A$56:$F$345,6,0)&amp;""</f>
        <v/>
      </c>
      <c r="I50" s="35"/>
      <c r="J50" s="35"/>
    </row>
    <row r="51" spans="1:12" s="1" customFormat="1" ht="60" x14ac:dyDescent="0.15">
      <c r="A51" s="19" t="s">
        <v>276</v>
      </c>
      <c r="B51" s="18" t="str">
        <f>VLOOKUP($A51,Questions!$A$2:$X$333,2,0)</f>
        <v>Is your LLM training data vetted, validated, and verified before training the solution's AI model?*</v>
      </c>
      <c r="C51" s="21" t="s">
        <v>452</v>
      </c>
      <c r="D51" s="276" t="s">
        <v>539</v>
      </c>
      <c r="E51" s="160" t="str">
        <f>IF($C$18='Auto Responses'!$J$4,'Auto Responses'!$A$6,IF($C$21='Auto Responses'!$J$4,'Auto Responses'!$A$11,IF($C51='Auto Responses'!$J$3,VLOOKUP($A51,Questions!$A$2:$X$333,17,0)&amp;"",IF($C51='Auto Responses'!$J$4,VLOOKUP($A51,Questions!$A$2:$X$333,16,0)&amp;"",VLOOKUP($A51,Questions!$A$2:$X$333,15,0)&amp;""))))</f>
        <v/>
      </c>
      <c r="F51" s="191" t="str">
        <f>VLOOKUP($A51,'Institution Evaluation'!$A$56:$F$345,6,0)&amp;""</f>
        <v/>
      </c>
      <c r="I51" s="35"/>
      <c r="J51" s="35"/>
    </row>
    <row r="52" spans="1:12" s="1" customFormat="1" ht="75" x14ac:dyDescent="0.15">
      <c r="A52" s="19" t="s">
        <v>277</v>
      </c>
      <c r="B52" s="18" t="str">
        <f>VLOOKUP($A52,Questions!$A$2:$X$333,2,0)</f>
        <v>Do any actions taken by your solution's LLM features or plugins require human intervention?*</v>
      </c>
      <c r="C52" s="21" t="s">
        <v>355</v>
      </c>
      <c r="D52" s="276" t="s">
        <v>540</v>
      </c>
      <c r="E52" s="160" t="str">
        <f>IF($C$18='Auto Responses'!$J$4,'Auto Responses'!$A$6,IF($C$21='Auto Responses'!$J$4,'Auto Responses'!$A$11,IF($C52='Auto Responses'!$J$3,VLOOKUP($A52,Questions!$A$2:$X$333,17,0)&amp;"",IF($C52='Auto Responses'!$J$4,VLOOKUP($A52,Questions!$A$2:$X$333,16,0)&amp;"",VLOOKUP($A52,Questions!$A$2:$X$333,15,0)&amp;""))))</f>
        <v>Describe how human approval or oversight is applied before sensitive or high-impact LLM actions are executed. Include where approvals occur and what roles are involved.</v>
      </c>
      <c r="F52" s="191" t="str">
        <f>VLOOKUP($A52,'Institution Evaluation'!$A$56:$F$345,6,0)&amp;""</f>
        <v/>
      </c>
      <c r="I52" s="35"/>
      <c r="J52" s="35"/>
    </row>
    <row r="53" spans="1:12" s="1" customFormat="1" ht="45" x14ac:dyDescent="0.15">
      <c r="A53" s="19" t="s">
        <v>278</v>
      </c>
      <c r="B53" s="18" t="str">
        <f>VLOOKUP($A53,Questions!$A$2:$X$333,2,0)</f>
        <v>Do you limit multiple LLM model plugins being called as part of a single input?*</v>
      </c>
      <c r="C53" s="21" t="s">
        <v>355</v>
      </c>
      <c r="D53" s="276" t="s">
        <v>541</v>
      </c>
      <c r="E53" s="160" t="str">
        <f>IF($C$18='Auto Responses'!$J$4,'Auto Responses'!$A$6,IF($C$21='Auto Responses'!$J$4,'Auto Responses'!$A$11,IF($C53='Auto Responses'!$J$3,VLOOKUP($A53,Questions!$A$2:$X$333,17,0)&amp;"",IF($C53='Auto Responses'!$J$4,VLOOKUP($A53,Questions!$A$2:$X$333,16,0)&amp;"",VLOOKUP($A53,Questions!$A$2:$X$333,15,0)&amp;""))))</f>
        <v>Describe how plugins or external tools are restricted. Include whether limits, validation, or monitoring are applied.</v>
      </c>
      <c r="F53" s="191" t="str">
        <f>VLOOKUP($A53,'Institution Evaluation'!$A$56:$F$345,6,0)&amp;""</f>
        <v/>
      </c>
      <c r="I53" s="35"/>
      <c r="J53" s="35"/>
    </row>
    <row r="54" spans="1:12" s="1" customFormat="1" ht="75" x14ac:dyDescent="0.15">
      <c r="A54" s="19" t="s">
        <v>279</v>
      </c>
      <c r="B54" s="18" t="str">
        <f>VLOOKUP($A54,Questions!$A$2:$X$333,2,0)</f>
        <v>Do you limit your solution's LLM resource use per request, per step, and per action?</v>
      </c>
      <c r="C54" s="21" t="s">
        <v>355</v>
      </c>
      <c r="D54" s="276" t="s">
        <v>542</v>
      </c>
      <c r="E54" s="160" t="str">
        <f>IF($C$18='Auto Responses'!$J$4,'Auto Responses'!$A$6,IF($C$21='Auto Responses'!$J$4,'Auto Responses'!$A$11,IF($C54='Auto Responses'!$J$3,VLOOKUP($A54,Questions!$A$2:$X$333,17,0)&amp;"",IF($C54='Auto Responses'!$J$4,VLOOKUP($A54,Questions!$A$2:$X$333,16,0)&amp;"",VLOOKUP($A54,Questions!$A$2:$X$333,15,0)&amp;""))))</f>
        <v>Describe how resource usage such as tokens, CPU, memory, or API calls is managed. Include whether quotas, monitoring, or escalation paths are defined.</v>
      </c>
      <c r="F54" s="191" t="str">
        <f>VLOOKUP($A54,'Institution Evaluation'!$A$56:$F$345,6,0)&amp;""</f>
        <v/>
      </c>
      <c r="I54" s="35"/>
      <c r="J54" s="35"/>
    </row>
    <row r="55" spans="1:12" s="1" customFormat="1" ht="60" x14ac:dyDescent="0.15">
      <c r="A55" s="19" t="s">
        <v>280</v>
      </c>
      <c r="B55" s="18" t="str">
        <f>VLOOKUP($A55,Questions!$A$2:$X$333,2,0)</f>
        <v>Do you leverage LLM model tuning or other model validation mechanisms?</v>
      </c>
      <c r="C55" s="21" t="s">
        <v>355</v>
      </c>
      <c r="D55" s="276" t="s">
        <v>543</v>
      </c>
      <c r="E55" s="160" t="str">
        <f>IF($C$18='Auto Responses'!$J$4,'Auto Responses'!$A$6,IF($C$21='Auto Responses'!$J$4,'Auto Responses'!$A$11,IF($C55='Auto Responses'!$J$3,VLOOKUP($A55,Questions!$A$2:$X$333,17,0)&amp;"",IF($C55='Auto Responses'!$J$4,VLOOKUP($A55,Questions!$A$2:$X$333,16,0)&amp;"",VLOOKUP($A55,Questions!$A$2:$X$333,15,0)&amp;""))))</f>
        <v>Describe how you improve factual reliability. Include whether methods such as retrieval augmentation, fact checking, or human review are applied</v>
      </c>
      <c r="F55" s="191" t="str">
        <f>VLOOKUP($A55,'Institution Evaluation'!$A$56:$F$345,6,0)&amp;""</f>
        <v/>
      </c>
      <c r="G55" s="228" t="s">
        <v>361</v>
      </c>
      <c r="I55" s="35"/>
      <c r="J55" s="35"/>
    </row>
    <row r="56" spans="1:12" s="1" customFormat="1" ht="33" customHeight="1" x14ac:dyDescent="0.15">
      <c r="A56" s="41" t="s">
        <v>2</v>
      </c>
      <c r="C56" s="8"/>
      <c r="D56" s="9"/>
      <c r="E56" s="229" t="s">
        <v>544</v>
      </c>
      <c r="I56" s="35"/>
      <c r="J56" s="35"/>
    </row>
    <row r="57" spans="1:12" s="1" customFormat="1" ht="15" hidden="1" customHeight="1" x14ac:dyDescent="0.15">
      <c r="A57"/>
      <c r="C57" s="8"/>
      <c r="D57" s="9"/>
      <c r="E57" s="10"/>
      <c r="I57" s="35"/>
      <c r="J57" s="35"/>
    </row>
    <row r="58" spans="1:12" ht="15" hidden="1" customHeight="1" x14ac:dyDescent="0.2">
      <c r="A58" s="1"/>
      <c r="B58" s="8"/>
      <c r="C58" s="68"/>
      <c r="D58" s="10"/>
      <c r="E58" s="1"/>
      <c r="F58" s="1"/>
      <c r="H58" s="35"/>
      <c r="I58" s="1"/>
      <c r="J58" s="1"/>
      <c r="L58"/>
    </row>
    <row r="59" spans="1:12" ht="0" hidden="1" customHeight="1" x14ac:dyDescent="0.2">
      <c r="A59" s="19" t="e">
        <f>#REF!</f>
        <v>#REF!</v>
      </c>
    </row>
    <row r="60" spans="1:12" ht="0" hidden="1" customHeight="1" x14ac:dyDescent="0.2">
      <c r="A60" s="19" t="e">
        <f>#REF!</f>
        <v>#REF!</v>
      </c>
    </row>
    <row r="61" spans="1:12" ht="0" hidden="1" customHeight="1" x14ac:dyDescent="0.2">
      <c r="A61" s="19" t="e">
        <f>#REF!</f>
        <v>#REF!</v>
      </c>
    </row>
    <row r="62" spans="1:12" ht="0" hidden="1" customHeight="1" x14ac:dyDescent="0.2">
      <c r="A62" s="19" t="e">
        <f>#REF!</f>
        <v>#REF!</v>
      </c>
    </row>
    <row r="63" spans="1:12" ht="0" hidden="1" customHeight="1" x14ac:dyDescent="0.2">
      <c r="A63" s="19" t="e">
        <f>#REF!</f>
        <v>#REF!</v>
      </c>
    </row>
    <row r="64" spans="1:12" ht="0" hidden="1" customHeight="1" x14ac:dyDescent="0.2">
      <c r="A64" s="19" t="e">
        <f>#REF!</f>
        <v>#REF!</v>
      </c>
    </row>
    <row r="65" spans="1:1" ht="0" hidden="1" customHeight="1" x14ac:dyDescent="0.2">
      <c r="A65" s="19" t="e">
        <f>#REF!</f>
        <v>#REF!</v>
      </c>
    </row>
    <row r="1048576" ht="3" customHeight="1" x14ac:dyDescent="0.2"/>
  </sheetData>
  <dataValidations count="3">
    <dataValidation allowBlank="1" showInputMessage="1" showErrorMessage="1" promptTitle="Warning!" prompt="The HECVAT is built using a number of complex formulas. Editing this cell can break the functionality of the tool. " sqref="A3:A56 B2:B56 C2 C5:F12 C17:D17 C19:D19 C22:D22 C28:D28 C34:D34 C40:D40 C49:D49 D2:F3 E17:F55" xr:uid="{00000000-0002-0000-0600-000000000000}"/>
    <dataValidation allowBlank="1" showInputMessage="1" showErrorMessage="1" prompt="This answer has been populated from the &quot;START HERE&quot; tab and does not need to be re-entered." sqref="C3 C13:C16 C18" xr:uid="{00000000-0002-0000-0600-000001000000}"/>
    <dataValidation allowBlank="1" showInputMessage="1" showErrorMessage="1" prompt="This cell should be left blank. Input your answer in column C." sqref="D26 D38" xr:uid="{00000000-0002-0000-0600-000002000000}"/>
  </dataValidations>
  <hyperlinks>
    <hyperlink ref="A11" r:id="rId1" display="http://www.educause.edu/HECVAT" xr:uid="{00000000-0004-0000-0600-000000000000}"/>
  </hyperlinks>
  <pageMargins left="0.75" right="0.75" top="1" bottom="1" header="0.5" footer="0.5"/>
  <pageSetup orientation="landscape"/>
  <headerFooter>
    <oddFooter>&amp;L&amp;"Helvetica,Regular"&amp;12 &amp;K000000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36C"/>
  </sheetPr>
  <dimension ref="A1:K117"/>
  <sheetViews>
    <sheetView showGridLines="0" showZeros="0" topLeftCell="A2" zoomScale="130" zoomScaleNormal="130" workbookViewId="0">
      <selection activeCell="C59" sqref="C59"/>
    </sheetView>
  </sheetViews>
  <sheetFormatPr baseColWidth="10" defaultColWidth="0" defaultRowHeight="0" customHeight="1" zeroHeight="1" x14ac:dyDescent="0.2"/>
  <cols>
    <col min="1" max="1" width="8.25" style="320" customWidth="1"/>
    <col min="2" max="2" width="55.125" style="1" customWidth="1"/>
    <col min="3" max="3" width="18.875" style="8" customWidth="1"/>
    <col min="4" max="4" width="55.75" style="9" customWidth="1"/>
    <col min="5" max="5" width="32" style="40" customWidth="1"/>
    <col min="6" max="6" width="30.75" style="187" customWidth="1"/>
    <col min="7" max="7" width="18.125" style="1" customWidth="1"/>
    <col min="8" max="8" width="18.125" style="35" hidden="1" customWidth="1"/>
    <col min="9" max="10" width="18.125" style="1" hidden="1" customWidth="1"/>
    <col min="11" max="11" width="6.625" style="1" hidden="1" customWidth="1"/>
    <col min="12" max="12" width="6.625" style="320" hidden="1" customWidth="1"/>
    <col min="13" max="16384" width="6.625" style="320" hidden="1"/>
  </cols>
  <sheetData>
    <row r="1" spans="1:9" ht="0" hidden="1" customHeight="1" x14ac:dyDescent="0.2">
      <c r="A1" t="s">
        <v>346</v>
      </c>
    </row>
    <row r="2" spans="1:9" ht="36" customHeight="1" x14ac:dyDescent="0.2">
      <c r="A2" s="161" t="s">
        <v>545</v>
      </c>
      <c r="B2" s="161"/>
      <c r="C2" s="162"/>
      <c r="D2" s="271"/>
      <c r="E2" s="163"/>
      <c r="F2" s="188" t="str">
        <f>'Auto Responses'!$A$36</f>
        <v>Version 4.1.5</v>
      </c>
    </row>
    <row r="3" spans="1:9" s="1" customFormat="1" ht="29" customHeight="1" x14ac:dyDescent="0.15">
      <c r="A3" s="37" t="s">
        <v>348</v>
      </c>
      <c r="B3" s="73"/>
      <c r="C3" s="64" t="str">
        <f>'START HERE'!$C$3</f>
        <v>2025-04-08</v>
      </c>
      <c r="D3" s="272"/>
      <c r="E3" s="36"/>
      <c r="F3" s="50"/>
      <c r="H3" s="35"/>
    </row>
    <row r="4" spans="1:9" s="1" customFormat="1" ht="36" customHeight="1" x14ac:dyDescent="0.15">
      <c r="A4" s="11" t="s">
        <v>350</v>
      </c>
      <c r="B4" s="12"/>
      <c r="C4" s="13"/>
      <c r="D4" s="14"/>
      <c r="E4" s="15"/>
      <c r="F4" s="15"/>
      <c r="H4" s="35"/>
    </row>
    <row r="5" spans="1:9" s="1" customFormat="1" ht="19.5" customHeight="1" x14ac:dyDescent="0.15">
      <c r="A5" s="42" t="str">
        <f>HLOOKUP($A$4,'Auto Responses'!$D$2:$D$8,2,0)&amp;""</f>
        <v>1. Complete the "Start Here" tab and review the "Required Questions" guidance to find the other sections are required for your product or service.</v>
      </c>
      <c r="B5" s="16"/>
      <c r="C5" s="65"/>
      <c r="D5" s="273"/>
      <c r="E5" s="16"/>
      <c r="F5" s="247"/>
      <c r="I5" s="35"/>
    </row>
    <row r="6" spans="1:9" s="1" customFormat="1" ht="19.5" customHeight="1" x14ac:dyDescent="0.15">
      <c r="A6" s="42" t="str">
        <f>HLOOKUP($A$4,'Auto Responses'!$D$2:$D$8,3,0)&amp;""</f>
        <v>2. Complete the "Organization" tab and the applicable questions in each of the next 5 tabs (Product through Privacy) that apply, based on your answers to the "Required Questions."</v>
      </c>
      <c r="B6" s="16"/>
      <c r="C6" s="65"/>
      <c r="D6" s="273"/>
      <c r="E6" s="16"/>
      <c r="F6" s="248"/>
      <c r="I6" s="35"/>
    </row>
    <row r="7" spans="1:9" s="1" customFormat="1" ht="19.5" customHeight="1" x14ac:dyDescent="0.15">
      <c r="A7" s="42" t="str">
        <f>HLOOKUP($A$4,'Auto Responses'!$D$2:$D$8,4,0)&amp;""</f>
        <v xml:space="preserve">3. Guidance in column E may change based on your answers to prompt details in "Additional Information." If leaving an answer blank, you must also state why in "Additional Information". </v>
      </c>
      <c r="B7" s="16"/>
      <c r="C7" s="65"/>
      <c r="D7" s="273"/>
      <c r="E7" s="16"/>
      <c r="F7" s="248"/>
      <c r="I7" s="35"/>
    </row>
    <row r="8" spans="1:9" s="1" customFormat="1" ht="19.5" customHeight="1" x14ac:dyDescent="0.15">
      <c r="A8" s="42" t="str">
        <f>HLOOKUP($A$4,'Auto Responses'!$D$2:$D$8,5,0)&amp;""</f>
        <v>4. DO NOT complete any fields in the "Evaluation" sheets or the "Analyst Notes" column.</v>
      </c>
      <c r="B8" s="16"/>
      <c r="C8" s="65"/>
      <c r="D8" s="273"/>
      <c r="E8" s="16"/>
      <c r="F8" s="248"/>
      <c r="I8" s="35"/>
    </row>
    <row r="9" spans="1:9" s="1" customFormat="1" ht="19.5" customHeight="1" x14ac:dyDescent="0.15">
      <c r="A9" s="42" t="str">
        <f>HLOOKUP($A$4,'Auto Responses'!$D$2:$D$8,6,0)&amp;""</f>
        <v>5. Return the completed file to institutions.</v>
      </c>
      <c r="B9" s="16"/>
      <c r="C9" s="65"/>
      <c r="D9" s="273"/>
      <c r="E9" s="16"/>
      <c r="F9" s="248"/>
      <c r="I9" s="35"/>
    </row>
    <row r="10" spans="1:9" s="1" customFormat="1" ht="19.5" customHeight="1" x14ac:dyDescent="0.15">
      <c r="A10" s="235" t="str">
        <f>HLOOKUP($A$4,'Auto Responses'!$D$2:$D$8,7,0)&amp;""</f>
        <v>* Denotes critical questions. Critical questions are those deemed most important to institutions by higher education volunteers.</v>
      </c>
      <c r="B10" s="16"/>
      <c r="C10" s="65"/>
      <c r="D10" s="273"/>
      <c r="E10" s="16"/>
      <c r="F10" s="248"/>
      <c r="I10" s="35"/>
    </row>
    <row r="11" spans="1:9" s="1" customFormat="1" ht="19.5" customHeight="1" x14ac:dyDescent="0.15">
      <c r="A11" s="234" t="str">
        <f>HLOOKUP($A$4,'Auto Responses'!$D$2:$D$9,8,0)&amp;""</f>
        <v>For full instructions, please visit educause.edu/HECVAT</v>
      </c>
      <c r="B11" s="16"/>
      <c r="C11" s="65"/>
      <c r="D11" s="273"/>
      <c r="E11" s="16"/>
      <c r="F11" s="249"/>
      <c r="I11" s="35"/>
    </row>
    <row r="12" spans="1:9" s="1" customFormat="1" ht="36" customHeight="1" x14ac:dyDescent="0.15">
      <c r="A12" s="61" t="str">
        <f>VLOOKUP(LEFT($A13,4),'Auto Responses'!$N$4:$O$38,2,0)&amp;""</f>
        <v xml:space="preserve"> General Information</v>
      </c>
      <c r="B12" s="12"/>
      <c r="C12" s="13" t="s">
        <v>351</v>
      </c>
      <c r="D12" s="285"/>
      <c r="E12" s="75"/>
      <c r="F12" s="75"/>
      <c r="H12" s="35"/>
    </row>
    <row r="13" spans="1:9" s="1" customFormat="1" ht="22.25" customHeight="1" x14ac:dyDescent="0.15">
      <c r="A13" s="19" t="s">
        <v>7</v>
      </c>
      <c r="B13" s="74" t="str">
        <f>VLOOKUP($A13,Questions!$A$2:$X$333,2,0)&amp;""</f>
        <v>Solution Provider Name</v>
      </c>
      <c r="C13" s="72" t="str">
        <f ca="1">VLOOKUP($A13,'START HERE'!$A$13:$C$21,3,0)&amp;""</f>
        <v>Accredible (EdInvent Inc. d.b.a. Accredible)</v>
      </c>
      <c r="D13" s="272"/>
      <c r="E13" s="36"/>
      <c r="F13" s="50"/>
      <c r="H13" s="35"/>
    </row>
    <row r="14" spans="1:9" s="1" customFormat="1" ht="22.25" customHeight="1" x14ac:dyDescent="0.15">
      <c r="A14" s="19" t="s">
        <v>8</v>
      </c>
      <c r="B14" s="74" t="str">
        <f>VLOOKUP($A14,Questions!$A$2:$X$333,2,0)&amp;""</f>
        <v>Solution Name</v>
      </c>
      <c r="C14" s="72" t="str">
        <f ca="1">VLOOKUP($A14,'START HERE'!$A$13:$C$21,3,0)&amp;""</f>
        <v>Accredible Digital Credentialing Platform</v>
      </c>
      <c r="D14" s="272"/>
      <c r="E14" s="36"/>
      <c r="F14" s="50"/>
      <c r="H14" s="35"/>
    </row>
    <row r="15" spans="1:9" s="1" customFormat="1" ht="22.25" customHeight="1" x14ac:dyDescent="0.15">
      <c r="A15" s="19" t="s">
        <v>9</v>
      </c>
      <c r="B15" s="74" t="str">
        <f>VLOOKUP($A15,Questions!$A$2:$X$333,2,0)&amp;""</f>
        <v>Solution Description</v>
      </c>
      <c r="C15" s="72" t="str">
        <f ca="1">VLOOKUP($A15,'START HERE'!$A$13:$C$21,3,0)&amp;""</f>
        <v>Accredible is a cloud-hosted, multi-tenant Software as a Service (SaaS) digital credentialing platform that enables organizations to design, issue, manage, and verify digital credentials including certificates and badges.</v>
      </c>
      <c r="D15" s="272"/>
      <c r="E15" s="36"/>
      <c r="F15" s="50"/>
      <c r="H15" s="35"/>
    </row>
    <row r="16" spans="1:9" s="1" customFormat="1" ht="22.25" customHeight="1" x14ac:dyDescent="0.15">
      <c r="A16" s="19" t="s">
        <v>14</v>
      </c>
      <c r="B16" s="74" t="str">
        <f>VLOOKUP($A16,Questions!$A$2:$X$333,2,0)&amp;""</f>
        <v>Country of Company Headquarters</v>
      </c>
      <c r="C16" s="72" t="str">
        <f ca="1">VLOOKUP($A16,'START HERE'!$A$13:$C$21,3,0)&amp;""</f>
        <v>United States</v>
      </c>
      <c r="D16" s="272"/>
      <c r="E16" s="36"/>
      <c r="F16" s="50"/>
      <c r="H16" s="35"/>
    </row>
    <row r="17" spans="1:8" s="1" customFormat="1" ht="22.25" customHeight="1" x14ac:dyDescent="0.15">
      <c r="A17" s="19" t="s">
        <v>15</v>
      </c>
      <c r="B17" s="74" t="str">
        <f>VLOOKUP($A17,Questions!$A$2:$X$333,2,0)&amp;""</f>
        <v>Employee Work Locations (all)</v>
      </c>
      <c r="C17" s="72" t="s">
        <v>546</v>
      </c>
      <c r="D17" s="272"/>
      <c r="E17" s="36"/>
      <c r="F17" s="50"/>
      <c r="H17" s="35"/>
    </row>
    <row r="18" spans="1:8" s="1" customFormat="1" ht="37.25" customHeight="1" thickBot="1" x14ac:dyDescent="0.2">
      <c r="A18" s="61" t="str">
        <f>VLOOKUP(LEFT($A19,4),'Auto Responses'!$N$4:$O$38,2,0)&amp;""</f>
        <v xml:space="preserve"> Required Questions</v>
      </c>
      <c r="B18" s="22"/>
      <c r="C18" s="13" t="s">
        <v>351</v>
      </c>
      <c r="D18" s="13" t="s">
        <v>352</v>
      </c>
      <c r="E18" s="31" t="s">
        <v>353</v>
      </c>
      <c r="F18" s="193" t="s">
        <v>354</v>
      </c>
      <c r="H18" s="35"/>
    </row>
    <row r="19" spans="1:8" s="1" customFormat="1" ht="60" x14ac:dyDescent="0.15">
      <c r="A19" s="19" t="s">
        <v>29</v>
      </c>
      <c r="B19" s="18" t="str">
        <f>VLOOKUP($A19,Questions!$A$2:$X$333,2,0)</f>
        <v>Does your solution have AI features, or are there plans to implement AI features in the next 12 months?</v>
      </c>
      <c r="C19" s="69" t="str">
        <f>VLOOKUP($A19,'START HERE'!$A$23:$F$36,3,0)&amp;""</f>
        <v>Yes</v>
      </c>
      <c r="D19" s="275" t="str">
        <f>VLOOKUP($A19,'START HERE'!$A$23:$F$36,4,0)&amp;""</f>
        <v>Accredible uses OpenAI's API as part of a Skills Extraction Service that takes course descriptions as input and suggests relevant skill tags. Results are processed through a CritiqueEvaluatorService before being surfaced to users.</v>
      </c>
      <c r="E19" s="160" t="str">
        <f>IF($C19='Auto Responses'!$J$3,VLOOKUP($A19,Questions!$A$2:$X$333,17,0)&amp;"",IF($C19='Auto Responses'!$J$4,VLOOKUP($A19,Questions!$A$2:$X$333,16,0)&amp;"",VLOOKUP($A19,Questions!$A$2:$X$333,15,0)&amp;""))</f>
        <v>DO complete the Artificial Intelligence (AI) worksheet</v>
      </c>
      <c r="F19" s="194" t="str">
        <f>VLOOKUP($A19,'START HERE'!$A$23:$F$36,6,0)&amp;""</f>
        <v/>
      </c>
      <c r="H19" s="35"/>
    </row>
    <row r="20" spans="1:8" s="1" customFormat="1" ht="45" x14ac:dyDescent="0.15">
      <c r="A20" s="19" t="s">
        <v>31</v>
      </c>
      <c r="B20" s="18" t="str">
        <f>VLOOKUP($A20,Questions!$A$2:$X$333,2,0)</f>
        <v>Does your solution process protected health information (PHI) or any data covered by the Health Insurance Portability and Accountability Act (HIPAA)?</v>
      </c>
      <c r="C20" s="69" t="str">
        <f>VLOOKUP($A20,'START HERE'!$A$23:$F$36,3,0)&amp;""</f>
        <v>No</v>
      </c>
      <c r="D20" s="275" t="str">
        <f>VLOOKUP($A20,'START HERE'!$A$23:$F$36,4,0)&amp;""</f>
        <v>Accredible does not process Protected Health Information (PHI) or any HIPAA-covered data.</v>
      </c>
      <c r="E20" s="160" t="str">
        <f>IF($C20='Auto Responses'!$J$3,VLOOKUP($A20,Questions!$A$2:$X$333,17,0)&amp;"",IF($C20='Auto Responses'!$J$4,VLOOKUP($A20,Questions!$A$2:$X$333,16,0)&amp;"",VLOOKUP($A20,Questions!$A$2:$X$333,15,0)&amp;""))</f>
        <v>DO NOT complete the HIPAA section in the Case-Specific worksheet</v>
      </c>
      <c r="F20" s="194" t="str">
        <f>VLOOKUP($A20,'START HERE'!$A$23:$F$36,6,0)&amp;""</f>
        <v/>
      </c>
      <c r="H20" s="35"/>
    </row>
    <row r="21" spans="1:8" s="1" customFormat="1" ht="45" x14ac:dyDescent="0.15">
      <c r="A21" s="19" t="s">
        <v>33</v>
      </c>
      <c r="B21" s="18" t="str">
        <f>VLOOKUP($A21,Questions!$A$2:$X$333,2,0)</f>
        <v>Is the solution designed to process, store, or transmit credit card information?</v>
      </c>
      <c r="C21" s="69" t="str">
        <f>VLOOKUP($A21,'START HERE'!$A$23:$F$36,3,0)&amp;""</f>
        <v>No</v>
      </c>
      <c r="D21" s="275" t="str">
        <f>VLOOKUP($A21,'START HERE'!$A$23:$F$36,4,0)&amp;""</f>
        <v>Accredible does not process, store, or transmit credit card data. Payment processing, where applicable, is handled through third-party payment processors.</v>
      </c>
      <c r="E21" s="160" t="str">
        <f>IF($C21='Auto Responses'!$J$3,VLOOKUP($A21,Questions!$A$2:$X$333,17,0)&amp;"",IF($C21='Auto Responses'!$J$4,VLOOKUP($A21,Questions!$A$2:$X$333,16,0)&amp;"",VLOOKUP($A21,Questions!$A$2:$X$333,15,0)&amp;""))</f>
        <v>DO NOT complete the PCI-DSS section in the Case-Specific worksheet</v>
      </c>
      <c r="F21" s="194" t="str">
        <f>VLOOKUP($A21,'START HERE'!$A$23:$F$36,6,0)&amp;""</f>
        <v/>
      </c>
      <c r="H21" s="35"/>
    </row>
    <row r="22" spans="1:8" s="1" customFormat="1" ht="31" thickBot="1" x14ac:dyDescent="0.2">
      <c r="A22" s="19" t="s">
        <v>369</v>
      </c>
      <c r="B22" s="18" t="str">
        <f>VLOOKUP($A22,Questions!$A$2:$X$333,2,0)</f>
        <v>Does your solution have access to personal or institutional data?</v>
      </c>
      <c r="C22" s="69" t="str">
        <f>VLOOKUP($A22,'START HERE'!$A$23:$F$36,3,0)&amp;""</f>
        <v>Yes</v>
      </c>
      <c r="D22" s="275" t="str">
        <f>VLOOKUP($A22,'START HERE'!$A$23:$F$36,4,0)&amp;""</f>
        <v>Accredible processes personal data including recipient names, email addresses, and credential information on behalf of issuing institutions.</v>
      </c>
      <c r="E22" s="160" t="str">
        <f>IF($C22='Auto Responses'!$J$3,VLOOKUP($A22,Questions!$A$2:$X$333,17,0)&amp;"",IF($C22='Auto Responses'!$J$4,VLOOKUP($A22,Questions!$A$2:$X$333,16,0)&amp;"",VLOOKUP($A22,Questions!$A$2:$X$333,15,0)&amp;""))</f>
        <v>DO complete the Privacy tab</v>
      </c>
      <c r="F22" s="194" t="str">
        <f>VLOOKUP($A22,'START HERE'!$A$23:$F$36,6,0)&amp;""</f>
        <v/>
      </c>
      <c r="G22" s="228" t="s">
        <v>361</v>
      </c>
      <c r="H22" s="35"/>
    </row>
    <row r="23" spans="1:8" s="1" customFormat="1" ht="20" thickBot="1" x14ac:dyDescent="0.2">
      <c r="A23" s="61" t="str">
        <f>VLOOKUP(LEFT($A24,4),'Auto Responses'!$N$4:$O$38,2,0)&amp;""</f>
        <v xml:space="preserve"> General Privacy</v>
      </c>
      <c r="B23" s="22"/>
      <c r="C23" s="13" t="s">
        <v>351</v>
      </c>
      <c r="D23" s="13" t="s">
        <v>352</v>
      </c>
      <c r="E23" s="31" t="s">
        <v>353</v>
      </c>
      <c r="F23" s="192" t="s">
        <v>354</v>
      </c>
      <c r="H23" s="35"/>
    </row>
    <row r="24" spans="1:8" s="1" customFormat="1" ht="60" x14ac:dyDescent="0.15">
      <c r="A24" s="19" t="s">
        <v>283</v>
      </c>
      <c r="B24" s="18" t="str">
        <f>VLOOKUP($A24,Questions!$A$2:$X$333,2,0)</f>
        <v>Does your solution process FERPA-related data?</v>
      </c>
      <c r="C24" s="21" t="s">
        <v>355</v>
      </c>
      <c r="D24" s="284" t="s">
        <v>547</v>
      </c>
      <c r="E24" s="160" t="str">
        <f>IF($C24='Auto Responses'!$J$3,VLOOKUP($A24,Questions!$A$2:$X$333,17,0)&amp;"",IF($C24='Auto Responses'!$J$4,VLOOKUP($A24,Questions!$A$2:$X$333,16,0)&amp;"",VLOOKUP($A24,Questions!$A$2:$X$333,15,0)&amp;""))</f>
        <v>Provide documentation on the types of FERPA data you process and for what purpose, including data unrelated to service delivery such as marketing.</v>
      </c>
      <c r="F24" s="194" t="str">
        <f>VLOOKUP($A24,'Privacy Analyst Evaluation'!$A$46:$F$120,6,0)&amp;""</f>
        <v/>
      </c>
      <c r="H24" s="35"/>
    </row>
    <row r="25" spans="1:8" s="1" customFormat="1" ht="60" x14ac:dyDescent="0.15">
      <c r="A25" s="19" t="s">
        <v>284</v>
      </c>
      <c r="B25" s="18" t="str">
        <f>VLOOKUP($A25,Questions!$A$2:$X$333,2,0)</f>
        <v>Does your solution process GDPR-related or PIPL-related data?</v>
      </c>
      <c r="C25" s="21" t="s">
        <v>355</v>
      </c>
      <c r="D25" s="284" t="s">
        <v>548</v>
      </c>
      <c r="E25" s="160" t="str">
        <f>IF($C25='Auto Responses'!$J$3,VLOOKUP($A25,Questions!$A$2:$X$333,17,0)&amp;"",IF($C25='Auto Responses'!$J$4,VLOOKUP($A25,Questions!$A$2:$X$333,16,0)&amp;"",VLOOKUP($A25,Questions!$A$2:$X$333,15,0)&amp;""))</f>
        <v>Provide documentation of any processes or policies that address compliance with GDPR and/or PIPL as appropriate.</v>
      </c>
      <c r="F25" s="194" t="str">
        <f>VLOOKUP($A25,'Privacy Analyst Evaluation'!$A$46:$F$120,6,0)&amp;""</f>
        <v/>
      </c>
      <c r="H25" s="35"/>
    </row>
    <row r="26" spans="1:8" s="1" customFormat="1" ht="45" x14ac:dyDescent="0.15">
      <c r="A26" s="19" t="s">
        <v>285</v>
      </c>
      <c r="B26" s="18" t="str">
        <f>VLOOKUP($A26,Questions!$A$2:$X$333,2,0)</f>
        <v>Does your solution process personal data regulated by state law(s) (e.g., CCPA)?</v>
      </c>
      <c r="C26" s="21" t="s">
        <v>355</v>
      </c>
      <c r="D26" s="284" t="s">
        <v>549</v>
      </c>
      <c r="E26" s="160" t="str">
        <f>IF($C26='Auto Responses'!$J$3,VLOOKUP($A26,Questions!$A$2:$X$333,17,0)&amp;"",IF($C26='Auto Responses'!$J$4,VLOOKUP($A26,Questions!$A$2:$X$333,16,0)&amp;"",VLOOKUP($A26,Questions!$A$2:$X$333,15,0)&amp;""))</f>
        <v>Provide documentation of any processes or policies that address compliance with applicable state laws.</v>
      </c>
      <c r="F26" s="194" t="str">
        <f>VLOOKUP($A26,'Privacy Analyst Evaluation'!$A$46:$F$120,6,0)&amp;""</f>
        <v/>
      </c>
      <c r="H26" s="35"/>
    </row>
    <row r="27" spans="1:8" s="1" customFormat="1" ht="60" x14ac:dyDescent="0.15">
      <c r="A27" s="19" t="s">
        <v>286</v>
      </c>
      <c r="B27" s="18" t="str">
        <f>VLOOKUP($A27,Questions!$A$2:$X$333,2,0)</f>
        <v>Does your solution process user-provided data that may contain regulated information?</v>
      </c>
      <c r="C27" s="21" t="s">
        <v>355</v>
      </c>
      <c r="D27" s="284" t="s">
        <v>550</v>
      </c>
      <c r="E27" s="160" t="str">
        <f>IF($C27='Auto Responses'!$J$3,VLOOKUP($A27,Questions!$A$2:$X$333,17,0)&amp;"",IF($C27='Auto Responses'!$J$4,VLOOKUP($A27,Questions!$A$2:$X$333,16,0)&amp;"",VLOOKUP($A27,Questions!$A$2:$X$333,15,0)&amp;""))</f>
        <v>Identify any applicable regulations and provide documentation of any processes or policies that address compliance with each.</v>
      </c>
      <c r="F27" s="194" t="str">
        <f>VLOOKUP($A27,'Privacy Analyst Evaluation'!$A$46:$F$120,6,0)&amp;""</f>
        <v/>
      </c>
      <c r="H27" s="35"/>
    </row>
    <row r="28" spans="1:8" s="1" customFormat="1" ht="61" thickBot="1" x14ac:dyDescent="0.2">
      <c r="A28" s="19" t="s">
        <v>287</v>
      </c>
      <c r="B28" s="18" t="str">
        <f>VLOOKUP($A28,Questions!$A$2:$X$333,2,0)</f>
        <v>Web Link to Product/Service Privacy Notice</v>
      </c>
      <c r="C28" s="21" t="s">
        <v>355</v>
      </c>
      <c r="D28" s="282" t="s">
        <v>551</v>
      </c>
      <c r="E28" s="160" t="str">
        <f>IF($C28='Auto Responses'!$J$3,VLOOKUP($A28,Questions!$A$2:$X$333,17,0)&amp;"",IF($C28='Auto Responses'!$J$4,VLOOKUP($A28,Questions!$A$2:$X$333,16,0)&amp;"",VLOOKUP($A28,Questions!$A$2:$X$333,15,0)&amp;""))</f>
        <v>If multiple notices are implicated, provide all that apply. If any other documents are incorporated by reference, provide them as well.</v>
      </c>
      <c r="F28" s="194" t="str">
        <f>VLOOKUP($A28,'Privacy Analyst Evaluation'!$A$46:$F$120,6,0)&amp;""</f>
        <v/>
      </c>
      <c r="G28" s="228" t="s">
        <v>361</v>
      </c>
      <c r="H28" s="35"/>
    </row>
    <row r="29" spans="1:8" s="1" customFormat="1" ht="20" thickBot="1" x14ac:dyDescent="0.2">
      <c r="A29" s="61" t="str">
        <f>VLOOKUP(LEFT($A30,4),'Auto Responses'!$N$4:$O$38,2,0)&amp;""</f>
        <v xml:space="preserve"> Privacy-Specific Company Details</v>
      </c>
      <c r="B29" s="22"/>
      <c r="C29" s="13" t="s">
        <v>351</v>
      </c>
      <c r="D29" s="13" t="s">
        <v>352</v>
      </c>
      <c r="E29" s="31" t="s">
        <v>353</v>
      </c>
      <c r="F29" s="192" t="s">
        <v>354</v>
      </c>
      <c r="H29" s="35"/>
    </row>
    <row r="30" spans="1:8" s="1" customFormat="1" ht="45" x14ac:dyDescent="0.15">
      <c r="A30" s="19" t="s">
        <v>288</v>
      </c>
      <c r="B30" s="18" t="str">
        <f>VLOOKUP($A30,Questions!$A$2:$X$333,2,0)</f>
        <v>Have you had a personal data breach in the past three years that involved reporting to a governmental agency, notice to individuals (including voluntary notice), or notice to another organization or institution?*</v>
      </c>
      <c r="C30" s="21" t="s">
        <v>364</v>
      </c>
      <c r="D30" s="284" t="s">
        <v>552</v>
      </c>
      <c r="E30" s="160" t="str">
        <f>IF($C30='Auto Responses'!$J$3,VLOOKUP($A30,Questions!$A$2:$X$333,17,0)&amp;"",IF($C30='Auto Responses'!$J$4,VLOOKUP($A30,Questions!$A$2:$X$333,16,0)&amp;"",VLOOKUP($A30,Questions!$A$2:$X$333,15,0)&amp;""))</f>
        <v/>
      </c>
      <c r="F30" s="194" t="str">
        <f>VLOOKUP($A30,'Privacy Analyst Evaluation'!$A$46:$F$120,6,0)&amp;""</f>
        <v/>
      </c>
      <c r="H30" s="35"/>
    </row>
    <row r="31" spans="1:8" s="1" customFormat="1" ht="105" x14ac:dyDescent="0.15">
      <c r="A31" s="19" t="s">
        <v>289</v>
      </c>
      <c r="B31" s="18" t="str">
        <f>VLOOKUP($A31,Questions!$A$2:$X$333,2,0)</f>
        <v>Use this area to share information about your privacy practices that will assist those who are assessing your company data privacy program.*</v>
      </c>
      <c r="C31" s="21" t="s">
        <v>355</v>
      </c>
      <c r="D31" s="284" t="s">
        <v>553</v>
      </c>
      <c r="E31" s="160" t="str">
        <f>IF($C31='Auto Responses'!$J$3,VLOOKUP($A31,Questions!$A$2:$X$333,17,0)&amp;"",IF($C31='Auto Responses'!$J$4,VLOOKUP($A31,Questions!$A$2:$X$333,16,0)&amp;"",VLOOKUP($A31,Questions!$A$2:$X$333,15,0)&amp;""))</f>
        <v>Share any additional details that would help data privacy analysts assess your solution.</v>
      </c>
      <c r="F31" s="194" t="str">
        <f>VLOOKUP($A31,'Privacy Analyst Evaluation'!$A$46:$F$120,6,0)&amp;""</f>
        <v/>
      </c>
      <c r="H31" s="35"/>
    </row>
    <row r="32" spans="1:8" s="1" customFormat="1" ht="30" x14ac:dyDescent="0.15">
      <c r="A32" s="19" t="s">
        <v>290</v>
      </c>
      <c r="B32" s="18" t="str">
        <f>VLOOKUP($A32,Questions!$A$2:$X$333,2,0)</f>
        <v>Have you had any violations of your internal privacy policies or violations of applicable privacy law in the past 36 months?</v>
      </c>
      <c r="C32" s="21" t="s">
        <v>364</v>
      </c>
      <c r="D32" s="284" t="s">
        <v>554</v>
      </c>
      <c r="E32" s="160" t="str">
        <f>IF($C32='Auto Responses'!$J$3,VLOOKUP($A32,Questions!$A$2:$X$333,17,0)&amp;"",IF($C32='Auto Responses'!$J$4,VLOOKUP($A32,Questions!$A$2:$X$333,16,0)&amp;"",VLOOKUP($A32,Questions!$A$2:$X$333,15,0)&amp;""))</f>
        <v/>
      </c>
      <c r="F32" s="194" t="str">
        <f>VLOOKUP($A32,'Privacy Analyst Evaluation'!$A$46:$F$120,6,0)&amp;""</f>
        <v/>
      </c>
      <c r="H32" s="35"/>
    </row>
    <row r="33" spans="1:8" s="1" customFormat="1" ht="46" thickBot="1" x14ac:dyDescent="0.2">
      <c r="A33" s="19" t="s">
        <v>291</v>
      </c>
      <c r="B33" s="18" t="str">
        <f>VLOOKUP($A33,Questions!$A$2:$X$333,2,0)</f>
        <v>Do you have a dedicated data privacy staff or office?</v>
      </c>
      <c r="C33" s="21" t="s">
        <v>355</v>
      </c>
      <c r="D33" s="284" t="s">
        <v>555</v>
      </c>
      <c r="E33" s="160" t="str">
        <f>IF($C33='Auto Responses'!$J$3,VLOOKUP($A33,Questions!$A$2:$X$333,17,0)&amp;"",IF($C33='Auto Responses'!$J$4,VLOOKUP($A33,Questions!$A$2:$X$333,16,0)&amp;"",VLOOKUP($A33,Questions!$A$2:$X$333,15,0)&amp;""))</f>
        <v>Describe your data privacy office, including size, talents, resources, etc.</v>
      </c>
      <c r="F33" s="194" t="str">
        <f>VLOOKUP($A33,'Privacy Analyst Evaluation'!$A$46:$F$120,6,0)&amp;""</f>
        <v/>
      </c>
      <c r="G33" s="228" t="s">
        <v>361</v>
      </c>
      <c r="H33" s="35"/>
    </row>
    <row r="34" spans="1:8" s="1" customFormat="1" ht="20" thickBot="1" x14ac:dyDescent="0.2">
      <c r="A34" s="61" t="str">
        <f>VLOOKUP(LEFT($A35,4),'Auto Responses'!$N$4:$O$38,2,0)&amp;""</f>
        <v xml:space="preserve"> Privacy-Specific Documentation</v>
      </c>
      <c r="B34" s="22"/>
      <c r="C34" s="13" t="s">
        <v>351</v>
      </c>
      <c r="D34" s="13" t="s">
        <v>352</v>
      </c>
      <c r="E34" s="31" t="s">
        <v>353</v>
      </c>
      <c r="F34" s="192" t="s">
        <v>354</v>
      </c>
      <c r="H34" s="35"/>
    </row>
    <row r="35" spans="1:8" s="1" customFormat="1" ht="60" x14ac:dyDescent="0.15">
      <c r="A35" s="19" t="s">
        <v>292</v>
      </c>
      <c r="B35" s="18" t="str">
        <f>VLOOKUP($A35,Questions!$A$2:$X$333,2,0)</f>
        <v>If you have completed a SOC 2 audit, does it include the Privacy Trust Service Principle?</v>
      </c>
      <c r="C35" s="21" t="s">
        <v>355</v>
      </c>
      <c r="D35" s="284" t="s">
        <v>556</v>
      </c>
      <c r="E35" s="160" t="str">
        <f>IF($C35='Auto Responses'!$J$3,VLOOKUP($A35,Questions!$A$2:$X$333,17,0)&amp;"",IF($C35='Auto Responses'!$J$4,VLOOKUP($A35,Questions!$A$2:$X$333,16,0)&amp;"",IF($C35='Auto Responses'!$J$5,VLOOKUP($A35,Questions!$A$2:$X$333,18,0)&amp;"",VLOOKUP($A35,Questions!$A$2:$X$333,15,0)&amp;"")))</f>
        <v>Please indicate whether your organization will allow clients to review current SOC 2 Type II reports and, if so, how the reports will be made available in a timely manner.</v>
      </c>
      <c r="F35" s="194" t="str">
        <f>VLOOKUP($A35,'Privacy Analyst Evaluation'!$A$46:$F$120,6,0)&amp;""</f>
        <v/>
      </c>
      <c r="H35" s="35"/>
    </row>
    <row r="36" spans="1:8" s="1" customFormat="1" ht="75" x14ac:dyDescent="0.15">
      <c r="A36" s="19" t="s">
        <v>293</v>
      </c>
      <c r="B36" s="18" t="str">
        <f>VLOOKUP($A36,Questions!$A$2:$X$333,2,0)</f>
        <v>Do you conform with a specific industry-standard privacy framework (e.g., NIST Privacy Framework, GDPR, ISO 27701)?</v>
      </c>
      <c r="C36" s="21" t="s">
        <v>355</v>
      </c>
      <c r="D36" s="284" t="s">
        <v>557</v>
      </c>
      <c r="E36" s="160" t="str">
        <f>IF($C36='Auto Responses'!$J$3,VLOOKUP($A36,Questions!$A$2:$X$333,17,0)&amp;"",IF($C36='Auto Responses'!$J$4,VLOOKUP($A36,Questions!$A$2:$X$333,16,0)&amp;"",VLOOKUP($A36,Questions!$A$2:$X$333,15,0)&amp;""))</f>
        <v>Indicate which framework(s) are followed; provide documentation on how your organization conforms to your chosen framework(s) and indicate current certification levels, where appropriate.</v>
      </c>
      <c r="F36" s="194" t="str">
        <f>VLOOKUP($A36,'Privacy Analyst Evaluation'!$A$46:$F$120,6,0)&amp;""</f>
        <v/>
      </c>
      <c r="H36" s="35"/>
    </row>
    <row r="37" spans="1:8" s="1" customFormat="1" ht="61" thickBot="1" x14ac:dyDescent="0.2">
      <c r="A37" s="19" t="s">
        <v>294</v>
      </c>
      <c r="B37" s="18" t="str">
        <f>VLOOKUP($A37,Questions!$A$2:$X$333,2,0)</f>
        <v>Does your employee onboarding and offboarding policy include training of employees on information security and data privacy?</v>
      </c>
      <c r="C37" s="21" t="s">
        <v>355</v>
      </c>
      <c r="D37" s="284" t="s">
        <v>558</v>
      </c>
      <c r="E37" s="160" t="str">
        <f>IF($C37='Auto Responses'!$J$3,VLOOKUP($A37,Questions!$A$2:$X$333,17,0)&amp;"",IF($C37='Auto Responses'!$J$4,VLOOKUP($A37,Questions!$A$2:$X$333,16,0)&amp;"",VLOOKUP($A37,Questions!$A$2:$X$333,15,0)&amp;""))</f>
        <v>Provide an overview of your organization's relevant onboarding/offboarding policy and employee training on information security and privacy.</v>
      </c>
      <c r="F37" s="194" t="str">
        <f>VLOOKUP($A37,'Privacy Analyst Evaluation'!$A$46:$F$120,6,0)&amp;""</f>
        <v/>
      </c>
      <c r="G37" s="228" t="s">
        <v>361</v>
      </c>
      <c r="H37" s="35"/>
    </row>
    <row r="38" spans="1:8" s="1" customFormat="1" ht="20" thickBot="1" x14ac:dyDescent="0.2">
      <c r="A38" s="61" t="str">
        <f>VLOOKUP(LEFT($A39,4),'Auto Responses'!$N$4:$O$38,2,0)&amp;""</f>
        <v xml:space="preserve"> Privacy of Third Parties</v>
      </c>
      <c r="B38" s="22"/>
      <c r="C38" s="13" t="s">
        <v>351</v>
      </c>
      <c r="D38" s="13" t="s">
        <v>352</v>
      </c>
      <c r="E38" s="31" t="s">
        <v>353</v>
      </c>
      <c r="F38" s="192" t="s">
        <v>354</v>
      </c>
      <c r="H38" s="35"/>
    </row>
    <row r="39" spans="1:8" s="1" customFormat="1" ht="75" x14ac:dyDescent="0.15">
      <c r="A39" s="19" t="s">
        <v>295</v>
      </c>
      <c r="B39" s="18" t="str">
        <f>VLOOKUP($A39,Questions!$A$2:$X$333,2,0)</f>
        <v>Do you have contractual agreements with third parties that require them to maintain standards and to comply with all regulatory requirements?*</v>
      </c>
      <c r="C39" s="21" t="s">
        <v>355</v>
      </c>
      <c r="D39" s="284" t="s">
        <v>559</v>
      </c>
      <c r="E39" s="160" t="str">
        <f>IF($C39='Auto Responses'!$J$3,VLOOKUP($A39,Questions!$A$2:$X$333,17,0)&amp;"",IF($C39='Auto Responses'!$J$4,VLOOKUP($A39,Questions!$A$2:$X$333,16,0)&amp;"",IF($C39='Auto Responses'!$J$5,VLOOKUP($A39,Questions!$A$2:$X$333,18,0)&amp;"",VLOOKUP($A39,Questions!$A$2:$X$333,15,0)&amp;"")))</f>
        <v>Provide a summary of the contractual language used and your processes for ensuring appropriate language is regularly reviewed and is included in both new and renewed agreements.</v>
      </c>
      <c r="F39" s="194" t="str">
        <f>VLOOKUP($A39,'Privacy Analyst Evaluation'!$A$46:$F$120,6,0)&amp;""</f>
        <v/>
      </c>
      <c r="H39" s="35"/>
    </row>
    <row r="40" spans="1:8" s="1" customFormat="1" ht="61" thickBot="1" x14ac:dyDescent="0.2">
      <c r="A40" s="19" t="s">
        <v>296</v>
      </c>
      <c r="B40" s="18" t="str">
        <f>VLOOKUP($A40,Questions!$A$2:$X$333,2,0)</f>
        <v>Do you perform privacy impact assessments of third parties that collect, process, or have access to personal data to ensure they meet industry and regulatory standards and to mitigate harmful, unethical, or discriminatory impacts on data subjects?</v>
      </c>
      <c r="C40" s="21" t="s">
        <v>355</v>
      </c>
      <c r="D40" s="284" t="s">
        <v>560</v>
      </c>
      <c r="E40" s="160" t="str">
        <f>IF($C40='Auto Responses'!$J$3,VLOOKUP($A40,Questions!$A$2:$X$333,17,0)&amp;"",IF($C40='Auto Responses'!$J$4,VLOOKUP($A40,Questions!$A$2:$X$333,16,0)&amp;"",IF($C40='Auto Responses'!$J$5,VLOOKUP($A40,Questions!$A$2:$X$333,18,0)&amp;"",VLOOKUP($A40,Questions!$A$2:$X$333,15,0)&amp;"")))</f>
        <v>Provide a summary of your practices that assures that the third party will be subject to the appropriate standards regarding data privacy.</v>
      </c>
      <c r="F40" s="194" t="str">
        <f>VLOOKUP($A40,'Privacy Analyst Evaluation'!$A$46:$F$120,6,0)&amp;""</f>
        <v/>
      </c>
      <c r="G40" s="228" t="s">
        <v>361</v>
      </c>
      <c r="H40" s="35"/>
    </row>
    <row r="41" spans="1:8" s="1" customFormat="1" ht="20" thickBot="1" x14ac:dyDescent="0.2">
      <c r="A41" s="61" t="str">
        <f>VLOOKUP(LEFT($A42,4),'Auto Responses'!$N$4:$O$38,2,0)&amp;""</f>
        <v xml:space="preserve"> Privacy Change Management</v>
      </c>
      <c r="B41" s="22"/>
      <c r="C41" s="13" t="s">
        <v>351</v>
      </c>
      <c r="D41" s="13" t="s">
        <v>352</v>
      </c>
      <c r="E41" s="31" t="s">
        <v>353</v>
      </c>
      <c r="F41" s="192" t="s">
        <v>354</v>
      </c>
      <c r="H41" s="35"/>
    </row>
    <row r="42" spans="1:8" s="1" customFormat="1" ht="30" x14ac:dyDescent="0.15">
      <c r="A42" s="19" t="s">
        <v>297</v>
      </c>
      <c r="B42" s="18" t="str">
        <f>VLOOKUP($A42,Questions!$A$2:$X$333,2,0)</f>
        <v>Does your change management process include privacy review and approval?</v>
      </c>
      <c r="C42" s="21" t="s">
        <v>355</v>
      </c>
      <c r="D42" s="284" t="s">
        <v>561</v>
      </c>
      <c r="E42" s="160" t="str">
        <f>IF($C42='Auto Responses'!$J$3,VLOOKUP($A42,Questions!$A$2:$X$333,17,0)&amp;"",IF($C42='Auto Responses'!$J$4,VLOOKUP($A42,Questions!$A$2:$X$333,16,0)&amp;"",VLOOKUP($A42,Questions!$A$2:$X$333,15,0)&amp;""))</f>
        <v>Please describe your process for privacy review.</v>
      </c>
      <c r="F42" s="194" t="str">
        <f>VLOOKUP($A42,'Privacy Analyst Evaluation'!$A$46:$F$120,6,0)&amp;""</f>
        <v/>
      </c>
      <c r="H42" s="35"/>
    </row>
    <row r="43" spans="1:8" s="1" customFormat="1" ht="31" thickBot="1" x14ac:dyDescent="0.2">
      <c r="A43" s="19" t="s">
        <v>298</v>
      </c>
      <c r="B43" s="18" t="str">
        <f>VLOOKUP($A43,Questions!$A$2:$X$333,2,0)</f>
        <v>Do you have policy and procedure, currently implemented, guiding how privacy risks are mitigated until they can be resolved?</v>
      </c>
      <c r="C43" s="21" t="s">
        <v>355</v>
      </c>
      <c r="D43" s="284" t="s">
        <v>562</v>
      </c>
      <c r="E43" s="160" t="str">
        <f>IF($C43='Auto Responses'!$J$3,VLOOKUP($A43,Questions!$A$2:$X$333,17,0)&amp;"",IF($C43='Auto Responses'!$J$4,VLOOKUP($A43,Questions!$A$2:$X$333,16,0)&amp;"",VLOOKUP($A43,Questions!$A$2:$X$333,15,0)&amp;""))</f>
        <v>Please provide an overview of privacy risk mitigation.</v>
      </c>
      <c r="F43" s="194" t="str">
        <f>VLOOKUP($A43,'Privacy Analyst Evaluation'!$A$46:$F$120,6,0)&amp;""</f>
        <v/>
      </c>
      <c r="G43" s="228" t="s">
        <v>361</v>
      </c>
      <c r="H43" s="35"/>
    </row>
    <row r="44" spans="1:8" s="1" customFormat="1" ht="20" thickBot="1" x14ac:dyDescent="0.2">
      <c r="A44" s="61" t="str">
        <f>VLOOKUP(LEFT($A45,4),'Auto Responses'!$N$4:$O$38,2,0)&amp;""</f>
        <v xml:space="preserve"> Privacy of Sensitive Data</v>
      </c>
      <c r="B44" s="22"/>
      <c r="C44" s="13" t="s">
        <v>351</v>
      </c>
      <c r="D44" s="13" t="s">
        <v>352</v>
      </c>
      <c r="E44" s="31" t="s">
        <v>353</v>
      </c>
      <c r="F44" s="192" t="s">
        <v>354</v>
      </c>
      <c r="H44" s="35"/>
    </row>
    <row r="45" spans="1:8" s="1" customFormat="1" ht="45" x14ac:dyDescent="0.15">
      <c r="A45" s="19" t="s">
        <v>299</v>
      </c>
      <c r="B45" s="18" t="str">
        <f>VLOOKUP($A45,Questions!$A$2:$X$333,2,0)</f>
        <v>Do you collect, process, or store demographic information?*</v>
      </c>
      <c r="C45" s="21" t="s">
        <v>355</v>
      </c>
      <c r="D45" s="284" t="s">
        <v>563</v>
      </c>
      <c r="E45" s="160" t="str">
        <f>IF($C45='Auto Responses'!$J$3,VLOOKUP($A45,Questions!$A$2:$X$333,17,0)&amp;"",IF($C45='Auto Responses'!$J$4,VLOOKUP($A45,Questions!$A$2:$X$333,16,0)&amp;"",VLOOKUP($A45,Questions!$A$2:$X$333,15,0)&amp;""))</f>
        <v>Describe which demographic information you handle and the source of the requirements, if applicable.</v>
      </c>
      <c r="F45" s="194" t="str">
        <f>VLOOKUP($A45,'Privacy Analyst Evaluation'!$A$46:$F$120,6,0)&amp;""</f>
        <v/>
      </c>
      <c r="H45" s="35"/>
    </row>
    <row r="46" spans="1:8" s="1" customFormat="1" ht="225" x14ac:dyDescent="0.15">
      <c r="A46" s="19" t="s">
        <v>300</v>
      </c>
      <c r="B46" s="18" t="str">
        <f>VLOOKUP($A46,Questions!$A$2:$X$333,2,0)</f>
        <v>Do you capture or create genetic, biometric, or behaviometric information (e.g., facial recognition or fingerprints)?*</v>
      </c>
      <c r="C46" s="21" t="s">
        <v>364</v>
      </c>
      <c r="D46" s="284" t="s">
        <v>564</v>
      </c>
      <c r="E46" s="160" t="str">
        <f>IF($C46='Auto Responses'!$J$3,VLOOKUP($A46,Questions!$A$2:$X$333,17,0)&amp;"",IF($C46='Auto Responses'!$J$4,VLOOKUP($A46,Questions!$A$2:$X$333,16,0)&amp;"",VLOOKUP($A46,Questions!$A$2:$X$333,15,0)&amp;""))</f>
        <v xml:space="preserve">Genetic information would include information about genetic tests, genetic tests of family members, actual manifestations of diseases, and family medical records. Biometric information includes elements such as facial recognition, fingerprints, and voice recognition.
Behaviometric information is behavioral information collected and analyzed in order to understand human behavior. The exact elements collected may depend on the requirements of an applicable regulation or law.
</v>
      </c>
      <c r="F46" s="194" t="str">
        <f>VLOOKUP($A46,'Privacy Analyst Evaluation'!$A$46:$F$120,6,0)&amp;""</f>
        <v/>
      </c>
      <c r="H46" s="35"/>
    </row>
    <row r="47" spans="1:8" s="1" customFormat="1" ht="150" x14ac:dyDescent="0.15">
      <c r="A47" s="19" t="s">
        <v>301</v>
      </c>
      <c r="B47" s="18" t="str">
        <f>VLOOKUP($A47,Questions!$A$2:$X$333,2,0)</f>
        <v>Do you combine institutional data (including "de-identified," "anonymized," or otherwise masked data) with personal data from any other sources?*</v>
      </c>
      <c r="C47" s="21" t="s">
        <v>364</v>
      </c>
      <c r="D47" s="284" t="s">
        <v>565</v>
      </c>
      <c r="E47" s="160" t="str">
        <f>IF($C47='Auto Responses'!$J$3,VLOOKUP($A47,Questions!$A$2:$X$333,17,0)&amp;"",IF($C47='Auto Responses'!$J$4,VLOOKUP($A47,Questions!$A$2:$X$333,16,0)&amp;"",VLOOKUP($A47,Questions!$A$2:$X$333,15,0)&amp;""))</f>
        <v>Institutional data is created, collected, maintained, transmitted, or stored by or for a college or university to conduct operations. Many institutions have their own specific definitions. Institutional data would include data such as financial information, student education records, faculty/staff/alumni data, research data, and data collected for government reporting purposes.</v>
      </c>
      <c r="F47" s="194" t="str">
        <f>VLOOKUP($A47,'Privacy Analyst Evaluation'!$A$46:$F$120,6,0)&amp;""</f>
        <v/>
      </c>
      <c r="H47" s="35"/>
    </row>
    <row r="48" spans="1:8" s="1" customFormat="1" ht="60" x14ac:dyDescent="0.15">
      <c r="A48" s="19" t="s">
        <v>302</v>
      </c>
      <c r="B48" s="18" t="str">
        <f>VLOOKUP($A48,Questions!$A$2:$X$333,2,0)</f>
        <v>Is institutional data coming into or going out of the United States at any point during collection, processing, storage, or archiving?</v>
      </c>
      <c r="C48" s="21" t="s">
        <v>355</v>
      </c>
      <c r="D48" s="284" t="s">
        <v>566</v>
      </c>
      <c r="E48" s="160" t="str">
        <f>IF($C48='Auto Responses'!$J$3,VLOOKUP($A48,Questions!$A$2:$X$333,17,0)&amp;"",IF($C48='Auto Responses'!$J$4,VLOOKUP($A48,Questions!$A$2:$X$333,16,0)&amp;"",VLOOKUP($A48,Questions!$A$2:$X$333,15,0)&amp;""))</f>
        <v>Describe where and whether you comply with the laws of that jurisdiction.</v>
      </c>
      <c r="F48" s="194" t="str">
        <f>VLOOKUP($A48,'Privacy Analyst Evaluation'!$A$46:$F$120,6,0)&amp;""</f>
        <v/>
      </c>
      <c r="H48" s="35"/>
    </row>
    <row r="49" spans="1:8" s="1" customFormat="1" ht="30" x14ac:dyDescent="0.15">
      <c r="A49" s="19" t="s">
        <v>303</v>
      </c>
      <c r="B49" s="18" t="str">
        <f>VLOOKUP($A49,Questions!$A$2:$X$333,2,0)</f>
        <v>Do you capture device information (e.g., IP address, MAC address)?</v>
      </c>
      <c r="C49" s="21" t="s">
        <v>355</v>
      </c>
      <c r="D49" s="284" t="s">
        <v>567</v>
      </c>
      <c r="E49" s="160" t="str">
        <f>IF($C49='Auto Responses'!$J$3,VLOOKUP($A49,Questions!$A$2:$X$333,17,0)&amp;"",IF($C49='Auto Responses'!$J$4,VLOOKUP($A49,Questions!$A$2:$X$333,16,0)&amp;"",VLOOKUP($A49,Questions!$A$2:$X$333,15,0)&amp;""))</f>
        <v>Describe what information you collect and the reason for collecting it.</v>
      </c>
      <c r="F49" s="194" t="str">
        <f>VLOOKUP($A49,'Privacy Analyst Evaluation'!$A$46:$F$120,6,0)&amp;""</f>
        <v/>
      </c>
      <c r="H49" s="35"/>
    </row>
    <row r="50" spans="1:8" s="1" customFormat="1" ht="30" x14ac:dyDescent="0.15">
      <c r="A50" s="19" t="s">
        <v>304</v>
      </c>
      <c r="B50" s="18" t="str">
        <f>VLOOKUP($A50,Questions!$A$2:$X$333,2,0)</f>
        <v>Does any part of this service/project involve a web/app tracking component (e.g., use of web-tracking pixels, cookies)?</v>
      </c>
      <c r="C50" s="21" t="s">
        <v>355</v>
      </c>
      <c r="D50" s="284" t="s">
        <v>568</v>
      </c>
      <c r="E50" s="160" t="str">
        <f>IF($C50='Auto Responses'!$J$3,VLOOKUP($A50,Questions!$A$2:$X$333,17,0)&amp;"",IF($C50='Auto Responses'!$J$4,VLOOKUP($A50,Questions!$A$2:$X$333,16,0)&amp;"",VLOOKUP($A50,Questions!$A$2:$X$333,15,0)&amp;""))</f>
        <v>Describe the tracking component and what is done with the information.</v>
      </c>
      <c r="F50" s="194" t="str">
        <f>VLOOKUP($A50,'Privacy Analyst Evaluation'!$A$46:$F$120,6,0)&amp;""</f>
        <v/>
      </c>
      <c r="H50" s="35"/>
    </row>
    <row r="51" spans="1:8" s="1" customFormat="1" ht="30" x14ac:dyDescent="0.15">
      <c r="A51" s="19" t="s">
        <v>305</v>
      </c>
      <c r="B51" s="18" t="str">
        <f>VLOOKUP($A51,Questions!$A$2:$X$333,2,0)</f>
        <v>Does your staff (or a third party) have access to institutional data (e.g., financial, PHI, or other sensitive information) through any means?</v>
      </c>
      <c r="C51" s="21" t="s">
        <v>2170</v>
      </c>
      <c r="D51" s="284" t="s">
        <v>569</v>
      </c>
      <c r="E51" s="160" t="str">
        <f>IF($C51='Auto Responses'!$J$3,VLOOKUP($A51,Questions!$A$2:$X$333,17,0)&amp;"",IF($C51='Auto Responses'!$J$4,VLOOKUP($A51,Questions!$A$2:$X$333,16,0)&amp;"",VLOOKUP($A51,Questions!$A$2:$X$333,15,0)&amp;""))</f>
        <v>Accessing institutional data may be necessary for legitimate business purposes.</v>
      </c>
      <c r="F51" s="194" t="str">
        <f>VLOOKUP($A51,'Privacy Analyst Evaluation'!$A$46:$F$120,6,0)&amp;""</f>
        <v/>
      </c>
      <c r="H51" s="35"/>
    </row>
    <row r="52" spans="1:8" s="1" customFormat="1" ht="46" thickBot="1" x14ac:dyDescent="0.2">
      <c r="A52" s="19" t="s">
        <v>306</v>
      </c>
      <c r="B52" s="18" t="str">
        <f>VLOOKUP($A52,Questions!$A$2:$X$333,2,0)</f>
        <v>Will you handle personal data in a manner compliant with all relevant laws, regulations, and applicable institution policies?</v>
      </c>
      <c r="C52" s="21" t="s">
        <v>355</v>
      </c>
      <c r="D52" s="284" t="s">
        <v>570</v>
      </c>
      <c r="E52" s="160" t="str">
        <f>IF($C52='Auto Responses'!$J$3,VLOOKUP($A52,Questions!$A$2:$X$333,17,0)&amp;"",IF($C52='Auto Responses'!$J$4,VLOOKUP($A52,Questions!$A$2:$X$333,16,0)&amp;"",VLOOKUP($A52,Questions!$A$2:$X$333,15,0)&amp;""))</f>
        <v/>
      </c>
      <c r="F52" s="194" t="str">
        <f>VLOOKUP($A52,'Privacy Analyst Evaluation'!$A$46:$F$120,6,0)&amp;""</f>
        <v/>
      </c>
      <c r="G52" s="228" t="s">
        <v>361</v>
      </c>
      <c r="H52" s="35"/>
    </row>
    <row r="53" spans="1:8" s="1" customFormat="1" ht="20" thickBot="1" x14ac:dyDescent="0.2">
      <c r="A53" s="61" t="str">
        <f>VLOOKUP(LEFT($A54,4),'Auto Responses'!$N$4:$O$38,2,0)&amp;""</f>
        <v xml:space="preserve"> Privacy Policies and Procedures</v>
      </c>
      <c r="B53" s="22"/>
      <c r="C53" s="13" t="s">
        <v>351</v>
      </c>
      <c r="D53" s="13" t="s">
        <v>352</v>
      </c>
      <c r="E53" s="31" t="s">
        <v>353</v>
      </c>
      <c r="F53" s="192" t="s">
        <v>354</v>
      </c>
      <c r="H53" s="35"/>
    </row>
    <row r="54" spans="1:8" s="1" customFormat="1" ht="30" x14ac:dyDescent="0.15">
      <c r="A54" s="19" t="s">
        <v>307</v>
      </c>
      <c r="B54" s="18" t="str">
        <f>VLOOKUP($A54,Questions!$A$2:$X$333,2,0)</f>
        <v>Do you have a documented privacy management process?</v>
      </c>
      <c r="C54" s="21" t="s">
        <v>355</v>
      </c>
      <c r="D54" s="284" t="s">
        <v>571</v>
      </c>
      <c r="E54" s="160" t="str">
        <f>IF($C54='Auto Responses'!$J$3,VLOOKUP($A54,Questions!$A$2:$X$333,17,0)&amp;"",IF($C54='Auto Responses'!$J$4,VLOOKUP($A54,Questions!$A$2:$X$333,16,0)&amp;"",VLOOKUP($A54,Questions!$A$2:$X$333,15,0)&amp;""))</f>
        <v>Describe privacy management process or provide links or attach documentation.</v>
      </c>
      <c r="F54" s="194" t="str">
        <f>VLOOKUP($A54,'Privacy Analyst Evaluation'!$A$46:$F$120,6,0)&amp;""</f>
        <v/>
      </c>
      <c r="H54" s="35"/>
    </row>
    <row r="55" spans="1:8" s="1" customFormat="1" ht="30" x14ac:dyDescent="0.15">
      <c r="A55" s="19" t="s">
        <v>308</v>
      </c>
      <c r="B55" s="18" t="str">
        <f>VLOOKUP($A55,Questions!$A$2:$X$333,2,0)</f>
        <v>Are privacy principles designed into the product lifecycle (i.e., privacy-by-design)?</v>
      </c>
      <c r="C55" s="21" t="s">
        <v>355</v>
      </c>
      <c r="D55" s="284" t="s">
        <v>572</v>
      </c>
      <c r="E55" s="160" t="str">
        <f>IF($C55='Auto Responses'!$J$3,VLOOKUP($A55,Questions!$A$2:$X$333,17,0)&amp;"",IF($C55='Auto Responses'!$J$4,VLOOKUP($A55,Questions!$A$2:$X$333,16,0)&amp;"",VLOOKUP($A55,Questions!$A$2:$X$333,15,0)&amp;""))</f>
        <v>Summarize the privacy principles designed into the product lifecycle.</v>
      </c>
      <c r="F55" s="194" t="str">
        <f>VLOOKUP($A55,'Privacy Analyst Evaluation'!$A$46:$F$120,6,0)&amp;""</f>
        <v/>
      </c>
      <c r="H55" s="35"/>
    </row>
    <row r="56" spans="1:8" s="1" customFormat="1" ht="75" x14ac:dyDescent="0.15">
      <c r="A56" s="19" t="s">
        <v>309</v>
      </c>
      <c r="B56" s="18" t="str">
        <f>VLOOKUP($A56,Questions!$A$2:$X$333,2,0)</f>
        <v>Will you comply with applicable breach notification laws?</v>
      </c>
      <c r="C56" s="21" t="s">
        <v>355</v>
      </c>
      <c r="D56" s="284" t="s">
        <v>573</v>
      </c>
      <c r="E56" s="160" t="str">
        <f>IF($C56='Auto Responses'!$J$3,VLOOKUP($A56,Questions!$A$2:$X$333,17,0)&amp;"",IF($C56='Auto Responses'!$J$4,VLOOKUP($A56,Questions!$A$2:$X$333,16,0)&amp;"",VLOOKUP($A56,Questions!$A$2:$X$333,15,0)&amp;""))</f>
        <v>State how quickly the institution will be notified once a breach is identified, in addition to notifying the necessary governmental agencies based on the extent of the breach.</v>
      </c>
      <c r="F56" s="194" t="str">
        <f>VLOOKUP($A56,'Privacy Analyst Evaluation'!$A$46:$F$120,6,0)&amp;""</f>
        <v/>
      </c>
      <c r="H56" s="35"/>
    </row>
    <row r="57" spans="1:8" s="1" customFormat="1" ht="30" x14ac:dyDescent="0.15">
      <c r="A57" s="19" t="s">
        <v>310</v>
      </c>
      <c r="B57" s="18" t="str">
        <f>VLOOKUP($A57,Questions!$A$2:$X$333,2,0)</f>
        <v>Will you comply with the institution's policies regarding user privacy and data protection?</v>
      </c>
      <c r="C57" s="21" t="s">
        <v>355</v>
      </c>
      <c r="D57" s="284" t="s">
        <v>574</v>
      </c>
      <c r="E57" s="160" t="str">
        <f>IF($C57='Auto Responses'!$J$3,VLOOKUP($A57,Questions!$A$2:$X$333,17,0)&amp;"",IF($C57='Auto Responses'!$J$4,VLOOKUP($A57,Questions!$A$2:$X$333,16,0)&amp;"",VLOOKUP($A57,Questions!$A$2:$X$333,15,0)&amp;""))</f>
        <v/>
      </c>
      <c r="F57" s="194" t="str">
        <f>VLOOKUP($A57,'Privacy Analyst Evaluation'!$A$46:$F$120,6,0)&amp;""</f>
        <v/>
      </c>
      <c r="H57" s="35"/>
    </row>
    <row r="58" spans="1:8" s="1" customFormat="1" ht="45" x14ac:dyDescent="0.15">
      <c r="A58" s="19" t="s">
        <v>311</v>
      </c>
      <c r="B58" s="18" t="str">
        <f>VLOOKUP($A58,Questions!$A$2:$X$333,2,0)</f>
        <v>Is your company subject to the laws and regulations of the institution's geographic region?</v>
      </c>
      <c r="C58" s="21" t="s">
        <v>355</v>
      </c>
      <c r="D58" s="284" t="s">
        <v>575</v>
      </c>
      <c r="E58" s="160" t="str">
        <f>IF($C58='Auto Responses'!$J$3,VLOOKUP($A58,Questions!$A$2:$X$333,17,0)&amp;"",IF($C58='Auto Responses'!$J$4,VLOOKUP($A58,Questions!$A$2:$X$333,16,0)&amp;"",VLOOKUP($A58,Questions!$A$2:$X$333,15,0)&amp;""))</f>
        <v/>
      </c>
      <c r="F58" s="194" t="str">
        <f>VLOOKUP($A58,'Privacy Analyst Evaluation'!$A$46:$F$120,6,0)&amp;""</f>
        <v/>
      </c>
      <c r="H58" s="35"/>
    </row>
    <row r="59" spans="1:8" s="1" customFormat="1" ht="30" x14ac:dyDescent="0.15">
      <c r="A59" s="19" t="s">
        <v>312</v>
      </c>
      <c r="B59" s="18" t="str">
        <f>VLOOKUP($A59,Questions!$A$2:$X$333,2,0)</f>
        <v>Do you have a privacy awareness/training program?*</v>
      </c>
      <c r="C59" s="21" t="s">
        <v>355</v>
      </c>
      <c r="D59" s="284" t="s">
        <v>576</v>
      </c>
      <c r="E59" s="160" t="str">
        <f>IF($C59='Auto Responses'!$J$3,VLOOKUP($A59,Questions!$A$2:$X$333,17,0)&amp;"",IF($C59='Auto Responses'!$J$4,VLOOKUP($A59,Questions!$A$2:$X$333,16,0)&amp;"",VLOOKUP($A59,Questions!$A$2:$X$333,15,0)&amp;""))</f>
        <v>Briefly describe what is included in the training.</v>
      </c>
      <c r="F59" s="194" t="str">
        <f>VLOOKUP($A59,'Privacy Analyst Evaluation'!$A$46:$F$120,6,0)&amp;""</f>
        <v/>
      </c>
      <c r="H59" s="35"/>
    </row>
    <row r="60" spans="1:8" s="1" customFormat="1" ht="30" x14ac:dyDescent="0.15">
      <c r="A60" s="19" t="s">
        <v>313</v>
      </c>
      <c r="B60" s="18" t="str">
        <f>VLOOKUP($A60,Questions!$A$2:$X$333,2,0)</f>
        <v>Is privacy awareness training mandatory for all employees?</v>
      </c>
      <c r="C60" s="21" t="s">
        <v>355</v>
      </c>
      <c r="D60" s="284" t="s">
        <v>577</v>
      </c>
      <c r="E60" s="160" t="str">
        <f>IF($C60='Auto Responses'!$J$3,VLOOKUP($A60,Questions!$A$2:$X$333,17,0)&amp;"",IF($C60='Auto Responses'!$J$4,VLOOKUP($A60,Questions!$A$2:$X$333,16,0)&amp;"",VLOOKUP($A60,Questions!$A$2:$X$333,15,0)&amp;""))</f>
        <v>Your response should include who must complete the training.</v>
      </c>
      <c r="F60" s="194" t="str">
        <f>VLOOKUP($A60,'Privacy Analyst Evaluation'!$A$46:$F$120,6,0)&amp;""</f>
        <v/>
      </c>
      <c r="H60" s="35"/>
    </row>
    <row r="61" spans="1:8" s="1" customFormat="1" ht="30" x14ac:dyDescent="0.15">
      <c r="A61" s="19" t="s">
        <v>314</v>
      </c>
      <c r="B61" s="18" t="str">
        <f>VLOOKUP($A61,Questions!$A$2:$X$333,2,0)</f>
        <v>Is AI privacy and ethics awareness/training required for all employees who work with AI?</v>
      </c>
      <c r="C61" s="21" t="s">
        <v>355</v>
      </c>
      <c r="D61" s="284" t="s">
        <v>2174</v>
      </c>
      <c r="E61" s="160" t="str">
        <f>IF($C61='Auto Responses'!$J$3,VLOOKUP($A61,Questions!$A$2:$X$333,17,0)&amp;"",IF($C61='Auto Responses'!$J$4,VLOOKUP($A61,Questions!$A$2:$X$333,16,0)&amp;"",IF($C61='Auto Responses'!$J$5,VLOOKUP($A61,Questions!$A$2:$X$333,18,0)&amp;"",VLOOKUP($A61,Questions!$A$2:$X$333,15,0)&amp;"")))</f>
        <v>Briefly describe what is included in the training.</v>
      </c>
      <c r="F61" s="194" t="str">
        <f>VLOOKUP($A61,'Privacy Analyst Evaluation'!$A$46:$F$120,6,0)&amp;""</f>
        <v/>
      </c>
      <c r="H61" s="35"/>
    </row>
    <row r="62" spans="1:8" s="1" customFormat="1" ht="105" x14ac:dyDescent="0.15">
      <c r="A62" s="19" t="s">
        <v>315</v>
      </c>
      <c r="B62" s="18" t="str">
        <f>VLOOKUP($A62,Questions!$A$2:$X$333,2,0)</f>
        <v>Do you have any decision-making processes that are completely automated (i.e., there is no human involvement)?</v>
      </c>
      <c r="C62" s="21" t="s">
        <v>364</v>
      </c>
      <c r="D62" s="284" t="s">
        <v>578</v>
      </c>
      <c r="E62" s="160" t="str">
        <f>IF($C62='Auto Responses'!$J$3,VLOOKUP($A62,Questions!$A$2:$X$333,17,0)&amp;"",IF($C62='Auto Responses'!$J$4,VLOOKUP($A62,Questions!$A$2:$X$333,16,0)&amp;"",VLOOKUP($A62,Questions!$A$2:$X$333,15,0)&amp;""))</f>
        <v>Examples of such automated decisions could include automatically denying or approving user access requests, flagging or blocking transactions based on risk scores, or AI-driven decisions that affect user outcomes (e.g., eligibility, grading, pricing).</v>
      </c>
      <c r="F62" s="194" t="str">
        <f>VLOOKUP($A62,'Privacy Analyst Evaluation'!$A$46:$F$120,6,0)&amp;""</f>
        <v/>
      </c>
      <c r="H62" s="35"/>
    </row>
    <row r="63" spans="1:8" s="1" customFormat="1" ht="45" x14ac:dyDescent="0.15">
      <c r="A63" s="19" t="s">
        <v>316</v>
      </c>
      <c r="B63" s="18" t="str">
        <f>VLOOKUP($A63,Questions!$A$2:$X$333,2,0)</f>
        <v>Do you have a documented process for managing automated processing, including validations, monitoring, and data subject requests?</v>
      </c>
      <c r="C63" s="21" t="s">
        <v>355</v>
      </c>
      <c r="D63" s="284" t="s">
        <v>579</v>
      </c>
      <c r="E63" s="160" t="str">
        <f>IF($C63='Auto Responses'!$J$3,VLOOKUP($A63,Questions!$A$2:$X$333,17,0)&amp;"",IF($C63='Auto Responses'!$J$4,VLOOKUP($A63,Questions!$A$2:$X$333,16,0)&amp;"",IF($C63='Auto Responses'!$J$5,VLOOKUP($A63,Questions!$A$2:$X$333,18,0)&amp;"",VLOOKUP($A63,Questions!$A$2:$X$333,15,0)&amp;"")))</f>
        <v>Briefly describe processes.</v>
      </c>
      <c r="F63" s="194" t="str">
        <f>VLOOKUP($A63,'Privacy Analyst Evaluation'!$A$46:$F$120,6,0)&amp;""</f>
        <v/>
      </c>
      <c r="H63" s="35"/>
    </row>
    <row r="64" spans="1:8" s="1" customFormat="1" ht="45" x14ac:dyDescent="0.15">
      <c r="A64" s="19" t="s">
        <v>317</v>
      </c>
      <c r="B64" s="18" t="str">
        <f>VLOOKUP($A64,Questions!$A$2:$X$333,2,0)</f>
        <v>Do you have a documented policy for sharing information with law enforcement?</v>
      </c>
      <c r="C64" s="21" t="s">
        <v>355</v>
      </c>
      <c r="D64" s="284" t="s">
        <v>580</v>
      </c>
      <c r="E64" s="160" t="str">
        <f>IF($C64='Auto Responses'!$J$3,VLOOKUP($A64,Questions!$A$2:$X$333,17,0)&amp;"",IF($C64='Auto Responses'!$J$4,VLOOKUP($A64,Questions!$A$2:$X$333,16,0)&amp;"",VLOOKUP($A64,Questions!$A$2:$X$333,15,0)&amp;""))</f>
        <v>Provide a high-level overview of the policy or plans to implement a policy.</v>
      </c>
      <c r="F64" s="194" t="str">
        <f>VLOOKUP($A64,'Privacy Analyst Evaluation'!$A$46:$F$120,6,0)&amp;""</f>
        <v/>
      </c>
      <c r="H64" s="35"/>
    </row>
    <row r="65" spans="1:8" s="1" customFormat="1" ht="30" x14ac:dyDescent="0.15">
      <c r="A65" s="19" t="s">
        <v>318</v>
      </c>
      <c r="B65" s="18" t="str">
        <f>VLOOKUP($A65,Questions!$A$2:$X$333,2,0)</f>
        <v>Do you share any institutional data with law enforcement without a valid warrant or subpoena?*</v>
      </c>
      <c r="C65" s="21" t="s">
        <v>364</v>
      </c>
      <c r="D65" s="284" t="s">
        <v>581</v>
      </c>
      <c r="E65" s="160" t="str">
        <f>IF($C65='Auto Responses'!$J$3,VLOOKUP($A65,Questions!$A$2:$X$333,17,0)&amp;"",IF($C65='Auto Responses'!$J$4,VLOOKUP($A65,Questions!$A$2:$X$333,16,0)&amp;"",VLOOKUP($A65,Questions!$A$2:$X$333,15,0)&amp;""))</f>
        <v>Describe how you ensure this does not occur.</v>
      </c>
      <c r="F65" s="194" t="str">
        <f>VLOOKUP($A65,'Privacy Analyst Evaluation'!$A$46:$F$120,6,0)&amp;""</f>
        <v/>
      </c>
      <c r="H65" s="35"/>
    </row>
    <row r="66" spans="1:8" s="1" customFormat="1" ht="46" thickBot="1" x14ac:dyDescent="0.2">
      <c r="A66" s="19" t="s">
        <v>319</v>
      </c>
      <c r="B66" s="18" t="str">
        <f>VLOOKUP($A66,Questions!$A$2:$X$333,2,0)</f>
        <v>Does your incident response team include a privacy analyst/officer?</v>
      </c>
      <c r="C66" s="21" t="s">
        <v>355</v>
      </c>
      <c r="D66" s="284" t="s">
        <v>582</v>
      </c>
      <c r="E66" s="160" t="str">
        <f>IF($C66='Auto Responses'!$J$3,VLOOKUP($A66,Questions!$A$2:$X$333,17,0)&amp;"",IF($C66='Auto Responses'!$J$4,VLOOKUP($A66,Questions!$A$2:$X$333,16,0)&amp;"",VLOOKUP($A66,Questions!$A$2:$X$333,15,0)&amp;""))</f>
        <v>Provide the incident response team membership and charge.</v>
      </c>
      <c r="F66" s="194" t="str">
        <f>VLOOKUP($A66,'Privacy Analyst Evaluation'!$A$46:$F$120,6,0)&amp;""</f>
        <v/>
      </c>
      <c r="G66" s="228" t="s">
        <v>361</v>
      </c>
      <c r="H66" s="35"/>
    </row>
    <row r="67" spans="1:8" s="1" customFormat="1" ht="20" thickBot="1" x14ac:dyDescent="0.2">
      <c r="A67" s="61" t="str">
        <f>VLOOKUP(LEFT($A68,4),'Auto Responses'!$N$4:$O$38,2,0)&amp;""</f>
        <v xml:space="preserve"> International Privacy</v>
      </c>
      <c r="B67" s="22"/>
      <c r="C67" s="13" t="s">
        <v>351</v>
      </c>
      <c r="D67" s="13" t="s">
        <v>352</v>
      </c>
      <c r="E67" s="31" t="s">
        <v>353</v>
      </c>
      <c r="F67" s="192" t="s">
        <v>354</v>
      </c>
      <c r="H67" s="35"/>
    </row>
    <row r="68" spans="1:8" s="1" customFormat="1" ht="75" x14ac:dyDescent="0.15">
      <c r="A68" s="19" t="s">
        <v>320</v>
      </c>
      <c r="B68" s="18" t="str">
        <f>VLOOKUP($A68,Questions!$A$2:$X$333,2,0)</f>
        <v>Will data be collected from or processed in or stored in the European Economic Area (EEA)?</v>
      </c>
      <c r="C68" s="21" t="s">
        <v>355</v>
      </c>
      <c r="D68" s="284" t="s">
        <v>583</v>
      </c>
      <c r="E68" s="160" t="str">
        <f>IF($C68='Auto Responses'!$J$3,VLOOKUP($A68,Questions!$A$2:$X$333,17,0)&amp;"",IF($C68='Auto Responses'!$J$4,VLOOKUP($A68,Questions!$A$2:$X$333,16,0)&amp;"",VLOOKUP($A68,Questions!$A$2:$X$333,15,0)&amp;""))</f>
        <v>Describe where and what activities will take place in the EEA.</v>
      </c>
      <c r="F68" s="194" t="str">
        <f>VLOOKUP($A68,'Privacy Analyst Evaluation'!$A$46:$F$120,6,0)&amp;""</f>
        <v/>
      </c>
      <c r="H68" s="35"/>
    </row>
    <row r="69" spans="1:8" s="1" customFormat="1" ht="30" x14ac:dyDescent="0.15">
      <c r="A69" s="19" t="s">
        <v>321</v>
      </c>
      <c r="B69" s="18" t="str">
        <f>VLOOKUP($A69,Questions!$A$2:$X$333,2,0)</f>
        <v>Do you have a data protection officer (DPO)?</v>
      </c>
      <c r="C69" s="21" t="s">
        <v>355</v>
      </c>
      <c r="D69" s="284" t="s">
        <v>2175</v>
      </c>
      <c r="E69" s="160" t="str">
        <f>IF($C69='Auto Responses'!$J$3,VLOOKUP($A69,Questions!$A$2:$X$333,17,0)&amp;"",IF($C69='Auto Responses'!$J$4,VLOOKUP($A69,Questions!$A$2:$X$333,16,0)&amp;"",VLOOKUP($A69,Questions!$A$2:$X$333,15,0)&amp;""))</f>
        <v>Provide the name and contact information for the DPO.</v>
      </c>
      <c r="F69" s="194" t="str">
        <f>VLOOKUP($A69,'Privacy Analyst Evaluation'!$A$46:$F$120,6,0)&amp;""</f>
        <v/>
      </c>
      <c r="H69" s="35"/>
    </row>
    <row r="70" spans="1:8" s="1" customFormat="1" ht="60" x14ac:dyDescent="0.15">
      <c r="A70" s="19" t="s">
        <v>322</v>
      </c>
      <c r="B70" s="18" t="str">
        <f>VLOOKUP($A70,Questions!$A$2:$X$333,2,0)</f>
        <v>Will you sign appropriate GDPR Standard Contractual Clauses (SCCs) with the institution?</v>
      </c>
      <c r="C70" s="21" t="s">
        <v>355</v>
      </c>
      <c r="D70" s="284" t="s">
        <v>584</v>
      </c>
      <c r="E70" s="160" t="str">
        <f>IF($C70='Auto Responses'!$J$3,VLOOKUP($A70,Questions!$A$2:$X$333,17,0)&amp;"",IF($C70='Auto Responses'!$J$4,VLOOKUP($A70,Questions!$A$2:$X$333,16,0)&amp;"",VLOOKUP($A70,Questions!$A$2:$X$333,15,0)&amp;""))</f>
        <v/>
      </c>
      <c r="F70" s="194" t="str">
        <f>VLOOKUP($A70,'Privacy Analyst Evaluation'!$A$46:$F$120,6,0)&amp;""</f>
        <v/>
      </c>
      <c r="H70" s="35"/>
    </row>
    <row r="71" spans="1:8" s="1" customFormat="1" ht="17" x14ac:dyDescent="0.15">
      <c r="A71" s="19" t="s">
        <v>281</v>
      </c>
      <c r="B71" s="18" t="str">
        <f>VLOOKUP($A71,Questions!$A$2:$X$333,2,0)</f>
        <v>Will data be collected from or processed in or stored in China?</v>
      </c>
      <c r="C71" s="21" t="s">
        <v>364</v>
      </c>
      <c r="D71" s="284" t="s">
        <v>585</v>
      </c>
      <c r="E71" s="160" t="str">
        <f>IF($C71='Auto Responses'!$J$3,VLOOKUP($A71,Questions!$A$2:$X$333,17,0)&amp;"",IF($C71='Auto Responses'!$J$4,VLOOKUP($A71,Questions!$A$2:$X$333,16,0)&amp;"",VLOOKUP($A71,Questions!$A$2:$X$333,15,0)&amp;""))</f>
        <v>See PIPL Chapter 1 for definitions.</v>
      </c>
      <c r="F71" s="194" t="str">
        <f>VLOOKUP($A71,'Privacy Analyst Evaluation'!$A$46:$F$120,6,0)&amp;""</f>
        <v/>
      </c>
      <c r="H71" s="35"/>
    </row>
    <row r="72" spans="1:8" s="1" customFormat="1" ht="31" thickBot="1" x14ac:dyDescent="0.2">
      <c r="A72" s="19" t="s">
        <v>282</v>
      </c>
      <c r="B72" s="18" t="str">
        <f>VLOOKUP($A72,Questions!$A$2:$X$333,2,0)</f>
        <v>Do you comply with PIPL security, privacy, and data localization requirements?</v>
      </c>
      <c r="C72" s="21" t="s">
        <v>452</v>
      </c>
      <c r="D72" s="284" t="s">
        <v>586</v>
      </c>
      <c r="E72" s="160" t="str">
        <f>IF($C72='Auto Responses'!$J$3,VLOOKUP($A72,Questions!$A$2:$X$333,17,0)&amp;"",IF($C72='Auto Responses'!$J$4,VLOOKUP($A72,Questions!$A$2:$X$333,16,0)&amp;"",IF($C72='Auto Responses'!$J$5,VLOOKUP($A72,Questions!$A$2:$X$333,18,0)&amp;"",VLOOKUP($A72,Questions!$A$2:$X$333,15,0)&amp;"")))</f>
        <v>Please explain why this does not apply to your product or service.</v>
      </c>
      <c r="F72" s="194" t="str">
        <f>VLOOKUP($A72,'Privacy Analyst Evaluation'!$A$46:$F$120,6,0)&amp;""</f>
        <v/>
      </c>
      <c r="G72" s="228" t="s">
        <v>361</v>
      </c>
      <c r="H72" s="35"/>
    </row>
    <row r="73" spans="1:8" s="1" customFormat="1" ht="20" thickBot="1" x14ac:dyDescent="0.2">
      <c r="A73" s="61" t="str">
        <f>VLOOKUP(LEFT($A74,4),'Auto Responses'!$N$4:$O$38,2,0)&amp;""</f>
        <v xml:space="preserve"> Data Privacy</v>
      </c>
      <c r="B73" s="22"/>
      <c r="C73" s="13" t="s">
        <v>351</v>
      </c>
      <c r="D73" s="13" t="s">
        <v>352</v>
      </c>
      <c r="E73" s="31" t="s">
        <v>353</v>
      </c>
      <c r="F73" s="192" t="s">
        <v>354</v>
      </c>
      <c r="H73" s="35"/>
    </row>
    <row r="74" spans="1:8" s="1" customFormat="1" ht="30" x14ac:dyDescent="0.15">
      <c r="A74" s="19" t="s">
        <v>323</v>
      </c>
      <c r="B74" s="18" t="str">
        <f>VLOOKUP($A74,Questions!$A$2:$X$333,2,0)</f>
        <v>Have you performed a Data Privacy Impact Assessment for the solution/project?</v>
      </c>
      <c r="C74" s="21" t="s">
        <v>355</v>
      </c>
      <c r="D74" s="284" t="s">
        <v>587</v>
      </c>
      <c r="E74" s="160" t="str">
        <f>IF($C74='Auto Responses'!$J$3,VLOOKUP($A74,Questions!$A$2:$X$333,17,0)&amp;"",IF($C74='Auto Responses'!$J$4,VLOOKUP($A74,Questions!$A$2:$X$333,16,0)&amp;"",VLOOKUP($A74,Questions!$A$2:$X$333,15,0)&amp;""))</f>
        <v>Provide copy, link, or summary overview.</v>
      </c>
      <c r="F74" s="194" t="str">
        <f>VLOOKUP($A74,'Privacy Analyst Evaluation'!$A$46:$F$120,6,0)&amp;""</f>
        <v/>
      </c>
      <c r="H74" s="35"/>
    </row>
    <row r="75" spans="1:8" s="1" customFormat="1" ht="45" x14ac:dyDescent="0.15">
      <c r="A75" s="19" t="s">
        <v>324</v>
      </c>
      <c r="B75" s="18" t="str">
        <f>VLOOKUP($A75,Questions!$A$2:$X$333,2,0)</f>
        <v>Do you provide an end-user privacy notice about privacy policies and procedures that identify the purpose(s) for which personal information is collected, used, retained, and disclosed?</v>
      </c>
      <c r="C75" s="21" t="s">
        <v>355</v>
      </c>
      <c r="D75" s="284" t="s">
        <v>588</v>
      </c>
      <c r="E75" s="160" t="str">
        <f>IF($C75='Auto Responses'!$J$3,VLOOKUP($A75,Questions!$A$2:$X$333,17,0)&amp;"",IF($C75='Auto Responses'!$J$4,VLOOKUP($A75,Questions!$A$2:$X$333,16,0)&amp;"",VLOOKUP($A75,Questions!$A$2:$X$333,15,0)&amp;""))</f>
        <v>Provide link or copy.</v>
      </c>
      <c r="F75" s="194" t="str">
        <f>VLOOKUP($A75,'Privacy Analyst Evaluation'!$A$46:$F$120,6,0)&amp;""</f>
        <v/>
      </c>
      <c r="H75" s="35"/>
    </row>
    <row r="76" spans="1:8" s="1" customFormat="1" ht="45" x14ac:dyDescent="0.15">
      <c r="A76" s="19" t="s">
        <v>325</v>
      </c>
      <c r="B76" s="18" t="str">
        <f>VLOOKUP($A76,Questions!$A$2:$X$333,2,0)</f>
        <v>Do you describe the choices available to the individual and obtain implicit or explicit consent with respect to the collection, use, and disclosure of personal information?</v>
      </c>
      <c r="C76" s="21" t="s">
        <v>355</v>
      </c>
      <c r="D76" s="284" t="s">
        <v>589</v>
      </c>
      <c r="E76" s="160" t="str">
        <f>IF($C76='Auto Responses'!$J$3,VLOOKUP($A76,Questions!$A$2:$X$333,17,0)&amp;"",IF($C76='Auto Responses'!$J$4,VLOOKUP($A76,Questions!$A$2:$X$333,16,0)&amp;"",IF($C76='Auto Responses'!$J$5,VLOOKUP($A76,Questions!$A$2:$X$333,18,0)&amp;"",VLOOKUP($A76,Questions!$A$2:$X$333,15,0)&amp;"")))</f>
        <v>Provide copy, link, or summary overview.</v>
      </c>
      <c r="F76" s="194" t="str">
        <f>VLOOKUP($A76,'Privacy Analyst Evaluation'!$A$46:$F$120,6,0)&amp;""</f>
        <v/>
      </c>
      <c r="H76" s="35"/>
    </row>
    <row r="77" spans="1:8" s="1" customFormat="1" ht="45" x14ac:dyDescent="0.15">
      <c r="A77" s="19" t="s">
        <v>326</v>
      </c>
      <c r="B77" s="18" t="str">
        <f>VLOOKUP($A77,Questions!$A$2:$X$333,2,0)</f>
        <v>Do you collect personal information only for the purpose(s) identified in the agreement with an institution or, if there is none, the purpose(s) identified in the privacy notice?</v>
      </c>
      <c r="C77" s="21" t="s">
        <v>355</v>
      </c>
      <c r="D77" s="284" t="s">
        <v>590</v>
      </c>
      <c r="E77" s="160" t="str">
        <f>IF($C77='Auto Responses'!$J$3,VLOOKUP($A77,Questions!$A$2:$X$333,17,0)&amp;"",IF($C77='Auto Responses'!$J$4,VLOOKUP($A77,Questions!$A$2:$X$333,16,0)&amp;"",IF($C77='Auto Responses'!$J$5,VLOOKUP($A77,Questions!$A$2:$X$333,18,0)&amp;"",VLOOKUP($A77,Questions!$A$2:$X$333,15,0)&amp;"")))</f>
        <v>Describe purposes not included in an agreement with the institution.</v>
      </c>
      <c r="F77" s="194" t="str">
        <f>VLOOKUP($A77,'Privacy Analyst Evaluation'!$A$46:$F$120,6,0)&amp;""</f>
        <v/>
      </c>
      <c r="H77" s="35"/>
    </row>
    <row r="78" spans="1:8" s="1" customFormat="1" ht="30" x14ac:dyDescent="0.15">
      <c r="A78" s="19" t="s">
        <v>327</v>
      </c>
      <c r="B78" s="18" t="str">
        <f>VLOOKUP($A78,Questions!$A$2:$X$333,2,0)</f>
        <v>Do you have a documented list of personal data your service maintains?</v>
      </c>
      <c r="C78" s="21" t="s">
        <v>355</v>
      </c>
      <c r="D78" s="284" t="s">
        <v>591</v>
      </c>
      <c r="E78" s="160" t="str">
        <f>IF($C78='Auto Responses'!$J$3,VLOOKUP($A78,Questions!$A$2:$X$333,17,0)&amp;"",IF($C78='Auto Responses'!$J$4,VLOOKUP($A78,Questions!$A$2:$X$333,16,0)&amp;"",IF($C78='Auto Responses'!$J$5,VLOOKUP($A78,Questions!$A$2:$X$333,18,0)&amp;"",VLOOKUP($A78,Questions!$A$2:$X$333,15,0)&amp;"")))</f>
        <v>Provide copy, link, or summary overview.</v>
      </c>
      <c r="F78" s="194" t="str">
        <f>VLOOKUP($A78,'Privacy Analyst Evaluation'!$A$46:$F$120,6,0)&amp;""</f>
        <v/>
      </c>
      <c r="H78" s="35"/>
    </row>
    <row r="79" spans="1:8" s="1" customFormat="1" ht="60" x14ac:dyDescent="0.15">
      <c r="A79" s="19" t="s">
        <v>328</v>
      </c>
      <c r="B79" s="18" t="str">
        <f>VLOOKUP($A79,Questions!$A$2:$X$333,2,0)</f>
        <v>Do you retain personal information for only as long as necessary to fulfill the stated purpose(s) or as required by law or regulation and thereafter appropriately dispose of such information?</v>
      </c>
      <c r="C79" s="21" t="s">
        <v>355</v>
      </c>
      <c r="D79" s="284" t="s">
        <v>592</v>
      </c>
      <c r="E79" s="160" t="str">
        <f>IF($C79='Auto Responses'!$J$3,VLOOKUP($A79,Questions!$A$2:$X$333,17,0)&amp;"",IF($C79='Auto Responses'!$J$4,VLOOKUP($A79,Questions!$A$2:$X$333,16,0)&amp;"",IF($C79='Auto Responses'!$J$5,VLOOKUP($A79,Questions!$A$2:$X$333,18,0)&amp;"",VLOOKUP($A79,Questions!$A$2:$X$333,15,0)&amp;"")))</f>
        <v/>
      </c>
      <c r="F79" s="194" t="str">
        <f>VLOOKUP($A79,'Privacy Analyst Evaluation'!$A$46:$F$120,6,0)&amp;""</f>
        <v/>
      </c>
      <c r="H79" s="35"/>
    </row>
    <row r="80" spans="1:8" s="1" customFormat="1" ht="90" x14ac:dyDescent="0.15">
      <c r="A80" s="19" t="s">
        <v>329</v>
      </c>
      <c r="B80" s="18" t="str">
        <f>VLOOKUP($A80,Questions!$A$2:$X$333,2,0)</f>
        <v>Do you provide individuals with access to their personal information for review and update (i.e., data subject rights)?</v>
      </c>
      <c r="C80" s="21" t="s">
        <v>355</v>
      </c>
      <c r="D80" s="284" t="s">
        <v>593</v>
      </c>
      <c r="E80" s="160" t="str">
        <f>IF($C80='Auto Responses'!$J$3,VLOOKUP($A80,Questions!$A$2:$X$333,17,0)&amp;"",IF($C80='Auto Responses'!$J$4,VLOOKUP($A80,Questions!$A$2:$X$333,16,0)&amp;"",IF($C80='Auto Responses'!$J$5,VLOOKUP($A80,Questions!$A$2:$X$333,18,0)&amp;"",VLOOKUP($A80,Questions!$A$2:$X$333,15,0)&amp;"")))</f>
        <v>Such processes would include descriptions of request processes individuals can follow to review their information and written processes a data subject may use to ask for changes or corrections to data held about them.</v>
      </c>
      <c r="F80" s="194" t="str">
        <f>VLOOKUP($A80,'Privacy Analyst Evaluation'!$A$46:$F$120,6,0)&amp;""</f>
        <v/>
      </c>
      <c r="H80" s="35"/>
    </row>
    <row r="81" spans="1:8" s="1" customFormat="1" ht="45" x14ac:dyDescent="0.15">
      <c r="A81" s="19" t="s">
        <v>330</v>
      </c>
      <c r="B81" s="18" t="str">
        <f>VLOOKUP($A81,Questions!$A$2:$X$333,2,0)</f>
        <v>Do you disclose personal information to third parties only for the purpose(s) identified in the privacy notice or with the implicit or explicit consent of the individual?</v>
      </c>
      <c r="C81" s="21" t="s">
        <v>355</v>
      </c>
      <c r="D81" s="284" t="s">
        <v>594</v>
      </c>
      <c r="E81" s="160" t="str">
        <f>IF($C81='Auto Responses'!$J$3,VLOOKUP($A81,Questions!$A$2:$X$333,17,0)&amp;"",IF($C81='Auto Responses'!$J$4,VLOOKUP($A81,Questions!$A$2:$X$333,16,0)&amp;"",IF($C81='Auto Responses'!$J$5,VLOOKUP($A81,Questions!$A$2:$X$333,18,0)&amp;"",VLOOKUP($A81,Questions!$A$2:$X$333,15,0)&amp;"")))</f>
        <v/>
      </c>
      <c r="F81" s="194" t="str">
        <f>VLOOKUP($A81,'Privacy Analyst Evaluation'!$A$46:$F$120,6,0)&amp;""</f>
        <v/>
      </c>
      <c r="H81" s="35"/>
    </row>
    <row r="82" spans="1:8" s="1" customFormat="1" ht="45" x14ac:dyDescent="0.15">
      <c r="A82" s="19" t="s">
        <v>331</v>
      </c>
      <c r="B82" s="18" t="str">
        <f>VLOOKUP($A82,Questions!$A$2:$X$333,2,0)</f>
        <v>Do you protect personal information against unauthorized access (both physical and logical)?</v>
      </c>
      <c r="C82" s="21" t="s">
        <v>355</v>
      </c>
      <c r="D82" s="284" t="s">
        <v>595</v>
      </c>
      <c r="E82" s="160" t="str">
        <f>IF($C82='Auto Responses'!$J$3,VLOOKUP($A82,Questions!$A$2:$X$333,17,0)&amp;"",IF($C82='Auto Responses'!$J$4,VLOOKUP($A82,Questions!$A$2:$X$333,16,0)&amp;"",IF($C82='Auto Responses'!$J$5,VLOOKUP($A82,Questions!$A$2:$X$333,18,0)&amp;"",VLOOKUP($A82,Questions!$A$2:$X$333,15,0)&amp;"")))</f>
        <v/>
      </c>
      <c r="F82" s="194" t="str">
        <f>VLOOKUP($A82,'Privacy Analyst Evaluation'!$A$46:$F$120,6,0)&amp;""</f>
        <v/>
      </c>
      <c r="H82" s="35"/>
    </row>
    <row r="83" spans="1:8" s="1" customFormat="1" ht="30" x14ac:dyDescent="0.15">
      <c r="A83" s="19" t="s">
        <v>332</v>
      </c>
      <c r="B83" s="18" t="str">
        <f>VLOOKUP($A83,Questions!$A$2:$X$333,2,0)</f>
        <v>Do you maintain accurate, complete, and relevant personal information for the purposes identified in the privacy notice?</v>
      </c>
      <c r="C83" s="21" t="s">
        <v>355</v>
      </c>
      <c r="D83" s="284" t="s">
        <v>596</v>
      </c>
      <c r="E83" s="160" t="str">
        <f>IF($C83='Auto Responses'!$J$3,VLOOKUP($A83,Questions!$A$2:$X$333,17,0)&amp;"",IF($C83='Auto Responses'!$J$4,VLOOKUP($A83,Questions!$A$2:$X$333,16,0)&amp;"",IF($C83='Auto Responses'!$J$5,VLOOKUP($A83,Questions!$A$2:$X$333,18,0)&amp;"",VLOOKUP($A83,Questions!$A$2:$X$333,15,0)&amp;"")))</f>
        <v/>
      </c>
      <c r="F83" s="194" t="str">
        <f>VLOOKUP($A83,'Privacy Analyst Evaluation'!$A$46:$F$120,6,0)&amp;""</f>
        <v/>
      </c>
      <c r="H83" s="35"/>
    </row>
    <row r="84" spans="1:8" s="1" customFormat="1" ht="45" x14ac:dyDescent="0.15">
      <c r="A84" s="19" t="s">
        <v>333</v>
      </c>
      <c r="B84" s="18" t="str">
        <f>VLOOKUP($A84,Questions!$A$2:$X$333,2,0)</f>
        <v>Do you have procedures to address privacy-related noncompliance complaints and disputes?</v>
      </c>
      <c r="C84" s="21" t="s">
        <v>355</v>
      </c>
      <c r="D84" s="284" t="s">
        <v>597</v>
      </c>
      <c r="E84" s="160" t="str">
        <f>IF($C84='Auto Responses'!$J$3,VLOOKUP($A84,Questions!$A$2:$X$333,17,0)&amp;"",IF($C84='Auto Responses'!$J$4,VLOOKUP($A84,Questions!$A$2:$X$333,16,0)&amp;"",IF($C84='Auto Responses'!$J$5,VLOOKUP($A84,Questions!$A$2:$X$333,18,0)&amp;"",VLOOKUP($A84,Questions!$A$2:$X$333,15,0)&amp;"")))</f>
        <v>Provide a brief overview of processes or procedures to handle privacy-related complaints.</v>
      </c>
      <c r="F84" s="194" t="str">
        <f>VLOOKUP($A84,'Privacy Analyst Evaluation'!$A$46:$F$120,6,0)&amp;""</f>
        <v/>
      </c>
      <c r="H84" s="35"/>
    </row>
    <row r="85" spans="1:8" s="1" customFormat="1" ht="30" x14ac:dyDescent="0.15">
      <c r="A85" s="19" t="s">
        <v>334</v>
      </c>
      <c r="B85" s="18" t="str">
        <f>VLOOKUP($A85,Questions!$A$2:$X$333,2,0)</f>
        <v>Do you "anonymize," "de-identify," or otherwise mask personal data?</v>
      </c>
      <c r="C85" s="21" t="s">
        <v>355</v>
      </c>
      <c r="D85" s="284" t="s">
        <v>598</v>
      </c>
      <c r="E85" s="160" t="str">
        <f>IF($C85='Auto Responses'!$J$3,VLOOKUP($A85,Questions!$A$2:$X$333,17,0)&amp;"",IF($C85='Auto Responses'!$J$4,VLOOKUP($A85,Questions!$A$2:$X$333,16,0)&amp;"",IF($C85='Auto Responses'!$J$5,VLOOKUP($A85,Questions!$A$2:$X$333,18,0)&amp;"",VLOOKUP($A85,Questions!$A$2:$X$333,15,0)&amp;"")))</f>
        <v>Briefly describe method used to mask data.</v>
      </c>
      <c r="F85" s="194" t="str">
        <f>VLOOKUP($A85,'Privacy Analyst Evaluation'!$A$46:$F$120,6,0)&amp;""</f>
        <v/>
      </c>
      <c r="H85" s="35"/>
    </row>
    <row r="86" spans="1:8" s="1" customFormat="1" ht="75" x14ac:dyDescent="0.15">
      <c r="A86" s="19" t="s">
        <v>335</v>
      </c>
      <c r="B86" s="18" t="str">
        <f>VLOOKUP($A86,Questions!$A$2:$X$333,2,0)</f>
        <v>Do you or your subprocessors use or disclose "anonymized," "de-identified," or otherwise masked data for any purpose other than those identified in the agreement with an institution (e.g., sharing with ad networks or data brokers, marketing, creation of profiles, analytics unrelated to services provided to institution)?</v>
      </c>
      <c r="C86" s="21" t="s">
        <v>364</v>
      </c>
      <c r="D86" s="284" t="s">
        <v>599</v>
      </c>
      <c r="E86" s="160" t="str">
        <f>IF($C86='Auto Responses'!$J$3,VLOOKUP($A86,Questions!$A$2:$X$333,17,0)&amp;"",IF($C86='Auto Responses'!$J$4,VLOOKUP($A86,Questions!$A$2:$X$333,16,0)&amp;"",IF($C86='Auto Responses'!$J$5,VLOOKUP($A86,Questions!$A$2:$X$333,18,0)&amp;"",VLOOKUP($A86,Questions!$A$2:$X$333,15,0)&amp;"")))</f>
        <v/>
      </c>
      <c r="F86" s="194" t="str">
        <f>VLOOKUP($A86,'Privacy Analyst Evaluation'!$A$46:$F$120,6,0)&amp;""</f>
        <v/>
      </c>
      <c r="H86" s="35"/>
    </row>
    <row r="87" spans="1:8" s="1" customFormat="1" ht="30" x14ac:dyDescent="0.15">
      <c r="A87" s="19" t="s">
        <v>336</v>
      </c>
      <c r="B87" s="18" t="str">
        <f>VLOOKUP($A87,Questions!$A$2:$X$333,2,0)</f>
        <v>Do you certify stop-processing requests, including any data that is processed by a third party on your behalf?</v>
      </c>
      <c r="C87" s="21" t="s">
        <v>355</v>
      </c>
      <c r="D87" s="284" t="s">
        <v>600</v>
      </c>
      <c r="E87" s="160" t="str">
        <f>IF($C87='Auto Responses'!$J$3,VLOOKUP($A87,Questions!$A$2:$X$333,17,0)&amp;"",IF($C87='Auto Responses'!$J$4,VLOOKUP($A87,Questions!$A$2:$X$333,16,0)&amp;"",IF($C87='Auto Responses'!$J$5,VLOOKUP($A87,Questions!$A$2:$X$333,18,0)&amp;"",VLOOKUP($A87,Questions!$A$2:$X$333,15,0)&amp;"")))</f>
        <v>Briefly outline relevant processes.</v>
      </c>
      <c r="F87" s="194" t="str">
        <f>VLOOKUP($A87,'Privacy Analyst Evaluation'!$A$46:$F$120,6,0)&amp;""</f>
        <v/>
      </c>
      <c r="H87" s="35"/>
    </row>
    <row r="88" spans="1:8" s="1" customFormat="1" ht="46" thickBot="1" x14ac:dyDescent="0.2">
      <c r="A88" s="19" t="s">
        <v>337</v>
      </c>
      <c r="B88" s="18" t="str">
        <f>VLOOKUP($A88,Questions!$A$2:$X$333,2,0)</f>
        <v>Do you have a process to review code for ethical considerations?</v>
      </c>
      <c r="C88" s="21" t="s">
        <v>355</v>
      </c>
      <c r="D88" s="284" t="s">
        <v>601</v>
      </c>
      <c r="E88" s="160" t="str">
        <f>IF($C88='Auto Responses'!$J$3,VLOOKUP($A88,Questions!$A$2:$X$333,17,0)&amp;"",IF($C88='Auto Responses'!$J$4,VLOOKUP($A88,Questions!$A$2:$X$333,16,0)&amp;"",VLOOKUP($A88,Questions!$A$2:$X$333,15,0)&amp;""))</f>
        <v>Provide documentation or explanation of the process to review code. If none exists, explain why.</v>
      </c>
      <c r="F88" s="194" t="str">
        <f>VLOOKUP($A88,'Privacy Analyst Evaluation'!$A$46:$F$120,6,0)&amp;""</f>
        <v/>
      </c>
      <c r="G88" s="228" t="s">
        <v>361</v>
      </c>
      <c r="H88" s="35"/>
    </row>
    <row r="89" spans="1:8" s="1" customFormat="1" ht="20" thickBot="1" x14ac:dyDescent="0.2">
      <c r="A89" s="61" t="str">
        <f>VLOOKUP(LEFT($A90,4),'Auto Responses'!$N$4:$O$38,2,0)&amp;""</f>
        <v xml:space="preserve"> Privacy and AI</v>
      </c>
      <c r="B89" s="22"/>
      <c r="C89" s="13" t="s">
        <v>351</v>
      </c>
      <c r="D89" s="13" t="s">
        <v>352</v>
      </c>
      <c r="E89" s="31" t="s">
        <v>353</v>
      </c>
      <c r="F89" s="192" t="s">
        <v>354</v>
      </c>
      <c r="H89" s="35"/>
    </row>
    <row r="90" spans="1:8" s="1" customFormat="1" ht="75" x14ac:dyDescent="0.15">
      <c r="A90" s="19" t="s">
        <v>338</v>
      </c>
      <c r="B90" s="18" t="str">
        <f>VLOOKUP($A90,Questions!$A$2:$X$333,2,0)</f>
        <v>Does your service use AI for the processing of institutional data?</v>
      </c>
      <c r="C90" s="21" t="s">
        <v>355</v>
      </c>
      <c r="D90" s="284" t="s">
        <v>602</v>
      </c>
      <c r="E90" s="160" t="str">
        <f>IF($C$19='Auto Responses'!$J$4,'Auto Responses'!$A$6,IF($C90='Auto Responses'!$J$3,VLOOKUP($A90,Questions!$A$2:$X$333,17,0)&amp;"",IF($C90='Auto Responses'!$J$4,VLOOKUP($A90,Questions!$A$2:$X$333,16,0)&amp;"",IF($C90='Auto Responses'!$J$5,VLOOKUP($A90,Questions!$A$2:$X$333,18,0)&amp;"",VLOOKUP($A90,Questions!$A$2:$X$333,15,0)&amp;""))))</f>
        <v>Describe how your service uses AI to process institutional data. Include the types of data involved, the purpose of AI usage, and any decision-making roles AI plays.</v>
      </c>
      <c r="F90" s="194" t="str">
        <f>VLOOKUP($A90,'Privacy Analyst Evaluation'!$A$46:$F$120,6,0)&amp;""</f>
        <v/>
      </c>
      <c r="H90" s="35"/>
    </row>
    <row r="91" spans="1:8" s="1" customFormat="1" ht="60" x14ac:dyDescent="0.15">
      <c r="A91" s="19" t="s">
        <v>339</v>
      </c>
      <c r="B91" s="18" t="str">
        <f>VLOOKUP($A91,Questions!$A$2:$X$333,2,0)</f>
        <v>Is any institutional data retained in AI processing?*</v>
      </c>
      <c r="C91" s="21" t="s">
        <v>364</v>
      </c>
      <c r="D91" s="284" t="s">
        <v>603</v>
      </c>
      <c r="E91" s="160" t="str">
        <f>IF($C$19='Auto Responses'!$J$4,'Auto Responses'!$A$6,IF($C91='Auto Responses'!$J$3,VLOOKUP($A91,Questions!$A$2:$X$333,17,0)&amp;"",IF($C91='Auto Responses'!$J$4,VLOOKUP($A91,Questions!$A$2:$X$333,16,0)&amp;"",IF($C91='Auto Responses'!$J$5,VLOOKUP($A91,Questions!$A$2:$X$333,18,0)&amp;"",VLOOKUP($A91,Questions!$A$2:$X$333,15,0)&amp;""))))</f>
        <v>Evaluate the vendor's data retention practices for compliance with institutional policies. Request clarification on retention periods and data security if needed.</v>
      </c>
      <c r="F91" s="194" t="str">
        <f>VLOOKUP($A91,'Privacy Analyst Evaluation'!$A$46:$F$120,6,0)&amp;""</f>
        <v/>
      </c>
      <c r="H91" s="35"/>
    </row>
    <row r="92" spans="1:8" s="1" customFormat="1" ht="45" x14ac:dyDescent="0.15">
      <c r="A92" s="19" t="s">
        <v>340</v>
      </c>
      <c r="B92" s="18" t="str">
        <f>VLOOKUP($A92,Questions!$A$2:$X$333,2,0)</f>
        <v>Do you have agreements in place with third parties or subprocessors regarding the protection of customer data and use of AI?*</v>
      </c>
      <c r="C92" s="21" t="s">
        <v>355</v>
      </c>
      <c r="D92" s="284" t="s">
        <v>604</v>
      </c>
      <c r="E92" s="160" t="str">
        <f>IF($C$19='Auto Responses'!$J$4,'Auto Responses'!$A$6,IF($C92='Auto Responses'!$J$3,VLOOKUP($A92,Questions!$A$2:$X$333,17,0)&amp;"",IF($C92='Auto Responses'!$J$4,VLOOKUP($A92,Questions!$A$2:$X$333,16,0)&amp;"",IF($C92='Auto Responses'!$J$5,VLOOKUP($A92,Questions!$A$2:$X$333,18,0)&amp;"",VLOOKUP($A92,Questions!$A$2:$X$333,15,0)&amp;""))))</f>
        <v>List all subprocessors and describe the agreements in place regarding AI and data protection.</v>
      </c>
      <c r="F92" s="194" t="str">
        <f>VLOOKUP($A92,'Privacy Analyst Evaluation'!$A$46:$F$120,6,0)&amp;""</f>
        <v/>
      </c>
      <c r="H92" s="35"/>
    </row>
    <row r="93" spans="1:8" s="1" customFormat="1" ht="45" x14ac:dyDescent="0.15">
      <c r="A93" s="19" t="s">
        <v>341</v>
      </c>
      <c r="B93" s="18" t="str">
        <f>VLOOKUP($A93,Questions!$A$2:$X$333,2,0)</f>
        <v>Will institutional data be processed through a third party or subprocessor that also uses AI?</v>
      </c>
      <c r="C93" s="21" t="s">
        <v>355</v>
      </c>
      <c r="D93" s="284" t="s">
        <v>605</v>
      </c>
      <c r="E93" s="160" t="str">
        <f>IF($C$19='Auto Responses'!$J$4,'Auto Responses'!$A$6,IF($C93='Auto Responses'!$J$3,VLOOKUP($A93,Questions!$A$2:$X$333,17,0)&amp;"",IF($C93='Auto Responses'!$J$4,VLOOKUP($A93,Questions!$A$2:$X$333,16,0)&amp;"",IF($C93='Auto Responses'!$J$5,VLOOKUP($A93,Questions!$A$2:$X$333,18,0)&amp;"",VLOOKUP($A93,Questions!$A$2:$X$333,15,0)&amp;""))))</f>
        <v>Identify third-party AI processors and describe their role and safeguards.</v>
      </c>
      <c r="F93" s="194" t="str">
        <f>VLOOKUP($A93,'Privacy Analyst Evaluation'!$A$46:$F$120,6,0)&amp;""</f>
        <v/>
      </c>
      <c r="H93" s="35"/>
    </row>
    <row r="94" spans="1:8" s="1" customFormat="1" ht="45" x14ac:dyDescent="0.15">
      <c r="A94" s="19" t="s">
        <v>342</v>
      </c>
      <c r="B94" s="18" t="str">
        <f>VLOOKUP($A94,Questions!$A$2:$X$333,2,0)</f>
        <v>Is AI processing limited to fully licensed commercial enterprise AI services?</v>
      </c>
      <c r="C94" s="21" t="s">
        <v>355</v>
      </c>
      <c r="D94" s="284" t="s">
        <v>606</v>
      </c>
      <c r="E94" s="160" t="str">
        <f>IF($C$19='Auto Responses'!$J$4,'Auto Responses'!$A$6,IF($C94='Auto Responses'!$J$3,VLOOKUP($A94,Questions!$A$2:$X$333,17,0)&amp;"",IF($C94='Auto Responses'!$J$4,VLOOKUP($A94,Questions!$A$2:$X$333,16,0)&amp;"",IF($C94='Auto Responses'!$J$5,VLOOKUP($A94,Questions!$A$2:$X$333,18,0)&amp;"",VLOOKUP($A94,Questions!$A$2:$X$333,15,0)&amp;""))))</f>
        <v>Provide names of services used and license types. Note whether open-source or experimental tools are used.</v>
      </c>
      <c r="F94" s="194" t="str">
        <f>VLOOKUP($A94,'Privacy Analyst Evaluation'!$A$46:$F$120,6,0)&amp;""</f>
        <v/>
      </c>
      <c r="H94" s="35"/>
    </row>
    <row r="95" spans="1:8" s="1" customFormat="1" ht="90" x14ac:dyDescent="0.15">
      <c r="A95" s="19" t="s">
        <v>343</v>
      </c>
      <c r="B95" s="18" t="str">
        <f>VLOOKUP($A95,Questions!$A$2:$X$333,2,0)</f>
        <v>Will institutional data be used or processed by any shared AI services?</v>
      </c>
      <c r="C95" s="21" t="s">
        <v>364</v>
      </c>
      <c r="D95" s="284" t="s">
        <v>607</v>
      </c>
      <c r="E95" s="160" t="str">
        <f>IF($C$19='Auto Responses'!$J$4,'Auto Responses'!$A$6,IF($C95='Auto Responses'!$J$3,VLOOKUP($A95,Questions!$A$2:$X$333,17,0)&amp;"",IF($C95='Auto Responses'!$J$4,VLOOKUP($A95,Questions!$A$2:$X$333,16,0)&amp;"",IF($C95='Auto Responses'!$J$5,VLOOKUP($A95,Questions!$A$2:$X$333,18,0)&amp;"",VLOOKUP($A95,Questions!$A$2:$X$333,15,0)&amp;""))))</f>
        <v>Provide detailed response to the type of data needed for the AI service to function appropriately, the sources of the data, and whether any data shared with the AI service comes from data sources outside the institution.</v>
      </c>
      <c r="F95" s="194" t="str">
        <f>VLOOKUP($A95,'Privacy Analyst Evaluation'!$A$46:$F$120,6,0)&amp;""</f>
        <v/>
      </c>
      <c r="H95" s="35"/>
    </row>
    <row r="96" spans="1:8" s="1" customFormat="1" ht="60" x14ac:dyDescent="0.15">
      <c r="A96" s="19" t="s">
        <v>344</v>
      </c>
      <c r="B96" s="18" t="str">
        <f>VLOOKUP($A96,Questions!$A$2:$X$333,2,0)</f>
        <v>Do you have safeguards in place to protect institutional data and data privacy from unintended AI queries or processing?</v>
      </c>
      <c r="C96" s="21" t="s">
        <v>355</v>
      </c>
      <c r="D96" s="284" t="s">
        <v>608</v>
      </c>
      <c r="E96" s="160" t="str">
        <f>IF($C$19='Auto Responses'!$J$4,'Auto Responses'!$A$6,IF($C96='Auto Responses'!$J$3,VLOOKUP($A96,Questions!$A$2:$X$333,17,0)&amp;"",IF($C96='Auto Responses'!$J$4,VLOOKUP($A96,Questions!$A$2:$X$333,16,0)&amp;"",IF($C96='Auto Responses'!$J$5,VLOOKUP($A96,Questions!$A$2:$X$333,18,0)&amp;"",VLOOKUP($A96,Questions!$A$2:$X$333,15,0)&amp;""))))</f>
        <v>Explain any data minimization processes used to exclude institutional data from AI algorithm or training, etc.</v>
      </c>
      <c r="F96" s="194" t="str">
        <f>VLOOKUP($A96,'Privacy Analyst Evaluation'!$A$46:$F$120,6,0)&amp;""</f>
        <v/>
      </c>
      <c r="H96" s="35"/>
    </row>
    <row r="97" spans="1:11" s="1" customFormat="1" ht="30" x14ac:dyDescent="0.15">
      <c r="A97" s="19" t="s">
        <v>345</v>
      </c>
      <c r="B97" s="18" t="str">
        <f>VLOOKUP($A97,Questions!$A$2:$X$333,2,0)</f>
        <v>Do you provide choice to the user to opt out of AI use?</v>
      </c>
      <c r="C97" s="21" t="s">
        <v>355</v>
      </c>
      <c r="D97" s="284" t="s">
        <v>2176</v>
      </c>
      <c r="E97" s="160" t="str">
        <f>IF($C$19='Auto Responses'!$J$4,'Auto Responses'!$A$6,IF($C97='Auto Responses'!$J$3,VLOOKUP($A97,Questions!$A$2:$X$333,17,0)&amp;"",IF($C97='Auto Responses'!$J$4,VLOOKUP($A97,Questions!$A$2:$X$333,16,0)&amp;"",IF($C97='Auto Responses'!$J$5,VLOOKUP($A97,Questions!$A$2:$X$333,18,0)&amp;"",VLOOKUP($A97,Questions!$A$2:$X$333,15,0)&amp;""))))</f>
        <v>Provide the language used for a user to opt-out or consent to the use of AI</v>
      </c>
      <c r="F97" s="194" t="str">
        <f>VLOOKUP($A97,'Privacy Analyst Evaluation'!$A$46:$F$120,6,0)&amp;""</f>
        <v/>
      </c>
      <c r="G97" s="228" t="s">
        <v>361</v>
      </c>
      <c r="H97" s="35"/>
    </row>
    <row r="98" spans="1:11" s="1" customFormat="1" ht="44.25" customHeight="1" x14ac:dyDescent="0.15">
      <c r="A98" s="41" t="s">
        <v>2</v>
      </c>
      <c r="C98" s="8"/>
      <c r="D98" s="9"/>
      <c r="E98" s="40"/>
      <c r="F98" s="187"/>
      <c r="H98" s="35"/>
    </row>
    <row r="99" spans="1:11" s="1" customFormat="1" ht="15" hidden="1" customHeight="1" x14ac:dyDescent="0.15">
      <c r="A99"/>
      <c r="C99" s="8"/>
      <c r="D99" s="9"/>
      <c r="E99" s="40"/>
      <c r="F99" s="187"/>
      <c r="H99" s="35"/>
    </row>
    <row r="100" spans="1:11" ht="15" hidden="1" customHeight="1" x14ac:dyDescent="0.2">
      <c r="A100" s="1"/>
      <c r="B100" s="8"/>
      <c r="C100" s="68"/>
      <c r="D100" s="10"/>
      <c r="E100" s="41"/>
      <c r="G100" s="35"/>
      <c r="H100" s="1"/>
      <c r="K100"/>
    </row>
    <row r="101" spans="1:11" ht="0" hidden="1" customHeight="1" x14ac:dyDescent="0.2">
      <c r="A101" s="19" t="e">
        <f>#REF!</f>
        <v>#REF!</v>
      </c>
    </row>
    <row r="102" spans="1:11" s="1" customFormat="1" ht="0" hidden="1" customHeight="1" x14ac:dyDescent="0.15">
      <c r="A102" s="19" t="e">
        <f>#REF!</f>
        <v>#REF!</v>
      </c>
      <c r="C102" s="8"/>
      <c r="D102" s="9"/>
      <c r="E102" s="40"/>
      <c r="F102" s="187"/>
      <c r="H102" s="35"/>
    </row>
    <row r="103" spans="1:11" s="1" customFormat="1" ht="0" hidden="1" customHeight="1" x14ac:dyDescent="0.15">
      <c r="A103" s="19" t="e">
        <f>#REF!</f>
        <v>#REF!</v>
      </c>
      <c r="C103" s="8"/>
      <c r="D103" s="9"/>
      <c r="E103" s="40"/>
      <c r="F103" s="187"/>
      <c r="H103" s="35"/>
    </row>
    <row r="104" spans="1:11" s="1" customFormat="1" ht="0" hidden="1" customHeight="1" x14ac:dyDescent="0.15">
      <c r="A104" s="19" t="e">
        <f>#REF!</f>
        <v>#REF!</v>
      </c>
      <c r="C104" s="8"/>
      <c r="D104" s="9"/>
      <c r="E104" s="40"/>
      <c r="F104" s="187"/>
      <c r="H104" s="35"/>
    </row>
    <row r="105" spans="1:11" s="1" customFormat="1" ht="0" hidden="1" customHeight="1" x14ac:dyDescent="0.15">
      <c r="A105" s="19" t="e">
        <f>#REF!</f>
        <v>#REF!</v>
      </c>
      <c r="C105" s="8"/>
      <c r="D105" s="9"/>
      <c r="E105" s="40"/>
      <c r="F105" s="187"/>
      <c r="H105" s="35"/>
    </row>
    <row r="106" spans="1:11" s="1" customFormat="1" ht="0" hidden="1" customHeight="1" x14ac:dyDescent="0.15">
      <c r="A106" s="19" t="e">
        <f>#REF!</f>
        <v>#REF!</v>
      </c>
      <c r="C106" s="8"/>
      <c r="D106" s="9"/>
      <c r="E106" s="40"/>
      <c r="F106" s="187"/>
      <c r="H106" s="35"/>
    </row>
    <row r="107" spans="1:11" s="1" customFormat="1" ht="0" hidden="1" customHeight="1" x14ac:dyDescent="0.15">
      <c r="A107" s="19" t="e">
        <f>#REF!</f>
        <v>#REF!</v>
      </c>
      <c r="C107" s="8"/>
      <c r="D107" s="9"/>
      <c r="E107" s="40"/>
      <c r="F107" s="187"/>
      <c r="H107" s="35"/>
    </row>
    <row r="108" spans="1:11" s="1" customFormat="1" ht="0" hidden="1" customHeight="1" x14ac:dyDescent="0.15">
      <c r="A108"/>
      <c r="C108" s="8"/>
      <c r="D108" s="9"/>
      <c r="E108" s="40"/>
      <c r="F108" s="187"/>
      <c r="H108" s="35"/>
    </row>
    <row r="109" spans="1:11" s="1" customFormat="1" ht="0" hidden="1" customHeight="1" x14ac:dyDescent="0.15">
      <c r="A109"/>
      <c r="C109" s="8"/>
      <c r="D109" s="9"/>
      <c r="E109" s="40"/>
      <c r="F109" s="187"/>
      <c r="H109" s="35"/>
    </row>
    <row r="110" spans="1:11" s="1" customFormat="1" ht="0" hidden="1" customHeight="1" x14ac:dyDescent="0.15">
      <c r="A110"/>
      <c r="C110" s="8"/>
      <c r="D110" s="9"/>
      <c r="E110" s="40"/>
      <c r="F110" s="187"/>
      <c r="H110" s="35"/>
    </row>
    <row r="111" spans="1:11" s="1" customFormat="1" ht="0" hidden="1" customHeight="1" x14ac:dyDescent="0.15">
      <c r="A111"/>
      <c r="C111" s="8"/>
      <c r="D111" s="9"/>
      <c r="E111" s="40"/>
      <c r="F111" s="187"/>
      <c r="H111" s="35"/>
    </row>
    <row r="112" spans="1:11" s="1" customFormat="1" ht="0" hidden="1" customHeight="1" x14ac:dyDescent="0.15">
      <c r="A112"/>
      <c r="C112" s="8"/>
      <c r="D112" s="9"/>
      <c r="E112" s="40"/>
      <c r="F112" s="187"/>
      <c r="H112" s="35"/>
    </row>
    <row r="113" spans="1:8" s="1" customFormat="1" ht="0" hidden="1" customHeight="1" x14ac:dyDescent="0.15">
      <c r="A113"/>
      <c r="C113" s="8"/>
      <c r="D113" s="9"/>
      <c r="E113" s="40"/>
      <c r="F113" s="187"/>
      <c r="H113" s="35"/>
    </row>
    <row r="114" spans="1:8" s="1" customFormat="1" ht="0" hidden="1" customHeight="1" x14ac:dyDescent="0.15">
      <c r="A114"/>
      <c r="C114" s="8"/>
      <c r="D114" s="9"/>
      <c r="E114" s="40"/>
      <c r="F114" s="187"/>
      <c r="H114" s="35"/>
    </row>
    <row r="115" spans="1:8" s="1" customFormat="1" ht="0" hidden="1" customHeight="1" x14ac:dyDescent="0.15">
      <c r="A115"/>
      <c r="C115" s="8"/>
      <c r="D115" s="9"/>
      <c r="E115" s="40"/>
      <c r="F115" s="187"/>
      <c r="H115" s="35"/>
    </row>
    <row r="116" spans="1:8" s="1" customFormat="1" ht="0" hidden="1" customHeight="1" x14ac:dyDescent="0.15">
      <c r="A116"/>
      <c r="C116" s="8"/>
      <c r="D116" s="9"/>
      <c r="E116" s="40"/>
      <c r="F116" s="187"/>
      <c r="H116" s="35"/>
    </row>
    <row r="117" spans="1:8" s="1" customFormat="1" ht="0" hidden="1" customHeight="1" x14ac:dyDescent="0.15">
      <c r="A117"/>
      <c r="C117" s="8"/>
      <c r="D117" s="9"/>
      <c r="E117" s="40"/>
      <c r="F117" s="187"/>
      <c r="H117" s="35"/>
    </row>
  </sheetData>
  <dataValidations disablePrompts="1" count="3">
    <dataValidation allowBlank="1" showInputMessage="1" showErrorMessage="1" promptTitle="Warning!" prompt="The HECVAT is built using a number of complex formulas. Editing this cell can break the functionality of the tool. " sqref="A3:A98 B2:B98 C2 C4:F12 C18:D18 C23:D23 C29:D29 C34:D34 C38:D38 C41:D41 C44:D44 C53:D53 C67:D67 C73:D73 C89:D89 D2:F3 E18:F98" xr:uid="{00000000-0002-0000-0700-000000000000}"/>
    <dataValidation allowBlank="1" showInputMessage="1" showErrorMessage="1" prompt="This answer has been populated from the &quot;START HERE&quot; tab and does not need to be re-entered." sqref="C3 C13:C17 C19:C22" xr:uid="{00000000-0002-0000-0700-000001000000}"/>
    <dataValidation allowBlank="1" showInputMessage="1" showErrorMessage="1" prompt="This cell should be left blank. Input your answer in column C." sqref="D28 D31" xr:uid="{00000000-0002-0000-0700-000002000000}"/>
  </dataValidations>
  <hyperlinks>
    <hyperlink ref="A11" r:id="rId1" display="http://www.educause.edu/HECVAT" xr:uid="{00000000-0004-0000-0700-000000000000}"/>
  </hyperlinks>
  <pageMargins left="0.75" right="0.75" top="1" bottom="1" header="0.5" footer="0.5"/>
  <pageSetup orientation="landscape"/>
  <headerFooter>
    <oddFooter>&amp;L&amp;"Helvetica,Regular"&amp;12 &amp;K000000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0B233"/>
  </sheetPr>
  <dimension ref="A1:N363"/>
  <sheetViews>
    <sheetView showGridLines="0" showZeros="0" topLeftCell="A2" zoomScale="80" zoomScaleNormal="80" workbookViewId="0">
      <selection activeCell="A2" sqref="A2"/>
    </sheetView>
  </sheetViews>
  <sheetFormatPr baseColWidth="10" defaultColWidth="0" defaultRowHeight="0" customHeight="1" zeroHeight="1" x14ac:dyDescent="0.2"/>
  <cols>
    <col min="1" max="1" width="18.75" style="55" customWidth="1"/>
    <col min="2" max="2" width="57.625" style="55" customWidth="1"/>
    <col min="3" max="9" width="19.625" style="55" customWidth="1"/>
    <col min="10" max="10" width="19.75" style="55" bestFit="1" customWidth="1"/>
    <col min="11" max="11" width="17.125" style="55" customWidth="1"/>
    <col min="12" max="12" width="8.5" style="55" customWidth="1"/>
    <col min="13" max="13" width="0" style="55" hidden="1" customWidth="1"/>
    <col min="14" max="14" width="8.5" style="55" hidden="1" customWidth="1"/>
    <col min="15" max="16384" width="8.5" style="55" hidden="1"/>
  </cols>
  <sheetData>
    <row r="1" spans="1:10" ht="0" hidden="1" customHeight="1" x14ac:dyDescent="0.2">
      <c r="A1" s="55" t="s">
        <v>609</v>
      </c>
    </row>
    <row r="2" spans="1:10" ht="36" customHeight="1" x14ac:dyDescent="0.2">
      <c r="A2" s="167" t="s">
        <v>610</v>
      </c>
      <c r="B2" s="164"/>
      <c r="C2" s="164"/>
      <c r="D2" s="164"/>
      <c r="E2" s="164"/>
      <c r="F2" s="164"/>
      <c r="G2" s="164"/>
      <c r="H2" s="164"/>
      <c r="I2" s="196" t="str">
        <f>'Auto Responses'!$A$36</f>
        <v>Version 4.1.5</v>
      </c>
      <c r="J2" s="165"/>
    </row>
    <row r="3" spans="1:10" ht="25.5" customHeight="1" x14ac:dyDescent="0.2">
      <c r="A3" s="93"/>
      <c r="B3" s="93"/>
      <c r="C3" s="93"/>
      <c r="D3" s="93"/>
      <c r="E3" s="93"/>
      <c r="F3" s="93"/>
      <c r="G3" s="93"/>
      <c r="H3" s="93"/>
      <c r="I3" s="93"/>
      <c r="J3" s="93"/>
    </row>
    <row r="4" spans="1:10" ht="36" customHeight="1" x14ac:dyDescent="0.2">
      <c r="A4" s="94" t="s">
        <v>611</v>
      </c>
      <c r="B4" s="95"/>
      <c r="C4" s="95"/>
      <c r="D4" s="95"/>
      <c r="E4" s="95"/>
      <c r="F4" s="95"/>
      <c r="G4" s="95"/>
      <c r="H4" s="95"/>
      <c r="I4" s="95"/>
      <c r="J4" s="95"/>
    </row>
    <row r="5" spans="1:10" s="256" customFormat="1" ht="19.5" customHeight="1" x14ac:dyDescent="0.2">
      <c r="A5" s="239" t="str">
        <f>HLOOKUP($A$4,'Auto Responses'!$F$2:$F$7,2,0)&amp;""</f>
        <v>1. Upon initial review, you can check the "Non-Negotiable" box by any question to compile a report of questions that may prohibit a full review.</v>
      </c>
      <c r="B5" s="239"/>
      <c r="C5" s="239"/>
      <c r="D5" s="239"/>
      <c r="E5" s="239"/>
      <c r="F5" s="239"/>
      <c r="G5" s="239"/>
      <c r="H5" s="239"/>
      <c r="I5" s="239"/>
      <c r="J5" s="239"/>
    </row>
    <row r="6" spans="1:10" s="256" customFormat="1" ht="19.5" customHeight="1" x14ac:dyDescent="0.2">
      <c r="A6" s="239" t="str">
        <f>HLOOKUP($A$4,'Auto Responses'!$F$2:$F$7,3,0)&amp;""</f>
        <v>2. When evaluating an answer, a default importance level has been set. You can use the "Importance Override" dropdown to override the default and adjust the value of the question.</v>
      </c>
      <c r="B6" s="239"/>
      <c r="C6" s="239"/>
      <c r="D6" s="239"/>
      <c r="E6" s="239"/>
      <c r="F6" s="239"/>
      <c r="G6" s="239"/>
      <c r="H6" s="239"/>
      <c r="I6" s="239"/>
      <c r="J6" s="239"/>
    </row>
    <row r="7" spans="1:10" s="256" customFormat="1" ht="19.5" customHeight="1" x14ac:dyDescent="0.2">
      <c r="A7" s="239" t="str">
        <f>HLOOKUP($A$4,'Auto Responses'!$F$2:$F$7,4,0)&amp;""</f>
        <v>3. For questions that are qualitative or for which you disagree with the preferred response, make a selection in the "Compliant Override" dropdown to adjust the question's impact on the score.</v>
      </c>
      <c r="B7" s="239"/>
      <c r="C7" s="239"/>
      <c r="D7" s="239"/>
      <c r="E7" s="239"/>
      <c r="F7" s="239"/>
      <c r="G7" s="239"/>
      <c r="H7" s="239"/>
      <c r="I7" s="239"/>
      <c r="J7" s="239"/>
    </row>
    <row r="8" spans="1:10" s="256" customFormat="1" ht="19.5" customHeight="1" x14ac:dyDescent="0.2">
      <c r="A8" s="239" t="str">
        <f>HLOOKUP($A$4,'Auto Responses'!$F$2:$F$7,5,0)&amp;""</f>
        <v xml:space="preserve">4. Each worksheet shows a report for that section. See the "Analyst Report" sheet for a full report of all sections. </v>
      </c>
      <c r="B8" s="239"/>
      <c r="C8" s="239"/>
      <c r="D8" s="239"/>
      <c r="E8" s="239"/>
      <c r="F8" s="239"/>
      <c r="G8" s="239"/>
      <c r="H8" s="239"/>
      <c r="I8" s="239"/>
      <c r="J8" s="239"/>
    </row>
    <row r="9" spans="1:10" s="256" customFormat="1" ht="19.5" customHeight="1" x14ac:dyDescent="0.2">
      <c r="A9" s="239" t="str">
        <f>HLOOKUP($A$4,'Auto Responses'!$F$2:$F$7,6,0)&amp;""</f>
        <v xml:space="preserve">5. If you are evaluating a question that appears in an earlier section, the Importance and Compliant Override cannot be changed but additional notes can be added. </v>
      </c>
      <c r="B9" s="239"/>
      <c r="C9" s="239"/>
      <c r="D9" s="239"/>
      <c r="E9" s="239"/>
      <c r="F9" s="239"/>
      <c r="G9" s="239"/>
      <c r="H9" s="239"/>
      <c r="I9" s="239"/>
      <c r="J9" s="239"/>
    </row>
    <row r="10" spans="1:10" ht="19.5" customHeight="1" thickBot="1" x14ac:dyDescent="0.25">
      <c r="A10" s="240" t="str">
        <f>HLOOKUP($A$4,'Auto Responses'!$F$2:$F$8,7,0)&amp;""</f>
        <v>For full instructions, please visit EDUCAUSE.edu/HECVAT</v>
      </c>
      <c r="B10" s="59"/>
      <c r="C10" s="59"/>
      <c r="D10" s="59"/>
      <c r="E10" s="59"/>
      <c r="F10" s="59"/>
      <c r="G10" s="59"/>
      <c r="H10" s="59"/>
      <c r="I10" s="59"/>
      <c r="J10" s="59"/>
    </row>
    <row r="11" spans="1:10" s="84" customFormat="1" ht="25.5" customHeight="1" x14ac:dyDescent="0.2">
      <c r="A11" s="149" t="str">
        <f>'START HERE'!$B$13</f>
        <v>Solution Provider Name</v>
      </c>
      <c r="B11" s="135"/>
      <c r="C11" s="129" t="str">
        <f ca="1">VLOOKUP($A11,'START HERE'!$B$13:$C$21,2,0)&amp;""</f>
        <v>Accredible (EdInvent Inc. d.b.a. Accredible)</v>
      </c>
      <c r="D11" s="130"/>
      <c r="E11" s="201"/>
      <c r="F11" s="204"/>
      <c r="G11" s="85"/>
      <c r="H11" s="90"/>
      <c r="I11" s="85"/>
      <c r="J11" s="85"/>
    </row>
    <row r="12" spans="1:10" s="84" customFormat="1" ht="25.5" customHeight="1" x14ac:dyDescent="0.2">
      <c r="A12" s="150" t="str">
        <f>'START HERE'!$B$16</f>
        <v>Solution Provider Contact Name</v>
      </c>
      <c r="B12" s="136"/>
      <c r="C12" s="128" t="str">
        <f>VLOOKUP($A12,'START HERE'!$B$13:$C$21,2,0)&amp;""</f>
        <v>Alan Heppenstall</v>
      </c>
      <c r="D12" s="92"/>
      <c r="E12" s="202"/>
      <c r="F12" s="204"/>
      <c r="G12" s="85"/>
      <c r="H12" s="90"/>
      <c r="I12" s="85"/>
      <c r="J12" s="85"/>
    </row>
    <row r="13" spans="1:10" s="84" customFormat="1" ht="25.5" customHeight="1" x14ac:dyDescent="0.2">
      <c r="A13" s="150" t="str">
        <f>'START HERE'!$B$17</f>
        <v>Solution Provider Contact Title</v>
      </c>
      <c r="B13" s="136"/>
      <c r="C13" s="128" t="str">
        <f>VLOOKUP($A13,'START HERE'!$B$13:$C$21,2,0)&amp;""</f>
        <v>CTO</v>
      </c>
      <c r="D13" s="92"/>
      <c r="E13" s="202"/>
      <c r="F13" s="204"/>
      <c r="G13" s="85"/>
      <c r="H13" s="90"/>
      <c r="I13" s="85"/>
      <c r="J13" s="85"/>
    </row>
    <row r="14" spans="1:10" s="84" customFormat="1" ht="25.5" customHeight="1" x14ac:dyDescent="0.2">
      <c r="A14" s="150" t="str">
        <f>'START HERE'!$B$18</f>
        <v>Solution Provider Contact Email</v>
      </c>
      <c r="B14" s="136"/>
      <c r="C14" s="128" t="str">
        <f>VLOOKUP($A14,'START HERE'!$B$13:$C$21,2,0)&amp;""</f>
        <v>alan@accredible.com</v>
      </c>
      <c r="D14" s="92"/>
      <c r="E14" s="202"/>
      <c r="F14" s="205"/>
    </row>
    <row r="15" spans="1:10" s="84" customFormat="1" ht="25.5" customHeight="1" x14ac:dyDescent="0.2">
      <c r="A15" s="150" t="str">
        <f>'START HERE'!$B$14</f>
        <v>Solution Name</v>
      </c>
      <c r="B15" s="136"/>
      <c r="C15" s="128" t="str">
        <f ca="1">VLOOKUP($A15,'START HERE'!$B$13:$C$21,2,0)&amp;""</f>
        <v>Accredible Digital Credentialing Platform</v>
      </c>
      <c r="D15" s="92"/>
      <c r="E15" s="202"/>
      <c r="F15" s="205"/>
    </row>
    <row r="16" spans="1:10" s="84" customFormat="1" ht="25.5" customHeight="1" x14ac:dyDescent="0.2">
      <c r="A16" s="150" t="str">
        <f>'START HERE'!$B$15</f>
        <v>Solution Description</v>
      </c>
      <c r="B16" s="136"/>
      <c r="C16" s="128" t="str">
        <f ca="1">VLOOKUP($A16,'START HERE'!$B$13:$C$21,2,0)&amp;""</f>
        <v>Accredible is a cloud-hosted, multi-tenant Software as a Service (SaaS) digital credentialing platform that enables organizations to design, issue, manage, and verify digital credentials including certificates and badges.</v>
      </c>
      <c r="D16" s="92"/>
      <c r="E16" s="202"/>
      <c r="F16" s="205"/>
    </row>
    <row r="17" spans="1:11" s="84" customFormat="1" ht="25.5" customHeight="1" thickBot="1" x14ac:dyDescent="0.25">
      <c r="A17" s="151" t="s">
        <v>612</v>
      </c>
      <c r="B17" s="137"/>
      <c r="C17" s="296" t="str">
        <f>'START HERE'!$C$3</f>
        <v>2025-04-08</v>
      </c>
      <c r="D17" s="133"/>
      <c r="E17" s="203"/>
      <c r="F17" s="205"/>
    </row>
    <row r="18" spans="1:11" s="84" customFormat="1" ht="24.75" customHeight="1" x14ac:dyDescent="0.2">
      <c r="A18" s="85"/>
      <c r="B18" s="85"/>
      <c r="C18" s="245"/>
      <c r="D18" s="91"/>
      <c r="E18" s="85"/>
      <c r="F18" s="85"/>
      <c r="G18" s="85"/>
      <c r="H18" s="86"/>
      <c r="I18" s="86"/>
      <c r="J18" s="86"/>
    </row>
    <row r="19" spans="1:11" s="82" customFormat="1" ht="24" customHeight="1" thickBot="1" x14ac:dyDescent="0.25">
      <c r="A19" s="321"/>
      <c r="B19" s="322"/>
      <c r="C19" s="322"/>
      <c r="D19" s="83"/>
    </row>
    <row r="20" spans="1:11" ht="30" customHeight="1" thickBot="1" x14ac:dyDescent="0.25">
      <c r="A20" s="257" t="s">
        <v>613</v>
      </c>
      <c r="B20" s="78" t="s">
        <v>614</v>
      </c>
      <c r="C20" s="104" t="s">
        <v>615</v>
      </c>
      <c r="D20" s="77" t="s">
        <v>616</v>
      </c>
      <c r="E20" s="103" t="s">
        <v>617</v>
      </c>
      <c r="F20" s="103" t="s">
        <v>618</v>
      </c>
      <c r="G20" s="119" t="s">
        <v>619</v>
      </c>
      <c r="H20" s="120"/>
      <c r="I20" s="121"/>
    </row>
    <row r="21" spans="1:11" s="79" customFormat="1" ht="40.5" customHeight="1" x14ac:dyDescent="0.2">
      <c r="B21" s="80" t="str">
        <f>VLOOKUP($K21,'Auto Responses'!$N$4:$O$38,2,0)&amp;""</f>
        <v xml:space="preserve"> Company Information</v>
      </c>
      <c r="C21" s="111" t="b">
        <v>1</v>
      </c>
      <c r="D21" s="105">
        <f>IF($C21=TRUE,SUMIF('(backend scoring)'!$B$3:$B$333,$K21,'(backend scoring)'!$O$3:$O$333),"")</f>
        <v>20</v>
      </c>
      <c r="E21" s="112">
        <f>IF($C21=TRUE,SUMIF('(backend scoring)'!$B$3:$B$333,$K21,'(backend scoring)'!$P$3:$P$333),"")</f>
        <v>20</v>
      </c>
      <c r="F21" s="139">
        <f>IFERROR($E21/$D21,'Auto Responses'!$J$5)</f>
        <v>1</v>
      </c>
      <c r="G21" s="212" t="str">
        <f t="shared" ref="G21:G37" si="0">$G$20&amp;B21</f>
        <v>Jump to Company Information</v>
      </c>
      <c r="H21" s="114"/>
      <c r="I21" s="116"/>
      <c r="K21" s="315" t="s">
        <v>620</v>
      </c>
    </row>
    <row r="22" spans="1:11" s="79" customFormat="1" ht="40.5" customHeight="1" x14ac:dyDescent="0.2">
      <c r="A22" s="251"/>
      <c r="B22" s="80" t="str">
        <f>VLOOKUP($K22,'Auto Responses'!$N$4:$O$38,2,0)&amp;""</f>
        <v xml:space="preserve"> Documentation</v>
      </c>
      <c r="C22" s="111" t="b">
        <v>1</v>
      </c>
      <c r="D22" s="105">
        <f>IF($C22=TRUE,SUMIF('(backend scoring)'!$B$3:$B$333,$K22,'(backend scoring)'!$O$3:$O$333),"")</f>
        <v>90</v>
      </c>
      <c r="E22" s="112">
        <f>IF($C22=TRUE,SUMIF('(backend scoring)'!$B$3:$B$333,$K22,'(backend scoring)'!$P$3:$P$333),"")</f>
        <v>90</v>
      </c>
      <c r="F22" s="138">
        <f>IFERROR($E22/$D22,'Auto Responses'!$J$5)</f>
        <v>1</v>
      </c>
      <c r="G22" s="212" t="str">
        <f t="shared" si="0"/>
        <v>Jump to Documentation</v>
      </c>
      <c r="H22" s="113"/>
      <c r="I22" s="117"/>
      <c r="K22" s="315" t="s">
        <v>621</v>
      </c>
    </row>
    <row r="23" spans="1:11" s="79" customFormat="1" ht="40.5" customHeight="1" x14ac:dyDescent="0.2">
      <c r="A23" s="251"/>
      <c r="B23" s="80" t="str">
        <f>VLOOKUP($K23,'Auto Responses'!$N$4:$O$38,2,0)&amp;""</f>
        <v xml:space="preserve"> Assessment of Third Parties</v>
      </c>
      <c r="C23" s="111" t="b">
        <v>1</v>
      </c>
      <c r="D23" s="105">
        <f>IF($C23=TRUE,SUMIF('(backend scoring)'!$B$3:$B$333,$K23,'(backend scoring)'!$O$3:$O$333),"")</f>
        <v>90</v>
      </c>
      <c r="E23" s="112">
        <f>IF($C23=TRUE,SUMIF('(backend scoring)'!$B$3:$B$333,$K23,'(backend scoring)'!$P$3:$P$333),"")</f>
        <v>90</v>
      </c>
      <c r="F23" s="138">
        <f>IFERROR($E23/$D23,'Auto Responses'!$J$5)</f>
        <v>1</v>
      </c>
      <c r="G23" s="212" t="str">
        <f t="shared" si="0"/>
        <v>Jump to Assessment of Third Parties</v>
      </c>
      <c r="H23" s="113"/>
      <c r="I23" s="117"/>
      <c r="K23" s="315" t="s">
        <v>622</v>
      </c>
    </row>
    <row r="24" spans="1:11" s="79" customFormat="1" ht="40.5" customHeight="1" x14ac:dyDescent="0.2">
      <c r="B24" s="80" t="str">
        <f>VLOOKUP($K24,'Auto Responses'!$N$4:$O$38,2,0)&amp;""</f>
        <v xml:space="preserve"> Change Management</v>
      </c>
      <c r="C24" s="111" t="b">
        <v>1</v>
      </c>
      <c r="D24" s="105">
        <f>IF($C24=TRUE,SUMIF('(backend scoring)'!$B$3:$B$333,$K24,'(backend scoring)'!$O$3:$O$333),"")</f>
        <v>150</v>
      </c>
      <c r="E24" s="112">
        <f>IF($C24=TRUE,SUMIF('(backend scoring)'!$B$3:$B$333,$K24,'(backend scoring)'!$P$3:$P$333),"")</f>
        <v>145</v>
      </c>
      <c r="F24" s="138">
        <f>IFERROR($E24/$D24,'Auto Responses'!$J$5)</f>
        <v>0.96666666666666667</v>
      </c>
      <c r="G24" s="212" t="str">
        <f t="shared" si="0"/>
        <v>Jump to Change Management</v>
      </c>
      <c r="H24" s="113"/>
      <c r="I24" s="117"/>
      <c r="K24" s="315" t="s">
        <v>623</v>
      </c>
    </row>
    <row r="25" spans="1:11" s="79" customFormat="1" ht="40.5" customHeight="1" x14ac:dyDescent="0.2">
      <c r="B25" s="80" t="str">
        <f>VLOOKUP($K25,'Auto Responses'!$N$4:$O$38,2,0)&amp;""</f>
        <v xml:space="preserve"> Policies, Processes, and Procedures</v>
      </c>
      <c r="C25" s="111" t="b">
        <v>1</v>
      </c>
      <c r="D25" s="105">
        <f>IF($C25=TRUE,SUMIF('(backend scoring)'!$B$3:$B$333,$K25,'(backend scoring)'!$O$3:$O$333),"")</f>
        <v>145</v>
      </c>
      <c r="E25" s="112">
        <f>IF($C25=TRUE,SUMIF('(backend scoring)'!$B$3:$B$333,$K25,'(backend scoring)'!$P$3:$P$333),"")</f>
        <v>145</v>
      </c>
      <c r="F25" s="138">
        <f>IFERROR($E25/$D25,'Auto Responses'!$J$5)</f>
        <v>1</v>
      </c>
      <c r="G25" s="212" t="str">
        <f t="shared" si="0"/>
        <v>Jump to Policies, Processes, and Procedures</v>
      </c>
      <c r="H25" s="113"/>
      <c r="I25" s="117"/>
      <c r="K25" s="315" t="s">
        <v>624</v>
      </c>
    </row>
    <row r="26" spans="1:11" s="79" customFormat="1" ht="40.5" customHeight="1" x14ac:dyDescent="0.2">
      <c r="B26" s="80" t="str">
        <f>VLOOKUP($K26,'Auto Responses'!$N$4:$O$38,2,0)&amp;""</f>
        <v xml:space="preserve"> Authentication, Authorization, and Account Management</v>
      </c>
      <c r="C26" s="111" t="b">
        <v>1</v>
      </c>
      <c r="D26" s="105">
        <f>IF($C26=TRUE,SUMIF('(backend scoring)'!$B$3:$B$333,$K26,'(backend scoring)'!$O$3:$O$333),"")</f>
        <v>250</v>
      </c>
      <c r="E26" s="112">
        <f>IF($C26=TRUE,SUMIF('(backend scoring)'!$B$3:$B$333,$K26,'(backend scoring)'!$P$3:$P$333),"")</f>
        <v>210</v>
      </c>
      <c r="F26" s="138">
        <f>IFERROR($E26/$D26,'Auto Responses'!$J$5)</f>
        <v>0.84</v>
      </c>
      <c r="G26" s="212" t="str">
        <f t="shared" si="0"/>
        <v>Jump to Authentication, Authorization, and Account Management</v>
      </c>
      <c r="H26" s="113"/>
      <c r="I26" s="117"/>
      <c r="K26" s="315" t="s">
        <v>625</v>
      </c>
    </row>
    <row r="27" spans="1:11" s="79" customFormat="1" ht="40.5" customHeight="1" x14ac:dyDescent="0.2">
      <c r="B27" s="80" t="str">
        <f>VLOOKUP($K27,'Auto Responses'!$N$4:$O$38,2,0)&amp;""</f>
        <v xml:space="preserve"> Data</v>
      </c>
      <c r="C27" s="111" t="b">
        <v>1</v>
      </c>
      <c r="D27" s="105">
        <f>IF($C27=TRUE,SUMIF('(backend scoring)'!$B$3:$B$333,$K27,'(backend scoring)'!$O$3:$O$333),"")</f>
        <v>280</v>
      </c>
      <c r="E27" s="112">
        <f>IF($C27=TRUE,SUMIF('(backend scoring)'!$B$3:$B$333,$K27,'(backend scoring)'!$P$3:$P$333),"")</f>
        <v>190</v>
      </c>
      <c r="F27" s="138">
        <f>IFERROR($E27/$D27,'Auto Responses'!$J$5)</f>
        <v>0.6785714285714286</v>
      </c>
      <c r="G27" s="212" t="str">
        <f t="shared" si="0"/>
        <v>Jump to Data</v>
      </c>
      <c r="H27" s="113"/>
      <c r="I27" s="117"/>
      <c r="K27" s="315" t="s">
        <v>626</v>
      </c>
    </row>
    <row r="28" spans="1:11" s="79" customFormat="1" ht="40.5" customHeight="1" x14ac:dyDescent="0.2">
      <c r="B28" s="80" t="str">
        <f>VLOOKUP($K28,'Auto Responses'!$N$4:$O$38,2,0)&amp;""</f>
        <v xml:space="preserve"> Application/Service Security</v>
      </c>
      <c r="C28" s="111" t="b">
        <v>1</v>
      </c>
      <c r="D28" s="105">
        <f>IF($C28=TRUE,SUMIF('(backend scoring)'!$B$3:$B$333,$K28,'(backend scoring)'!$O$3:$O$333),"")</f>
        <v>195</v>
      </c>
      <c r="E28" s="112">
        <f>IF($C28=TRUE,SUMIF('(backend scoring)'!$B$3:$B$333,$K28,'(backend scoring)'!$P$3:$P$333),"")</f>
        <v>195</v>
      </c>
      <c r="F28" s="138">
        <f>IFERROR($E28/$D28,'Auto Responses'!$J$5)</f>
        <v>1</v>
      </c>
      <c r="G28" s="212" t="str">
        <f t="shared" si="0"/>
        <v>Jump to Application/Service Security</v>
      </c>
      <c r="H28" s="113"/>
      <c r="I28" s="117"/>
      <c r="K28" s="315" t="s">
        <v>627</v>
      </c>
    </row>
    <row r="29" spans="1:11" s="79" customFormat="1" ht="40.5" customHeight="1" x14ac:dyDescent="0.2">
      <c r="B29" s="80" t="str">
        <f>VLOOKUP($K29,'Auto Responses'!$N$4:$O$38,2,0)&amp;""</f>
        <v xml:space="preserve"> Datacenter</v>
      </c>
      <c r="C29" s="111" t="b">
        <v>1</v>
      </c>
      <c r="D29" s="105">
        <f>IF($C29=TRUE,SUMIF('(backend scoring)'!$B$3:$B$333,$K29,'(backend scoring)'!$O$3:$O$333),"")</f>
        <v>110</v>
      </c>
      <c r="E29" s="112">
        <f>IF($C29=TRUE,SUMIF('(backend scoring)'!$B$3:$B$333,$K29,'(backend scoring)'!$P$3:$P$333),"")</f>
        <v>110</v>
      </c>
      <c r="F29" s="138">
        <f>IFERROR($E29/$D29,'Auto Responses'!$J$5)</f>
        <v>1</v>
      </c>
      <c r="G29" s="212" t="str">
        <f t="shared" si="0"/>
        <v>Jump to Datacenter</v>
      </c>
      <c r="H29" s="113"/>
      <c r="I29" s="117"/>
      <c r="K29" s="315" t="s">
        <v>628</v>
      </c>
    </row>
    <row r="30" spans="1:11" s="79" customFormat="1" ht="40.5" customHeight="1" x14ac:dyDescent="0.2">
      <c r="B30" s="80" t="str">
        <f>VLOOKUP($K30,'Auto Responses'!$N$4:$O$38,2,0)&amp;""</f>
        <v xml:space="preserve"> Firewalls, IDS, IPS, and Networking</v>
      </c>
      <c r="C30" s="111" t="b">
        <v>1</v>
      </c>
      <c r="D30" s="105">
        <f>IF($C30=TRUE,SUMIF('(backend scoring)'!$B$3:$B$333,$K30,'(backend scoring)'!$O$3:$O$333),"")</f>
        <v>145</v>
      </c>
      <c r="E30" s="112">
        <f>IF($C30=TRUE,SUMIF('(backend scoring)'!$B$3:$B$333,$K30,'(backend scoring)'!$P$3:$P$333),"")</f>
        <v>145</v>
      </c>
      <c r="F30" s="138">
        <f>IFERROR($E30/$D30,'Auto Responses'!$J$5)</f>
        <v>1</v>
      </c>
      <c r="G30" s="212" t="str">
        <f t="shared" si="0"/>
        <v>Jump to Firewalls, IDS, IPS, and Networking</v>
      </c>
      <c r="H30" s="113"/>
      <c r="I30" s="117"/>
      <c r="K30" s="315" t="s">
        <v>629</v>
      </c>
    </row>
    <row r="31" spans="1:11" s="79" customFormat="1" ht="40.5" customHeight="1" x14ac:dyDescent="0.2">
      <c r="B31" s="80" t="str">
        <f>VLOOKUP($K31,'Auto Responses'!$N$4:$O$38,2,0)&amp;""</f>
        <v xml:space="preserve"> Incident Handling</v>
      </c>
      <c r="C31" s="111" t="b">
        <v>1</v>
      </c>
      <c r="D31" s="105">
        <f>IF($C31=TRUE,SUMIF('(backend scoring)'!$B$3:$B$333,$K31,'(backend scoring)'!$O$3:$O$333),"")</f>
        <v>25</v>
      </c>
      <c r="E31" s="112">
        <f>IF($C31=TRUE,SUMIF('(backend scoring)'!$B$3:$B$333,$K31,'(backend scoring)'!$P$3:$P$333),"")</f>
        <v>25</v>
      </c>
      <c r="F31" s="138">
        <f>IFERROR($E31/$D31,'Auto Responses'!$J$5)</f>
        <v>1</v>
      </c>
      <c r="G31" s="212" t="str">
        <f t="shared" si="0"/>
        <v>Jump to Incident Handling</v>
      </c>
      <c r="H31" s="113"/>
      <c r="I31" s="117"/>
      <c r="K31" s="315" t="s">
        <v>630</v>
      </c>
    </row>
    <row r="32" spans="1:11" s="79" customFormat="1" ht="40.5" customHeight="1" x14ac:dyDescent="0.2">
      <c r="B32" s="80" t="str">
        <f>VLOOKUP($K32,'Auto Responses'!$N$4:$O$38,2,0)&amp;""</f>
        <v xml:space="preserve"> Vulnerability Management</v>
      </c>
      <c r="C32" s="111" t="b">
        <v>1</v>
      </c>
      <c r="D32" s="105">
        <f>IF($C32=TRUE,SUMIF('(backend scoring)'!$B$3:$B$333,$K32,'(backend scoring)'!$O$3:$O$333),"")</f>
        <v>85</v>
      </c>
      <c r="E32" s="112">
        <f>IF($C32=TRUE,SUMIF('(backend scoring)'!$B$3:$B$333,$K32,'(backend scoring)'!$P$3:$P$333),"")</f>
        <v>85</v>
      </c>
      <c r="F32" s="138">
        <f>IFERROR($E32/$D32,'Auto Responses'!$J$5)</f>
        <v>1</v>
      </c>
      <c r="G32" s="212" t="str">
        <f t="shared" si="0"/>
        <v>Jump to Vulnerability Management</v>
      </c>
      <c r="H32" s="113"/>
      <c r="I32" s="117"/>
      <c r="K32" s="315" t="s">
        <v>631</v>
      </c>
    </row>
    <row r="33" spans="1:13" s="79" customFormat="1" ht="40.5" customHeight="1" x14ac:dyDescent="0.2">
      <c r="B33" s="80" t="str">
        <f>VLOOKUP($K33,'Auto Responses'!$N$4:$O$38,2,0)&amp;""</f>
        <v xml:space="preserve"> Consulting Services</v>
      </c>
      <c r="C33" s="111" t="b">
        <v>1</v>
      </c>
      <c r="D33" s="105">
        <f>IF($C33=TRUE,SUMIF('(backend scoring)'!$B$3:$B$333,$K33,'(backend scoring)'!$O$3:$O$333),"")</f>
        <v>0</v>
      </c>
      <c r="E33" s="112">
        <f>IF($C33=TRUE,SUMIF('(backend scoring)'!$B$3:$B$333,$K33,'(backend scoring)'!$P$3:$P$333),"")</f>
        <v>0</v>
      </c>
      <c r="F33" s="138" t="str">
        <f>IFERROR($E33/$D33,'Auto Responses'!$J$5)</f>
        <v>N/A</v>
      </c>
      <c r="G33" s="212" t="str">
        <f t="shared" si="0"/>
        <v>Jump to Consulting Services</v>
      </c>
      <c r="H33" s="113"/>
      <c r="I33" s="117"/>
      <c r="K33" s="315" t="s">
        <v>632</v>
      </c>
    </row>
    <row r="34" spans="1:13" s="79" customFormat="1" ht="40.5" customHeight="1" x14ac:dyDescent="0.2">
      <c r="B34" s="80" t="str">
        <f>VLOOKUP($K34,'Auto Responses'!$N$4:$O$38,2,0)&amp;""</f>
        <v xml:space="preserve">HIPAA Compliance </v>
      </c>
      <c r="C34" s="111" t="b">
        <v>1</v>
      </c>
      <c r="D34" s="105">
        <f>IF($C34=TRUE,SUMIF('(backend scoring)'!$B$3:$B$333,$K34,'(backend scoring)'!$O$3:$O$333),"")</f>
        <v>0</v>
      </c>
      <c r="E34" s="112">
        <f>IF($C34=TRUE,SUMIF('(backend scoring)'!$B$3:$B$333,$K34,'(backend scoring)'!$P$3:$P$333),"")</f>
        <v>0</v>
      </c>
      <c r="F34" s="138" t="str">
        <f>IFERROR($E34/$D34,'Auto Responses'!$J$5)</f>
        <v>N/A</v>
      </c>
      <c r="G34" s="212" t="str">
        <f t="shared" si="0"/>
        <v xml:space="preserve">Jump toHIPAA Compliance </v>
      </c>
      <c r="H34" s="113"/>
      <c r="I34" s="117"/>
      <c r="K34" s="315" t="s">
        <v>633</v>
      </c>
    </row>
    <row r="35" spans="1:13" s="79" customFormat="1" ht="40.5" customHeight="1" x14ac:dyDescent="0.2">
      <c r="B35" s="80" t="str">
        <f>VLOOKUP($K35,'Auto Responses'!$N$4:$O$38,2,0)&amp;""</f>
        <v xml:space="preserve"> Payment Card Industry Data Security Standard (PCI DSS)</v>
      </c>
      <c r="C35" s="111" t="b">
        <v>1</v>
      </c>
      <c r="D35" s="105">
        <f>IF($C35=TRUE,SUMIF('(backend scoring)'!$B$3:$B$333,$K35,'(backend scoring)'!$O$3:$O$333),"")</f>
        <v>0</v>
      </c>
      <c r="E35" s="112">
        <f>IF($C35=TRUE,SUMIF('(backend scoring)'!$B$3:$B$333,$K35,'(backend scoring)'!$P$3:$P$333),"")</f>
        <v>0</v>
      </c>
      <c r="F35" s="138" t="str">
        <f>IFERROR($E35/$D35,'Auto Responses'!$J$5)</f>
        <v>N/A</v>
      </c>
      <c r="G35" s="212" t="str">
        <f t="shared" si="0"/>
        <v>Jump to Payment Card Industry Data Security Standard (PCI DSS)</v>
      </c>
      <c r="H35" s="113"/>
      <c r="I35" s="117"/>
      <c r="K35" s="315" t="s">
        <v>634</v>
      </c>
    </row>
    <row r="36" spans="1:13" s="79" customFormat="1" ht="40.5" customHeight="1" x14ac:dyDescent="0.2">
      <c r="B36" s="80" t="str">
        <f>VLOOKUP($K36,'Auto Responses'!$N$4:$O$38,2,0)&amp;""</f>
        <v xml:space="preserve"> On-Premises Data Solutions</v>
      </c>
      <c r="C36" s="111" t="b">
        <v>1</v>
      </c>
      <c r="D36" s="105">
        <f>IF($C36=TRUE,SUMIF('(backend scoring)'!$B$3:$B$333,$K36,'(backend scoring)'!$O$3:$O$333),"")</f>
        <v>0</v>
      </c>
      <c r="E36" s="112">
        <f>IF($C36=TRUE,SUMIF('(backend scoring)'!$B$3:$B$333,$K36,'(backend scoring)'!$P$3:$P$333),"")</f>
        <v>0</v>
      </c>
      <c r="F36" s="138" t="str">
        <f>IFERROR($E36/$D36,'Auto Responses'!$J$5)</f>
        <v>N/A</v>
      </c>
      <c r="G36" s="212" t="str">
        <f t="shared" si="0"/>
        <v>Jump to On-Premises Data Solutions</v>
      </c>
      <c r="H36" s="113"/>
      <c r="I36" s="117"/>
      <c r="K36" s="315" t="s">
        <v>635</v>
      </c>
    </row>
    <row r="37" spans="1:13" s="79" customFormat="1" ht="40.5" customHeight="1" x14ac:dyDescent="0.2">
      <c r="B37" s="80" t="str">
        <f>VLOOKUP($K37,'Auto Responses'!$N$4:$O$38,2,0)&amp;""</f>
        <v xml:space="preserve"> IT Accessibility</v>
      </c>
      <c r="C37" s="111" t="b">
        <v>1</v>
      </c>
      <c r="D37" s="105">
        <f>IF($C37=TRUE,SUMIF('(backend scoring)'!$B$3:$B$333,$K37,'(backend scoring)'!$O$3:$O$333),"")</f>
        <v>170</v>
      </c>
      <c r="E37" s="112">
        <f>IF($C37=TRUE,SUMIF('(backend scoring)'!$B$3:$B$333,$K37,'(backend scoring)'!$P$3:$P$333),"")</f>
        <v>170</v>
      </c>
      <c r="F37" s="138">
        <f>IFERROR($E37/$D37,'Auto Responses'!$J$5)</f>
        <v>1</v>
      </c>
      <c r="G37" s="212" t="str">
        <f t="shared" si="0"/>
        <v>Jump to IT Accessibility</v>
      </c>
      <c r="H37" s="113"/>
      <c r="I37" s="117"/>
      <c r="K37" s="315" t="s">
        <v>636</v>
      </c>
    </row>
    <row r="38" spans="1:13" s="79" customFormat="1" ht="40.5" customHeight="1" x14ac:dyDescent="0.2">
      <c r="B38" s="80" t="s">
        <v>637</v>
      </c>
      <c r="C38" s="111" t="b">
        <v>1</v>
      </c>
      <c r="D38" s="144">
        <f>IF($C38=TRUE,SUMIF('(backend scoring)'!$E$3:$E$333,'Auto Responses'!$L$20,'(backend scoring)'!$O$3:$O$333),"")</f>
        <v>305</v>
      </c>
      <c r="E38" s="144">
        <f>IF($C38=TRUE,SUMIF('(backend scoring)'!$E$3:$E$333,'Auto Responses'!$L$20,'(backend scoring)'!$P$3:$P$333),"")</f>
        <v>305</v>
      </c>
      <c r="F38" s="138">
        <f>IFERROR($E38/$D38,'Auto Responses'!$J$5)</f>
        <v>1</v>
      </c>
      <c r="G38" s="213" t="str">
        <f>"Jump to AI Questions"</f>
        <v>Jump to AI Questions</v>
      </c>
      <c r="H38" s="113"/>
      <c r="I38" s="117"/>
    </row>
    <row r="39" spans="1:13" s="79" customFormat="1" ht="40.5" customHeight="1" thickBot="1" x14ac:dyDescent="0.25">
      <c r="B39" s="140" t="s">
        <v>638</v>
      </c>
      <c r="C39" s="141" t="b">
        <v>1</v>
      </c>
      <c r="D39" s="142">
        <f>IF($C39=TRUE,'Privacy Analyst Evaluation'!$D$31,"")</f>
        <v>530</v>
      </c>
      <c r="E39" s="142">
        <f>IF($C39=TRUE,'Privacy Analyst Evaluation'!$E$31,"")</f>
        <v>460</v>
      </c>
      <c r="F39" s="143">
        <f>IFERROR($E39/$D39,'Auto Responses'!$J$5)</f>
        <v>0.86792452830188682</v>
      </c>
      <c r="G39" s="214" t="str">
        <f>"Jump to Privacy Scorecard"</f>
        <v>Jump to Privacy Scorecard</v>
      </c>
      <c r="H39" s="115"/>
      <c r="I39" s="118"/>
    </row>
    <row r="40" spans="1:13" s="79" customFormat="1" ht="30" customHeight="1" thickBot="1" x14ac:dyDescent="0.2">
      <c r="B40" s="78" t="s">
        <v>639</v>
      </c>
      <c r="C40" s="104"/>
      <c r="D40" s="106">
        <f>SUM(D21:D39)</f>
        <v>2590</v>
      </c>
      <c r="E40" s="106">
        <f>SUM(E21:E39)</f>
        <v>2385</v>
      </c>
      <c r="F40" s="76">
        <f>IFERROR(E40/D40,'Auto Responses'!$J$5)</f>
        <v>0.9208494208494209</v>
      </c>
      <c r="G40" s="122"/>
      <c r="H40" s="123"/>
      <c r="I40" s="124"/>
      <c r="J40" s="228" t="s">
        <v>361</v>
      </c>
    </row>
    <row r="41" spans="1:13" ht="15" customHeight="1" x14ac:dyDescent="0.2">
      <c r="F41" s="55" t="s">
        <v>640</v>
      </c>
    </row>
    <row r="42" spans="1:13" ht="15" customHeight="1" x14ac:dyDescent="0.2"/>
    <row r="43" spans="1:13" ht="15" customHeight="1" x14ac:dyDescent="0.2"/>
    <row r="44" spans="1:13" s="23" customFormat="1" ht="36" customHeight="1" x14ac:dyDescent="0.15">
      <c r="A44" s="166" t="s">
        <v>641</v>
      </c>
      <c r="B44" s="166"/>
      <c r="C44" s="170"/>
      <c r="D44" s="166"/>
      <c r="E44" s="166"/>
      <c r="F44" s="166"/>
      <c r="G44" s="166"/>
      <c r="H44" s="166"/>
      <c r="I44" s="166"/>
      <c r="J44" s="166"/>
      <c r="K44" s="166"/>
      <c r="L44" s="55"/>
      <c r="M44" s="1"/>
    </row>
    <row r="45" spans="1:13" s="23" customFormat="1" ht="36" customHeight="1" x14ac:dyDescent="0.15">
      <c r="A45" s="24" t="s">
        <v>642</v>
      </c>
      <c r="B45" s="24"/>
      <c r="C45" s="66"/>
      <c r="D45" s="24"/>
      <c r="E45" s="24"/>
      <c r="F45" s="24"/>
      <c r="G45" s="24"/>
      <c r="H45" s="24"/>
      <c r="I45" s="24"/>
      <c r="J45" s="24"/>
      <c r="K45" s="24"/>
      <c r="L45" s="55"/>
      <c r="M45" s="1"/>
    </row>
    <row r="46" spans="1:13" s="1" customFormat="1" ht="36" customHeight="1" x14ac:dyDescent="0.15">
      <c r="A46" s="11" t="s">
        <v>611</v>
      </c>
      <c r="B46" s="12"/>
      <c r="C46" s="13"/>
      <c r="D46" s="14"/>
      <c r="E46" s="14"/>
      <c r="F46" s="15"/>
      <c r="G46" s="15"/>
      <c r="H46" s="15"/>
      <c r="I46" s="15"/>
      <c r="J46" s="15"/>
      <c r="K46" s="15"/>
      <c r="L46" s="55"/>
    </row>
    <row r="47" spans="1:13" s="1" customFormat="1" ht="19.5" customHeight="1" x14ac:dyDescent="0.15">
      <c r="A47" s="239" t="str">
        <f>HLOOKUP($A$4,'Auto Responses'!$F$2:$F$7,2,0)&amp;""</f>
        <v>1. Upon initial review, you can check the "Non-Negotiable" box by any question to compile a report of questions that may prohibit a full review.</v>
      </c>
      <c r="B47" s="59"/>
      <c r="C47" s="59"/>
      <c r="D47" s="59"/>
      <c r="E47" s="59"/>
      <c r="F47" s="59"/>
      <c r="G47" s="59"/>
      <c r="H47" s="59"/>
      <c r="I47" s="59"/>
      <c r="J47" s="59"/>
      <c r="K47" s="16"/>
      <c r="L47" s="55"/>
    </row>
    <row r="48" spans="1:13" s="1" customFormat="1" ht="19.5" customHeight="1" x14ac:dyDescent="0.15">
      <c r="A48" s="239" t="str">
        <f>HLOOKUP($A$4,'Auto Responses'!$F$2:$F$7,3,0)&amp;""</f>
        <v>2. When evaluating an answer, a default importance level has been set. You can use the "Importance Override" dropdown to override the default and adjust the value of the question.</v>
      </c>
      <c r="B48" s="59"/>
      <c r="C48" s="59"/>
      <c r="D48" s="59"/>
      <c r="E48" s="59"/>
      <c r="F48" s="59"/>
      <c r="G48" s="59"/>
      <c r="H48" s="59"/>
      <c r="I48" s="59"/>
      <c r="J48" s="59"/>
      <c r="K48" s="16"/>
      <c r="L48" s="55"/>
    </row>
    <row r="49" spans="1:13" s="1" customFormat="1" ht="19.5" customHeight="1" x14ac:dyDescent="0.15">
      <c r="A49" s="239" t="str">
        <f>HLOOKUP($A$4,'Auto Responses'!$F$2:$F$7,4,0)&amp;""</f>
        <v>3. For questions that are qualitative or for which you disagree with the preferred response, make a selection in the "Compliant Override" dropdown to adjust the question's impact on the score.</v>
      </c>
      <c r="B49" s="59"/>
      <c r="C49" s="59"/>
      <c r="D49" s="59"/>
      <c r="E49" s="59"/>
      <c r="F49" s="59"/>
      <c r="G49" s="59"/>
      <c r="H49" s="59"/>
      <c r="I49" s="59"/>
      <c r="J49" s="59"/>
      <c r="K49" s="16"/>
      <c r="L49" s="55"/>
    </row>
    <row r="50" spans="1:13" s="1" customFormat="1" ht="19.5" customHeight="1" x14ac:dyDescent="0.15">
      <c r="A50" s="239" t="str">
        <f>HLOOKUP($A$4,'Auto Responses'!$F$2:$F$7,5,0)&amp;""</f>
        <v xml:space="preserve">4. Each worksheet shows a report for that section. See the "Analyst Report" sheet for a full report of all sections. </v>
      </c>
      <c r="B50" s="59"/>
      <c r="C50" s="59"/>
      <c r="D50" s="59"/>
      <c r="E50" s="59"/>
      <c r="F50" s="59"/>
      <c r="G50" s="59"/>
      <c r="H50" s="59"/>
      <c r="I50" s="59"/>
      <c r="J50" s="59"/>
      <c r="K50" s="16"/>
      <c r="L50" s="55"/>
    </row>
    <row r="51" spans="1:13" s="1" customFormat="1" ht="19.5" customHeight="1" x14ac:dyDescent="0.15">
      <c r="A51" s="239" t="str">
        <f>HLOOKUP($A$4,'Auto Responses'!$F$2:$F$7,6,0)&amp;""</f>
        <v xml:space="preserve">5. If you are evaluating a question that appears in an earlier section, the Importance and Compliant Override cannot be changed but additional notes can be added. </v>
      </c>
      <c r="B51" s="59"/>
      <c r="C51" s="59"/>
      <c r="D51" s="59"/>
      <c r="E51" s="59"/>
      <c r="F51" s="59"/>
      <c r="G51" s="59"/>
      <c r="H51" s="59"/>
      <c r="I51" s="59"/>
      <c r="J51" s="59"/>
      <c r="K51" s="16"/>
      <c r="L51" s="55"/>
    </row>
    <row r="52" spans="1:13" s="1" customFormat="1" ht="19.5" customHeight="1" thickBot="1" x14ac:dyDescent="0.2">
      <c r="A52" s="240" t="str">
        <f>HLOOKUP($A$4,'Auto Responses'!$F$2:$F$8,7,0)&amp;""</f>
        <v>For full instructions, please visit EDUCAUSE.edu/HECVAT</v>
      </c>
      <c r="B52" s="59"/>
      <c r="C52" s="59"/>
      <c r="D52" s="59"/>
      <c r="E52" s="59"/>
      <c r="F52" s="59"/>
      <c r="G52" s="59"/>
      <c r="H52" s="59"/>
      <c r="I52" s="59"/>
      <c r="J52" s="59"/>
      <c r="K52" s="16"/>
      <c r="L52" s="55"/>
    </row>
    <row r="53" spans="1:13" s="23" customFormat="1" ht="41.25" customHeight="1" thickBot="1" x14ac:dyDescent="0.2">
      <c r="A53" s="25"/>
      <c r="B53" s="25"/>
      <c r="C53" s="67"/>
      <c r="D53" s="25"/>
      <c r="E53" s="25"/>
      <c r="F53" s="180" t="s">
        <v>354</v>
      </c>
      <c r="G53" s="173" t="s">
        <v>643</v>
      </c>
      <c r="H53" s="174"/>
      <c r="I53" s="174"/>
      <c r="J53" s="174"/>
      <c r="K53" s="174"/>
      <c r="L53" s="55"/>
      <c r="M53" s="1"/>
    </row>
    <row r="54" spans="1:13" s="29" customFormat="1" ht="63" customHeight="1" thickBot="1" x14ac:dyDescent="0.2">
      <c r="A54" s="26" t="s">
        <v>644</v>
      </c>
      <c r="B54" s="27" t="s">
        <v>645</v>
      </c>
      <c r="C54" s="27" t="s">
        <v>351</v>
      </c>
      <c r="D54" s="28" t="s">
        <v>352</v>
      </c>
      <c r="E54" s="270" t="s">
        <v>353</v>
      </c>
      <c r="F54" s="181" t="s">
        <v>646</v>
      </c>
      <c r="G54" s="46" t="s">
        <v>647</v>
      </c>
      <c r="H54" s="43" t="s">
        <v>648</v>
      </c>
      <c r="I54" s="43" t="s">
        <v>649</v>
      </c>
      <c r="J54" s="44" t="s">
        <v>650</v>
      </c>
      <c r="K54" s="47" t="s">
        <v>651</v>
      </c>
      <c r="L54" s="55"/>
      <c r="M54" s="1"/>
    </row>
    <row r="55" spans="1:13" s="1" customFormat="1" ht="18" customHeight="1" x14ac:dyDescent="0.15">
      <c r="A55" s="61" t="str">
        <f>VLOOKUP(LEFT($A56,4),'Auto Responses'!$N$4:$O$38,2,0)&amp;""</f>
        <v xml:space="preserve"> General Information</v>
      </c>
      <c r="B55" s="22"/>
      <c r="C55" s="31"/>
      <c r="D55" s="31"/>
      <c r="E55" s="287"/>
      <c r="F55" s="125" t="s">
        <v>652</v>
      </c>
      <c r="G55" s="31"/>
      <c r="H55" s="31"/>
      <c r="I55" s="31"/>
      <c r="J55" s="31"/>
      <c r="K55" s="31"/>
      <c r="L55" s="55"/>
    </row>
    <row r="56" spans="1:13" s="29" customFormat="1" ht="15" customHeight="1" x14ac:dyDescent="0.15">
      <c r="A56" s="19" t="str">
        <f>'START HERE'!$A$13</f>
        <v>GNRL-01</v>
      </c>
      <c r="B56" s="20" t="str">
        <f>VLOOKUP($A56,'START HERE'!$A$13:$E$36,2,0)&amp;""</f>
        <v>Solution Provider Name</v>
      </c>
      <c r="C56" s="266" t="str">
        <f ca="1">VLOOKUP($A56,'START HERE'!$A$13:$E$36,3,0)&amp;""</f>
        <v>Accredible (EdInvent Inc. d.b.a. Accredible)</v>
      </c>
      <c r="D56" s="269" t="str">
        <f>IF(LEFT(VLOOKUP($A56,'START HERE'!$A$13:$E$36,5,0),21)='Auto Responses'!$A$32,'Auto Responses'!$A$33,VLOOKUP($A56,'START HERE'!$A$13:$E$36,4,0))&amp;""</f>
        <v/>
      </c>
      <c r="E56" s="286" t="str">
        <f>VLOOKUP($A56,'START HERE'!$A$13:$E$36,5,0)&amp;""</f>
        <v/>
      </c>
      <c r="F56" s="183"/>
      <c r="G56" s="30" t="str">
        <f>VLOOKUP($A56,Questions!$A$2:$X$333,21,0)&amp;""</f>
        <v>Not scored</v>
      </c>
      <c r="H56" s="176"/>
      <c r="I56" s="45" t="str">
        <f>VLOOKUP($A56,Questions!$A$2:$X$333,23,0)&amp;""</f>
        <v/>
      </c>
      <c r="J56" s="176"/>
      <c r="K56" s="48"/>
      <c r="L56" s="55"/>
      <c r="M56" s="1"/>
    </row>
    <row r="57" spans="1:13" s="29" customFormat="1" ht="15" customHeight="1" x14ac:dyDescent="0.15">
      <c r="A57" s="19" t="str">
        <f>'START HERE'!$A$14</f>
        <v>GNRL-02</v>
      </c>
      <c r="B57" s="20" t="str">
        <f>VLOOKUP($A57,'START HERE'!$A$13:$E$36,2,0)&amp;""</f>
        <v>Solution Name</v>
      </c>
      <c r="C57" s="266" t="str">
        <f ca="1">VLOOKUP($A57,'START HERE'!$A$13:$E$36,3,0)&amp;""</f>
        <v>Accredible Digital Credentialing Platform</v>
      </c>
      <c r="D57" s="269" t="str">
        <f>IF(LEFT(VLOOKUP($A57,'START HERE'!$A$13:$E$36,5,0),21)='Auto Responses'!$A$32,'Auto Responses'!$A$33,VLOOKUP($A57,'START HERE'!$A$13:$E$36,4,0))&amp;""</f>
        <v/>
      </c>
      <c r="E57" s="286" t="str">
        <f>VLOOKUP($A57,'START HERE'!$A$13:$E$36,5,0)&amp;""</f>
        <v/>
      </c>
      <c r="F57" s="183"/>
      <c r="G57" s="30" t="str">
        <f>VLOOKUP($A57,Questions!$A$2:$X$333,21,0)&amp;""</f>
        <v>Not scored</v>
      </c>
      <c r="H57" s="176"/>
      <c r="I57" s="45" t="str">
        <f>VLOOKUP($A57,Questions!$A$2:$X$333,23,0)&amp;""</f>
        <v/>
      </c>
      <c r="J57" s="176"/>
      <c r="K57" s="48"/>
      <c r="L57" s="55"/>
      <c r="M57" s="1"/>
    </row>
    <row r="58" spans="1:13" s="29" customFormat="1" ht="15" customHeight="1" x14ac:dyDescent="0.15">
      <c r="A58" s="19" t="str">
        <f>'START HERE'!$A$15</f>
        <v>GNRL-03</v>
      </c>
      <c r="B58" s="20" t="str">
        <f>VLOOKUP($A58,'START HERE'!$A$13:$E$36,2,0)&amp;""</f>
        <v>Solution Description</v>
      </c>
      <c r="C58" s="266" t="str">
        <f ca="1">VLOOKUP($A58,'START HERE'!$A$13:$E$36,3,0)&amp;""</f>
        <v>Accredible is a cloud-hosted, multi-tenant Software as a Service (SaaS) digital credentialing platform that enables organizations to design, issue, manage, and verify digital credentials including certificates and badges.</v>
      </c>
      <c r="D58" s="269" t="str">
        <f>IF(LEFT(VLOOKUP($A58,'START HERE'!$A$13:$E$36,5,0),21)='Auto Responses'!$A$32,'Auto Responses'!$A$33,VLOOKUP($A58,'START HERE'!$A$13:$E$36,4,0))&amp;""</f>
        <v/>
      </c>
      <c r="E58" s="286" t="str">
        <f>VLOOKUP($A58,'START HERE'!$A$13:$E$36,5,0)&amp;""</f>
        <v/>
      </c>
      <c r="F58" s="183"/>
      <c r="G58" s="30" t="str">
        <f>VLOOKUP($A58,Questions!$A$2:$X$333,21,0)&amp;""</f>
        <v>Not scored</v>
      </c>
      <c r="H58" s="176"/>
      <c r="I58" s="45" t="str">
        <f>VLOOKUP($A58,Questions!$A$2:$X$333,23,0)&amp;""</f>
        <v/>
      </c>
      <c r="J58" s="176"/>
      <c r="K58" s="48"/>
      <c r="L58" s="55"/>
      <c r="M58" s="1"/>
    </row>
    <row r="59" spans="1:13" s="29" customFormat="1" ht="15" customHeight="1" x14ac:dyDescent="0.15">
      <c r="A59" s="19" t="str">
        <f>'START HERE'!$A$16</f>
        <v>GNRL-04</v>
      </c>
      <c r="B59" s="20" t="str">
        <f>VLOOKUP($A59,'START HERE'!$A$13:$E$36,2,0)&amp;""</f>
        <v>Solution Provider Contact Name</v>
      </c>
      <c r="C59" s="266" t="str">
        <f>VLOOKUP($A59,'START HERE'!$A$13:$E$36,3,0)&amp;""</f>
        <v>Alan Heppenstall</v>
      </c>
      <c r="D59" s="269" t="str">
        <f>IF(LEFT(VLOOKUP($A59,'START HERE'!$A$13:$E$36,5,0),21)='Auto Responses'!$A$32,'Auto Responses'!$A$33,VLOOKUP($A59,'START HERE'!$A$13:$E$36,4,0))&amp;""</f>
        <v/>
      </c>
      <c r="E59" s="286" t="str">
        <f>VLOOKUP($A59,'START HERE'!$A$13:$E$36,5,0)&amp;""</f>
        <v/>
      </c>
      <c r="F59" s="183"/>
      <c r="G59" s="30" t="str">
        <f>VLOOKUP($A59,Questions!$A$2:$X$333,21,0)&amp;""</f>
        <v>Not scored</v>
      </c>
      <c r="H59" s="176"/>
      <c r="I59" s="45" t="str">
        <f>VLOOKUP($A59,Questions!$A$2:$X$333,23,0)&amp;""</f>
        <v/>
      </c>
      <c r="J59" s="176"/>
      <c r="K59" s="48"/>
      <c r="L59" s="55"/>
      <c r="M59" s="1"/>
    </row>
    <row r="60" spans="1:13" s="29" customFormat="1" ht="15" customHeight="1" x14ac:dyDescent="0.15">
      <c r="A60" s="19" t="str">
        <f>'START HERE'!$A$17</f>
        <v>GNRL-05</v>
      </c>
      <c r="B60" s="20" t="str">
        <f>VLOOKUP($A60,'START HERE'!$A$13:$E$36,2,0)&amp;""</f>
        <v>Solution Provider Contact Title</v>
      </c>
      <c r="C60" s="266" t="str">
        <f>VLOOKUP($A60,'START HERE'!$A$13:$E$36,3,0)&amp;""</f>
        <v>CTO</v>
      </c>
      <c r="D60" s="269" t="str">
        <f>IF(LEFT(VLOOKUP($A60,'START HERE'!$A$13:$E$36,5,0),21)='Auto Responses'!$A$32,'Auto Responses'!$A$33,VLOOKUP($A60,'START HERE'!$A$13:$E$36,4,0))&amp;""</f>
        <v/>
      </c>
      <c r="E60" s="286" t="str">
        <f>VLOOKUP($A60,'START HERE'!$A$13:$E$36,5,0)&amp;""</f>
        <v/>
      </c>
      <c r="F60" s="183"/>
      <c r="G60" s="30" t="str">
        <f>VLOOKUP($A60,Questions!$A$2:$X$333,21,0)&amp;""</f>
        <v>Not scored</v>
      </c>
      <c r="H60" s="176"/>
      <c r="I60" s="45" t="str">
        <f>VLOOKUP($A60,Questions!$A$2:$X$333,23,0)&amp;""</f>
        <v/>
      </c>
      <c r="J60" s="176"/>
      <c r="K60" s="48"/>
      <c r="L60" s="55"/>
      <c r="M60" s="1"/>
    </row>
    <row r="61" spans="1:13" s="29" customFormat="1" ht="15" customHeight="1" x14ac:dyDescent="0.15">
      <c r="A61" s="19" t="str">
        <f>'START HERE'!$A$18</f>
        <v>GNRL-06</v>
      </c>
      <c r="B61" s="20" t="str">
        <f>VLOOKUP($A61,'START HERE'!$A$13:$E$36,2,0)&amp;""</f>
        <v>Solution Provider Contact Email</v>
      </c>
      <c r="C61" s="266" t="str">
        <f>VLOOKUP($A61,'START HERE'!$A$13:$E$36,3,0)&amp;""</f>
        <v>alan@accredible.com</v>
      </c>
      <c r="D61" s="269" t="str">
        <f>IF(LEFT(VLOOKUP($A61,'START HERE'!$A$13:$E$36,5,0),21)='Auto Responses'!$A$32,'Auto Responses'!$A$33,VLOOKUP($A61,'START HERE'!$A$13:$E$36,4,0))&amp;""</f>
        <v/>
      </c>
      <c r="E61" s="286" t="str">
        <f>VLOOKUP($A61,'START HERE'!$A$13:$E$36,5,0)&amp;""</f>
        <v/>
      </c>
      <c r="F61" s="183"/>
      <c r="G61" s="30" t="str">
        <f>VLOOKUP($A61,Questions!$A$2:$X$333,21,0)&amp;""</f>
        <v>Not scored</v>
      </c>
      <c r="H61" s="176"/>
      <c r="I61" s="45" t="str">
        <f>VLOOKUP($A61,Questions!$A$2:$X$333,23,0)&amp;""</f>
        <v/>
      </c>
      <c r="J61" s="176"/>
      <c r="K61" s="48"/>
      <c r="L61" s="55"/>
      <c r="M61" s="1"/>
    </row>
    <row r="62" spans="1:13" s="29" customFormat="1" ht="15" customHeight="1" x14ac:dyDescent="0.15">
      <c r="A62" s="19" t="str">
        <f>'START HERE'!$A$19</f>
        <v>GNRL-07</v>
      </c>
      <c r="B62" s="20" t="str">
        <f>VLOOKUP($A62,'START HERE'!$A$13:$E$36,2,0)&amp;""</f>
        <v>Solution Provider Contact Phone Number</v>
      </c>
      <c r="C62" s="266" t="str">
        <f>VLOOKUP($A62,'START HERE'!$A$13:$E$36,3,0)&amp;""</f>
        <v>+1 (628) 214-2701</v>
      </c>
      <c r="D62" s="269" t="str">
        <f>IF(LEFT(VLOOKUP($A62,'START HERE'!$A$13:$E$36,5,0),21)='Auto Responses'!$A$32,'Auto Responses'!$A$33,VLOOKUP($A62,'START HERE'!$A$13:$E$36,4,0))&amp;""</f>
        <v/>
      </c>
      <c r="E62" s="286" t="str">
        <f>VLOOKUP($A62,'START HERE'!$A$13:$E$36,5,0)&amp;""</f>
        <v/>
      </c>
      <c r="F62" s="183"/>
      <c r="G62" s="30" t="str">
        <f>VLOOKUP($A62,Questions!$A$2:$X$333,21,0)&amp;""</f>
        <v>Not scored</v>
      </c>
      <c r="H62" s="176"/>
      <c r="I62" s="45" t="str">
        <f>VLOOKUP($A62,Questions!$A$2:$X$333,23,0)&amp;""</f>
        <v/>
      </c>
      <c r="J62" s="176"/>
      <c r="K62" s="48"/>
      <c r="L62" s="55"/>
      <c r="M62" s="1"/>
    </row>
    <row r="63" spans="1:13" s="29" customFormat="1" ht="15" customHeight="1" x14ac:dyDescent="0.15">
      <c r="A63" s="19" t="str">
        <f>'START HERE'!$A$20</f>
        <v>GNRL-08</v>
      </c>
      <c r="B63" s="20" t="str">
        <f>VLOOKUP($A63,'START HERE'!$A$13:$E$36,2,0)&amp;""</f>
        <v>Country of Company Headquarters</v>
      </c>
      <c r="C63" s="266" t="str">
        <f ca="1">VLOOKUP($A63,'START HERE'!$A$13:$E$36,3,0)&amp;""</f>
        <v>United States</v>
      </c>
      <c r="D63" s="269" t="str">
        <f>IF(LEFT(VLOOKUP($A63,'START HERE'!$A$13:$E$36,5,0),21)='Auto Responses'!$A$32,'Auto Responses'!$A$33,VLOOKUP($A63,'START HERE'!$A$13:$E$36,4,0))&amp;""</f>
        <v/>
      </c>
      <c r="E63" s="286" t="str">
        <f>VLOOKUP($A63,'START HERE'!$A$13:$E$36,5,0)&amp;""</f>
        <v/>
      </c>
      <c r="F63" s="183"/>
      <c r="G63" s="30" t="str">
        <f>VLOOKUP($A63,Questions!$A$2:$X$333,21,0)&amp;""</f>
        <v>Not scored</v>
      </c>
      <c r="H63" s="176"/>
      <c r="I63" s="45" t="str">
        <f>VLOOKUP($A63,Questions!$A$2:$X$333,23,0)&amp;""</f>
        <v/>
      </c>
      <c r="J63" s="176"/>
      <c r="K63" s="48"/>
      <c r="L63" s="55"/>
      <c r="M63" s="1"/>
    </row>
    <row r="64" spans="1:13" s="29" customFormat="1" ht="15" customHeight="1" x14ac:dyDescent="0.15">
      <c r="A64" s="19" t="str">
        <f>'START HERE'!$A$21</f>
        <v>GNRL-09</v>
      </c>
      <c r="B64" s="20" t="str">
        <f>VLOOKUP($A64,'START HERE'!$A$13:$E$36,2,0)&amp;""</f>
        <v>Employee Work Locations (all)</v>
      </c>
      <c r="C64" s="266" t="str">
        <f>VLOOKUP($A64,'START HERE'!$A$13:$E$36,3,0)&amp;""</f>
        <v/>
      </c>
      <c r="D64" s="269" t="str">
        <f>IF(LEFT(VLOOKUP($A64,'START HERE'!$A$13:$E$36,5,0),21)='Auto Responses'!$A$32,'Auto Responses'!$A$33,VLOOKUP($A64,'START HERE'!$A$13:$E$36,4,0))&amp;""</f>
        <v/>
      </c>
      <c r="E64" s="286" t="str">
        <f>VLOOKUP($A64,'START HERE'!$A$13:$E$36,5,0)&amp;""</f>
        <v/>
      </c>
      <c r="F64" s="183"/>
      <c r="G64" s="30" t="str">
        <f>VLOOKUP($A64,Questions!$A$2:$X$333,21,0)&amp;""</f>
        <v>Not scored</v>
      </c>
      <c r="H64" s="176"/>
      <c r="I64" s="45" t="str">
        <f>VLOOKUP($A64,Questions!$A$2:$X$333,23,0)&amp;""</f>
        <v/>
      </c>
      <c r="J64" s="176"/>
      <c r="K64" s="48"/>
      <c r="L64" s="55"/>
      <c r="M64" s="1"/>
    </row>
    <row r="65" spans="1:13" s="1" customFormat="1" ht="18" customHeight="1" x14ac:dyDescent="0.15">
      <c r="A65" s="61" t="str">
        <f>VLOOKUP(LEFT($A66,4),'Auto Responses'!$N$4:$O$38,2,0)&amp;""</f>
        <v xml:space="preserve"> Company Information</v>
      </c>
      <c r="B65" s="22"/>
      <c r="C65" s="31"/>
      <c r="D65" s="31"/>
      <c r="E65" s="287"/>
      <c r="F65" s="125" t="s">
        <v>652</v>
      </c>
      <c r="G65" s="293" t="s">
        <v>647</v>
      </c>
      <c r="H65" s="293" t="s">
        <v>648</v>
      </c>
      <c r="I65" s="293" t="s">
        <v>649</v>
      </c>
      <c r="J65" s="293" t="s">
        <v>650</v>
      </c>
      <c r="K65" s="293" t="s">
        <v>651</v>
      </c>
      <c r="L65" s="55"/>
    </row>
    <row r="66" spans="1:13" s="29" customFormat="1" ht="28.5" customHeight="1" x14ac:dyDescent="0.15">
      <c r="A66" s="19" t="str">
        <f>'START HERE'!$A$23</f>
        <v>COMP-01</v>
      </c>
      <c r="B66" s="20" t="str">
        <f>VLOOKUP($A66,'START HERE'!$A$13:$E$36,2,0)&amp;""</f>
        <v>Do you have a dedicated software and system development team(s) (e.g., customer support, implementation, product management, etc.)?*</v>
      </c>
      <c r="C66" s="45" t="str">
        <f>VLOOKUP($A66,'START HERE'!$A$13:$E$36,3,0)&amp;""</f>
        <v>Yes</v>
      </c>
      <c r="D66" s="34" t="str">
        <f>IF(LEFT(VLOOKUP($A66,'START HERE'!$A$13:$E$36,5,0),21)='Auto Responses'!$A$32,'Auto Responses'!$A$33,VLOOKUP($A66,'START HERE'!$A$13:$E$36,4,0))&amp;""</f>
        <v>Accredible maintains dedicated teams for software development, customer support, implementation, and product management.</v>
      </c>
      <c r="E66" s="290" t="str">
        <f>VLOOKUP($A66,'START HERE'!$A$13:$E$36,5,0)&amp;""</f>
        <v>Describe the structure and size of your software and system development teams. (e.g., customer support, implementation, product management, etc.).</v>
      </c>
      <c r="F66" s="183"/>
      <c r="G66" s="30" t="str">
        <f>VLOOKUP($A66,Questions!$A$2:$X$333,21,0)&amp;""</f>
        <v>Yes</v>
      </c>
      <c r="H66" s="176"/>
      <c r="I66" s="45" t="str">
        <f>VLOOKUP($A66,Questions!$A$2:$X$333,23,0)&amp;""</f>
        <v>Standard Importance</v>
      </c>
      <c r="J66" s="176"/>
      <c r="K66" s="48" t="b">
        <v>0</v>
      </c>
      <c r="L66" s="55"/>
      <c r="M66" s="1"/>
    </row>
    <row r="67" spans="1:13" s="29" customFormat="1" ht="75" customHeight="1" x14ac:dyDescent="0.15">
      <c r="A67" s="19" t="str">
        <f>'START HERE'!$A$24</f>
        <v>COMP-02</v>
      </c>
      <c r="B67" s="20" t="str">
        <f>VLOOKUP($A67,'START HERE'!$A$13:$E$36,2,0)&amp;""</f>
        <v>Describe your organization’s business background and ownership structure, including all parent and subsidiary relationships.</v>
      </c>
      <c r="C67" s="268" t="str">
        <f>VLOOKUP($A67,'START HERE'!$A$13:$E$36,3,0)&amp;""</f>
        <v>Yes</v>
      </c>
      <c r="D67" s="269" t="str">
        <f>IF(LEFT(VLOOKUP($A67,'START HERE'!$A$13:$E$36,5,0),21)='Auto Responses'!$A$32,'Auto Responses'!$A$33,VLOOKUP($A67,'START HERE'!$A$13:$E$36,4,0))&amp;""</f>
        <v>EdInvent Inc. d.b.a. Accredible. 800 W El Camino Real, Suite 180, Mountain View, CA 94040, USA. Accredible is an independently operated company with no parent entities or subsidiaries. Accredible Ltd. (UK) is a related development entity. Founded in 2013.</v>
      </c>
      <c r="E67" s="290" t="str">
        <f>VLOOKUP($A67,'START HERE'!$A$13:$E$36,5,0)&amp;""</f>
        <v>Include circumstances that may involve offshoring or multinational agreements.</v>
      </c>
      <c r="F67" s="183"/>
      <c r="G67" s="30" t="str">
        <f>VLOOKUP($A67,Questions!$A$2:$X$333,21,0)&amp;""</f>
        <v>Not scored</v>
      </c>
      <c r="H67" s="176"/>
      <c r="I67" s="45" t="str">
        <f>VLOOKUP($A67,Questions!$A$2:$X$333,23,0)&amp;""</f>
        <v/>
      </c>
      <c r="J67" s="176"/>
      <c r="K67" s="48" t="b">
        <v>0</v>
      </c>
      <c r="L67" s="55"/>
      <c r="M67" s="1"/>
    </row>
    <row r="68" spans="1:13" s="29" customFormat="1" ht="28.5" customHeight="1" x14ac:dyDescent="0.15">
      <c r="A68" s="19" t="str">
        <f>'START HERE'!$A$25</f>
        <v>COMP-03</v>
      </c>
      <c r="B68" s="20" t="str">
        <f>VLOOKUP($A68,'START HERE'!$A$13:$E$36,2,0)&amp;""</f>
        <v>Have you operated without unplanned disruptions to this solution in the past 12 months?</v>
      </c>
      <c r="C68" s="45" t="str">
        <f>VLOOKUP($A68,'START HERE'!$A$13:$E$36,3,0)&amp;""</f>
        <v>Yes</v>
      </c>
      <c r="D68" s="34" t="str">
        <f>IF(LEFT(VLOOKUP($A68,'START HERE'!$A$13:$E$36,5,0),21)='Auto Responses'!$A$32,'Auto Responses'!$A$33,VLOOKUP($A68,'START HERE'!$A$13:$E$36,4,0))&amp;""</f>
        <v>Accredible has operated without unplanned disruptions over the past 12 months. A status page is publicly available for transparency.</v>
      </c>
      <c r="E68" s="290" t="str">
        <f>VLOOKUP($A68,'START HERE'!$A$13:$E$36,5,0)&amp;""</f>
        <v/>
      </c>
      <c r="F68" s="183"/>
      <c r="G68" s="30" t="str">
        <f>VLOOKUP($A68,Questions!$A$2:$X$333,21,0)&amp;""</f>
        <v>Yes</v>
      </c>
      <c r="H68" s="176"/>
      <c r="I68" s="45" t="str">
        <f>VLOOKUP($A68,Questions!$A$2:$X$333,23,0)&amp;""</f>
        <v>Minor Importance</v>
      </c>
      <c r="J68" s="176"/>
      <c r="K68" s="48" t="b">
        <v>0</v>
      </c>
      <c r="L68" s="55"/>
      <c r="M68" s="1"/>
    </row>
    <row r="69" spans="1:13" s="29" customFormat="1" ht="15" customHeight="1" x14ac:dyDescent="0.15">
      <c r="A69" s="19" t="str">
        <f>'START HERE'!$A$26</f>
        <v>COMP-04</v>
      </c>
      <c r="B69" s="20" t="str">
        <f>VLOOKUP($A69,'START HERE'!$A$13:$E$36,2,0)&amp;""</f>
        <v>Do you have a dedicated information security staff or office?</v>
      </c>
      <c r="C69" s="45" t="str">
        <f>VLOOKUP($A69,'START HERE'!$A$13:$E$36,3,0)&amp;""</f>
        <v>Yes</v>
      </c>
      <c r="D69" s="34" t="str">
        <f>IF(LEFT(VLOOKUP($A69,'START HERE'!$A$13:$E$36,5,0),21)='Auto Responses'!$A$32,'Auto Responses'!$A$33,VLOOKUP($A69,'START HERE'!$A$13:$E$36,4,0))&amp;""</f>
        <v>Accredible employs a CTO and IT Manager who are responsible for information security policy, vulnerability management, incident detection and response, and risk reduction. The compliance officer and legal team oversee regulatory compliance.</v>
      </c>
      <c r="E69" s="290" t="str">
        <f>VLOOKUP($A69,'START HERE'!$A$13:$E$36,5,0)&amp;""</f>
        <v>Describe your information security office, including size, talents, resources, etc.</v>
      </c>
      <c r="F69" s="183"/>
      <c r="G69" s="30" t="str">
        <f>VLOOKUP($A69,Questions!$A$2:$X$333,21,0)&amp;""</f>
        <v>Yes</v>
      </c>
      <c r="H69" s="176"/>
      <c r="I69" s="45" t="str">
        <f>VLOOKUP($A69,Questions!$A$2:$X$333,23,0)&amp;""</f>
        <v>Minor Importance</v>
      </c>
      <c r="J69" s="176"/>
      <c r="K69" s="48" t="b">
        <v>0</v>
      </c>
      <c r="L69" s="55"/>
      <c r="M69" s="1"/>
    </row>
    <row r="70" spans="1:13" s="29" customFormat="1" ht="75" customHeight="1" x14ac:dyDescent="0.15">
      <c r="A70" s="19" t="str">
        <f>'START HERE'!$A$27</f>
        <v>COMP-05</v>
      </c>
      <c r="B70" s="20" t="str">
        <f>VLOOKUP($A70,'START HERE'!$A$13:$E$36,2,0)&amp;""</f>
        <v>Use this area to share information about your environment that will assist those who are assessing your company's data security program.</v>
      </c>
      <c r="C70" s="268" t="str">
        <f>VLOOKUP($A70,'START HERE'!$A$13:$E$36,3,0)&amp;""</f>
        <v>Yes</v>
      </c>
      <c r="D70" s="269" t="str">
        <f>IF(LEFT(VLOOKUP($A70,'START HERE'!$A$13:$E$36,5,0),21)='Auto Responses'!$A$32,'Auto Responses'!$A$33,VLOOKUP($A70,'START HERE'!$A$13:$E$36,4,0))&amp;""</f>
        <v>Accredible is SOC 2 Type 2 certified (audited by Prescient Assurance), undergoes annual penetration testing by Cobalt Labs, conducts weekly automated infrastructure vulnerability scans, and operates on AWS infrastructure. Accredible uses a zero-trust security model and applies MDM via Rippling on company devices. Vanta is used for continuous compliance monitoring.</v>
      </c>
      <c r="E70" s="290" t="str">
        <f>VLOOKUP($A70,'START HERE'!$A$13:$E$36,5,0)&amp;""</f>
        <v>Share any details that would help information security analysts assess your solution.</v>
      </c>
      <c r="F70" s="183"/>
      <c r="G70" s="30" t="str">
        <f>VLOOKUP($A70,Questions!$A$2:$X$333,21,0)&amp;""</f>
        <v>Not scored</v>
      </c>
      <c r="H70" s="176"/>
      <c r="I70" s="45" t="b">
        <f>A2=VLOOKUP($A70,Questions!$A$2:$X$333,23,0)&amp;""</f>
        <v>0</v>
      </c>
      <c r="J70" s="176"/>
      <c r="K70" s="48" t="b">
        <v>0</v>
      </c>
      <c r="L70" s="55"/>
      <c r="M70" s="1"/>
    </row>
    <row r="71" spans="1:13" s="1" customFormat="1" ht="18.75" customHeight="1" thickBot="1" x14ac:dyDescent="0.2">
      <c r="A71" s="61" t="str">
        <f>VLOOKUP(LEFT($A72,4),'Auto Responses'!$N$4:$O$38,2,0)&amp;""</f>
        <v xml:space="preserve"> Required Questions</v>
      </c>
      <c r="B71" s="22"/>
      <c r="C71" s="31"/>
      <c r="D71" s="31"/>
      <c r="E71" s="289"/>
      <c r="F71" s="125" t="s">
        <v>652</v>
      </c>
      <c r="G71" s="293" t="s">
        <v>647</v>
      </c>
      <c r="H71" s="293" t="s">
        <v>648</v>
      </c>
      <c r="I71" s="293" t="s">
        <v>649</v>
      </c>
      <c r="J71" s="293" t="s">
        <v>650</v>
      </c>
      <c r="K71" s="293" t="s">
        <v>651</v>
      </c>
      <c r="L71" s="55"/>
    </row>
    <row r="72" spans="1:13" s="29" customFormat="1" ht="75" customHeight="1" x14ac:dyDescent="0.15">
      <c r="A72" s="19" t="str">
        <f>'START HERE'!$A$29</f>
        <v>REQU-01</v>
      </c>
      <c r="B72" s="20" t="str">
        <f>VLOOKUP($A72,'START HERE'!$A$13:$E$36,2,0)&amp;""</f>
        <v>Are you offering a cloud-based product?</v>
      </c>
      <c r="C72" s="45" t="str">
        <f>VLOOKUP($A72,'START HERE'!$A$13:$E$36,3,0)&amp;""</f>
        <v>Yes</v>
      </c>
      <c r="D72" s="34" t="str">
        <f>IF(LEFT(VLOOKUP($A72,'START HERE'!$A$13:$E$36,5,0),21)='Auto Responses'!$A$32,'Auto Responses'!$A$33,VLOOKUP($A72,'START HERE'!$A$13:$E$36,4,0))&amp;""</f>
        <v>Accredible is a cloud-based SaaS product hosted on Amazon Web Services.</v>
      </c>
      <c r="E72" s="288" t="str">
        <f>VLOOKUP($A72,'START HERE'!$A$13:$E$36,5,0)&amp;""</f>
        <v>DO complete the Product and Infrastructure worksheets</v>
      </c>
      <c r="F72" s="184"/>
      <c r="G72" s="30" t="str">
        <f>VLOOKUP($A72,Questions!$A$2:$X$333,21,0)&amp;""</f>
        <v>Not scored</v>
      </c>
      <c r="H72" s="176"/>
      <c r="I72" s="45" t="str">
        <f>VLOOKUP($A72,Questions!$A$2:$X$333,23,0)&amp;""</f>
        <v/>
      </c>
      <c r="J72" s="176"/>
      <c r="K72" s="147" t="b">
        <v>0</v>
      </c>
      <c r="L72" s="55"/>
      <c r="M72" s="1"/>
    </row>
    <row r="73" spans="1:13" s="29" customFormat="1" ht="90" customHeight="1" x14ac:dyDescent="0.15">
      <c r="A73" s="19" t="str">
        <f>'START HERE'!$A$30</f>
        <v>REQU-02</v>
      </c>
      <c r="B73" s="20" t="str">
        <f>VLOOKUP($A73,'START HERE'!$A$13:$E$36,2,0)&amp;""</f>
        <v>Does your product or service have an interface?</v>
      </c>
      <c r="C73" s="45" t="str">
        <f>VLOOKUP($A73,'START HERE'!$A$13:$E$36,3,0)&amp;""</f>
        <v>Yes</v>
      </c>
      <c r="D73" s="34" t="str">
        <f>IF(LEFT(VLOOKUP($A73,'START HERE'!$A$13:$E$36,5,0),21)='Auto Responses'!$A$32,'Auto Responses'!$A$33,VLOOKUP($A73,'START HERE'!$A$13:$E$36,4,0))&amp;""</f>
        <v>Accredible provides a web-based Dashboard interface for issuers, and web-based credential pages for recipients accessible via modern browsers.</v>
      </c>
      <c r="E73" s="288" t="str">
        <f>VLOOKUP($A73,'START HERE'!$A$13:$E$36,5,0)&amp;""</f>
        <v>DO complete the IT Accessibility worksheet.</v>
      </c>
      <c r="F73" s="179"/>
      <c r="G73" s="30" t="str">
        <f>VLOOKUP($A73,Questions!$A$2:$X$333,21,0)&amp;""</f>
        <v>Not scored</v>
      </c>
      <c r="H73" s="176"/>
      <c r="I73" s="45" t="str">
        <f>VLOOKUP($A73,Questions!$A$2:$X$333,23,0)&amp;""</f>
        <v/>
      </c>
      <c r="J73" s="176"/>
      <c r="K73" s="48" t="b">
        <v>0</v>
      </c>
      <c r="L73" s="55"/>
      <c r="M73" s="1"/>
    </row>
    <row r="74" spans="1:13" s="29" customFormat="1" ht="15" customHeight="1" x14ac:dyDescent="0.15">
      <c r="A74" s="19" t="str">
        <f>'START HERE'!$A$31</f>
        <v>REQU-03</v>
      </c>
      <c r="B74" s="20" t="str">
        <f>VLOOKUP($A74,'START HERE'!$A$13:$E$36,2,0)&amp;""</f>
        <v>Are you providing consulting services?</v>
      </c>
      <c r="C74" s="45" t="str">
        <f>VLOOKUP($A74,'START HERE'!$A$13:$E$36,3,0)&amp;""</f>
        <v>No</v>
      </c>
      <c r="D74" s="34" t="str">
        <f>IF(LEFT(VLOOKUP($A74,'START HERE'!$A$13:$E$36,5,0),21)='Auto Responses'!$A$32,'Auto Responses'!$A$33,VLOOKUP($A74,'START HERE'!$A$13:$E$36,4,0))&amp;""</f>
        <v/>
      </c>
      <c r="E74" s="288" t="str">
        <f>VLOOKUP($A74,'START HERE'!$A$13:$E$36,5,0)&amp;""</f>
        <v>DO NOT complete the Consulting section in the Case-Specific worksheet</v>
      </c>
      <c r="F74" s="179"/>
      <c r="G74" s="30" t="str">
        <f>VLOOKUP($A74,Questions!$A$2:$X$333,21,0)&amp;""</f>
        <v>Not scored</v>
      </c>
      <c r="H74" s="176"/>
      <c r="I74" s="45" t="str">
        <f>VLOOKUP($A74,Questions!$A$2:$X$333,23,0)&amp;""</f>
        <v/>
      </c>
      <c r="J74" s="176"/>
      <c r="K74" s="48" t="b">
        <v>0</v>
      </c>
      <c r="L74" s="55"/>
      <c r="M74" s="1"/>
    </row>
    <row r="75" spans="1:13" s="29" customFormat="1" ht="28.5" customHeight="1" x14ac:dyDescent="0.15">
      <c r="A75" s="19" t="str">
        <f>'START HERE'!$A$32</f>
        <v>REQU-04</v>
      </c>
      <c r="B75" s="20" t="str">
        <f>VLOOKUP($A75,'START HERE'!$A$13:$E$36,2,0)&amp;""</f>
        <v>Does your solution have AI features, or are there plans to implement AI features in the next 12 months?</v>
      </c>
      <c r="C75" s="45" t="str">
        <f>VLOOKUP($A75,'START HERE'!$A$13:$E$36,3,0)&amp;""</f>
        <v>Yes</v>
      </c>
      <c r="D75" s="34" t="str">
        <f>IF(LEFT(VLOOKUP($A75,'START HERE'!$A$13:$E$36,5,0),21)='Auto Responses'!$A$32,'Auto Responses'!$A$33,VLOOKUP($A75,'START HERE'!$A$13:$E$36,4,0))&amp;""</f>
        <v>Accredible uses OpenAI's API as part of a Skills Extraction Service that takes course descriptions as input and suggests relevant skill tags. Results are processed through a CritiqueEvaluatorService before being surfaced to users.</v>
      </c>
      <c r="E75" s="288" t="str">
        <f>VLOOKUP($A75,'START HERE'!$A$13:$E$36,5,0)&amp;""</f>
        <v>DO complete the Artificial Intelligence (AI) worksheet</v>
      </c>
      <c r="F75" s="179"/>
      <c r="G75" s="30" t="str">
        <f>VLOOKUP($A75,Questions!$A$2:$X$333,21,0)&amp;""</f>
        <v>Not scored</v>
      </c>
      <c r="H75" s="176"/>
      <c r="I75" s="45" t="str">
        <f>VLOOKUP($A75,Questions!$A$2:$X$333,23,0)&amp;""</f>
        <v/>
      </c>
      <c r="J75" s="176"/>
      <c r="K75" s="48" t="b">
        <v>0</v>
      </c>
      <c r="L75" s="55"/>
      <c r="M75" s="1"/>
    </row>
    <row r="76" spans="1:13" s="29" customFormat="1" ht="90" customHeight="1" x14ac:dyDescent="0.15">
      <c r="A76" s="19" t="str">
        <f>'START HERE'!$A$33</f>
        <v>REQU-05</v>
      </c>
      <c r="B76" s="20" t="str">
        <f>VLOOKUP($A76,'START HERE'!$A$13:$E$36,2,0)&amp;""</f>
        <v>Does your solution process protected health information (PHI) or any data covered by the Health Insurance Portability and Accountability Act (HIPAA)?</v>
      </c>
      <c r="C76" s="45" t="str">
        <f>VLOOKUP($A76,'START HERE'!$A$13:$E$36,3,0)&amp;""</f>
        <v>No</v>
      </c>
      <c r="D76" s="34" t="str">
        <f>IF(LEFT(VLOOKUP($A76,'START HERE'!$A$13:$E$36,5,0),21)='Auto Responses'!$A$32,'Auto Responses'!$A$33,VLOOKUP($A76,'START HERE'!$A$13:$E$36,4,0))&amp;""</f>
        <v>Accredible does not process Protected Health Information (PHI) or any HIPAA-covered data.</v>
      </c>
      <c r="E76" s="288" t="str">
        <f>VLOOKUP($A76,'START HERE'!$A$13:$E$36,5,0)&amp;""</f>
        <v>DO NOT complete the HIPAA section in the Case-Specific worksheet</v>
      </c>
      <c r="F76" s="179"/>
      <c r="G76" s="30" t="str">
        <f>VLOOKUP($A76,Questions!$A$2:$X$333,21,0)&amp;""</f>
        <v>Not scored</v>
      </c>
      <c r="H76" s="176"/>
      <c r="I76" s="45" t="str">
        <f>VLOOKUP($A76,Questions!$A$2:$X$333,23,0)&amp;""</f>
        <v/>
      </c>
      <c r="J76" s="176"/>
      <c r="K76" s="48" t="b">
        <v>0</v>
      </c>
      <c r="L76" s="55"/>
      <c r="M76" s="1"/>
    </row>
    <row r="77" spans="1:13" s="29" customFormat="1" ht="90" customHeight="1" x14ac:dyDescent="0.15">
      <c r="A77" s="19" t="str">
        <f>'START HERE'!$A$34</f>
        <v>REQU-06</v>
      </c>
      <c r="B77" s="20" t="str">
        <f>VLOOKUP($A77,'START HERE'!$A$13:$E$36,2,0)&amp;""</f>
        <v>Is the solution designed to process, store, or transmit credit card information?</v>
      </c>
      <c r="C77" s="45" t="str">
        <f>VLOOKUP($A77,'START HERE'!$A$13:$E$36,3,0)&amp;""</f>
        <v>No</v>
      </c>
      <c r="D77" s="34" t="str">
        <f>IF(LEFT(VLOOKUP($A77,'START HERE'!$A$13:$E$36,5,0),21)='Auto Responses'!$A$32,'Auto Responses'!$A$33,VLOOKUP($A77,'START HERE'!$A$13:$E$36,4,0))&amp;""</f>
        <v>Accredible does not process, store, or transmit credit card data. Payment processing, where applicable, is handled through third-party payment processors.</v>
      </c>
      <c r="E77" s="288" t="str">
        <f>VLOOKUP($A77,'START HERE'!$A$13:$E$36,5,0)&amp;""</f>
        <v>DO NOT complete the PCI-DSS section in the Case-Specific worksheet</v>
      </c>
      <c r="F77" s="179"/>
      <c r="G77" s="30" t="str">
        <f>VLOOKUP($A77,Questions!$A$2:$X$333,21,0)&amp;""</f>
        <v>Not scored</v>
      </c>
      <c r="H77" s="176"/>
      <c r="I77" s="45" t="str">
        <f>VLOOKUP($A77,Questions!$A$2:$X$333,23,0)&amp;""</f>
        <v/>
      </c>
      <c r="J77" s="176"/>
      <c r="K77" s="48" t="b">
        <v>0</v>
      </c>
      <c r="L77" s="55"/>
      <c r="M77" s="1"/>
    </row>
    <row r="78" spans="1:13" s="29" customFormat="1" ht="57" customHeight="1" x14ac:dyDescent="0.15">
      <c r="A78" s="19" t="str">
        <f>'START HERE'!$A$35</f>
        <v>REQU-07</v>
      </c>
      <c r="B78" s="20" t="str">
        <f>VLOOKUP($A78,'START HERE'!$A$13:$E$36,2,0)&amp;""</f>
        <v>Does operating your solution require the institution to operate a physical or virtual appliance in their own environment or to provide inbound firewall exceptions to allow your employees to remotely administer systems in the institution's environment?</v>
      </c>
      <c r="C78" s="45" t="str">
        <f>VLOOKUP($A78,'START HERE'!$A$13:$E$36,3,0)&amp;""</f>
        <v>No</v>
      </c>
      <c r="D78" s="34" t="str">
        <f>IF(LEFT(VLOOKUP($A78,'START HERE'!$A$13:$E$36,5,0),21)='Auto Responses'!$A$32,'Auto Responses'!$A$33,VLOOKUP($A78,'START HERE'!$A$13:$E$36,4,0))&amp;""</f>
        <v>Accredible is a fully cloud-hosted SaaS solution. No on-premises appliance is required and no inbound firewall exceptions are needed in the institution's environment.</v>
      </c>
      <c r="E78" s="288" t="str">
        <f>VLOOKUP($A78,'START HERE'!$A$13:$E$36,5,0)&amp;""</f>
        <v>DO NOT complete the On-Prem section in the Case-Specific worksheet</v>
      </c>
      <c r="F78" s="179"/>
      <c r="G78" s="30" t="str">
        <f>VLOOKUP($A78,Questions!$A$2:$X$333,21,0)&amp;""</f>
        <v>Not scored</v>
      </c>
      <c r="H78" s="176"/>
      <c r="I78" s="45" t="str">
        <f>VLOOKUP($A78,Questions!$A$2:$X$333,23,0)&amp;""</f>
        <v/>
      </c>
      <c r="J78" s="176"/>
      <c r="K78" s="48" t="b">
        <v>0</v>
      </c>
      <c r="L78" s="55"/>
      <c r="M78" s="1"/>
    </row>
    <row r="79" spans="1:13" s="29" customFormat="1" ht="75.75" customHeight="1" thickBot="1" x14ac:dyDescent="0.2">
      <c r="A79" s="19" t="str">
        <f>'START HERE'!$A$36</f>
        <v>REQU-08</v>
      </c>
      <c r="B79" s="20" t="str">
        <f>VLOOKUP($A79,'START HERE'!$A$13:$E$36,2,0)&amp;""</f>
        <v>Does your solution have access to personal or institutional data?</v>
      </c>
      <c r="C79" s="45" t="str">
        <f>VLOOKUP($A79,'START HERE'!$A$13:$E$36,3,0)&amp;""</f>
        <v>Yes</v>
      </c>
      <c r="D79" s="34" t="str">
        <f>IF(LEFT(VLOOKUP($A79,'START HERE'!$A$13:$E$36,5,0),21)='Auto Responses'!$A$32,'Auto Responses'!$A$33,VLOOKUP($A79,'START HERE'!$A$13:$E$36,4,0))&amp;""</f>
        <v>Accredible processes personal data including recipient names, email addresses, and credential information on behalf of issuing institutions.</v>
      </c>
      <c r="E79" s="288" t="str">
        <f>VLOOKUP($A79,'START HERE'!$A$13:$E$36,5,0)&amp;""</f>
        <v>DO complete the Privacy tab</v>
      </c>
      <c r="F79" s="185"/>
      <c r="G79" s="30" t="str">
        <f>VLOOKUP($A79,Questions!$A$2:$X$333,21,0)&amp;""</f>
        <v>Not scored</v>
      </c>
      <c r="H79" s="176"/>
      <c r="I79" s="45" t="str">
        <f>VLOOKUP($A79,Questions!$A$2:$X$333,23,0)&amp;""</f>
        <v/>
      </c>
      <c r="J79" s="176"/>
      <c r="K79" s="145" t="b">
        <v>0</v>
      </c>
      <c r="L79" s="55"/>
      <c r="M79" s="1"/>
    </row>
    <row r="80" spans="1:13" s="1" customFormat="1" ht="18" customHeight="1" x14ac:dyDescent="0.15">
      <c r="A80" s="61" t="str">
        <f>VLOOKUP(LEFT($A81,4),'Auto Responses'!$N$4:$O$38,2,0)&amp;""</f>
        <v xml:space="preserve"> Documentation</v>
      </c>
      <c r="B80" s="22"/>
      <c r="C80" s="31"/>
      <c r="D80" s="31"/>
      <c r="E80" s="289"/>
      <c r="F80" s="125" t="s">
        <v>652</v>
      </c>
      <c r="G80" s="293" t="s">
        <v>647</v>
      </c>
      <c r="H80" s="293" t="s">
        <v>648</v>
      </c>
      <c r="I80" s="293" t="s">
        <v>649</v>
      </c>
      <c r="J80" s="293" t="s">
        <v>650</v>
      </c>
      <c r="K80" s="293" t="s">
        <v>651</v>
      </c>
    </row>
    <row r="81" spans="1:12" s="29" customFormat="1" ht="28.5" customHeight="1" x14ac:dyDescent="0.15">
      <c r="A81" s="19" t="str">
        <f>Organization!$A$22</f>
        <v>DOCU-01</v>
      </c>
      <c r="B81" s="20" t="str">
        <f>VLOOKUP($A81,Organization!$A$13:$E$67,2,0)&amp;""</f>
        <v>Do you have a well-documented business continuity plan (BCP), with a clear owner, that is tested annually?*</v>
      </c>
      <c r="C81" s="45" t="str">
        <f>VLOOKUP($A81,Organization!$A$13:$E$67,3,0)&amp;""</f>
        <v>Yes</v>
      </c>
      <c r="D81" s="34" t="str">
        <f>IF(LEFT(VLOOKUP($A81,Organization!$A$13:$E$67,5,0),21)='Auto Responses'!$A$32,'Auto Responses'!$A$33,VLOOKUP($A81,Organization!$A$13:$E$67,4,0))&amp;""</f>
        <v>Accredible maintains a documented Business Continuity Plan (BCP) with a named owner. BCP and DR tests are conducted multiple times per year using simulations and tabletop scenarios.</v>
      </c>
      <c r="E81" s="288" t="str">
        <f>VLOOKUP($A81,Organization!$A$13:$E$67,5,0)&amp;""</f>
        <v/>
      </c>
      <c r="F81" s="186"/>
      <c r="G81" s="30" t="str">
        <f>VLOOKUP($A81,Questions!$A$2:$X$333,21,0)&amp;""</f>
        <v>Yes</v>
      </c>
      <c r="H81" s="176"/>
      <c r="I81" s="45" t="str">
        <f>VLOOKUP($A81,Questions!$A$2:$X$333,23,0)&amp;""</f>
        <v>Critical Importance</v>
      </c>
      <c r="J81" s="176"/>
      <c r="K81" s="48" t="b">
        <v>0</v>
      </c>
      <c r="L81" s="1"/>
    </row>
    <row r="82" spans="1:12" s="29" customFormat="1" ht="28.5" customHeight="1" x14ac:dyDescent="0.15">
      <c r="A82" s="19" t="str">
        <f>Organization!$A$23</f>
        <v>DOCU-02</v>
      </c>
      <c r="B82" s="20" t="str">
        <f>VLOOKUP($A82,Organization!$A$13:$E$67,2,0)&amp;""</f>
        <v>Do you have a well-documented disaster recovery plan (DRP), with a clear owner, that is tested annually?*</v>
      </c>
      <c r="C82" s="45" t="str">
        <f>VLOOKUP($A82,Organization!$A$13:$E$67,3,0)&amp;""</f>
        <v>Yes</v>
      </c>
      <c r="D82" s="34" t="str">
        <f>IF(LEFT(VLOOKUP($A82,Organization!$A$13:$E$67,5,0),21)='Auto Responses'!$A$32,'Auto Responses'!$A$33,VLOOKUP($A82,Organization!$A$13:$E$67,4,0))&amp;""</f>
        <v>Accredible maintains a documented Disaster Recovery Plan (DRP) with a named owner. DR tests are performed multiple times annually.</v>
      </c>
      <c r="E82" s="288" t="str">
        <f>VLOOKUP($A82,Organization!$A$13:$E$67,5,0)&amp;""</f>
        <v/>
      </c>
      <c r="F82" s="186"/>
      <c r="G82" s="30" t="str">
        <f>VLOOKUP($A82,Questions!$A$2:$X$333,21,0)&amp;""</f>
        <v>Yes</v>
      </c>
      <c r="H82" s="176"/>
      <c r="I82" s="45" t="str">
        <f>VLOOKUP($A82,Questions!$A$2:$X$333,23,0)&amp;""</f>
        <v>Critical Importance</v>
      </c>
      <c r="J82" s="176"/>
      <c r="K82" s="48" t="b">
        <v>0</v>
      </c>
      <c r="L82" s="1"/>
    </row>
    <row r="83" spans="1:12" s="29" customFormat="1" ht="15" customHeight="1" x14ac:dyDescent="0.15">
      <c r="A83" s="19" t="str">
        <f>Organization!$A$24</f>
        <v>DOCU-03</v>
      </c>
      <c r="B83" s="20" t="str">
        <f>VLOOKUP($A83,Organization!$A$13:$E$67,2,0)&amp;""</f>
        <v>Have you undergone a SSAE 18/SOC 2 audit?</v>
      </c>
      <c r="C83" s="45" t="str">
        <f>VLOOKUP($A83,Organization!$A$13:$E$67,3,0)&amp;""</f>
        <v>Yes</v>
      </c>
      <c r="D83" s="34" t="str">
        <f>IF(LEFT(VLOOKUP($A83,Organization!$A$13:$E$67,5,0),21)='Auto Responses'!$A$32,'Auto Responses'!$A$33,VLOOKUP($A83,Organization!$A$13:$E$67,4,0))&amp;""</f>
        <v>Accredible holds a SOC 2 Type 2 certification which runs from Jan to December each year and is audited annually by a third party auditor. The scope covers the entire Accredible Processing System.</v>
      </c>
      <c r="E83" s="288" t="str">
        <f>VLOOKUP($A83,Organization!$A$13:$E$67,5,0)&amp;""</f>
        <v>Provide the date of assessment and include a SOC 2 Type 2 (preferred) or SOC 3 report. If you have a SOC 3 report, state how to obtain a copy. Indicate if your hosting provider was the subject of the audit.</v>
      </c>
      <c r="F83" s="186"/>
      <c r="G83" s="30" t="str">
        <f>VLOOKUP($A83,Questions!$A$2:$X$333,21,0)&amp;""</f>
        <v>Yes</v>
      </c>
      <c r="H83" s="176"/>
      <c r="I83" s="45" t="str">
        <f>VLOOKUP($A83,Questions!$A$2:$X$333,23,0)&amp;""</f>
        <v>Standard Importance</v>
      </c>
      <c r="J83" s="176"/>
      <c r="K83" s="48" t="b">
        <v>0</v>
      </c>
      <c r="L83" s="1"/>
    </row>
    <row r="84" spans="1:12" s="29" customFormat="1" ht="28.5" customHeight="1" x14ac:dyDescent="0.15">
      <c r="A84" s="19" t="str">
        <f>Organization!$A$25</f>
        <v>DOCU-04</v>
      </c>
      <c r="B84" s="20" t="str">
        <f>VLOOKUP($A84,Organization!$A$13:$E$67,2,0)&amp;""</f>
        <v>Do you conform with a specific industry standard security framework (e.g., NIST Cybersecurity Framework, CIS Controls, ISO 27001, etc.)?</v>
      </c>
      <c r="C84" s="45" t="str">
        <f>VLOOKUP($A84,Organization!$A$13:$E$67,3,0)&amp;""</f>
        <v>Yes</v>
      </c>
      <c r="D84" s="34" t="str">
        <f>IF(LEFT(VLOOKUP($A84,Organization!$A$13:$E$67,5,0),21)='Auto Responses'!$A$32,'Auto Responses'!$A$33,VLOOKUP($A84,Organization!$A$13:$E$67,4,0))&amp;""</f>
        <v>Accredible conforms with SOC 2 Trust Services Criteria. Accredible also monitors alignment with NIST Cybersecurity Framework best practices through its Vanta compliance program.</v>
      </c>
      <c r="E84" s="288" t="str">
        <f>VLOOKUP($A84,Organization!$A$13:$E$67,5,0)&amp;""</f>
        <v>Provide documentation on how your organization conforms to your chosen framework and indicate current certification levels, where appropriate.</v>
      </c>
      <c r="F84" s="186"/>
      <c r="G84" s="30" t="str">
        <f>VLOOKUP($A84,Questions!$A$2:$X$333,21,0)&amp;""</f>
        <v>Yes</v>
      </c>
      <c r="H84" s="176"/>
      <c r="I84" s="45" t="str">
        <f>VLOOKUP($A84,Questions!$A$2:$X$333,23,0)&amp;""</f>
        <v>Standard Importance</v>
      </c>
      <c r="J84" s="176"/>
      <c r="K84" s="48" t="b">
        <v>0</v>
      </c>
      <c r="L84" s="1"/>
    </row>
    <row r="85" spans="1:12" s="29" customFormat="1" ht="42.75" customHeight="1" x14ac:dyDescent="0.15">
      <c r="A85" s="19" t="str">
        <f>Organization!$A$26</f>
        <v>DOCU-05</v>
      </c>
      <c r="B85" s="20" t="str">
        <f>VLOOKUP($A85,Organization!$A$13:$E$67,2,0)&amp;""</f>
        <v>Can you provide overall system and/or application architecture diagrams, including a full description of the data flow for all components of the system?</v>
      </c>
      <c r="C85" s="45" t="str">
        <f>VLOOKUP($A85,Organization!$A$13:$E$67,3,0)&amp;""</f>
        <v>Yes</v>
      </c>
      <c r="D85" s="34" t="str">
        <f>IF(LEFT(VLOOKUP($A85,Organization!$A$13:$E$67,5,0),21)='Auto Responses'!$A$32,'Auto Responses'!$A$33,VLOOKUP($A85,Organization!$A$13:$E$67,4,0))&amp;""</f>
        <v>System and application architecture diagrams are available via https://www.accredible.com/trust-center</v>
      </c>
      <c r="E85" s="288" t="str">
        <f>VLOOKUP($A85,Organization!$A$13:$E$67,5,0)&amp;""</f>
        <v>Provide your diagrams (or a valid link to it) upon submission.</v>
      </c>
      <c r="F85" s="186"/>
      <c r="G85" s="30" t="str">
        <f>VLOOKUP($A85,Questions!$A$2:$X$333,21,0)&amp;""</f>
        <v>Yes</v>
      </c>
      <c r="H85" s="176"/>
      <c r="I85" s="45" t="str">
        <f>VLOOKUP($A85,Questions!$A$2:$X$333,23,0)&amp;""</f>
        <v>Standard Importance</v>
      </c>
      <c r="J85" s="176"/>
      <c r="K85" s="48" t="b">
        <v>0</v>
      </c>
      <c r="L85" s="1"/>
    </row>
    <row r="86" spans="1:12" s="29" customFormat="1" ht="15" customHeight="1" x14ac:dyDescent="0.15">
      <c r="A86" s="19" t="str">
        <f>Organization!$A$27</f>
        <v>DOCU-06</v>
      </c>
      <c r="B86" s="20" t="str">
        <f>VLOOKUP($A86,Organization!$A$13:$E$67,2,0)&amp;""</f>
        <v>Does your organization have a data privacy policy?</v>
      </c>
      <c r="C86" s="45" t="str">
        <f>VLOOKUP($A86,Organization!$A$13:$E$67,3,0)&amp;""</f>
        <v>Yes</v>
      </c>
      <c r="D86" s="34" t="str">
        <f>IF(LEFT(VLOOKUP($A86,Organization!$A$13:$E$67,5,0),21)='Auto Responses'!$A$32,'Auto Responses'!$A$33,VLOOKUP($A86,Organization!$A$13:$E$67,4,0))&amp;""</f>
        <v>Accredible's privacy policy is available at https://www.accredible.com/legal/privacy-policy</v>
      </c>
      <c r="E86" s="288" t="str">
        <f>VLOOKUP($A86,Organization!$A$13:$E$67,5,0)&amp;""</f>
        <v>Provide your data privacy document (or a valid link to it) upon submission.</v>
      </c>
      <c r="F86" s="186"/>
      <c r="G86" s="30" t="str">
        <f>VLOOKUP($A86,Questions!$A$2:$X$333,21,0)&amp;""</f>
        <v>Yes</v>
      </c>
      <c r="H86" s="176"/>
      <c r="I86" s="45" t="str">
        <f>VLOOKUP($A86,Questions!$A$2:$X$333,23,0)&amp;""</f>
        <v>Standard Importance</v>
      </c>
      <c r="J86" s="176"/>
      <c r="K86" s="48" t="b">
        <v>0</v>
      </c>
      <c r="L86" s="1"/>
    </row>
    <row r="87" spans="1:12" s="29" customFormat="1" ht="28.5" customHeight="1" x14ac:dyDescent="0.15">
      <c r="A87" s="19" t="str">
        <f>Organization!$A$28</f>
        <v>DOCU-07</v>
      </c>
      <c r="B87" s="20" t="str">
        <f>VLOOKUP($A87,Organization!$A$13:$E$67,2,0)&amp;""</f>
        <v>Do you have a documented, and currently implemented, employee onboarding and offboarding policy?</v>
      </c>
      <c r="C87" s="45" t="str">
        <f>VLOOKUP($A87,Organization!$A$13:$E$67,3,0)&amp;""</f>
        <v>Yes</v>
      </c>
      <c r="D87" s="34" t="str">
        <f>IF(LEFT(VLOOKUP($A87,Organization!$A$13:$E$67,5,0),21)='Auto Responses'!$A$32,'Auto Responses'!$A$33,VLOOKUP($A87,Organization!$A$13:$E$67,4,0))&amp;""</f>
        <v>Accredible maintains documented onboarding and offboarding policies. Offboarding includes immediate access revocation. HR alerts from Rippling are integrated into the offboarding process.</v>
      </c>
      <c r="E87" s="288" t="str">
        <f>VLOOKUP($A87,Organization!$A$13:$E$67,5,0)&amp;""</f>
        <v>Provide a reference to your employee onboarding and offboarding policy and supporting documentation or submit it along with this fully populated HECVAT.</v>
      </c>
      <c r="F87" s="186"/>
      <c r="G87" s="30" t="str">
        <f>VLOOKUP($A87,Questions!$A$2:$X$333,21,0)&amp;""</f>
        <v>Yes</v>
      </c>
      <c r="H87" s="176"/>
      <c r="I87" s="45" t="str">
        <f>VLOOKUP($A87,Questions!$A$2:$X$333,23,0)&amp;""</f>
        <v>Standard Importance</v>
      </c>
      <c r="J87" s="176"/>
      <c r="K87" s="48" t="b">
        <v>0</v>
      </c>
      <c r="L87" s="1"/>
    </row>
    <row r="88" spans="1:12" s="1" customFormat="1" ht="18" customHeight="1" x14ac:dyDescent="0.15">
      <c r="A88" s="61" t="str">
        <f>VLOOKUP(LEFT($A89,4),'Auto Responses'!$N$4:$O$38,2,0)&amp;""</f>
        <v xml:space="preserve"> Assessment of Third Parties</v>
      </c>
      <c r="B88" s="22"/>
      <c r="C88" s="31"/>
      <c r="D88" s="31"/>
      <c r="E88" s="289"/>
      <c r="F88" s="125" t="s">
        <v>652</v>
      </c>
      <c r="G88" s="293" t="s">
        <v>647</v>
      </c>
      <c r="H88" s="293" t="s">
        <v>648</v>
      </c>
      <c r="I88" s="293" t="s">
        <v>649</v>
      </c>
      <c r="J88" s="293" t="s">
        <v>650</v>
      </c>
      <c r="K88" s="293" t="s">
        <v>651</v>
      </c>
    </row>
    <row r="89" spans="1:12" s="29" customFormat="1" ht="42.75" customHeight="1" x14ac:dyDescent="0.15">
      <c r="A89" s="19" t="str">
        <f>Organization!$A$30</f>
        <v>THRD-01</v>
      </c>
      <c r="B89" s="20" t="str">
        <f>VLOOKUP($A89,Organization!$A$13:$E$67,2,0)&amp;""</f>
        <v>Do you perform security assessments of third-party companies with which you share data (e.g., hosting providers, cloud services, PaaS, IaaS, SaaS)?*</v>
      </c>
      <c r="C89" s="45" t="str">
        <f>VLOOKUP($A89,Organization!$A$13:$E$67,3,0)&amp;""</f>
        <v>Yes</v>
      </c>
      <c r="D89" s="34" t="str">
        <f>IF(LEFT(VLOOKUP($A89,Organization!$A$13:$E$67,5,0),21)='Auto Responses'!$A$32,'Auto Responses'!$A$33,VLOOKUP($A89,Organization!$A$13:$E$67,4,0))&amp;""</f>
        <v>Accredible reviews SOC 2 reports from all sub-processors that process customer data on an annual basis under NDA.</v>
      </c>
      <c r="E89" s="288" t="str">
        <f>VLOOKUP($A89,Organization!$A$13:$E$67,5,0)&amp;""</f>
        <v>Provide a summary of your practices that assures that the third party will be subject to the appropriate standards regarding security, service recoverability, and confidentiality.</v>
      </c>
      <c r="F89" s="186"/>
      <c r="G89" s="30" t="str">
        <f>VLOOKUP($A89,Questions!$A$2:$X$333,21,0)&amp;""</f>
        <v>Yes</v>
      </c>
      <c r="H89" s="176"/>
      <c r="I89" s="45" t="str">
        <f>VLOOKUP($A89,Questions!$A$2:$X$333,23,0)&amp;""</f>
        <v>Critical Importance</v>
      </c>
      <c r="J89" s="176"/>
      <c r="K89" s="48" t="b">
        <v>0</v>
      </c>
      <c r="L89" s="1"/>
    </row>
    <row r="90" spans="1:12" s="29" customFormat="1" ht="90" customHeight="1" x14ac:dyDescent="0.15">
      <c r="A90" s="19" t="str">
        <f>Organization!$A$31</f>
        <v>THRD-02</v>
      </c>
      <c r="B90" s="20" t="str">
        <f>VLOOKUP($A90,Organization!$A$13:$E$67,2,0)&amp;""</f>
        <v>Do you have contractual language in place with third parties governing access to institutional data?*</v>
      </c>
      <c r="C90" s="45" t="str">
        <f>VLOOKUP($A90,Organization!$A$13:$E$67,3,0)&amp;""</f>
        <v>Yes</v>
      </c>
      <c r="D90" s="34" t="str">
        <f>IF(LEFT(VLOOKUP($A90,Organization!$A$13:$E$67,5,0),21)='Auto Responses'!$A$32,'Auto Responses'!$A$33,VLOOKUP($A90,Organization!$A$13:$E$67,4,0))&amp;""</f>
        <v>Accredible has contractual agreements with all third parties governing access to institutional data, including requirements that they do not use or pass on customer data to other parties.</v>
      </c>
      <c r="E90" s="288" t="str">
        <f>VLOOKUP($A90,Organization!$A$13:$E$67,5,0)&amp;""</f>
        <v>List each third party and why institutional data is shared with them. Format example: [Third Party Name] - Reason</v>
      </c>
      <c r="F90" s="186"/>
      <c r="G90" s="30" t="str">
        <f>VLOOKUP($A90,Questions!$A$2:$X$333,21,0)&amp;""</f>
        <v>Yes</v>
      </c>
      <c r="H90" s="176"/>
      <c r="I90" s="45" t="str">
        <f>VLOOKUP($A90,Questions!$A$2:$X$333,23,0)&amp;""</f>
        <v>Critical Importance</v>
      </c>
      <c r="J90" s="176"/>
      <c r="K90" s="48" t="b">
        <v>0</v>
      </c>
      <c r="L90" s="1"/>
    </row>
    <row r="91" spans="1:12" s="29" customFormat="1" ht="28.5" customHeight="1" x14ac:dyDescent="0.15">
      <c r="A91" s="19" t="str">
        <f>Organization!$A$32</f>
        <v>THRD-03</v>
      </c>
      <c r="B91" s="20" t="str">
        <f>VLOOKUP($A91,Organization!$A$13:$E$67,2,0)&amp;""</f>
        <v>Do the contracts in place with these third parties address liability in the event of a data breach?*</v>
      </c>
      <c r="C91" s="45" t="str">
        <f>VLOOKUP($A91,Organization!$A$13:$E$67,3,0)&amp;""</f>
        <v>Yes</v>
      </c>
      <c r="D91" s="34" t="str">
        <f>IF(LEFT(VLOOKUP($A91,Organization!$A$13:$E$67,5,0),21)='Auto Responses'!$A$32,'Auto Responses'!$A$33,VLOOKUP($A91,Organization!$A$13:$E$67,4,0))&amp;""</f>
        <v>Contracts with sub-processors address liability in the event of a data breach. Accredible also carries cyber-risk insurance covering data breaches and security incidents.</v>
      </c>
      <c r="E91" s="288" t="str">
        <f>VLOOKUP($A91,Organization!$A$13:$E$67,5,0)&amp;""</f>
        <v/>
      </c>
      <c r="F91" s="186"/>
      <c r="G91" s="30" t="str">
        <f>VLOOKUP($A91,Questions!$A$2:$X$333,21,0)&amp;""</f>
        <v>Yes</v>
      </c>
      <c r="H91" s="176"/>
      <c r="I91" s="45" t="str">
        <f>VLOOKUP($A91,Questions!$A$2:$X$333,23,0)&amp;""</f>
        <v>Critical Importance</v>
      </c>
      <c r="J91" s="176"/>
      <c r="K91" s="48" t="b">
        <v>0</v>
      </c>
      <c r="L91" s="1"/>
    </row>
    <row r="92" spans="1:12" s="29" customFormat="1" ht="90" customHeight="1" x14ac:dyDescent="0.15">
      <c r="A92" s="19" t="str">
        <f>Organization!$A$33</f>
        <v>THRD-04</v>
      </c>
      <c r="B92" s="20" t="str">
        <f>VLOOKUP($A92,Organization!$A$13:$E$67,2,0)&amp;""</f>
        <v>Do you have an implemented third-party management strategy?*</v>
      </c>
      <c r="C92" s="45" t="str">
        <f>VLOOKUP($A92,Organization!$A$13:$E$67,3,0)&amp;""</f>
        <v>Yes</v>
      </c>
      <c r="D92" s="34" t="str">
        <f>IF(LEFT(VLOOKUP($A92,Organization!$A$13:$E$67,5,0),21)='Auto Responses'!$A$32,'Auto Responses'!$A$33,VLOOKUP($A92,Organization!$A$13:$E$67,4,0))&amp;""</f>
        <v>Accredible maintains a documented third-party management strategy including vendor evaluation, contracting, and annual SOC 2 review.</v>
      </c>
      <c r="E92" s="288" t="str">
        <f>VLOOKUP($A92,Organization!$A$13:$E$67,5,0)&amp;""</f>
        <v>Provide additional information that may help analysts better understand your environment and how it relates to third-party solutions.</v>
      </c>
      <c r="F92" s="186"/>
      <c r="G92" s="30" t="str">
        <f>VLOOKUP($A92,Questions!$A$2:$X$333,21,0)&amp;""</f>
        <v>Yes</v>
      </c>
      <c r="H92" s="176"/>
      <c r="I92" s="45" t="str">
        <f>VLOOKUP($A92,Questions!$A$2:$X$333,23,0)&amp;""</f>
        <v>Critical Importance</v>
      </c>
      <c r="J92" s="176"/>
      <c r="K92" s="48" t="b">
        <v>0</v>
      </c>
      <c r="L92" s="1"/>
    </row>
    <row r="93" spans="1:12" s="29" customFormat="1" ht="60" customHeight="1" x14ac:dyDescent="0.15">
      <c r="A93" s="19" t="str">
        <f>Organization!$A$34</f>
        <v>THRD-05</v>
      </c>
      <c r="B93" s="20" t="str">
        <f>VLOOKUP($A93,Organization!$A$13:$E$67,2,0)&amp;""</f>
        <v>Do you have a process and implemented procedures for managing your hardware supply chain (e.g., telecommunications equipment, export licensing, computing devices)?</v>
      </c>
      <c r="C93" s="45" t="str">
        <f>VLOOKUP($A93,Organization!$A$13:$E$67,3,0)&amp;""</f>
        <v>Yes</v>
      </c>
      <c r="D93" s="34" t="str">
        <f>IF(LEFT(VLOOKUP($A93,Organization!$A$13:$E$67,5,0),21)='Auto Responses'!$A$32,'Auto Responses'!$A$33,VLOOKUP($A93,Organization!$A$13:$E$67,4,0))&amp;""</f>
        <v>Accredible manages hardware supply chain risk through its procurement and vendor management process, ensuring devices are sourced from trusted vendors.</v>
      </c>
      <c r="E93" s="288" t="str">
        <f>VLOOKUP($A93,Organization!$A$13:$E$67,5,0)&amp;""</f>
        <v>State what countries and/or regions this process is compliant with.</v>
      </c>
      <c r="F93" s="186"/>
      <c r="G93" s="30" t="str">
        <f>VLOOKUP($A93,Questions!$A$2:$X$333,21,0)&amp;""</f>
        <v>Yes</v>
      </c>
      <c r="H93" s="176"/>
      <c r="I93" s="45" t="str">
        <f>VLOOKUP($A93,Questions!$A$2:$X$333,23,0)&amp;""</f>
        <v>Standard Importance</v>
      </c>
      <c r="J93" s="176"/>
      <c r="K93" s="48" t="b">
        <v>0</v>
      </c>
      <c r="L93" s="1"/>
    </row>
    <row r="94" spans="1:12" s="1" customFormat="1" ht="18" customHeight="1" x14ac:dyDescent="0.15">
      <c r="A94" s="61" t="str">
        <f>VLOOKUP(LEFT($A95,4),'Auto Responses'!$N$4:$O$38,2,0)&amp;""</f>
        <v xml:space="preserve"> Change Management</v>
      </c>
      <c r="B94" s="22"/>
      <c r="C94" s="31"/>
      <c r="D94" s="31"/>
      <c r="E94" s="289"/>
      <c r="F94" s="125" t="s">
        <v>652</v>
      </c>
      <c r="G94" s="293" t="s">
        <v>647</v>
      </c>
      <c r="H94" s="293" t="s">
        <v>648</v>
      </c>
      <c r="I94" s="293" t="s">
        <v>649</v>
      </c>
      <c r="J94" s="293" t="s">
        <v>650</v>
      </c>
      <c r="K94" s="293" t="s">
        <v>651</v>
      </c>
    </row>
    <row r="95" spans="1:12" s="29" customFormat="1" ht="28.5" customHeight="1" x14ac:dyDescent="0.15">
      <c r="A95" s="19" t="str">
        <f>Organization!$A$36</f>
        <v>CHNG-01</v>
      </c>
      <c r="B95" s="20" t="str">
        <f>VLOOKUP($A95,Organization!$A$13:$E$67,2,0)&amp;""</f>
        <v>Will the institution be notified of major changes to your environment that could impact the institution's security posture?*</v>
      </c>
      <c r="C95" s="45" t="str">
        <f>VLOOKUP($A95,Organization!$A$13:$E$67,3,0)&amp;""</f>
        <v>Yes</v>
      </c>
      <c r="D95" s="34" t="str">
        <f>IF(LEFT(VLOOKUP($A95,Organization!$A$13:$E$67,5,0),21)='Auto Responses'!$A$32,'Auto Responses'!$A$33,VLOOKUP($A95,Organization!$A$13:$E$67,4,0))&amp;""</f>
        <v>Accredible notifies customers of major changes that could impact security posture via email communications and release notes.</v>
      </c>
      <c r="E95" s="288" t="str">
        <f>VLOOKUP($A95,Organization!$A$13:$E$67,5,0)&amp;""</f>
        <v>State how and when the institution will be notified of major changes to your environment.</v>
      </c>
      <c r="F95" s="186"/>
      <c r="G95" s="30" t="str">
        <f>VLOOKUP($A95,Questions!$A$2:$X$333,21,0)&amp;""</f>
        <v>Yes</v>
      </c>
      <c r="H95" s="176"/>
      <c r="I95" s="45" t="str">
        <f>VLOOKUP($A95,Questions!$A$2:$X$333,23,0)&amp;""</f>
        <v>Critical Importance</v>
      </c>
      <c r="J95" s="176"/>
      <c r="K95" s="48" t="b">
        <v>0</v>
      </c>
      <c r="L95" s="1"/>
    </row>
    <row r="96" spans="1:12" s="29" customFormat="1" ht="75" customHeight="1" x14ac:dyDescent="0.15">
      <c r="A96" s="19" t="str">
        <f>Organization!$A$37</f>
        <v>CHNG-02</v>
      </c>
      <c r="B96" s="20" t="str">
        <f>VLOOKUP($A96,Organization!$A$13:$E$67,2,0)&amp;""</f>
        <v>Does the system support client customizations from one release to another?*</v>
      </c>
      <c r="C96" s="45" t="str">
        <f>VLOOKUP($A96,Organization!$A$13:$E$67,3,0)&amp;""</f>
        <v>Yes</v>
      </c>
      <c r="D96" s="34" t="str">
        <f>IF(LEFT(VLOOKUP($A96,Organization!$A$13:$E$67,5,0),21)='Auto Responses'!$A$32,'Auto Responses'!$A$33,VLOOKUP($A96,Organization!$A$13:$E$67,4,0))&amp;""</f>
        <v>As a SaaS solution, Accredible manages updates centrally. Client customizations are maintained across releases to the extent supported by the platform.</v>
      </c>
      <c r="E96" s="288" t="str">
        <f>VLOOKUP($A96,Organization!$A$13:$E$67,5,0)&amp;""</f>
        <v>Describe or provide reference to your solution support strategy in regard to maintaining client customizations from one release to another.</v>
      </c>
      <c r="F96" s="186"/>
      <c r="G96" s="30" t="str">
        <f>VLOOKUP($A96,Questions!$A$2:$X$333,21,0)&amp;""</f>
        <v>Yes</v>
      </c>
      <c r="H96" s="176"/>
      <c r="I96" s="45" t="str">
        <f>VLOOKUP($A96,Questions!$A$2:$X$333,23,0)&amp;""</f>
        <v>Critical Importance</v>
      </c>
      <c r="J96" s="176"/>
      <c r="K96" s="48" t="b">
        <v>0</v>
      </c>
      <c r="L96" s="1"/>
    </row>
    <row r="97" spans="1:12" s="29" customFormat="1" ht="28.5" customHeight="1" x14ac:dyDescent="0.15">
      <c r="A97" s="19" t="str">
        <f>Organization!$A$38</f>
        <v>CHNG-03</v>
      </c>
      <c r="B97" s="20" t="str">
        <f>VLOOKUP($A97,Organization!$A$13:$E$67,2,0)&amp;""</f>
        <v>Do you have an implemented system configuration management process (e.g., secure "gold" images, etc.)?*</v>
      </c>
      <c r="C97" s="45" t="str">
        <f>VLOOKUP($A97,Organization!$A$13:$E$67,3,0)&amp;""</f>
        <v>Yes</v>
      </c>
      <c r="D97" s="34" t="str">
        <f>IF(LEFT(VLOOKUP($A97,Organization!$A$13:$E$67,5,0),21)='Auto Responses'!$A$32,'Auto Responses'!$A$33,VLOOKUP($A97,Organization!$A$13:$E$67,4,0))&amp;""</f>
        <v>Accredible uses infrastructure-as-code and hardened base images with baseline configurations, patching standards, and least-privilege access. Changes to system configurations follow peer review and approval prior to deployment.</v>
      </c>
      <c r="E97" s="288" t="str">
        <f>VLOOKUP($A97,Organization!$A$13:$E$67,5,0)&amp;""</f>
        <v>Summarize your implemented system configuration management process.</v>
      </c>
      <c r="F97" s="186"/>
      <c r="G97" s="30" t="str">
        <f>VLOOKUP($A97,Questions!$A$2:$X$333,21,0)&amp;""</f>
        <v>Yes</v>
      </c>
      <c r="H97" s="176"/>
      <c r="I97" s="45" t="str">
        <f>VLOOKUP($A97,Questions!$A$2:$X$333,23,0)&amp;""</f>
        <v>Critical Importance</v>
      </c>
      <c r="J97" s="176"/>
      <c r="K97" s="48" t="b">
        <v>0</v>
      </c>
      <c r="L97" s="1"/>
    </row>
    <row r="98" spans="1:12" s="29" customFormat="1" ht="15" customHeight="1" x14ac:dyDescent="0.15">
      <c r="A98" s="19" t="str">
        <f>Organization!$A$39</f>
        <v>CHNG-04</v>
      </c>
      <c r="B98" s="20" t="str">
        <f>VLOOKUP($A98,Organization!$A$13:$E$67,2,0)&amp;""</f>
        <v>Do you have a documented change management process?</v>
      </c>
      <c r="C98" s="45" t="str">
        <f>VLOOKUP($A98,Organization!$A$13:$E$67,3,0)&amp;""</f>
        <v>Yes</v>
      </c>
      <c r="D98" s="34" t="str">
        <f>IF(LEFT(VLOOKUP($A98,Organization!$A$13:$E$67,5,0),21)='Auto Responses'!$A$32,'Auto Responses'!$A$33,VLOOKUP($A98,Organization!$A$13:$E$67,4,0))&amp;""</f>
        <v>Accredible maintains a documented change management process covering planning, review, testing, and approval.</v>
      </c>
      <c r="E98" s="288" t="str">
        <f>VLOOKUP($A98,Organization!$A$13:$E$67,5,0)&amp;""</f>
        <v>Summarize your current change management process.</v>
      </c>
      <c r="F98" s="186"/>
      <c r="G98" s="30" t="str">
        <f>VLOOKUP($A98,Questions!$A$2:$X$333,21,0)&amp;""</f>
        <v>Yes</v>
      </c>
      <c r="H98" s="176"/>
      <c r="I98" s="45" t="str">
        <f>VLOOKUP($A98,Questions!$A$2:$X$333,23,0)&amp;""</f>
        <v>Standard Importance</v>
      </c>
      <c r="J98" s="176"/>
      <c r="K98" s="48" t="b">
        <v>0</v>
      </c>
      <c r="L98" s="1"/>
    </row>
    <row r="99" spans="1:12" s="29" customFormat="1" ht="42.75" customHeight="1" x14ac:dyDescent="0.15">
      <c r="A99" s="19" t="str">
        <f>Organization!$A$40</f>
        <v>CHNG-05</v>
      </c>
      <c r="B99" s="20" t="str">
        <f>VLOOKUP($A99,Organization!$A$13:$E$67,2,0)&amp;""</f>
        <v>Does your change management process minimally include authorization, impact analysis, testing, and validation before moving changes to production?</v>
      </c>
      <c r="C99" s="45" t="str">
        <f>VLOOKUP($A99,Organization!$A$13:$E$67,3,0)&amp;""</f>
        <v>Yes</v>
      </c>
      <c r="D99" s="34" t="str">
        <f>IF(LEFT(VLOOKUP($A99,Organization!$A$13:$E$67,5,0),21)='Auto Responses'!$A$32,'Auto Responses'!$A$33,VLOOKUP($A99,Organization!$A$13:$E$67,4,0))&amp;""</f>
        <v>Change management includes authorization, impact analysis, testing in staging, and validation before production deployment.</v>
      </c>
      <c r="E99" s="288" t="str">
        <f>VLOOKUP($A99,Organization!$A$13:$E$67,5,0)&amp;""</f>
        <v>Indicate all procedures that are implemented in your change management process. (a) An impact analysis of the upgrade is performed. (b) The change is appropriately authorized. (c) Changes are made first in a test environment. (d) The ability to implement the upgrades/changes in the production environment is limited to appropriate IT personnel.</v>
      </c>
      <c r="F99" s="186"/>
      <c r="G99" s="30" t="str">
        <f>VLOOKUP($A99,Questions!$A$2:$X$333,21,0)&amp;""</f>
        <v>Yes</v>
      </c>
      <c r="H99" s="176"/>
      <c r="I99" s="45" t="str">
        <f>VLOOKUP($A99,Questions!$A$2:$X$333,23,0)&amp;""</f>
        <v>Standard Importance</v>
      </c>
      <c r="J99" s="176"/>
      <c r="K99" s="48" t="b">
        <v>0</v>
      </c>
      <c r="L99" s="1"/>
    </row>
    <row r="100" spans="1:12" s="29" customFormat="1" ht="28.5" customHeight="1" x14ac:dyDescent="0.15">
      <c r="A100" s="19" t="str">
        <f>Organization!$A$41</f>
        <v>CHNG-06</v>
      </c>
      <c r="B100" s="20" t="str">
        <f>VLOOKUP($A100,Organization!$A$13:$E$67,2,0)&amp;""</f>
        <v>Does your change management process verify that all required third-party libraries and dependencies are still supported with each major change?</v>
      </c>
      <c r="C100" s="45" t="str">
        <f>VLOOKUP($A100,Organization!$A$13:$E$67,3,0)&amp;""</f>
        <v>Yes</v>
      </c>
      <c r="D100" s="34" t="str">
        <f>IF(LEFT(VLOOKUP($A100,Organization!$A$13:$E$67,5,0),21)='Auto Responses'!$A$32,'Auto Responses'!$A$33,VLOOKUP($A100,Organization!$A$13:$E$67,4,0))&amp;""</f>
        <v>Dependency management includes SBOM tracking, automated scanning for vulnerabilities and end-of-support risks, and upgrade gates during CI/CD to prevent deployment of unsafe or unsupported components.</v>
      </c>
      <c r="E100" s="288" t="str">
        <f>VLOOKUP($A100,Organization!$A$13:$E$67,5,0)&amp;""</f>
        <v>Please describe your program to track these dependencies.</v>
      </c>
      <c r="F100" s="186"/>
      <c r="G100" s="30" t="str">
        <f>VLOOKUP($A100,Questions!$A$2:$X$333,21,0)&amp;""</f>
        <v>Yes</v>
      </c>
      <c r="H100" s="176"/>
      <c r="I100" s="45" t="str">
        <f>VLOOKUP($A100,Questions!$A$2:$X$333,23,0)&amp;""</f>
        <v>Standard Importance</v>
      </c>
      <c r="J100" s="176"/>
      <c r="K100" s="48" t="b">
        <v>0</v>
      </c>
      <c r="L100" s="1"/>
    </row>
    <row r="101" spans="1:12" s="29" customFormat="1" ht="28.5" customHeight="1" x14ac:dyDescent="0.15">
      <c r="A101" s="19" t="str">
        <f>Organization!$A$42</f>
        <v>CHNG-07</v>
      </c>
      <c r="B101" s="20" t="str">
        <f>VLOOKUP($A101,Organization!$A$13:$E$67,2,0)&amp;""</f>
        <v>Do you have policy and procedure, currently implemented, managing how critical patches are applied to all systems and applications?</v>
      </c>
      <c r="C101" s="45" t="str">
        <f>VLOOKUP($A101,Organization!$A$13:$E$67,3,0)&amp;""</f>
        <v>Yes</v>
      </c>
      <c r="D101" s="34" t="str">
        <f>IF(LEFT(VLOOKUP($A101,Organization!$A$13:$E$67,5,0),21)='Auto Responses'!$A$32,'Auto Responses'!$A$33,VLOOKUP($A101,Organization!$A$13:$E$67,4,0))&amp;""</f>
        <v>Accredible operates a patch management policy that classifies vulnerabilities and mandates patching of critical and high-risk vulnerabilities within a defined short time period. Continuous vulnerability monitoring tools are used across infrastructure.</v>
      </c>
      <c r="E101" s="288" t="str">
        <f>VLOOKUP($A101,Organization!$A$13:$E$67,5,0)&amp;""</f>
        <v>Summarize the policy and procedure(s) managing how critical patches are applied to systems and applications.</v>
      </c>
      <c r="F101" s="186"/>
      <c r="G101" s="30" t="str">
        <f>VLOOKUP($A101,Questions!$A$2:$X$333,21,0)&amp;""</f>
        <v>Yes</v>
      </c>
      <c r="H101" s="176"/>
      <c r="I101" s="45" t="str">
        <f>VLOOKUP($A101,Questions!$A$2:$X$333,23,0)&amp;""</f>
        <v>Standard Importance</v>
      </c>
      <c r="J101" s="176"/>
      <c r="K101" s="48" t="b">
        <v>0</v>
      </c>
      <c r="L101" s="1"/>
    </row>
    <row r="102" spans="1:12" s="29" customFormat="1" ht="28.5" customHeight="1" x14ac:dyDescent="0.15">
      <c r="A102" s="19" t="str">
        <f>Organization!$A$43</f>
        <v>CHNG-08</v>
      </c>
      <c r="B102" s="20" t="str">
        <f>VLOOKUP($A102,Organization!$A$13:$E$67,2,0)&amp;""</f>
        <v>Have you implemented policies and procedures that guide how security risks are mitigated until patches can be applied?</v>
      </c>
      <c r="C102" s="45" t="str">
        <f>VLOOKUP($A102,Organization!$A$13:$E$67,3,0)&amp;""</f>
        <v>Yes</v>
      </c>
      <c r="D102" s="34" t="str">
        <f>IF(LEFT(VLOOKUP($A102,Organization!$A$13:$E$67,5,0),21)='Auto Responses'!$A$32,'Auto Responses'!$A$33,VLOOKUP($A102,Organization!$A$13:$E$67,4,0))&amp;""</f>
        <v>Accredible has implemented policies and procedures for mitigating security risks until patches can be applied, including compensating controls and enhanced monitoring.</v>
      </c>
      <c r="E102" s="288" t="str">
        <f>VLOOKUP($A102,Organization!$A$13:$E$67,5,0)&amp;""</f>
        <v>Summarize the policy and procedure(s) guiding risk mitigation practices before critical patches can be applied.</v>
      </c>
      <c r="F102" s="186"/>
      <c r="G102" s="30" t="str">
        <f>VLOOKUP($A102,Questions!$A$2:$X$333,21,0)&amp;""</f>
        <v>Yes</v>
      </c>
      <c r="H102" s="176"/>
      <c r="I102" s="45" t="str">
        <f>VLOOKUP($A102,Questions!$A$2:$X$333,23,0)&amp;""</f>
        <v>Standard Importance</v>
      </c>
      <c r="J102" s="176"/>
      <c r="K102" s="48" t="b">
        <v>0</v>
      </c>
      <c r="L102" s="1"/>
    </row>
    <row r="103" spans="1:12" s="29" customFormat="1" ht="28.5" customHeight="1" x14ac:dyDescent="0.15">
      <c r="A103" s="19" t="str">
        <f>Organization!$A$44</f>
        <v>CHNG-09</v>
      </c>
      <c r="B103" s="20" t="str">
        <f>VLOOKUP($A103,Organization!$A$13:$E$67,2,0)&amp;""</f>
        <v>Do clients have the option to not participate in or postpone an upgrade to a new release?</v>
      </c>
      <c r="C103" s="45" t="str">
        <f>VLOOKUP($A103,Organization!$A$13:$E$67,3,0)&amp;""</f>
        <v>No</v>
      </c>
      <c r="D103" s="34" t="str">
        <f>IF(LEFT(VLOOKUP($A103,Organization!$A$13:$E$67,5,0),21)='Auto Responses'!$A$32,'Auto Responses'!$A$33,VLOOKUP($A103,Organization!$A$13:$E$67,4,0))&amp;""</f>
        <v>As a managed SaaS platform, Accredible applies platform updates to maintain security and reliability. Where feasible, changes are backward compatible and communicated in advance. Customers may use feature flags, sandbox testing, and documented deprecation timelines to manage transitions; critical security patches are not deferrable.</v>
      </c>
      <c r="E103" s="288" t="str">
        <f>VLOOKUP($A103,Organization!$A$13:$E$67,5,0)&amp;""</f>
        <v>Summarize why clients do not have alternative release options.</v>
      </c>
      <c r="F103" s="186"/>
      <c r="G103" s="30" t="str">
        <f>VLOOKUP($A103,Questions!$A$2:$X$333,21,0)&amp;""</f>
        <v>Yes</v>
      </c>
      <c r="H103" s="176"/>
      <c r="I103" s="45" t="str">
        <f>VLOOKUP($A103,Questions!$A$2:$X$333,23,0)&amp;""</f>
        <v>Minor Importance</v>
      </c>
      <c r="J103" s="176"/>
      <c r="K103" s="48" t="b">
        <v>0</v>
      </c>
      <c r="L103" s="1"/>
    </row>
    <row r="104" spans="1:12" s="29" customFormat="1" ht="75" customHeight="1" x14ac:dyDescent="0.15">
      <c r="A104" s="19" t="str">
        <f>Organization!$A$45</f>
        <v>CHNG-10</v>
      </c>
      <c r="B104" s="20" t="str">
        <f>VLOOKUP($A104,Organization!$A$13:$E$67,2,0)&amp;""</f>
        <v>Do you have a fully implemented solution support strategy that defines how many concurrent versions you support?</v>
      </c>
      <c r="C104" s="45" t="str">
        <f>VLOOKUP($A104,Organization!$A$13:$E$67,3,0)&amp;""</f>
        <v>Yes</v>
      </c>
      <c r="D104" s="34" t="str">
        <f>IF(LEFT(VLOOKUP($A104,Organization!$A$13:$E$67,5,0),21)='Auto Responses'!$A$32,'Auto Responses'!$A$33,VLOOKUP($A104,Organization!$A$13:$E$67,4,0))&amp;""</f>
        <v>Accredible maintains a fully implemented support strategy. As a SaaS platform, a single supported version is maintained at all times.</v>
      </c>
      <c r="E104" s="288" t="str">
        <f>VLOOKUP($A104,Organization!$A$13:$E$67,5,0)&amp;""</f>
        <v>Describe or provide a reference to your solution support strategy in regard to maintaining software currency (i.e., how many concurrent versions are you willing to run and support?).</v>
      </c>
      <c r="F104" s="186"/>
      <c r="G104" s="30" t="str">
        <f>VLOOKUP($A104,Questions!$A$2:$X$333,21,0)&amp;""</f>
        <v>Yes</v>
      </c>
      <c r="H104" s="176"/>
      <c r="I104" s="45" t="str">
        <f>VLOOKUP($A104,Questions!$A$2:$X$333,23,0)&amp;""</f>
        <v>Minor Importance</v>
      </c>
      <c r="J104" s="176"/>
      <c r="K104" s="48" t="b">
        <v>0</v>
      </c>
      <c r="L104" s="1"/>
    </row>
    <row r="105" spans="1:12" s="29" customFormat="1" ht="15" customHeight="1" x14ac:dyDescent="0.15">
      <c r="A105" s="19" t="str">
        <f>Organization!$A$46</f>
        <v>CHNG-11</v>
      </c>
      <c r="B105" s="20" t="str">
        <f>VLOOKUP($A105,Organization!$A$13:$E$67,2,0)&amp;""</f>
        <v>Do you have a release schedule for product updates?</v>
      </c>
      <c r="C105" s="45" t="str">
        <f>VLOOKUP($A105,Organization!$A$13:$E$67,3,0)&amp;""</f>
        <v>Yes</v>
      </c>
      <c r="D105" s="34" t="str">
        <f>IF(LEFT(VLOOKUP($A105,Organization!$A$13:$E$67,5,0),21)='Auto Responses'!$A$32,'Auto Responses'!$A$33,VLOOKUP($A105,Organization!$A$13:$E$67,4,0))&amp;""</f>
        <v>Accredible follows a regular release cadence for enhancements and fixes, publishes release notes, and maintains a change calendar. Out-of-band releases are used for urgent security or stability updates.</v>
      </c>
      <c r="E105" s="288" t="str">
        <f>VLOOKUP($A105,Organization!$A$13:$E$67,5,0)&amp;""</f>
        <v>Provide a reference to this solution's release schedule.</v>
      </c>
      <c r="F105" s="186"/>
      <c r="G105" s="30" t="str">
        <f>VLOOKUP($A105,Questions!$A$2:$X$333,21,0)&amp;""</f>
        <v>Yes</v>
      </c>
      <c r="H105" s="176"/>
      <c r="I105" s="45" t="str">
        <f>VLOOKUP($A105,Questions!$A$2:$X$333,23,0)&amp;""</f>
        <v>Minor Importance</v>
      </c>
      <c r="J105" s="176"/>
      <c r="K105" s="48" t="b">
        <v>0</v>
      </c>
      <c r="L105" s="1"/>
    </row>
    <row r="106" spans="1:12" s="29" customFormat="1" ht="28.5" customHeight="1" x14ac:dyDescent="0.15">
      <c r="A106" s="19" t="str">
        <f>Organization!$A$47</f>
        <v>CHNG-12</v>
      </c>
      <c r="B106" s="20" t="str">
        <f>VLOOKUP($A106,Organization!$A$13:$E$67,2,0)&amp;""</f>
        <v>Do you have a technology roadmap, for at least the next two years, for enhancements and bug fixes for the solution being assessed?</v>
      </c>
      <c r="C106" s="45" t="str">
        <f>VLOOKUP($A106,Organization!$A$13:$E$67,3,0)&amp;""</f>
        <v>Yes</v>
      </c>
      <c r="D106" s="34" t="str">
        <f>IF(LEFT(VLOOKUP($A106,Organization!$A$13:$E$67,5,0),21)='Auto Responses'!$A$32,'Auto Responses'!$A$33,VLOOKUP($A106,Organization!$A$13:$E$67,4,0))&amp;""</f>
        <v>Accredible maintains a technology roadmap available to customers covering platform enhancements and improvements beyond the next two years.</v>
      </c>
      <c r="E106" s="288" t="str">
        <f>VLOOKUP($A106,Organization!$A$13:$E$67,5,0)&amp;""</f>
        <v>Provide a reference to your technology roadmap.</v>
      </c>
      <c r="F106" s="186"/>
      <c r="G106" s="30" t="str">
        <f>VLOOKUP($A106,Questions!$A$2:$X$333,21,0)&amp;""</f>
        <v>Yes</v>
      </c>
      <c r="H106" s="176"/>
      <c r="I106" s="45" t="str">
        <f>VLOOKUP($A106,Questions!$A$2:$X$333,23,0)&amp;""</f>
        <v>Minor Importance</v>
      </c>
      <c r="J106" s="176"/>
      <c r="K106" s="48" t="b">
        <v>0</v>
      </c>
      <c r="L106" s="1"/>
    </row>
    <row r="107" spans="1:12" s="29" customFormat="1" ht="28.5" customHeight="1" x14ac:dyDescent="0.15">
      <c r="A107" s="19" t="str">
        <f>Organization!$A$48</f>
        <v>CHNG-13</v>
      </c>
      <c r="B107" s="20" t="str">
        <f>VLOOKUP($A107,Organization!$A$13:$E$67,2,0)&amp;""</f>
        <v>Can solution updates be completed without institutional involvement (i.e., technically or organizationally)?</v>
      </c>
      <c r="C107" s="45" t="str">
        <f>VLOOKUP($A107,Organization!$A$13:$E$67,3,0)&amp;""</f>
        <v>Yes</v>
      </c>
      <c r="D107" s="34" t="str">
        <f>IF(LEFT(VLOOKUP($A107,Organization!$A$13:$E$67,5,0),21)='Auto Responses'!$A$32,'Auto Responses'!$A$33,VLOOKUP($A107,Organization!$A$13:$E$67,4,0))&amp;""</f>
        <v>As a cloud SaaS platform, updates are applied centrally without requiring customer involvement.</v>
      </c>
      <c r="E107" s="288" t="str">
        <f>VLOOKUP($A107,Organization!$A$13:$E$67,5,0)&amp;""</f>
        <v/>
      </c>
      <c r="F107" s="186"/>
      <c r="G107" s="30" t="str">
        <f>VLOOKUP($A107,Questions!$A$2:$X$333,21,0)&amp;""</f>
        <v>Yes</v>
      </c>
      <c r="H107" s="176"/>
      <c r="I107" s="45" t="str">
        <f>VLOOKUP($A107,Questions!$A$2:$X$333,23,0)&amp;""</f>
        <v>Minor Importance</v>
      </c>
      <c r="J107" s="176"/>
      <c r="K107" s="48" t="b">
        <v>0</v>
      </c>
      <c r="L107" s="1"/>
    </row>
    <row r="108" spans="1:12" s="29" customFormat="1" ht="28.5" customHeight="1" x14ac:dyDescent="0.15">
      <c r="A108" s="19" t="str">
        <f>Organization!$A$49</f>
        <v>CHNG-14</v>
      </c>
      <c r="B108" s="20" t="str">
        <f>VLOOKUP($A108,Organization!$A$13:$E$67,2,0)&amp;""</f>
        <v>Are upgrades or system changes installed during off-peak hours or in a manner that does not impact the customer?</v>
      </c>
      <c r="C108" s="45" t="str">
        <f>VLOOKUP($A108,Organization!$A$13:$E$67,3,0)&amp;""</f>
        <v>Yes</v>
      </c>
      <c r="D108" s="34" t="str">
        <f>IF(LEFT(VLOOKUP($A108,Organization!$A$13:$E$67,5,0),21)='Auto Responses'!$A$32,'Auto Responses'!$A$33,VLOOKUP($A108,Organization!$A$13:$E$67,4,0))&amp;""</f>
        <v>Accredible schedules upgrades and system changes to minimize customer impact, typically applying them during off-peak hours.</v>
      </c>
      <c r="E108" s="288" t="str">
        <f>VLOOKUP($A108,Organization!$A$13:$E$67,5,0)&amp;""</f>
        <v>Define current off-peak hours, including time zones as necessary.</v>
      </c>
      <c r="F108" s="186"/>
      <c r="G108" s="30" t="str">
        <f>VLOOKUP($A108,Questions!$A$2:$X$333,21,0)&amp;""</f>
        <v>Yes</v>
      </c>
      <c r="H108" s="176"/>
      <c r="I108" s="45" t="str">
        <f>VLOOKUP($A108,Questions!$A$2:$X$333,23,0)&amp;""</f>
        <v>Minor Importance</v>
      </c>
      <c r="J108" s="176"/>
      <c r="K108" s="48" t="b">
        <v>0</v>
      </c>
      <c r="L108" s="1"/>
    </row>
    <row r="109" spans="1:12" s="29" customFormat="1" ht="28.5" customHeight="1" x14ac:dyDescent="0.15">
      <c r="A109" s="19" t="str">
        <f>Organization!$A$50</f>
        <v>CHNG-15</v>
      </c>
      <c r="B109" s="20" t="str">
        <f>VLOOKUP($A109,Organization!$A$13:$E$67,2,0)&amp;""</f>
        <v>Do procedures exist to provide that emergency changes are documented and authorized (including after-the-fact approval)?</v>
      </c>
      <c r="C109" s="45" t="str">
        <f>VLOOKUP($A109,Organization!$A$13:$E$67,3,0)&amp;""</f>
        <v>Yes</v>
      </c>
      <c r="D109" s="34" t="str">
        <f>IF(LEFT(VLOOKUP($A109,Organization!$A$13:$E$67,5,0),21)='Auto Responses'!$A$32,'Auto Responses'!$A$33,VLOOKUP($A109,Organization!$A$13:$E$67,4,0))&amp;""</f>
        <v>An expedited emergency change procedure permits rapid remediation with immediate documentation, post-implementation review, and formal after-the-fact approval.</v>
      </c>
      <c r="E109" s="288" t="str">
        <f>VLOOKUP($A109,Organization!$A$13:$E$67,5,0)&amp;""</f>
        <v>Summarize implemented procedures ensuring that emergency changes are documented and authorized.</v>
      </c>
      <c r="F109" s="186"/>
      <c r="G109" s="30" t="str">
        <f>VLOOKUP($A109,Questions!$A$2:$X$333,21,0)&amp;""</f>
        <v>Yes</v>
      </c>
      <c r="H109" s="176"/>
      <c r="I109" s="45" t="str">
        <f>VLOOKUP($A109,Questions!$A$2:$X$333,23,0)&amp;""</f>
        <v>Minor Importance</v>
      </c>
      <c r="J109" s="176"/>
      <c r="K109" s="48" t="b">
        <v>0</v>
      </c>
      <c r="L109" s="1"/>
    </row>
    <row r="110" spans="1:12" s="29" customFormat="1" ht="42.75" customHeight="1" x14ac:dyDescent="0.15">
      <c r="A110" s="19" t="str">
        <f>Organization!$A$51</f>
        <v>CHNG-16</v>
      </c>
      <c r="B110" s="20" t="str">
        <f>VLOOKUP($A110,Organization!$A$13:$E$67,2,0)&amp;""</f>
        <v>Do you have a systems management and configuration strategy that encompasses servers, appliances, cloud services, applications, and mobile devices (company and employee owned)?</v>
      </c>
      <c r="C110" s="45" t="str">
        <f>VLOOKUP($A110,Organization!$A$13:$E$67,3,0)&amp;""</f>
        <v>Yes</v>
      </c>
      <c r="D110" s="34" t="str">
        <f>IF(LEFT(VLOOKUP($A110,Organization!$A$13:$E$67,5,0),21)='Auto Responses'!$A$32,'Auto Responses'!$A$33,VLOOKUP($A110,Organization!$A$13:$E$67,4,0))&amp;""</f>
        <v>Accredible maintains a systems management strategy covering servers, cloud services, applications, and endpoint devices using MDM and infrastructure as code.</v>
      </c>
      <c r="E110" s="288" t="str">
        <f>VLOOKUP($A110,Organization!$A$13:$E$67,5,0)&amp;""</f>
        <v>Summarize your systems management and configuration strategy.</v>
      </c>
      <c r="F110" s="186"/>
      <c r="G110" s="30" t="str">
        <f>VLOOKUP($A110,Questions!$A$2:$X$333,21,0)&amp;""</f>
        <v>Yes</v>
      </c>
      <c r="H110" s="176"/>
      <c r="I110" s="45" t="str">
        <f>VLOOKUP($A110,Questions!$A$2:$X$333,23,0)&amp;""</f>
        <v>Minor Importance</v>
      </c>
      <c r="J110" s="176"/>
      <c r="K110" s="48" t="b">
        <v>0</v>
      </c>
      <c r="L110" s="1"/>
    </row>
    <row r="111" spans="1:12" s="1" customFormat="1" ht="18" customHeight="1" x14ac:dyDescent="0.15">
      <c r="A111" s="61" t="str">
        <f>VLOOKUP(LEFT($A112,4),'Auto Responses'!$N$4:$O$38,2,0)&amp;""</f>
        <v xml:space="preserve"> Policies, Processes, and Procedures</v>
      </c>
      <c r="B111" s="22"/>
      <c r="C111" s="31"/>
      <c r="D111" s="31"/>
      <c r="E111" s="289"/>
      <c r="F111" s="125" t="s">
        <v>652</v>
      </c>
      <c r="G111" s="293" t="s">
        <v>647</v>
      </c>
      <c r="H111" s="293" t="s">
        <v>648</v>
      </c>
      <c r="I111" s="293" t="s">
        <v>649</v>
      </c>
      <c r="J111" s="293" t="s">
        <v>650</v>
      </c>
      <c r="K111" s="293" t="s">
        <v>651</v>
      </c>
    </row>
    <row r="112" spans="1:12" s="29" customFormat="1" ht="15" customHeight="1" x14ac:dyDescent="0.15">
      <c r="A112" s="19" t="str">
        <f>Organization!$A$53</f>
        <v>PPPR-01</v>
      </c>
      <c r="B112" s="20" t="str">
        <f>VLOOKUP($A112,Organization!$A$13:$E$67,2,0)&amp;""</f>
        <v>Do you have a documented patch management process?*</v>
      </c>
      <c r="C112" s="45" t="str">
        <f>VLOOKUP($A112,Organization!$A$13:$E$67,3,0)&amp;""</f>
        <v>Yes</v>
      </c>
      <c r="D112" s="34" t="str">
        <f>IF(LEFT(VLOOKUP($A112,Organization!$A$13:$E$67,5,0),21)='Auto Responses'!$A$32,'Auto Responses'!$A$33,VLOOKUP($A112,Organization!$A$13:$E$67,4,0))&amp;""</f>
        <v>Accredible has a documented patch management process that classifies vulnerabilities and mandates timely remediation of critical and high-risk issues.</v>
      </c>
      <c r="E112" s="288" t="str">
        <f>VLOOKUP($A112,Organization!$A$13:$E$67,5,0)&amp;""</f>
        <v/>
      </c>
      <c r="F112" s="186"/>
      <c r="G112" s="30" t="str">
        <f>VLOOKUP($A112,Questions!$A$2:$X$333,21,0)&amp;""</f>
        <v>Yes</v>
      </c>
      <c r="H112" s="176"/>
      <c r="I112" s="45" t="str">
        <f>VLOOKUP($A112,Questions!$A$2:$X$333,23,0)&amp;""</f>
        <v>Critical Importance</v>
      </c>
      <c r="J112" s="176"/>
      <c r="K112" s="48" t="b">
        <v>0</v>
      </c>
      <c r="L112" s="1"/>
    </row>
    <row r="113" spans="1:12" s="29" customFormat="1" ht="28.5" customHeight="1" x14ac:dyDescent="0.15">
      <c r="A113" s="19" t="str">
        <f>Organization!$A$54</f>
        <v>PPPR-02</v>
      </c>
      <c r="B113" s="20" t="str">
        <f>VLOOKUP($A113,Organization!$A$13:$E$67,2,0)&amp;""</f>
        <v>Can your organization comply with institutional policies on privacy and data protection with regard to users of institutional systems, if required?*</v>
      </c>
      <c r="C113" s="45" t="str">
        <f>VLOOKUP($A113,Organization!$A$13:$E$67,3,0)&amp;""</f>
        <v>Yes</v>
      </c>
      <c r="D113" s="34" t="str">
        <f>IF(LEFT(VLOOKUP($A113,Organization!$A$13:$E$67,5,0),21)='Auto Responses'!$A$32,'Auto Responses'!$A$33,VLOOKUP($A113,Organization!$A$13:$E$67,4,0))&amp;""</f>
        <v>Accredible can comply with institutional privacy and data protection policies for institutional systems as required, subject to review.</v>
      </c>
      <c r="E113" s="288" t="str">
        <f>VLOOKUP($A113,Organization!$A$13:$E$67,5,0)&amp;""</f>
        <v>State that you have reviewed the institution's IT policies with regards to user privacy and data protection.</v>
      </c>
      <c r="F113" s="186"/>
      <c r="G113" s="30" t="str">
        <f>VLOOKUP($A113,Questions!$A$2:$X$333,21,0)&amp;""</f>
        <v>Yes</v>
      </c>
      <c r="H113" s="176"/>
      <c r="I113" s="45" t="str">
        <f>VLOOKUP($A113,Questions!$A$2:$X$333,23,0)&amp;""</f>
        <v>Critical Importance</v>
      </c>
      <c r="J113" s="176"/>
      <c r="K113" s="48" t="b">
        <v>0</v>
      </c>
      <c r="L113" s="1"/>
    </row>
    <row r="114" spans="1:12" s="29" customFormat="1" ht="45" customHeight="1" x14ac:dyDescent="0.15">
      <c r="A114" s="19" t="str">
        <f>Organization!$A$55</f>
        <v>PPPR-03</v>
      </c>
      <c r="B114" s="20" t="str">
        <f>VLOOKUP($A114,Organization!$A$13:$E$67,2,0)&amp;""</f>
        <v>Is your company subject to the institution's geographic region's laws and regulations?*</v>
      </c>
      <c r="C114" s="45" t="str">
        <f>VLOOKUP($A114,Organization!$A$13:$E$67,3,0)&amp;""</f>
        <v>Yes</v>
      </c>
      <c r="D114" s="34" t="str">
        <f>IF(LEFT(VLOOKUP($A114,Organization!$A$13:$E$67,5,0),21)='Auto Responses'!$A$32,'Auto Responses'!$A$33,VLOOKUP($A114,Organization!$A$13:$E$67,4,0))&amp;""</f>
        <v>Accredible (EdInvent Inc.) is a US-registered company subject to applicable US federal and state laws. Accredible Ltd. is subject to UK laws. Accredible complies with GDPR as a data processor for EU customers.</v>
      </c>
      <c r="E114" s="288" t="str">
        <f>VLOOKUP($A114,Organization!$A$13:$E$67,5,0)&amp;""</f>
        <v>State the country that governs and regulates your company.</v>
      </c>
      <c r="F114" s="186"/>
      <c r="G114" s="30" t="str">
        <f>VLOOKUP($A114,Questions!$A$2:$X$333,21,0)&amp;""</f>
        <v>Yes</v>
      </c>
      <c r="H114" s="176"/>
      <c r="I114" s="45" t="str">
        <f>VLOOKUP($A114,Questions!$A$2:$X$333,23,0)&amp;""</f>
        <v>Critical Importance</v>
      </c>
      <c r="J114" s="176"/>
      <c r="K114" s="48" t="b">
        <v>0</v>
      </c>
      <c r="L114" s="1"/>
    </row>
    <row r="115" spans="1:12" s="29" customFormat="1" ht="15" customHeight="1" x14ac:dyDescent="0.15">
      <c r="A115" s="19" t="str">
        <f>Organization!$A$56</f>
        <v>PPPR-04</v>
      </c>
      <c r="B115" s="20" t="str">
        <f>VLOOKUP($A115,Organization!$A$13:$E$67,2,0)&amp;""</f>
        <v>Can you accommodate encryption requirements using open standards?</v>
      </c>
      <c r="C115" s="45" t="str">
        <f>VLOOKUP($A115,Organization!$A$13:$E$67,3,0)&amp;""</f>
        <v>Yes</v>
      </c>
      <c r="D115" s="34" t="str">
        <f>IF(LEFT(VLOOKUP($A115,Organization!$A$13:$E$67,5,0),21)='Auto Responses'!$A$32,'Auto Responses'!$A$33,VLOOKUP($A115,Organization!$A$13:$E$67,4,0))&amp;""</f>
        <v>Accredible can accommodate encryption requirements using open, industry-standard cryptographic protocols (TLS 1.2+, AES-256).</v>
      </c>
      <c r="E115" s="288" t="str">
        <f>VLOOKUP($A115,Organization!$A$13:$E$67,5,0)&amp;""</f>
        <v/>
      </c>
      <c r="F115" s="186"/>
      <c r="G115" s="30" t="str">
        <f>VLOOKUP($A115,Questions!$A$2:$X$333,21,0)&amp;""</f>
        <v>Yes</v>
      </c>
      <c r="H115" s="176"/>
      <c r="I115" s="45" t="str">
        <f>VLOOKUP($A115,Questions!$A$2:$X$333,23,0)&amp;""</f>
        <v>Standard Importance</v>
      </c>
      <c r="J115" s="176"/>
      <c r="K115" s="48" t="b">
        <v>0</v>
      </c>
      <c r="L115" s="1"/>
    </row>
    <row r="116" spans="1:12" s="29" customFormat="1" ht="15" customHeight="1" x14ac:dyDescent="0.15">
      <c r="A116" s="19" t="str">
        <f>Organization!$A$57</f>
        <v>PPPR-05</v>
      </c>
      <c r="B116" s="20" t="str">
        <f>VLOOKUP($A116,Organization!$A$13:$E$67,2,0)&amp;""</f>
        <v>Do you have a documented systems development life cycle (SDLC)?</v>
      </c>
      <c r="C116" s="45" t="str">
        <f>VLOOKUP($A116,Organization!$A$13:$E$67,3,0)&amp;""</f>
        <v>Yes</v>
      </c>
      <c r="D116" s="34" t="str">
        <f>IF(LEFT(VLOOKUP($A116,Organization!$A$13:$E$67,5,0),21)='Auto Responses'!$A$32,'Auto Responses'!$A$33,VLOOKUP($A116,Organization!$A$13:$E$67,4,0))&amp;""</f>
        <v>Accredible operates a documented Software Development Life Cycle (SDLC) including code review, automated testing, staging environment validation, and manual approval before production release.</v>
      </c>
      <c r="E116" s="288" t="str">
        <f>VLOOKUP($A116,Organization!$A$13:$E$67,5,0)&amp;""</f>
        <v>Briefly summarize your SDLC or provide a link or attachment.</v>
      </c>
      <c r="F116" s="186"/>
      <c r="G116" s="30" t="str">
        <f>VLOOKUP($A116,Questions!$A$2:$X$333,21,0)&amp;""</f>
        <v>Yes</v>
      </c>
      <c r="H116" s="176"/>
      <c r="I116" s="45" t="str">
        <f>VLOOKUP($A116,Questions!$A$2:$X$333,23,0)&amp;""</f>
        <v>Standard Importance</v>
      </c>
      <c r="J116" s="176"/>
      <c r="K116" s="48" t="b">
        <v>0</v>
      </c>
      <c r="L116" s="1"/>
    </row>
    <row r="117" spans="1:12" s="29" customFormat="1" ht="28.5" customHeight="1" x14ac:dyDescent="0.15">
      <c r="A117" s="19" t="str">
        <f>Organization!$A$58</f>
        <v>PPPR-06</v>
      </c>
      <c r="B117" s="20" t="str">
        <f>VLOOKUP($A117,Organization!$A$13:$E$67,2,0)&amp;""</f>
        <v>Do you perform background screenings or multi-state background checks on all employees prior to their first day of work?</v>
      </c>
      <c r="C117" s="45" t="str">
        <f>VLOOKUP($A117,Organization!$A$13:$E$67,3,0)&amp;""</f>
        <v>Yes</v>
      </c>
      <c r="D117" s="34" t="str">
        <f>IF(LEFT(VLOOKUP($A117,Organization!$A$13:$E$67,5,0),21)='Auto Responses'!$A$32,'Auto Responses'!$A$33,VLOOKUP($A117,Organization!$A$13:$E$67,4,0))&amp;""</f>
        <v>Accredible performs background checks on all employees prior to their first day of work.</v>
      </c>
      <c r="E117" s="288" t="str">
        <f>VLOOKUP($A117,Organization!$A$13:$E$67,5,0)&amp;""</f>
        <v>Summarize your background check practices.</v>
      </c>
      <c r="F117" s="186"/>
      <c r="G117" s="30" t="str">
        <f>VLOOKUP($A117,Questions!$A$2:$X$333,21,0)&amp;""</f>
        <v>Yes</v>
      </c>
      <c r="H117" s="176"/>
      <c r="I117" s="45" t="str">
        <f>VLOOKUP($A117,Questions!$A$2:$X$333,23,0)&amp;""</f>
        <v>Standard Importance</v>
      </c>
      <c r="J117" s="176"/>
      <c r="K117" s="48" t="b">
        <v>0</v>
      </c>
      <c r="L117" s="1"/>
    </row>
    <row r="118" spans="1:12" s="29" customFormat="1" ht="15" customHeight="1" x14ac:dyDescent="0.15">
      <c r="A118" s="19" t="str">
        <f>Organization!$A$59</f>
        <v>PPPR-07</v>
      </c>
      <c r="B118" s="20" t="str">
        <f>VLOOKUP($A118,Organization!$A$13:$E$67,2,0)&amp;""</f>
        <v>Do you require new employees to fill out agreements and review policies?</v>
      </c>
      <c r="C118" s="45" t="str">
        <f>VLOOKUP($A118,Organization!$A$13:$E$67,3,0)&amp;""</f>
        <v>Yes</v>
      </c>
      <c r="D118" s="34" t="str">
        <f>IF(LEFT(VLOOKUP($A118,Organization!$A$13:$E$67,5,0),21)='Auto Responses'!$A$32,'Auto Responses'!$A$33,VLOOKUP($A118,Organization!$A$13:$E$67,4,0))&amp;""</f>
        <v>New employees are required to sign agreements and review Accredible's security and privacy policies as part of onboarding.</v>
      </c>
      <c r="E118" s="288" t="str">
        <f>VLOOKUP($A118,Organization!$A$13:$E$67,5,0)&amp;""</f>
        <v>Summarize the required agreements and reviewed policies.</v>
      </c>
      <c r="F118" s="186"/>
      <c r="G118" s="30" t="str">
        <f>VLOOKUP($A118,Questions!$A$2:$X$333,21,0)&amp;""</f>
        <v>Yes</v>
      </c>
      <c r="H118" s="176"/>
      <c r="I118" s="45" t="str">
        <f>VLOOKUP($A118,Questions!$A$2:$X$333,23,0)&amp;""</f>
        <v>Standard Importance</v>
      </c>
      <c r="J118" s="176"/>
      <c r="K118" s="48" t="b">
        <v>0</v>
      </c>
      <c r="L118" s="1"/>
    </row>
    <row r="119" spans="1:12" s="29" customFormat="1" ht="15" customHeight="1" x14ac:dyDescent="0.15">
      <c r="A119" s="19" t="str">
        <f>Organization!$A$60</f>
        <v>PPPR-08</v>
      </c>
      <c r="B119" s="20" t="str">
        <f>VLOOKUP($A119,Organization!$A$13:$E$67,2,0)&amp;""</f>
        <v>Do you have a documented information security policy?</v>
      </c>
      <c r="C119" s="45" t="str">
        <f>VLOOKUP($A119,Organization!$A$13:$E$67,3,0)&amp;""</f>
        <v>Yes</v>
      </c>
      <c r="D119" s="34" t="str">
        <f>IF(LEFT(VLOOKUP($A119,Organization!$A$13:$E$67,5,0),21)='Auto Responses'!$A$32,'Auto Responses'!$A$33,VLOOKUP($A119,Organization!$A$13:$E$67,4,0))&amp;""</f>
        <v>Accredible maintains a documented information security policy reviewed at least annually. All employees are required to read and acknowledge security policies.</v>
      </c>
      <c r="E119" s="288" t="str">
        <f>VLOOKUP($A119,Organization!$A$13:$E$67,5,0)&amp;""</f>
        <v>Provide a reference to your information security policy or submit documentation with this fully populated HECVAT.</v>
      </c>
      <c r="F119" s="186"/>
      <c r="G119" s="30" t="str">
        <f>VLOOKUP($A119,Questions!$A$2:$X$333,21,0)&amp;""</f>
        <v>Yes</v>
      </c>
      <c r="H119" s="176"/>
      <c r="I119" s="45" t="str">
        <f>VLOOKUP($A119,Questions!$A$2:$X$333,23,0)&amp;""</f>
        <v>Standard Importance</v>
      </c>
      <c r="J119" s="176"/>
      <c r="K119" s="48" t="b">
        <v>0</v>
      </c>
      <c r="L119" s="1"/>
    </row>
    <row r="120" spans="1:12" s="29" customFormat="1" ht="15" customHeight="1" x14ac:dyDescent="0.15">
      <c r="A120" s="19" t="str">
        <f>Organization!$A$61</f>
        <v>PPPR-09</v>
      </c>
      <c r="B120" s="20" t="str">
        <f>VLOOKUP($A120,Organization!$A$13:$E$67,2,0)&amp;""</f>
        <v>Are information security principles designed into the product lifecycle?</v>
      </c>
      <c r="C120" s="45" t="str">
        <f>VLOOKUP($A120,Organization!$A$13:$E$67,3,0)&amp;""</f>
        <v>Yes</v>
      </c>
      <c r="D120" s="34" t="str">
        <f>IF(LEFT(VLOOKUP($A120,Organization!$A$13:$E$67,5,0),21)='Auto Responses'!$A$32,'Auto Responses'!$A$33,VLOOKUP($A120,Organization!$A$13:$E$67,4,0))&amp;""</f>
        <v>Security principles are embedded into the product development lifecycle through secure coding practices, code review, automated security scanning, and testing.</v>
      </c>
      <c r="E120" s="288" t="str">
        <f>VLOOKUP($A120,Organization!$A$13:$E$67,5,0)&amp;""</f>
        <v>Summarize the information security principles designed into the product lifecycle.</v>
      </c>
      <c r="F120" s="186"/>
      <c r="G120" s="30" t="str">
        <f>VLOOKUP($A120,Questions!$A$2:$X$333,21,0)&amp;""</f>
        <v>Yes</v>
      </c>
      <c r="H120" s="176"/>
      <c r="I120" s="45" t="str">
        <f>VLOOKUP($A120,Questions!$A$2:$X$333,23,0)&amp;""</f>
        <v>Minor Importance</v>
      </c>
      <c r="J120" s="176"/>
      <c r="K120" s="48" t="b">
        <v>0</v>
      </c>
      <c r="L120" s="1"/>
    </row>
    <row r="121" spans="1:12" s="29" customFormat="1" ht="15" customHeight="1" x14ac:dyDescent="0.15">
      <c r="A121" s="19" t="str">
        <f>Organization!$A$62</f>
        <v>PPPR-10</v>
      </c>
      <c r="B121" s="20" t="str">
        <f>VLOOKUP($A121,Organization!$A$13:$E$67,2,0)&amp;""</f>
        <v>Will you comply with applicable breach notification laws?</v>
      </c>
      <c r="C121" s="45" t="str">
        <f>VLOOKUP($A121,Organization!$A$13:$E$67,3,0)&amp;""</f>
        <v>Yes</v>
      </c>
      <c r="D121" s="34" t="str">
        <f>IF(LEFT(VLOOKUP($A121,Organization!$A$13:$E$67,5,0),21)='Auto Responses'!$A$32,'Auto Responses'!$A$33,VLOOKUP($A121,Organization!$A$13:$E$67,4,0))&amp;""</f>
        <v>Accredible will comply with applicable breach notification laws. A Data Protection Addendum (DPA) outlines specific notification obligations at https://www.accredible.com/legal/dpa</v>
      </c>
      <c r="E121" s="288" t="str">
        <f>VLOOKUP($A121,Organization!$A$13:$E$67,5,0)&amp;""</f>
        <v>State how quickly the institution will be notified of a data breach or security incident.</v>
      </c>
      <c r="F121" s="186"/>
      <c r="G121" s="30" t="str">
        <f>VLOOKUP($A121,Questions!$A$2:$X$333,21,0)&amp;""</f>
        <v>Yes</v>
      </c>
      <c r="H121" s="176"/>
      <c r="I121" s="45" t="str">
        <f>VLOOKUP($A121,Questions!$A$2:$X$333,23,0)&amp;""</f>
        <v>Minor Importance</v>
      </c>
      <c r="J121" s="176"/>
      <c r="K121" s="48" t="b">
        <v>0</v>
      </c>
      <c r="L121" s="1"/>
    </row>
    <row r="122" spans="1:12" s="29" customFormat="1" ht="15" customHeight="1" x14ac:dyDescent="0.15">
      <c r="A122" s="19" t="str">
        <f>Organization!$A$63</f>
        <v>PPPR-11</v>
      </c>
      <c r="B122" s="20" t="str">
        <f>VLOOKUP($A122,Organization!$A$13:$E$67,2,0)&amp;""</f>
        <v>Do you have an information security awareness program?</v>
      </c>
      <c r="C122" s="45" t="str">
        <f>VLOOKUP($A122,Organization!$A$13:$E$67,3,0)&amp;""</f>
        <v>Yes</v>
      </c>
      <c r="D122" s="34" t="str">
        <f>IF(LEFT(VLOOKUP($A122,Organization!$A$13:$E$67,5,0),21)='Auto Responses'!$A$32,'Auto Responses'!$A$33,VLOOKUP($A122,Organization!$A$13:$E$67,4,0))&amp;""</f>
        <v>Accredible requires all staff and contractors to complete security awareness training at minimum annually. Training covers information security importance, attack types, incident recognition, and prevention.</v>
      </c>
      <c r="E122" s="288" t="str">
        <f>VLOOKUP($A122,Organization!$A$13:$E$67,5,0)&amp;""</f>
        <v>Summarize your information security awareness program.</v>
      </c>
      <c r="F122" s="186"/>
      <c r="G122" s="30" t="str">
        <f>VLOOKUP($A122,Questions!$A$2:$X$333,21,0)&amp;""</f>
        <v>Yes</v>
      </c>
      <c r="H122" s="176"/>
      <c r="I122" s="45" t="str">
        <f>VLOOKUP($A122,Questions!$A$2:$X$333,23,0)&amp;""</f>
        <v>Minor Importance</v>
      </c>
      <c r="J122" s="176"/>
      <c r="K122" s="48" t="b">
        <v>0</v>
      </c>
      <c r="L122" s="1"/>
    </row>
    <row r="123" spans="1:12" s="29" customFormat="1" ht="15" customHeight="1" x14ac:dyDescent="0.15">
      <c r="A123" s="19" t="str">
        <f>Organization!$A$64</f>
        <v>PPPR-12</v>
      </c>
      <c r="B123" s="20" t="str">
        <f>VLOOKUP($A123,Organization!$A$13:$E$67,2,0)&amp;""</f>
        <v>Is security awareness training mandatory for all employees?</v>
      </c>
      <c r="C123" s="45" t="str">
        <f>VLOOKUP($A123,Organization!$A$13:$E$67,3,0)&amp;""</f>
        <v>Yes</v>
      </c>
      <c r="D123" s="34" t="str">
        <f>IF(LEFT(VLOOKUP($A123,Organization!$A$13:$E$67,5,0),21)='Auto Responses'!$A$32,'Auto Responses'!$A$33,VLOOKUP($A123,Organization!$A$13:$E$67,4,0))&amp;""</f>
        <v>Security awareness training is mandatory for all employees and contractors on an annual basis, and for all new starters during onboarding.</v>
      </c>
      <c r="E123" s="288" t="str">
        <f>VLOOKUP($A123,Organization!$A$13:$E$67,5,0)&amp;""</f>
        <v>Summarize your security awareness training content and state how frequently employees are required to undergo security awareness training.</v>
      </c>
      <c r="F123" s="186"/>
      <c r="G123" s="30" t="str">
        <f>VLOOKUP($A123,Questions!$A$2:$X$333,21,0)&amp;""</f>
        <v>Yes</v>
      </c>
      <c r="H123" s="176"/>
      <c r="I123" s="45" t="str">
        <f>VLOOKUP($A123,Questions!$A$2:$X$333,23,0)&amp;""</f>
        <v>Minor Importance</v>
      </c>
      <c r="J123" s="176"/>
      <c r="K123" s="48" t="b">
        <v>0</v>
      </c>
      <c r="L123" s="1"/>
    </row>
    <row r="124" spans="1:12" s="29" customFormat="1" ht="42.75" customHeight="1" x14ac:dyDescent="0.15">
      <c r="A124" s="19" t="str">
        <f>Organization!$A$65</f>
        <v>PPPR-13</v>
      </c>
      <c r="B124" s="20" t="str">
        <f>VLOOKUP($A124,Organization!$A$13:$E$67,2,0)&amp;""</f>
        <v>Do you have process and procedure(s) documented, and currently followed, that require a review and update of the access list(s) for privileged accounts?</v>
      </c>
      <c r="C124" s="45" t="str">
        <f>VLOOKUP($A124,Organization!$A$13:$E$67,3,0)&amp;""</f>
        <v>Yes</v>
      </c>
      <c r="D124" s="34" t="str">
        <f>IF(LEFT(VLOOKUP($A124,Organization!$A$13:$E$67,5,0),21)='Auto Responses'!$A$32,'Auto Responses'!$A$33,VLOOKUP($A124,Organization!$A$13:$E$67,4,0))&amp;""</f>
        <v>Accredible maintains documented processes for reviewing and updating access lists for privileged accounts on a regular basis. Access is provisioned via a formal ticketing process and reviewed periodically.</v>
      </c>
      <c r="E124" s="288" t="str">
        <f>VLOOKUP($A124,Organization!$A$13:$E$67,5,0)&amp;""</f>
        <v>Provide a brief summary and the implement review interval.</v>
      </c>
      <c r="F124" s="186"/>
      <c r="G124" s="30" t="str">
        <f>VLOOKUP($A124,Questions!$A$2:$X$333,21,0)&amp;""</f>
        <v>Yes</v>
      </c>
      <c r="H124" s="176"/>
      <c r="I124" s="45" t="str">
        <f>VLOOKUP($A124,Questions!$A$2:$X$333,23,0)&amp;""</f>
        <v>Minor Importance</v>
      </c>
      <c r="J124" s="176"/>
      <c r="K124" s="48" t="b">
        <v>0</v>
      </c>
      <c r="L124" s="1"/>
    </row>
    <row r="125" spans="1:12" s="29" customFormat="1" ht="28.5" customHeight="1" x14ac:dyDescent="0.15">
      <c r="A125" s="19" t="str">
        <f>Organization!$A$66</f>
        <v>PPPR-14</v>
      </c>
      <c r="B125" s="20" t="str">
        <f>VLOOKUP($A125,Organization!$A$13:$E$67,2,0)&amp;""</f>
        <v>Do you have documented, and currently implemented, internal audit processes and procedures?</v>
      </c>
      <c r="C125" s="45" t="str">
        <f>VLOOKUP($A125,Organization!$A$13:$E$67,3,0)&amp;""</f>
        <v>Yes</v>
      </c>
      <c r="D125" s="34" t="str">
        <f>IF(LEFT(VLOOKUP($A125,Organization!$A$13:$E$67,5,0),21)='Auto Responses'!$A$32,'Auto Responses'!$A$33,VLOOKUP($A125,Organization!$A$13:$E$67,4,0))&amp;""</f>
        <v>Accredible relies on third-party audits including annual SOC 2 audit by Prescient Assurance, annual penetration testing by Cobalt Labs, and weekly automated infrastructure scans.</v>
      </c>
      <c r="E125" s="288" t="str">
        <f>VLOOKUP($A125,Organization!$A$13:$E$67,5,0)&amp;""</f>
        <v>Summarize your internal audit processes and procedures.</v>
      </c>
      <c r="F125" s="186"/>
      <c r="G125" s="30" t="str">
        <f>VLOOKUP($A125,Questions!$A$2:$X$333,21,0)&amp;""</f>
        <v>Yes</v>
      </c>
      <c r="H125" s="176"/>
      <c r="I125" s="45" t="str">
        <f>VLOOKUP($A125,Questions!$A$2:$X$333,23,0)&amp;""</f>
        <v>Minor Importance</v>
      </c>
      <c r="J125" s="176"/>
      <c r="K125" s="48" t="b">
        <v>0</v>
      </c>
      <c r="L125" s="1"/>
    </row>
    <row r="126" spans="1:12" s="29" customFormat="1" ht="29.25" customHeight="1" thickBot="1" x14ac:dyDescent="0.2">
      <c r="A126" s="19" t="str">
        <f>Organization!$A$67</f>
        <v>PPPR-15</v>
      </c>
      <c r="B126" s="20" t="str">
        <f>VLOOKUP($A126,Organization!$A$13:$E$67,2,0)&amp;""</f>
        <v>Does your organization have physical security controls and policies in place?</v>
      </c>
      <c r="C126" s="45" t="str">
        <f>VLOOKUP($A126,Organization!$A$13:$E$67,3,0)&amp;""</f>
        <v>Yes</v>
      </c>
      <c r="D126" s="34" t="str">
        <f>IF(LEFT(VLOOKUP($A126,Organization!$A$13:$E$67,5,0),21)='Auto Responses'!$A$32,'Auto Responses'!$A$33,VLOOKUP($A126,Organization!$A$13:$E$67,4,0))&amp;""</f>
        <v>Accredible has physical security controls in all offices including CCTV at all entrances/exits (recordings held for at least 30 days). All guests sign in and are escorted at all times.</v>
      </c>
      <c r="E126" s="288" t="str">
        <f>VLOOKUP($A126,Organization!$A$13:$E$67,5,0)&amp;""</f>
        <v>Provide a copy of your physical security controls and policies along with this document (link or attached).</v>
      </c>
      <c r="F126" s="186"/>
      <c r="G126" s="30" t="str">
        <f>VLOOKUP($A126,Questions!$A$2:$X$333,21,0)&amp;""</f>
        <v>Yes</v>
      </c>
      <c r="H126" s="176"/>
      <c r="I126" s="45" t="str">
        <f>VLOOKUP($A126,Questions!$A$2:$X$333,23,0)&amp;""</f>
        <v>Minor Importance</v>
      </c>
      <c r="J126" s="176"/>
      <c r="K126" s="49" t="b">
        <v>0</v>
      </c>
      <c r="L126" s="1"/>
    </row>
    <row r="127" spans="1:12" s="1" customFormat="1" ht="18" customHeight="1" x14ac:dyDescent="0.15">
      <c r="A127" s="61" t="str">
        <f>VLOOKUP(LEFT($A128,4),'Auto Responses'!$N$4:$O$38,2,0)&amp;""</f>
        <v xml:space="preserve"> Authentication, Authorization, and Account Management</v>
      </c>
      <c r="B127" s="22"/>
      <c r="C127" s="31"/>
      <c r="D127" s="31"/>
      <c r="E127" s="289"/>
      <c r="F127" s="125" t="s">
        <v>652</v>
      </c>
      <c r="G127" s="293" t="s">
        <v>647</v>
      </c>
      <c r="H127" s="293" t="s">
        <v>648</v>
      </c>
      <c r="I127" s="293" t="s">
        <v>649</v>
      </c>
      <c r="J127" s="293" t="s">
        <v>650</v>
      </c>
      <c r="K127" s="293" t="s">
        <v>651</v>
      </c>
    </row>
    <row r="128" spans="1:12" s="29" customFormat="1" ht="165" customHeight="1" x14ac:dyDescent="0.15">
      <c r="A128" s="19" t="str">
        <f>Product!$A$20</f>
        <v>AAAI-01</v>
      </c>
      <c r="B128" s="20" t="str">
        <f>VLOOKUP($A128,Product!$A$13:$E$61,2,0)&amp;""</f>
        <v>Does your solution support single sign-on (SSO) protocols for user and administrator authentication?*</v>
      </c>
      <c r="C128" s="45" t="str">
        <f>VLOOKUP($A128,Product!$A$13:$E$61,3,0)&amp;""</f>
        <v>Yes</v>
      </c>
      <c r="D128" s="34" t="str">
        <f>IF(LEFT(VLOOKUP($A128,Product!$A$13:$E$61,5,0),21)='Auto Responses'!$A$32,'Auto Responses'!$A$33,VLOOKUP($A128,Product!$A$13:$E$61,4,0))&amp;""</f>
        <v>Accredible supports SAML2 SSO for both user and administrator authentication.</v>
      </c>
      <c r="E128" s="288" t="str">
        <f>VLOOKUP($A128,Product!$A$13:$E$61,5,0)&amp;""</f>
        <v>Describe how strong authentication is enforced (e.g., complex passwords, multifactor tokens, certificates, biometrics, aging requirements, re-use policy).</v>
      </c>
      <c r="F128" s="186"/>
      <c r="G128" s="30" t="str">
        <f>VLOOKUP($A128,Questions!$A$2:$X$333,21,0)&amp;""</f>
        <v>Yes</v>
      </c>
      <c r="H128" s="176"/>
      <c r="I128" s="45" t="str">
        <f>VLOOKUP($A128,Questions!$A$2:$X$333,23,0)&amp;""</f>
        <v>Critical Importance</v>
      </c>
      <c r="J128" s="176"/>
      <c r="K128" s="48" t="b">
        <v>0</v>
      </c>
      <c r="L128" s="1"/>
    </row>
    <row r="129" spans="1:12" s="29" customFormat="1" ht="28.5" customHeight="1" x14ac:dyDescent="0.15">
      <c r="A129" s="19" t="str">
        <f>Product!$A$21</f>
        <v>AAAI-02</v>
      </c>
      <c r="B129" s="20" t="str">
        <f>VLOOKUP($A129,Product!$A$13:$E$61,2,0)&amp;""</f>
        <v>For customers not using SSO, does your solution support local authentication protocols for user and administrator authentication?*</v>
      </c>
      <c r="C129" s="45" t="str">
        <f>VLOOKUP($A129,Product!$A$13:$E$61,3,0)&amp;""</f>
        <v>Yes</v>
      </c>
      <c r="D129" s="34" t="str">
        <f>IF(LEFT(VLOOKUP($A129,Product!$A$13:$E$61,5,0),21)='Auto Responses'!$A$32,'Auto Responses'!$A$33,VLOOKUP($A129,Product!$A$13:$E$61,4,0))&amp;""</f>
        <v>For customers not using SSO, Accredible supports local username/password authentication over secure HTTPS connections.</v>
      </c>
      <c r="E129" s="288" t="str">
        <f>VLOOKUP($A129,Product!$A$13:$E$61,5,0)&amp;""</f>
        <v>Provide a detailed description of your local authentication mode practices.</v>
      </c>
      <c r="F129" s="186"/>
      <c r="G129" s="30" t="str">
        <f>VLOOKUP($A129,Questions!$A$2:$X$333,21,0)&amp;""</f>
        <v>Yes</v>
      </c>
      <c r="H129" s="176"/>
      <c r="I129" s="45" t="str">
        <f>VLOOKUP($A129,Questions!$A$2:$X$333,23,0)&amp;""</f>
        <v>Critical Importance</v>
      </c>
      <c r="J129" s="176"/>
      <c r="K129" s="48" t="b">
        <v>0</v>
      </c>
      <c r="L129" s="1"/>
    </row>
    <row r="130" spans="1:12" s="29" customFormat="1" ht="28.5" customHeight="1" x14ac:dyDescent="0.15">
      <c r="A130" s="19" t="str">
        <f>Product!$A$22</f>
        <v>AAAI-03</v>
      </c>
      <c r="B130" s="20" t="str">
        <f>VLOOKUP($A130,Product!$A$13:$E$61,2,0)&amp;""</f>
        <v>For customers not using SSO, can you enforce password/passphrase complexity requirements (provided by the institution)?*</v>
      </c>
      <c r="C130" s="45" t="str">
        <f>VLOOKUP($A130,Product!$A$13:$E$61,3,0)&amp;""</f>
        <v>Yes</v>
      </c>
      <c r="D130" s="34" t="str">
        <f>IF(LEFT(VLOOKUP($A130,Product!$A$13:$E$61,5,0),21)='Auto Responses'!$A$32,'Auto Responses'!$A$33,VLOOKUP($A130,Product!$A$13:$E$61,4,0))&amp;""</f>
        <v>Password complexity requirements can be enforced. Accredible supports configurable password policies.</v>
      </c>
      <c r="E130" s="288" t="str">
        <f>VLOOKUP($A130,Product!$A$13:$E$61,5,0)&amp;""</f>
        <v>Describe how password/passphrase complexity requirements are implemented in the product.</v>
      </c>
      <c r="F130" s="186"/>
      <c r="G130" s="30" t="str">
        <f>VLOOKUP($A130,Questions!$A$2:$X$333,21,0)&amp;""</f>
        <v>Yes</v>
      </c>
      <c r="H130" s="176"/>
      <c r="I130" s="45" t="str">
        <f>VLOOKUP($A130,Questions!$A$2:$X$333,23,0)&amp;""</f>
        <v>Critical Importance</v>
      </c>
      <c r="J130" s="176"/>
      <c r="K130" s="48" t="b">
        <v>0</v>
      </c>
      <c r="L130" s="1"/>
    </row>
    <row r="131" spans="1:12" s="29" customFormat="1" ht="105" customHeight="1" x14ac:dyDescent="0.15">
      <c r="A131" s="19" t="str">
        <f>Product!$A$23</f>
        <v>AAAI-04</v>
      </c>
      <c r="B131" s="20" t="str">
        <f>VLOOKUP($A131,Product!$A$13:$E$61,2,0)&amp;""</f>
        <v>For customers not using SSO, does the system have password complexity or length limitations and/or restrictions?*</v>
      </c>
      <c r="C131" s="45" t="str">
        <f>VLOOKUP($A131,Product!$A$13:$E$61,3,0)&amp;""</f>
        <v>Yes</v>
      </c>
      <c r="D131" s="34" t="str">
        <f>IF(LEFT(VLOOKUP($A131,Product!$A$13:$E$61,5,0),21)='Auto Responses'!$A$32,'Auto Responses'!$A$33,VLOOKUP($A131,Product!$A$13:$E$61,4,0))&amp;""</f>
        <v>Passwords must meet minimum complexity requirements. Accredible enforces strong password standards by default.</v>
      </c>
      <c r="E131" s="288" t="str">
        <f>VLOOKUP($A131,Product!$A$13:$E$61,5,0)&amp;""</f>
        <v>Describe these limitations and/or restrictions and state what lengths and complexities are supported.</v>
      </c>
      <c r="F131" s="186"/>
      <c r="G131" s="30" t="str">
        <f>VLOOKUP($A131,Questions!$A$2:$X$333,21,0)&amp;""</f>
        <v>No</v>
      </c>
      <c r="H131" s="176"/>
      <c r="I131" s="45" t="str">
        <f>VLOOKUP($A131,Questions!$A$2:$X$333,23,0)&amp;""</f>
        <v>Critical Importance</v>
      </c>
      <c r="J131" s="176"/>
      <c r="K131" s="48" t="b">
        <v>0</v>
      </c>
      <c r="L131" s="1"/>
    </row>
    <row r="132" spans="1:12" s="29" customFormat="1" ht="42.75" customHeight="1" x14ac:dyDescent="0.15">
      <c r="A132" s="19" t="str">
        <f>Product!$A$24</f>
        <v>AAAI-05</v>
      </c>
      <c r="B132" s="20" t="str">
        <f>VLOOKUP($A132,Product!$A$13:$E$61,2,0)&amp;""</f>
        <v>For customers not using SSO, do you have documented password/passphrase reset procedures that are currently implemented in the system and/or customer support?*</v>
      </c>
      <c r="C132" s="45" t="str">
        <f>VLOOKUP($A132,Product!$A$13:$E$61,3,0)&amp;""</f>
        <v>Yes</v>
      </c>
      <c r="D132" s="34" t="str">
        <f>IF(LEFT(VLOOKUP($A132,Product!$A$13:$E$61,5,0),21)='Auto Responses'!$A$32,'Auto Responses'!$A$33,VLOOKUP($A132,Product!$A$13:$E$61,4,0))&amp;""</f>
        <v>Accredible has documented password reset procedures implemented in both the system and customer support processes.</v>
      </c>
      <c r="E132" s="288" t="str">
        <f>VLOOKUP($A132,Product!$A$13:$E$61,5,0)&amp;""</f>
        <v>Describe your documented password/passphrase reset procedures that are currently implemented in the system and/or customer support.</v>
      </c>
      <c r="F132" s="186"/>
      <c r="G132" s="30" t="str">
        <f>VLOOKUP($A132,Questions!$A$2:$X$333,21,0)&amp;""</f>
        <v>Yes</v>
      </c>
      <c r="H132" s="176"/>
      <c r="I132" s="45" t="str">
        <f>VLOOKUP($A132,Questions!$A$2:$X$333,23,0)&amp;""</f>
        <v>Critical Importance</v>
      </c>
      <c r="J132" s="176"/>
      <c r="K132" s="48" t="b">
        <v>0</v>
      </c>
      <c r="L132" s="1"/>
    </row>
    <row r="133" spans="1:12" s="29" customFormat="1" ht="28.5" customHeight="1" x14ac:dyDescent="0.15">
      <c r="A133" s="19" t="str">
        <f>Product!$A$25</f>
        <v>AAAI-06</v>
      </c>
      <c r="B133" s="20" t="str">
        <f>VLOOKUP($A133,Product!$A$13:$E$61,2,0)&amp;""</f>
        <v>Does your organization participate in InCommon or another eduGAIN-affiliated trust federation?*</v>
      </c>
      <c r="C133" s="45" t="str">
        <f>VLOOKUP($A133,Product!$A$13:$E$61,3,0)&amp;""</f>
        <v>No</v>
      </c>
      <c r="D133" s="34" t="str">
        <f>IF(LEFT(VLOOKUP($A133,Product!$A$13:$E$61,5,0),21)='Auto Responses'!$A$32,'Auto Responses'!$A$33,VLOOKUP($A133,Product!$A$13:$E$61,4,0))&amp;""</f>
        <v>Accredible does not currently participate in InCommon or an eduGAIN-affiliated trust federation, though SAML2 SSO is supported.</v>
      </c>
      <c r="E133" s="288" t="str">
        <f>VLOOKUP($A133,Product!$A$13:$E$61,5,0)&amp;""</f>
        <v>Describe plans to participate in InCommon or another eduGAIN-affiliated trust federation.</v>
      </c>
      <c r="F133" s="186"/>
      <c r="G133" s="30" t="str">
        <f>VLOOKUP($A133,Questions!$A$2:$X$333,21,0)&amp;""</f>
        <v>Yes</v>
      </c>
      <c r="H133" s="176"/>
      <c r="I133" s="45" t="str">
        <f>VLOOKUP($A133,Questions!$A$2:$X$333,23,0)&amp;""</f>
        <v>Critical Importance</v>
      </c>
      <c r="J133" s="176"/>
      <c r="K133" s="48" t="b">
        <v>0</v>
      </c>
      <c r="L133" s="1"/>
    </row>
    <row r="134" spans="1:12" s="29" customFormat="1" ht="28.5" customHeight="1" x14ac:dyDescent="0.15">
      <c r="A134" s="19" t="str">
        <f>Product!$A$26</f>
        <v>AAAI-07</v>
      </c>
      <c r="B134" s="20" t="str">
        <f>VLOOKUP($A134,Product!$A$13:$E$61,2,0)&amp;""</f>
        <v>Are there any passwords/passphrases hard-coded into your systems or solutions?*</v>
      </c>
      <c r="C134" s="45" t="str">
        <f>VLOOKUP($A134,Product!$A$13:$E$61,3,0)&amp;""</f>
        <v>No</v>
      </c>
      <c r="D134" s="34" t="str">
        <f>IF(LEFT(VLOOKUP($A134,Product!$A$13:$E$61,5,0),21)='Auto Responses'!$A$32,'Auto Responses'!$A$33,VLOOKUP($A134,Product!$A$13:$E$61,4,0))&amp;""</f>
        <v>No passwords are hard-coded into Accredible's systems or solutions. API keys are stored encrypted in the database.</v>
      </c>
      <c r="E134" s="288" t="str">
        <f>VLOOKUP($A134,Product!$A$13:$E$61,5,0)&amp;""</f>
        <v/>
      </c>
      <c r="F134" s="186"/>
      <c r="G134" s="30" t="str">
        <f>VLOOKUP($A134,Questions!$A$2:$X$333,21,0)&amp;""</f>
        <v>No</v>
      </c>
      <c r="H134" s="176"/>
      <c r="I134" s="45" t="str">
        <f>VLOOKUP($A134,Questions!$A$2:$X$333,23,0)&amp;""</f>
        <v>Critical Importance</v>
      </c>
      <c r="J134" s="176"/>
      <c r="K134" s="48" t="b">
        <v>0</v>
      </c>
      <c r="L134" s="1"/>
    </row>
    <row r="135" spans="1:12" s="29" customFormat="1" ht="15" customHeight="1" x14ac:dyDescent="0.15">
      <c r="A135" s="19" t="str">
        <f>Product!$A$27</f>
        <v>AAAI-08</v>
      </c>
      <c r="B135" s="20" t="str">
        <f>VLOOKUP($A135,Product!$A$13:$E$61,2,0)&amp;""</f>
        <v>Are you storing any passwords in plaintext?*</v>
      </c>
      <c r="C135" s="45" t="str">
        <f>VLOOKUP($A135,Product!$A$13:$E$61,3,0)&amp;""</f>
        <v>No</v>
      </c>
      <c r="D135" s="34" t="str">
        <f>IF(LEFT(VLOOKUP($A135,Product!$A$13:$E$61,5,0),21)='Auto Responses'!$A$32,'Auto Responses'!$A$33,VLOOKUP($A135,Product!$A$13:$E$61,4,0))&amp;""</f>
        <v>Accredible does not store passwords in plaintext. All passwords are hashed using industry-standard algorithms.</v>
      </c>
      <c r="E135" s="288" t="str">
        <f>VLOOKUP($A135,Product!$A$13:$E$61,5,0)&amp;""</f>
        <v/>
      </c>
      <c r="F135" s="186"/>
      <c r="G135" s="30" t="str">
        <f>VLOOKUP($A135,Questions!$A$2:$X$333,21,0)&amp;""</f>
        <v>No</v>
      </c>
      <c r="H135" s="176"/>
      <c r="I135" s="45" t="str">
        <f>VLOOKUP($A135,Questions!$A$2:$X$333,23,0)&amp;""</f>
        <v>Critical Importance</v>
      </c>
      <c r="J135" s="176"/>
      <c r="K135" s="48" t="b">
        <v>0</v>
      </c>
      <c r="L135" s="1"/>
    </row>
    <row r="136" spans="1:12" s="29" customFormat="1" ht="28.5" customHeight="1" x14ac:dyDescent="0.15">
      <c r="A136" s="19" t="str">
        <f>Product!$A$28</f>
        <v>AAAI-09</v>
      </c>
      <c r="B136" s="20" t="str">
        <f>VLOOKUP($A136,Product!$A$13:$E$61,2,0)&amp;""</f>
        <v>Are audit logs available that include AT LEAST all of the following: login, logout, actions performed, and source IP address?*</v>
      </c>
      <c r="C136" s="45" t="str">
        <f>VLOOKUP($A136,Product!$A$13:$E$61,3,0)&amp;""</f>
        <v>Yes</v>
      </c>
      <c r="D136" s="34" t="str">
        <f>IF(LEFT(VLOOKUP($A136,Product!$A$13:$E$61,5,0),21)='Auto Responses'!$A$32,'Auto Responses'!$A$33,VLOOKUP($A136,Product!$A$13:$E$61,4,0))&amp;""</f>
        <v>Audit logs are available including login, logout, actions performed, and source IP address via the Dashboard audit log.</v>
      </c>
      <c r="E136" s="288" t="str">
        <f>VLOOKUP($A136,Product!$A$13:$E$61,5,0)&amp;""</f>
        <v/>
      </c>
      <c r="F136" s="186"/>
      <c r="G136" s="30" t="str">
        <f>VLOOKUP($A136,Questions!$A$2:$X$333,21,0)&amp;""</f>
        <v>Yes</v>
      </c>
      <c r="H136" s="176"/>
      <c r="I136" s="45" t="str">
        <f>VLOOKUP($A136,Questions!$A$2:$X$333,23,0)&amp;""</f>
        <v>Critical Importance</v>
      </c>
      <c r="J136" s="176"/>
      <c r="K136" s="48" t="b">
        <v>0</v>
      </c>
      <c r="L136" s="1"/>
    </row>
    <row r="137" spans="1:12" s="29" customFormat="1" ht="85.5" customHeight="1" x14ac:dyDescent="0.15">
      <c r="A137" s="19" t="str">
        <f>Product!$A$29</f>
        <v>AAAI-10</v>
      </c>
      <c r="B137" s="20" t="str">
        <f>VLOOKUP($A137,Product!$A$13:$E$61,2,0)&amp;""</f>
        <v>Describe or provide a reference to the (a) system capability to log security/authorization changes, as well as user and administrator security events (i.e., physical or electronic), such as login failures, access denied, changes accepted; and (b) all requirements necessary to implement logging and monitoring on the system. Include (c) information about SIEM/log collector usage.*</v>
      </c>
      <c r="C137" s="268" t="str">
        <f>VLOOKUP($A137,Product!$A$13:$E$61,3,0)&amp;""</f>
        <v>Yes</v>
      </c>
      <c r="D137" s="269" t="str">
        <f>IF(LEFT(VLOOKUP($A137,Product!$A$13:$E$61,5,0),21)='Auto Responses'!$A$32,'Auto Responses'!$A$33,VLOOKUP($A137,Product!$A$13:$E$61,4,0))&amp;""</f>
        <v>Accredible logs security and authorization changes, user and administrator events including login failures and access-denied events. Application logs are centrally collected in LogDNA for a minimum of 30 days, then retained in S3 buckets. All API calls and application logs are retained for at least 30 days. AWS GuardDuty is used for security event monitoring.</v>
      </c>
      <c r="E137" s="290" t="str">
        <f>VLOOKUP($A137,Product!$A$13:$E$61,5,0)&amp;""</f>
        <v>Ensure that all elements of AAAI-10 are clearly stated in your response.</v>
      </c>
      <c r="F137" s="186"/>
      <c r="G137" s="30" t="str">
        <f>VLOOKUP($A137,Questions!$A$2:$X$333,21,0)&amp;""</f>
        <v>Not scored</v>
      </c>
      <c r="H137" s="176"/>
      <c r="I137" s="45" t="str">
        <f>VLOOKUP($A137,Questions!$A$2:$X$333,23,0)&amp;""</f>
        <v/>
      </c>
      <c r="J137" s="176"/>
      <c r="K137" s="48" t="b">
        <v>0</v>
      </c>
      <c r="L137" s="1"/>
    </row>
    <row r="138" spans="1:12" s="29" customFormat="1" ht="60" customHeight="1" x14ac:dyDescent="0.15">
      <c r="A138" s="19" t="str">
        <f>Product!$A$30</f>
        <v>AAAI-11</v>
      </c>
      <c r="B138" s="20" t="str">
        <f>VLOOKUP($A138,Product!$A$13:$E$61,2,0)&amp;""</f>
        <v>Can you provide the institution documentation regarding the retention period for those logs, how logs are protected, and whether they are accessible to the customer (and if so, how)?*</v>
      </c>
      <c r="C138" s="45" t="str">
        <f>VLOOKUP($A138,Product!$A$13:$E$61,3,0)&amp;""</f>
        <v>Yes</v>
      </c>
      <c r="D138" s="34" t="str">
        <f>IF(LEFT(VLOOKUP($A138,Product!$A$13:$E$61,5,0),21)='Auto Responses'!$A$32,'Auto Responses'!$A$33,VLOOKUP($A138,Product!$A$13:$E$61,4,0))&amp;""</f>
        <v>Logs are retained for a minimum of 30 days in LogDNA, then archived in S3. Documentation on retention periods, log protection, and customer access is available on request. Customer-facing audit logs are accessible via the Dashboard.</v>
      </c>
      <c r="E138" s="288" t="str">
        <f>VLOOKUP($A138,Product!$A$13:$E$61,5,0)&amp;""</f>
        <v>Ensure that all elements of AAAI-11 are clearly stated in your response.</v>
      </c>
      <c r="F138" s="186"/>
      <c r="G138" s="30" t="str">
        <f>VLOOKUP($A138,Questions!$A$2:$X$333,21,0)&amp;""</f>
        <v>Yes</v>
      </c>
      <c r="H138" s="176"/>
      <c r="I138" s="45" t="str">
        <f>VLOOKUP($A138,Questions!$A$2:$X$333,23,0)&amp;""</f>
        <v>Critical Importance</v>
      </c>
      <c r="J138" s="176"/>
      <c r="K138" s="48" t="b">
        <v>0</v>
      </c>
      <c r="L138" s="1"/>
    </row>
    <row r="139" spans="1:12" s="29" customFormat="1" ht="28.5" customHeight="1" x14ac:dyDescent="0.15">
      <c r="A139" s="19" t="str">
        <f>Product!$A$31</f>
        <v>AAAI-12</v>
      </c>
      <c r="B139" s="20" t="str">
        <f>VLOOKUP($A139,Product!$A$13:$E$61,2,0)&amp;""</f>
        <v>For customers not using SSO, does your application support integration with other authentication and authorization systems?</v>
      </c>
      <c r="C139" s="45" t="str">
        <f>VLOOKUP($A139,Product!$A$13:$E$61,3,0)&amp;""</f>
        <v>Yes</v>
      </c>
      <c r="D139" s="34" t="str">
        <f>IF(LEFT(VLOOKUP($A139,Product!$A$13:$E$61,5,0),21)='Auto Responses'!$A$32,'Auto Responses'!$A$33,VLOOKUP($A139,Product!$A$13:$E$61,4,0))&amp;""</f>
        <v>Accredible's application supports integration with other authentication and authorization systems via SAML2.</v>
      </c>
      <c r="E139" s="288" t="str">
        <f>VLOOKUP($A139,Product!$A$13:$E$61,5,0)&amp;""</f>
        <v>List which systems and versions supported (such as Active Directory, Kerberos, or other LDAP compatible directory) in Additional Info.</v>
      </c>
      <c r="F139" s="186"/>
      <c r="G139" s="30" t="str">
        <f>VLOOKUP($A139,Questions!$A$2:$X$333,21,0)&amp;""</f>
        <v>Yes</v>
      </c>
      <c r="H139" s="176"/>
      <c r="I139" s="45" t="str">
        <f>VLOOKUP($A139,Questions!$A$2:$X$333,23,0)&amp;""</f>
        <v>Standard Importance</v>
      </c>
      <c r="J139" s="176"/>
      <c r="K139" s="48" t="b">
        <v>0</v>
      </c>
      <c r="L139" s="1"/>
    </row>
    <row r="140" spans="1:12" s="29" customFormat="1" ht="42.75" customHeight="1" x14ac:dyDescent="0.15">
      <c r="A140" s="19" t="str">
        <f>Product!$A$32</f>
        <v>AAAI-13</v>
      </c>
      <c r="B140" s="20" t="str">
        <f>VLOOKUP($A140,Product!$A$13:$E$61,2,0)&amp;""</f>
        <v>Do you allow the customer to specify attribute mappings for any needed information beyond a user identifier? (e.g., Reference eduPerson, ePPA/ePPN/ePE)</v>
      </c>
      <c r="C140" s="45" t="str">
        <f>VLOOKUP($A140,Product!$A$13:$E$61,3,0)&amp;""</f>
        <v>Yes</v>
      </c>
      <c r="D140" s="34" t="str">
        <f>IF(LEFT(VLOOKUP($A140,Product!$A$13:$E$61,5,0),21)='Auto Responses'!$A$32,'Auto Responses'!$A$33,VLOOKUP($A140,Product!$A$13:$E$61,4,0))&amp;""</f>
        <v>Accredible supports attribute mappings for SSO, allowing institutions to specify required attribute mappings beyond user identifier.</v>
      </c>
      <c r="E140" s="288" t="str">
        <f>VLOOKUP($A140,Product!$A$13:$E$61,5,0)&amp;""</f>
        <v/>
      </c>
      <c r="F140" s="186"/>
      <c r="G140" s="30" t="str">
        <f>VLOOKUP($A140,Questions!$A$2:$X$333,21,0)&amp;""</f>
        <v>Yes</v>
      </c>
      <c r="H140" s="176"/>
      <c r="I140" s="45" t="str">
        <f>VLOOKUP($A140,Questions!$A$2:$X$333,23,0)&amp;""</f>
        <v>Standard Importance</v>
      </c>
      <c r="J140" s="176"/>
      <c r="K140" s="48" t="b">
        <v>0</v>
      </c>
      <c r="L140" s="1"/>
    </row>
    <row r="141" spans="1:12" s="29" customFormat="1" ht="28.5" customHeight="1" x14ac:dyDescent="0.15">
      <c r="A141" s="19" t="str">
        <f>Product!$A$33</f>
        <v>AAAI-14</v>
      </c>
      <c r="B141" s="20" t="str">
        <f>VLOOKUP($A141,Product!$A$13:$E$61,2,0)&amp;""</f>
        <v>For customers not using SSO, does your application support directory integration for user accounts?</v>
      </c>
      <c r="C141" s="45" t="str">
        <f>VLOOKUP($A141,Product!$A$13:$E$61,3,0)&amp;""</f>
        <v>Yes</v>
      </c>
      <c r="D141" s="34" t="str">
        <f>IF(LEFT(VLOOKUP($A141,Product!$A$13:$E$61,5,0),21)='Auto Responses'!$A$32,'Auto Responses'!$A$33,VLOOKUP($A141,Product!$A$13:$E$61,4,0))&amp;""</f>
        <v>Accredible supports directory integration for user accounts via SAML2 SSO.</v>
      </c>
      <c r="E141" s="288" t="str">
        <f>VLOOKUP($A141,Product!$A$13:$E$61,5,0)&amp;""</f>
        <v>Describe all authentication services supported by the system.</v>
      </c>
      <c r="F141" s="186"/>
      <c r="G141" s="30" t="str">
        <f>VLOOKUP($A141,Questions!$A$2:$X$333,21,0)&amp;""</f>
        <v>Yes</v>
      </c>
      <c r="H141" s="176"/>
      <c r="I141" s="45" t="str">
        <f>VLOOKUP($A141,Questions!$A$2:$X$333,23,0)&amp;""</f>
        <v>Standard Importance</v>
      </c>
      <c r="J141" s="176"/>
      <c r="K141" s="48" t="b">
        <v>0</v>
      </c>
      <c r="L141" s="1"/>
    </row>
    <row r="142" spans="1:12" s="29" customFormat="1" ht="135" customHeight="1" x14ac:dyDescent="0.15">
      <c r="A142" s="19" t="str">
        <f>Product!$A$34</f>
        <v>AAAI-15</v>
      </c>
      <c r="B142" s="20" t="str">
        <f>VLOOKUP($A142,Product!$A$13:$E$61,2,0)&amp;""</f>
        <v>Does your solution support any of the following web SSO standards: SAML2 (with redirect flow), OIDC, CAS, or other?</v>
      </c>
      <c r="C142" s="45" t="str">
        <f>VLOOKUP($A142,Product!$A$13:$E$61,3,0)&amp;""</f>
        <v>Yes</v>
      </c>
      <c r="D142" s="34" t="str">
        <f>IF(LEFT(VLOOKUP($A142,Product!$A$13:$E$61,5,0),21)='Auto Responses'!$A$32,'Auto Responses'!$A$33,VLOOKUP($A142,Product!$A$13:$E$61,4,0))&amp;""</f>
        <v>Accredible supports SAML2 (with redirect flow) for web SSO. Please contact Accredible to confirm specific protocol variants.</v>
      </c>
      <c r="E142" s="288" t="str">
        <f>VLOOKUP($A142,Product!$A$13:$E$61,5,0)&amp;""</f>
        <v>State the web SSO standards supported by your solution and provide additional details about your support, including framework(s) in use, how information is exchanged securely, etc.</v>
      </c>
      <c r="F142" s="186"/>
      <c r="G142" s="30" t="str">
        <f>VLOOKUP($A142,Questions!$A$2:$X$333,21,0)&amp;""</f>
        <v>Yes</v>
      </c>
      <c r="H142" s="176"/>
      <c r="I142" s="45" t="str">
        <f>VLOOKUP($A142,Questions!$A$2:$X$333,23,0)&amp;""</f>
        <v>Minor Importance</v>
      </c>
      <c r="J142" s="176"/>
      <c r="K142" s="48" t="b">
        <v>0</v>
      </c>
      <c r="L142" s="1"/>
    </row>
    <row r="143" spans="1:12" s="29" customFormat="1" ht="15" customHeight="1" x14ac:dyDescent="0.15">
      <c r="A143" s="19" t="str">
        <f>Product!$A$35</f>
        <v>AAAI-16</v>
      </c>
      <c r="B143" s="20" t="str">
        <f>VLOOKUP($A143,Product!$A$13:$E$61,2,0)&amp;""</f>
        <v>Do you support differentiation between email address and user identifier?</v>
      </c>
      <c r="C143" s="45" t="str">
        <f>VLOOKUP($A143,Product!$A$13:$E$61,3,0)&amp;""</f>
        <v>Yes</v>
      </c>
      <c r="D143" s="34" t="str">
        <f>IF(LEFT(VLOOKUP($A143,Product!$A$13:$E$61,5,0),21)='Auto Responses'!$A$32,'Auto Responses'!$A$33,VLOOKUP($A143,Product!$A$13:$E$61,4,0))&amp;""</f>
        <v>Accredible supports differentiation between email address and user identifier in SSO attribute mapping.</v>
      </c>
      <c r="E143" s="288" t="str">
        <f>VLOOKUP($A143,Product!$A$13:$E$61,5,0)&amp;""</f>
        <v/>
      </c>
      <c r="F143" s="186"/>
      <c r="G143" s="30" t="str">
        <f>VLOOKUP($A143,Questions!$A$2:$X$333,21,0)&amp;""</f>
        <v>Yes</v>
      </c>
      <c r="H143" s="176"/>
      <c r="I143" s="45" t="str">
        <f>VLOOKUP($A143,Questions!$A$2:$X$333,23,0)&amp;""</f>
        <v>Minor Importance</v>
      </c>
      <c r="J143" s="176"/>
      <c r="K143" s="48" t="b">
        <v>0</v>
      </c>
      <c r="L143" s="1"/>
    </row>
    <row r="144" spans="1:12" s="29" customFormat="1" ht="42.75" customHeight="1" x14ac:dyDescent="0.15">
      <c r="A144" s="19" t="str">
        <f>Product!$A$36</f>
        <v>AAAI-17</v>
      </c>
      <c r="B144" s="20" t="str">
        <f>VLOOKUP($A144,Product!$A$13:$E$61,2,0)&amp;""</f>
        <v>For customers not using SSO, does your application and/or user frontend/portal support multifactor authentication (e.g., Duo, Google Authenticator, OTP, etc.)?</v>
      </c>
      <c r="C144" s="45" t="str">
        <f>VLOOKUP($A144,Product!$A$13:$E$61,3,0)&amp;""</f>
        <v>Yes</v>
      </c>
      <c r="D144" s="34" t="str">
        <f>IF(LEFT(VLOOKUP($A144,Product!$A$13:$E$61,5,0),21)='Auto Responses'!$A$32,'Auto Responses'!$A$33,VLOOKUP($A144,Product!$A$13:$E$61,4,0))&amp;""</f>
        <v>Accredible supports multifactor authentication including TOTP-based authenticators. MFA is required for all administrative access.</v>
      </c>
      <c r="E144" s="288" t="str">
        <f>VLOOKUP($A144,Product!$A$13:$E$61,5,0)&amp;""</f>
        <v>List all supported multifactor authentication methods, technologies, and/or solutions and provide a brief summary of each.</v>
      </c>
      <c r="F144" s="186"/>
      <c r="G144" s="30" t="str">
        <f>VLOOKUP($A144,Questions!$A$2:$X$333,21,0)&amp;""</f>
        <v>Yes</v>
      </c>
      <c r="H144" s="176"/>
      <c r="I144" s="45" t="str">
        <f>VLOOKUP($A144,Questions!$A$2:$X$333,23,0)&amp;""</f>
        <v>Minor Importance</v>
      </c>
      <c r="J144" s="176"/>
      <c r="K144" s="48" t="b">
        <v>0</v>
      </c>
      <c r="L144" s="1"/>
    </row>
    <row r="145" spans="1:12" s="29" customFormat="1" ht="28.5" customHeight="1" x14ac:dyDescent="0.15">
      <c r="A145" s="19" t="str">
        <f>Product!$A$37</f>
        <v>AAAI-18</v>
      </c>
      <c r="B145" s="20" t="str">
        <f>VLOOKUP($A145,Product!$A$13:$E$61,2,0)&amp;""</f>
        <v>Does your application automatically lock the session or log out an account after a period of inactivity?</v>
      </c>
      <c r="C145" s="45" t="str">
        <f>VLOOKUP($A145,Product!$A$13:$E$61,3,0)&amp;""</f>
        <v>Yes</v>
      </c>
      <c r="D145" s="34" t="str">
        <f>IF(LEFT(VLOOKUP($A145,Product!$A$13:$E$61,5,0),21)='Auto Responses'!$A$32,'Auto Responses'!$A$33,VLOOKUP($A145,Product!$A$13:$E$61,4,0))&amp;""</f>
        <v>Accredible sessions automatically lock or log out after a configurable period of inactivity.</v>
      </c>
      <c r="E145" s="288" t="str">
        <f>VLOOKUP($A145,Product!$A$13:$E$61,5,0)&amp;""</f>
        <v>Describe the default behavior of this capability.</v>
      </c>
      <c r="F145" s="186"/>
      <c r="G145" s="30" t="str">
        <f>VLOOKUP($A145,Questions!$A$2:$X$333,21,0)&amp;""</f>
        <v>Yes</v>
      </c>
      <c r="H145" s="176"/>
      <c r="I145" s="45" t="str">
        <f>VLOOKUP($A145,Questions!$A$2:$X$333,23,0)&amp;""</f>
        <v>Minor Importance</v>
      </c>
      <c r="J145" s="176"/>
      <c r="K145" s="48" t="b">
        <v>0</v>
      </c>
      <c r="L145" s="1"/>
    </row>
    <row r="146" spans="1:12" s="1" customFormat="1" ht="18" customHeight="1" x14ac:dyDescent="0.15">
      <c r="A146" s="61" t="str">
        <f>VLOOKUP(LEFT($A147,4),'Auto Responses'!$N$4:$O$38,2,0)&amp;""</f>
        <v xml:space="preserve"> Data</v>
      </c>
      <c r="B146" s="22"/>
      <c r="C146" s="31"/>
      <c r="D146" s="31"/>
      <c r="E146" s="289"/>
      <c r="F146" s="125" t="s">
        <v>652</v>
      </c>
      <c r="G146" s="293" t="s">
        <v>647</v>
      </c>
      <c r="H146" s="293" t="s">
        <v>648</v>
      </c>
      <c r="I146" s="293" t="s">
        <v>649</v>
      </c>
      <c r="J146" s="293" t="s">
        <v>650</v>
      </c>
      <c r="K146" s="293" t="s">
        <v>651</v>
      </c>
    </row>
    <row r="147" spans="1:12" s="29" customFormat="1" ht="42.75" customHeight="1" x14ac:dyDescent="0.15">
      <c r="A147" s="19" t="str">
        <f>Product!$A$39</f>
        <v>DATA-01</v>
      </c>
      <c r="B147" s="20" t="str">
        <f>VLOOKUP($A147,Product!$A$13:$E$61,2,0)&amp;""</f>
        <v>Will the institution's data be stored on any devices (database servers, file servers, SAN, NAS, etc.) configured with non-RFC 1918/4193 (i.e., publicly routable) IP addresses?*</v>
      </c>
      <c r="C147" s="45" t="str">
        <f>VLOOKUP($A147,Product!$A$13:$E$61,3,0)&amp;""</f>
        <v>No</v>
      </c>
      <c r="D147" s="34" t="str">
        <f>IF(LEFT(VLOOKUP($A147,Product!$A$13:$E$61,5,0),21)='Auto Responses'!$A$32,'Auto Responses'!$A$33,VLOOKUP($A147,Product!$A$13:$E$61,4,0))&amp;""</f>
        <v>Institutional data is stored on servers with private, non-routable IP addresses within AWS VPC infrastructure.</v>
      </c>
      <c r="E147" s="288" t="str">
        <f>VLOOKUP($A147,Product!$A$13:$E$61,5,0)&amp;""</f>
        <v/>
      </c>
      <c r="F147" s="186"/>
      <c r="G147" s="30" t="str">
        <f>VLOOKUP($A147,Questions!$A$2:$X$333,21,0)&amp;""</f>
        <v>No</v>
      </c>
      <c r="H147" s="176"/>
      <c r="I147" s="45" t="str">
        <f>VLOOKUP($A147,Questions!$A$2:$X$333,23,0)&amp;""</f>
        <v>Critical Importance</v>
      </c>
      <c r="J147" s="176"/>
      <c r="K147" s="48" t="b">
        <v>0</v>
      </c>
      <c r="L147" s="1"/>
    </row>
    <row r="148" spans="1:12" s="29" customFormat="1" ht="28.5" customHeight="1" x14ac:dyDescent="0.15">
      <c r="A148" s="19" t="str">
        <f>Product!$A$40</f>
        <v>DATA-02</v>
      </c>
      <c r="B148" s="20" t="str">
        <f>VLOOKUP($A148,Product!$A$13:$E$61,2,0)&amp;""</f>
        <v>Is the transport of sensitive data encrypted using security protocols/algorithms (e.g., system-to-client)?*</v>
      </c>
      <c r="C148" s="45" t="str">
        <f>VLOOKUP($A148,Product!$A$13:$E$61,3,0)&amp;""</f>
        <v>Yes</v>
      </c>
      <c r="D148" s="34" t="str">
        <f>IF(LEFT(VLOOKUP($A148,Product!$A$13:$E$61,5,0),21)='Auto Responses'!$A$32,'Auto Responses'!$A$33,VLOOKUP($A148,Product!$A$13:$E$61,4,0))&amp;""</f>
        <v>All data in transit is encrypted using TLS 1.2 or higher. All connections are made over HTTPS. There is no non-TLS option for connecting to Accredible.</v>
      </c>
      <c r="E148" s="288" t="str">
        <f>VLOOKUP($A148,Product!$A$13:$E$61,5,0)&amp;""</f>
        <v>Summarize your transport encryption strategy.</v>
      </c>
      <c r="F148" s="186"/>
      <c r="G148" s="30" t="str">
        <f>VLOOKUP($A148,Questions!$A$2:$X$333,21,0)&amp;""</f>
        <v>Yes</v>
      </c>
      <c r="H148" s="176"/>
      <c r="I148" s="45" t="str">
        <f>VLOOKUP($A148,Questions!$A$2:$X$333,23,0)&amp;""</f>
        <v>Critical Importance</v>
      </c>
      <c r="J148" s="176"/>
      <c r="K148" s="48" t="b">
        <v>0</v>
      </c>
      <c r="L148" s="1"/>
    </row>
    <row r="149" spans="1:12" s="29" customFormat="1" ht="42.75" customHeight="1" x14ac:dyDescent="0.15">
      <c r="A149" s="19" t="str">
        <f>Product!$A$41</f>
        <v>DATA-03</v>
      </c>
      <c r="B149" s="20" t="str">
        <f>VLOOKUP($A149,Product!$A$13:$E$61,2,0)&amp;""</f>
        <v>Is the storage of sensitive data encrypted using security protocols/algorithms (e.g., disk encryption, at-rest, files, and within a running database)?*</v>
      </c>
      <c r="C149" s="45" t="str">
        <f>VLOOKUP($A149,Product!$A$13:$E$61,3,0)&amp;""</f>
        <v>Yes</v>
      </c>
      <c r="D149" s="34" t="str">
        <f>IF(LEFT(VLOOKUP($A149,Product!$A$13:$E$61,5,0),21)='Auto Responses'!$A$32,'Auto Responses'!$A$33,VLOOKUP($A149,Product!$A$13:$E$61,4,0))&amp;""</f>
        <v>Data at rest is encrypted using industry-standard AES-256 encryption. All Accredible backups are also encrypted with AES encryption. Encryption is verified regularly by Amazon as part of their audit process.</v>
      </c>
      <c r="E149" s="288" t="str">
        <f>VLOOKUP($A149,Product!$A$13:$E$61,5,0)&amp;""</f>
        <v>Summarize your data encryption strategy and state what encryption options are available.</v>
      </c>
      <c r="F149" s="186"/>
      <c r="G149" s="30" t="str">
        <f>VLOOKUP($A149,Questions!$A$2:$X$333,21,0)&amp;""</f>
        <v>Yes</v>
      </c>
      <c r="H149" s="176"/>
      <c r="I149" s="45" t="str">
        <f>VLOOKUP($A149,Questions!$A$2:$X$333,23,0)&amp;""</f>
        <v>Critical Importance</v>
      </c>
      <c r="J149" s="176"/>
      <c r="K149" s="48" t="b">
        <v>0</v>
      </c>
      <c r="L149" s="1"/>
    </row>
    <row r="150" spans="1:12" s="29" customFormat="1" ht="28.5" customHeight="1" x14ac:dyDescent="0.15">
      <c r="A150" s="19" t="str">
        <f>Product!$A$42</f>
        <v>DATA-04</v>
      </c>
      <c r="B150" s="20" t="str">
        <f>VLOOKUP($A150,Product!$A$13:$E$61,2,0)&amp;""</f>
        <v>Do all cryptographic modules in use in your solution conform to the Federal Information Processing Standards (FIPS PUB 140-2 or 140-3)?*</v>
      </c>
      <c r="C150" s="45" t="str">
        <f>VLOOKUP($A150,Product!$A$13:$E$61,3,0)&amp;""</f>
        <v>No</v>
      </c>
      <c r="D150" s="34" t="str">
        <f>IF(LEFT(VLOOKUP($A150,Product!$A$13:$E$61,5,0),21)='Auto Responses'!$A$32,'Auto Responses'!$A$33,VLOOKUP($A150,Product!$A$13:$E$61,4,0))&amp;""</f>
        <v>Accredible uses industry-standard TLS and AES encryption. Explicit FIPS PUB 140-2/140-3 certification of all cryptographic modules is not confirmed. AWS infrastructure supports FIPS-compliant endpoints where required.</v>
      </c>
      <c r="E150" s="288" t="str">
        <f>VLOOKUP($A150,Product!$A$13:$E$61,5,0)&amp;""</f>
        <v>Provide a detailed description of all non-conforming modules.</v>
      </c>
      <c r="F150" s="186"/>
      <c r="G150" s="30" t="str">
        <f>VLOOKUP($A150,Questions!$A$2:$X$333,21,0)&amp;""</f>
        <v>Yes</v>
      </c>
      <c r="H150" s="176"/>
      <c r="I150" s="45" t="str">
        <f>VLOOKUP($A150,Questions!$A$2:$X$333,23,0)&amp;""</f>
        <v>Critical Importance</v>
      </c>
      <c r="J150" s="176"/>
      <c r="K150" s="48" t="b">
        <v>0</v>
      </c>
      <c r="L150" s="1"/>
    </row>
    <row r="151" spans="1:12" s="29" customFormat="1" ht="28.5" customHeight="1" x14ac:dyDescent="0.15">
      <c r="A151" s="19" t="str">
        <f>Product!$A$43</f>
        <v>DATA-05</v>
      </c>
      <c r="B151" s="20" t="str">
        <f>VLOOKUP($A151,Product!$A$13:$E$61,2,0)&amp;""</f>
        <v>Will the institution's data be available within the system for a period of time at the completion of this contract?*</v>
      </c>
      <c r="C151" s="45" t="str">
        <f>VLOOKUP($A151,Product!$A$13:$E$61,3,0)&amp;""</f>
        <v>Yes</v>
      </c>
      <c r="D151" s="34" t="str">
        <f>IF(LEFT(VLOOKUP($A151,Product!$A$13:$E$61,5,0),21)='Auto Responses'!$A$32,'Auto Responses'!$A$33,VLOOKUP($A151,Product!$A$13:$E$61,4,0))&amp;""</f>
        <v xml:space="preserve">At the end of a contract, data handling is managed in accordance with the Data Processing Agreement (DPA). This includes provisions for data access, export, and deletion, ensuring that customers can retrieve their data and that it is not retained longer than necessary without authorization.   </v>
      </c>
      <c r="E151" s="288" t="str">
        <f>VLOOKUP($A151,Product!$A$13:$E$61,5,0)&amp;""</f>
        <v>State the length of time that the institution's data will be available in the system at the completion of the contract.</v>
      </c>
      <c r="F151" s="186"/>
      <c r="G151" s="30" t="str">
        <f>VLOOKUP($A151,Questions!$A$2:$X$333,21,0)&amp;""</f>
        <v>Yes</v>
      </c>
      <c r="H151" s="176"/>
      <c r="I151" s="45" t="str">
        <f>VLOOKUP($A151,Questions!$A$2:$X$333,23,0)&amp;""</f>
        <v>Critical Importance</v>
      </c>
      <c r="J151" s="176"/>
      <c r="K151" s="48" t="b">
        <v>0</v>
      </c>
      <c r="L151" s="1"/>
    </row>
    <row r="152" spans="1:12" s="29" customFormat="1" ht="28.5" customHeight="1" x14ac:dyDescent="0.15">
      <c r="A152" s="19" t="str">
        <f>Product!$A$44</f>
        <v>DATA-06</v>
      </c>
      <c r="B152" s="20" t="str">
        <f>VLOOKUP($A152,Product!$A$13:$E$61,2,0)&amp;""</f>
        <v>Are ownership rights to all data, inputs, outputs, and metadata retained even through a provider acquisition or bankruptcy event?*</v>
      </c>
      <c r="C152" s="45" t="str">
        <f>VLOOKUP($A152,Product!$A$13:$E$61,3,0)&amp;""</f>
        <v>Yes</v>
      </c>
      <c r="D152" s="34" t="str">
        <f>IF(LEFT(VLOOKUP($A152,Product!$A$13:$E$61,5,0),21)='Auto Responses'!$A$32,'Auto Responses'!$A$33,VLOOKUP($A152,Product!$A$13:$E$61,4,0))&amp;""</f>
        <v>Ownership rights to all data, inputs, outputs, and metadata are retained by the institution (Data Controller) through provider acquisition or bankruptcy events.</v>
      </c>
      <c r="E152" s="288" t="str">
        <f>VLOOKUP($A152,Product!$A$13:$E$61,5,0)&amp;""</f>
        <v>Provide references, as needed.</v>
      </c>
      <c r="F152" s="186"/>
      <c r="G152" s="30" t="str">
        <f>VLOOKUP($A152,Questions!$A$2:$X$333,21,0)&amp;""</f>
        <v>Yes</v>
      </c>
      <c r="H152" s="176"/>
      <c r="I152" s="45" t="str">
        <f>VLOOKUP($A152,Questions!$A$2:$X$333,23,0)&amp;""</f>
        <v>Critical Importance</v>
      </c>
      <c r="J152" s="176"/>
      <c r="K152" s="48" t="b">
        <v>0</v>
      </c>
      <c r="L152" s="1"/>
    </row>
    <row r="153" spans="1:12" s="29" customFormat="1" ht="28.5" customHeight="1" x14ac:dyDescent="0.15">
      <c r="A153" s="19" t="str">
        <f>Product!$A$45</f>
        <v>DATA-07</v>
      </c>
      <c r="B153" s="20" t="str">
        <f>VLOOKUP($A153,Product!$A$13:$E$61,2,0)&amp;""</f>
        <v>Do backups containing the institution's data ever leave the institution's data zone either physically or via network routing?*</v>
      </c>
      <c r="C153" s="45" t="str">
        <f>VLOOKUP($A153,Product!$A$13:$E$61,3,0)&amp;""</f>
        <v>No</v>
      </c>
      <c r="D153" s="34" t="str">
        <f>IF(LEFT(VLOOKUP($A153,Product!$A$13:$E$61,5,0),21)='Auto Responses'!$A$32,'Auto Responses'!$A$33,VLOOKUP($A153,Product!$A$13:$E$61,4,0))&amp;""</f>
        <v>Backups remain within the designated AWS region. Data is not moved outside its hosting zone.</v>
      </c>
      <c r="E153" s="288" t="str">
        <f>VLOOKUP($A153,Product!$A$13:$E$61,5,0)&amp;""</f>
        <v/>
      </c>
      <c r="F153" s="186"/>
      <c r="G153" s="30" t="str">
        <f>VLOOKUP($A153,Questions!$A$2:$X$333,21,0)&amp;""</f>
        <v>No</v>
      </c>
      <c r="H153" s="176"/>
      <c r="I153" s="45" t="str">
        <f>VLOOKUP($A153,Questions!$A$2:$X$333,23,0)&amp;""</f>
        <v>Critical Importance</v>
      </c>
      <c r="J153" s="176"/>
      <c r="K153" s="48" t="b">
        <v>0</v>
      </c>
      <c r="L153" s="1"/>
    </row>
    <row r="154" spans="1:12" s="29" customFormat="1" ht="28.5" customHeight="1" x14ac:dyDescent="0.15">
      <c r="A154" s="19" t="str">
        <f>Product!$A$46</f>
        <v>DATA-08</v>
      </c>
      <c r="B154" s="20" t="str">
        <f>VLOOKUP($A154,Product!$A$13:$E$61,2,0)&amp;""</f>
        <v>Is media used for long-term retention of business data and archival purposes stored in a secure, environmentally protected area?*</v>
      </c>
      <c r="C154" s="45" t="str">
        <f>VLOOKUP($A154,Product!$A$13:$E$61,3,0)&amp;""</f>
        <v>No</v>
      </c>
      <c r="D154" s="34" t="str">
        <f>IF(LEFT(VLOOKUP($A154,Product!$A$13:$E$61,5,0),21)='Auto Responses'!$A$32,'Auto Responses'!$A$33,VLOOKUP($A154,Product!$A$13:$E$61,4,0))&amp;""</f>
        <v>AWS data centers where Accredible data resides are secure, environmentally protected facilities meeting stringent physical and environmental standards.</v>
      </c>
      <c r="E154" s="288" t="str">
        <f>VLOOKUP($A154,Product!$A$13:$E$61,5,0)&amp;""</f>
        <v>State plans to store long-term media in environmentally protected areas.</v>
      </c>
      <c r="F154" s="186"/>
      <c r="G154" s="30" t="str">
        <f>VLOOKUP($A154,Questions!$A$2:$X$333,21,0)&amp;""</f>
        <v>Yes</v>
      </c>
      <c r="H154" s="176"/>
      <c r="I154" s="45" t="str">
        <f>VLOOKUP($A154,Questions!$A$2:$X$333,23,0)&amp;""</f>
        <v>Critical Importance</v>
      </c>
      <c r="J154" s="176"/>
      <c r="K154" s="48" t="b">
        <v>0</v>
      </c>
      <c r="L154" s="1"/>
    </row>
    <row r="155" spans="1:12" s="29" customFormat="1" ht="45" customHeight="1" x14ac:dyDescent="0.15">
      <c r="A155" s="19" t="str">
        <f>Product!$A$47</f>
        <v>DATA-09</v>
      </c>
      <c r="B155" s="20" t="str">
        <f>VLOOKUP($A155,Product!$A$13:$E$61,2,0)&amp;""</f>
        <v>At the completion of this contract, will data be returned to the institution and/or deleted from all your systems and archives?</v>
      </c>
      <c r="C155" s="45" t="str">
        <f>VLOOKUP($A155,Product!$A$13:$E$61,3,0)&amp;""</f>
        <v>Yes</v>
      </c>
      <c r="D155" s="34" t="str">
        <f>IF(LEFT(VLOOKUP($A155,Product!$A$13:$E$61,5,0),21)='Auto Responses'!$A$32,'Auto Responses'!$A$33,VLOOKUP($A155,Product!$A$13:$E$61,4,0))&amp;""</f>
        <v>At the completion of a contract, Accredible will return data to the institution upon request and/or delete it from all systems. The specific process is outlined in the Data Processing Addendum.</v>
      </c>
      <c r="E155" s="288" t="str">
        <f>VLOOKUP($A155,Product!$A$13:$E$61,5,0)&amp;""</f>
        <v>State the length of time that the institution's data will be available in the system at the completion of the contract.</v>
      </c>
      <c r="F155" s="186"/>
      <c r="G155" s="30" t="str">
        <f>VLOOKUP($A155,Questions!$A$2:$X$333,21,0)&amp;""</f>
        <v>Yes</v>
      </c>
      <c r="H155" s="176"/>
      <c r="I155" s="45" t="str">
        <f>VLOOKUP($A155,Questions!$A$2:$X$333,23,0)&amp;""</f>
        <v>Standard Importance</v>
      </c>
      <c r="J155" s="176"/>
      <c r="K155" s="48" t="b">
        <v>0</v>
      </c>
      <c r="L155" s="1"/>
    </row>
    <row r="156" spans="1:12" s="29" customFormat="1" ht="15" customHeight="1" x14ac:dyDescent="0.15">
      <c r="A156" s="19" t="str">
        <f>Product!$A$48</f>
        <v>DATA-10</v>
      </c>
      <c r="B156" s="20" t="str">
        <f>VLOOKUP($A156,Product!$A$13:$E$61,2,0)&amp;""</f>
        <v>Can the institution extract a full or partial backup of data?</v>
      </c>
      <c r="C156" s="45" t="str">
        <f>VLOOKUP($A156,Product!$A$13:$E$61,3,0)&amp;""</f>
        <v>Yes</v>
      </c>
      <c r="D156" s="34" t="str">
        <f>IF(LEFT(VLOOKUP($A156,Product!$A$13:$E$61,5,0),21)='Auto Responses'!$A$32,'Auto Responses'!$A$33,VLOOKUP($A156,Product!$A$13:$E$61,4,0))&amp;""</f>
        <v>Institutions can extract a full or partial backup of their credential and analytics data at any time via the Dashboard, customer support team, or API.</v>
      </c>
      <c r="E156" s="288" t="str">
        <f>VLOOKUP($A156,Product!$A$13:$E$61,5,0)&amp;""</f>
        <v>Provide a general summary of how full and partial backups of data can be extracted.</v>
      </c>
      <c r="F156" s="186"/>
      <c r="G156" s="30" t="str">
        <f>VLOOKUP($A156,Questions!$A$2:$X$333,21,0)&amp;""</f>
        <v>Yes</v>
      </c>
      <c r="H156" s="176"/>
      <c r="I156" s="45" t="str">
        <f>VLOOKUP($A156,Questions!$A$2:$X$333,23,0)&amp;""</f>
        <v>Standard Importance</v>
      </c>
      <c r="J156" s="176"/>
      <c r="K156" s="48" t="b">
        <v>0</v>
      </c>
      <c r="L156" s="1"/>
    </row>
    <row r="157" spans="1:12" s="29" customFormat="1" ht="42.75" customHeight="1" x14ac:dyDescent="0.15">
      <c r="A157" s="19" t="str">
        <f>Product!$A$49</f>
        <v>DATA-11</v>
      </c>
      <c r="B157" s="20" t="str">
        <f>VLOOKUP($A157,Product!$A$13:$E$61,2,0)&amp;""</f>
        <v>Do current backups include all operating system software, utilities, security software, application software, and data files necessary for recovery?</v>
      </c>
      <c r="C157" s="45" t="str">
        <f>VLOOKUP($A157,Product!$A$13:$E$61,3,0)&amp;""</f>
        <v>Yes</v>
      </c>
      <c r="D157" s="34" t="str">
        <f>IF(LEFT(VLOOKUP($A157,Product!$A$13:$E$61,5,0),21)='Auto Responses'!$A$32,'Auto Responses'!$A$33,VLOOKUP($A157,Product!$A$13:$E$61,4,0))&amp;""</f>
        <v>Backups include all data files necessary for system recovery. Recovery procedures are documented in the Disaster Recovery Plan.</v>
      </c>
      <c r="E157" s="288" t="str">
        <f>VLOOKUP($A157,Product!$A$13:$E$61,5,0)&amp;""</f>
        <v>Describe your overall strategy to accomplish these elements.</v>
      </c>
      <c r="F157" s="186"/>
      <c r="G157" s="30" t="str">
        <f>VLOOKUP($A157,Questions!$A$2:$X$333,21,0)&amp;""</f>
        <v>Yes</v>
      </c>
      <c r="H157" s="176"/>
      <c r="I157" s="45" t="str">
        <f>VLOOKUP($A157,Questions!$A$2:$X$333,23,0)&amp;""</f>
        <v>Standard Importance</v>
      </c>
      <c r="J157" s="176"/>
      <c r="K157" s="48" t="b">
        <v>0</v>
      </c>
      <c r="L157" s="1"/>
    </row>
    <row r="158" spans="1:12" s="29" customFormat="1" ht="15" customHeight="1" x14ac:dyDescent="0.15">
      <c r="A158" s="19" t="str">
        <f>Product!$A$50</f>
        <v>DATA-12</v>
      </c>
      <c r="B158" s="20" t="str">
        <f>VLOOKUP($A158,Product!$A$13:$E$61,2,0)&amp;""</f>
        <v>Are you performing off-site backups (i.e., digitally moved off site)?</v>
      </c>
      <c r="C158" s="45" t="str">
        <f>VLOOKUP($A158,Product!$A$13:$E$61,3,0)&amp;""</f>
        <v>No</v>
      </c>
      <c r="D158" s="34" t="str">
        <f>IF(LEFT(VLOOKUP($A158,Product!$A$13:$E$61,5,0),21)='Auto Responses'!$A$32,'Auto Responses'!$A$33,VLOOKUP($A158,Product!$A$13:$E$61,4,0))&amp;""</f>
        <v>Backups remain within the designated AWS region. Data is not moved outside its hosting zone.</v>
      </c>
      <c r="E158" s="288" t="str">
        <f>VLOOKUP($A158,Product!$A$13:$E$61,5,0)&amp;""</f>
        <v>State any plans to implement off-site virtual backups in your environment.</v>
      </c>
      <c r="F158" s="186"/>
      <c r="G158" s="30" t="str">
        <f>VLOOKUP($A158,Questions!$A$2:$X$333,21,0)&amp;""</f>
        <v>Yes</v>
      </c>
      <c r="H158" s="176"/>
      <c r="I158" s="45" t="str">
        <f>VLOOKUP($A158,Questions!$A$2:$X$333,23,0)&amp;""</f>
        <v>Standard Importance</v>
      </c>
      <c r="J158" s="176"/>
      <c r="K158" s="48" t="b">
        <v>0</v>
      </c>
      <c r="L158" s="1"/>
    </row>
    <row r="159" spans="1:12" s="29" customFormat="1" ht="15" customHeight="1" x14ac:dyDescent="0.15">
      <c r="A159" s="19" t="str">
        <f>Product!$A$51</f>
        <v>DATA-13</v>
      </c>
      <c r="B159" s="20" t="str">
        <f>VLOOKUP($A159,Product!$A$13:$E$61,2,0)&amp;""</f>
        <v>Are physical backups taken off-site (i.e., physically moved off site)?</v>
      </c>
      <c r="C159" s="45" t="str">
        <f>VLOOKUP($A159,Product!$A$13:$E$61,3,0)&amp;""</f>
        <v>No</v>
      </c>
      <c r="D159" s="34" t="str">
        <f>IF(LEFT(VLOOKUP($A159,Product!$A$13:$E$61,5,0),21)='Auto Responses'!$A$32,'Auto Responses'!$A$33,VLOOKUP($A159,Product!$A$13:$E$61,4,0))&amp;""</f>
        <v>Accredible is a cloud-only platform. No physical backup media is taken off-site.</v>
      </c>
      <c r="E159" s="288" t="str">
        <f>VLOOKUP($A159,Product!$A$13:$E$61,5,0)&amp;""</f>
        <v>State any plans to implement off-site physical backups in your environment.</v>
      </c>
      <c r="F159" s="186"/>
      <c r="G159" s="30" t="str">
        <f>VLOOKUP($A159,Questions!$A$2:$X$333,21,0)&amp;""</f>
        <v>Yes</v>
      </c>
      <c r="H159" s="176"/>
      <c r="I159" s="45" t="str">
        <f>VLOOKUP($A159,Questions!$A$2:$X$333,23,0)&amp;""</f>
        <v>Standard Importance</v>
      </c>
      <c r="J159" s="176"/>
      <c r="K159" s="48" t="b">
        <v>0</v>
      </c>
      <c r="L159" s="1"/>
    </row>
    <row r="160" spans="1:12" s="29" customFormat="1" ht="15" customHeight="1" x14ac:dyDescent="0.15">
      <c r="A160" s="19" t="str">
        <f>Product!$A$52</f>
        <v>DATA-14</v>
      </c>
      <c r="B160" s="20" t="str">
        <f>VLOOKUP($A160,Product!$A$13:$E$61,2,0)&amp;""</f>
        <v>Are data backups encrypted?</v>
      </c>
      <c r="C160" s="45" t="str">
        <f>VLOOKUP($A160,Product!$A$13:$E$61,3,0)&amp;""</f>
        <v>Yes</v>
      </c>
      <c r="D160" s="34" t="str">
        <f>IF(LEFT(VLOOKUP($A160,Product!$A$13:$E$61,5,0),21)='Auto Responses'!$A$32,'Auto Responses'!$A$33,VLOOKUP($A160,Product!$A$13:$E$61,4,0))&amp;""</f>
        <v>All Accredible backups are encrypted with AES encryption.</v>
      </c>
      <c r="E160" s="288" t="str">
        <f>VLOOKUP($A160,Product!$A$13:$E$61,5,0)&amp;""</f>
        <v>Summarize the encryption algorithm/strategy you are using to secure backups.</v>
      </c>
      <c r="F160" s="186"/>
      <c r="G160" s="30" t="str">
        <f>VLOOKUP($A160,Questions!$A$2:$X$333,21,0)&amp;""</f>
        <v>Yes</v>
      </c>
      <c r="H160" s="176"/>
      <c r="I160" s="45" t="str">
        <f>VLOOKUP($A160,Questions!$A$2:$X$333,23,0)&amp;""</f>
        <v>Minor Importance</v>
      </c>
      <c r="J160" s="176"/>
      <c r="K160" s="48" t="b">
        <v>0</v>
      </c>
      <c r="L160" s="1"/>
    </row>
    <row r="161" spans="1:12" s="29" customFormat="1" ht="57" customHeight="1" x14ac:dyDescent="0.15">
      <c r="A161" s="19" t="str">
        <f>Product!$A$53</f>
        <v>DATA-15</v>
      </c>
      <c r="B161" s="20" t="str">
        <f>VLOOKUP($A161,Product!$A$13:$E$61,2,0)&amp;""</f>
        <v>Do you have a media handling process that is documented and currently implemented that meets established business needs and regulatory requirements, including end-of-life, repurposing, and data-sanitization procedures?</v>
      </c>
      <c r="C161" s="45" t="str">
        <f>VLOOKUP($A161,Product!$A$13:$E$61,3,0)&amp;""</f>
        <v>Yes</v>
      </c>
      <c r="D161" s="34" t="str">
        <f>IF(LEFT(VLOOKUP($A161,Product!$A$13:$E$61,5,0),21)='Auto Responses'!$A$32,'Auto Responses'!$A$33,VLOOKUP($A161,Product!$A$13:$E$61,4,0))&amp;""</f>
        <v>Accredible maintains a documented process for data lifecycle management, including secure wiping, repurposing, and destruction of data media.</v>
      </c>
      <c r="E161" s="288" t="str">
        <f>VLOOKUP($A161,Product!$A$13:$E$61,5,0)&amp;""</f>
        <v>Provide documented details of this process (link or attached).</v>
      </c>
      <c r="F161" s="186"/>
      <c r="G161" s="30" t="str">
        <f>VLOOKUP($A161,Questions!$A$2:$X$333,21,0)&amp;""</f>
        <v>Yes</v>
      </c>
      <c r="H161" s="176"/>
      <c r="I161" s="45" t="str">
        <f>VLOOKUP($A161,Questions!$A$2:$X$333,23,0)&amp;""</f>
        <v>Standard Importance</v>
      </c>
      <c r="J161" s="176"/>
      <c r="K161" s="48" t="b">
        <v>0</v>
      </c>
      <c r="L161" s="1"/>
    </row>
    <row r="162" spans="1:12" s="29" customFormat="1" ht="28.5" customHeight="1" x14ac:dyDescent="0.15">
      <c r="A162" s="19" t="str">
        <f>Product!$A$54</f>
        <v>DATA-16</v>
      </c>
      <c r="B162" s="20" t="str">
        <f>VLOOKUP($A162,Product!$A$13:$E$61,2,0)&amp;""</f>
        <v>Does the process described in DATA-15 adhere to DoD 5220.22-M and/or NIST SP 800-88 standards?</v>
      </c>
      <c r="C162" s="45" t="str">
        <f>VLOOKUP($A162,Product!$A$13:$E$61,3,0)&amp;""</f>
        <v>No</v>
      </c>
      <c r="D162" s="34" t="str">
        <f>IF(LEFT(VLOOKUP($A162,Product!$A$13:$E$61,5,0),21)='Auto Responses'!$A$32,'Auto Responses'!$A$33,VLOOKUP($A162,Product!$A$13:$E$61,4,0))&amp;""</f>
        <v>Data sanitization follows NIST SP 800-88 and DoD 5220.22-M standards.</v>
      </c>
      <c r="E162" s="288" t="str">
        <f>VLOOKUP($A162,Product!$A$13:$E$61,5,0)&amp;""</f>
        <v>State plans to adhere to DoD 5220.22-M and/or NIST SP 800-88 standards.</v>
      </c>
      <c r="F162" s="186"/>
      <c r="G162" s="30" t="str">
        <f>VLOOKUP($A162,Questions!$A$2:$X$333,21,0)&amp;""</f>
        <v>Yes</v>
      </c>
      <c r="H162" s="176"/>
      <c r="I162" s="45" t="str">
        <f>VLOOKUP($A162,Questions!$A$2:$X$333,23,0)&amp;""</f>
        <v>Standard Importance</v>
      </c>
      <c r="J162" s="176"/>
      <c r="K162" s="48" t="b">
        <v>0</v>
      </c>
      <c r="L162" s="1"/>
    </row>
    <row r="163" spans="1:12" s="29" customFormat="1" ht="28.5" customHeight="1" x14ac:dyDescent="0.15">
      <c r="A163" s="19" t="str">
        <f>Product!$A$55</f>
        <v>DATA-17</v>
      </c>
      <c r="B163" s="20" t="str">
        <f>VLOOKUP($A163,Product!$A$13:$E$61,2,0)&amp;""</f>
        <v>Does your staff (or third party) have access to institutional data (e.g., financial, PHI, or other sensitive information) through any means?</v>
      </c>
      <c r="C163" s="45" t="str">
        <f>VLOOKUP($A163,Product!$A$13:$E$61,3,0)&amp;""</f>
        <v>Limited and controlled</v>
      </c>
      <c r="D163" s="34" t="str">
        <f>IF(LEFT(VLOOKUP($A163,Product!$A$13:$E$61,5,0),21)='Auto Responses'!$A$32,'Auto Responses'!$A$33,VLOOKUP($A163,Product!$A$13:$E$61,4,0))&amp;""</f>
        <v>Accredible staff with authorized roles have access to institutional data for operational and support purposes. Access is governed by the least-privilege principle and a formal access provisioning process.</v>
      </c>
      <c r="E163" s="288" t="str">
        <f>VLOOKUP($A163,Product!$A$13:$E$61,5,0)&amp;""</f>
        <v/>
      </c>
      <c r="F163" s="186"/>
      <c r="G163" s="30" t="str">
        <f>VLOOKUP($A163,Questions!$A$2:$X$333,21,0)&amp;""</f>
        <v>No</v>
      </c>
      <c r="H163" s="176"/>
      <c r="I163" s="45" t="str">
        <f>VLOOKUP($A163,Questions!$A$2:$X$333,23,0)&amp;""</f>
        <v>Standard Importance</v>
      </c>
      <c r="J163" s="176"/>
      <c r="K163" s="48" t="b">
        <v>0</v>
      </c>
      <c r="L163" s="1"/>
    </row>
    <row r="164" spans="1:12" s="29" customFormat="1" ht="42.75" customHeight="1" x14ac:dyDescent="0.15">
      <c r="A164" s="19" t="str">
        <f>Product!$A$56</f>
        <v>DATA-18</v>
      </c>
      <c r="B164" s="20" t="str">
        <f>VLOOKUP($A164,Product!$A$13:$E$61,2,0)&amp;""</f>
        <v>Do you have a documented and currently implemented strategy for securing employee workstations when they work remotely (i.e., not in a trusted computing environment)?</v>
      </c>
      <c r="C164" s="45" t="str">
        <f>VLOOKUP($A164,Product!$A$13:$E$61,3,0)&amp;""</f>
        <v>Yes</v>
      </c>
      <c r="D164" s="34" t="str">
        <f>IF(LEFT(VLOOKUP($A164,Product!$A$13:$E$61,5,0),21)='Auto Responses'!$A$32,'Auto Responses'!$A$33,VLOOKUP($A164,Product!$A$13:$E$61,4,0))&amp;""</f>
        <v>Accredible applies a zero-trust security model. All employees connecting remotely use secure connections. Company computers are managed via MDM regardless of work location.</v>
      </c>
      <c r="E164" s="288" t="str">
        <f>VLOOKUP($A164,Product!$A$13:$E$61,5,0)&amp;""</f>
        <v>Provide a detailed summary outlining the security controls implemented to protect the institution's data.</v>
      </c>
      <c r="F164" s="186"/>
      <c r="G164" s="30" t="str">
        <f>VLOOKUP($A164,Questions!$A$2:$X$333,21,0)&amp;""</f>
        <v>Yes</v>
      </c>
      <c r="H164" s="176"/>
      <c r="I164" s="45" t="str">
        <f>VLOOKUP($A164,Questions!$A$2:$X$333,23,0)&amp;""</f>
        <v>Standard Importance</v>
      </c>
      <c r="J164" s="176"/>
      <c r="K164" s="48" t="b">
        <v>0</v>
      </c>
      <c r="L164" s="1"/>
    </row>
    <row r="165" spans="1:12" s="29" customFormat="1" ht="57" customHeight="1" x14ac:dyDescent="0.15">
      <c r="A165" s="19" t="str">
        <f>Product!$A$57</f>
        <v>DATA-19</v>
      </c>
      <c r="B165" s="20" t="str">
        <f>VLOOKUP($A165,Product!$A$13:$E$61,2,0)&amp;""</f>
        <v>Does the environment provide for dedicated single-tenant capabilities? If not, describe how your solution or environment separates data from different customers (e.g., logically, physically, single tenancy, multi-tenancy).</v>
      </c>
      <c r="C165" s="45" t="str">
        <f>VLOOKUP($A165,Product!$A$13:$E$61,3,0)&amp;""</f>
        <v>No</v>
      </c>
      <c r="D165" s="34" t="str">
        <f>IF(LEFT(VLOOKUP($A165,Product!$A$13:$E$61,5,0),21)='Auto Responses'!$A$32,'Auto Responses'!$A$33,VLOOKUP($A165,Product!$A$13:$E$61,4,0))&amp;""</f>
        <v xml:space="preserve">Accredible is a multi-tenant SaaS platform. Customer data is logically separated at the application and database layer. Physical single-tenancy is not available. </v>
      </c>
      <c r="E165" s="288" t="str">
        <f>VLOOKUP($A165,Product!$A$13:$E$61,5,0)&amp;""</f>
        <v>Describe your plan to separate institution data from that of other customers.</v>
      </c>
      <c r="F165" s="186"/>
      <c r="G165" s="30" t="str">
        <f>VLOOKUP($A165,Questions!$A$2:$X$333,21,0)&amp;""</f>
        <v>Yes</v>
      </c>
      <c r="H165" s="176"/>
      <c r="I165" s="45" t="str">
        <f>VLOOKUP($A165,Questions!$A$2:$X$333,23,0)&amp;""</f>
        <v>Minor Importance</v>
      </c>
      <c r="J165" s="176"/>
      <c r="K165" s="48" t="b">
        <v>0</v>
      </c>
      <c r="L165" s="1"/>
    </row>
    <row r="166" spans="1:12" s="29" customFormat="1" ht="28.5" customHeight="1" x14ac:dyDescent="0.15">
      <c r="A166" s="19" t="str">
        <f>Product!$A$58</f>
        <v>DATA-20</v>
      </c>
      <c r="B166" s="20" t="str">
        <f>VLOOKUP($A166,Product!$A$13:$E$61,2,0)&amp;""</f>
        <v>Are ownership rights to all data, inputs, outputs, and metadata retained by the institution?</v>
      </c>
      <c r="C166" s="45" t="str">
        <f>VLOOKUP($A166,Product!$A$13:$E$61,3,0)&amp;""</f>
        <v>Yes</v>
      </c>
      <c r="D166" s="34" t="str">
        <f>IF(LEFT(VLOOKUP($A166,Product!$A$13:$E$61,5,0),21)='Auto Responses'!$A$32,'Auto Responses'!$A$33,VLOOKUP($A166,Product!$A$13:$E$61,4,0))&amp;""</f>
        <v>Ownership rights to all institutional data, inputs, outputs, and metadata are always retained by the institution.</v>
      </c>
      <c r="E166" s="288" t="str">
        <f>VLOOKUP($A166,Product!$A$13:$E$61,5,0)&amp;""</f>
        <v>Provide reference to your data ownership documentation.</v>
      </c>
      <c r="F166" s="186"/>
      <c r="G166" s="30" t="str">
        <f>VLOOKUP($A166,Questions!$A$2:$X$333,21,0)&amp;""</f>
        <v>Yes</v>
      </c>
      <c r="H166" s="176"/>
      <c r="I166" s="45" t="str">
        <f>VLOOKUP($A166,Questions!$A$2:$X$333,23,0)&amp;""</f>
        <v>Minor Importance</v>
      </c>
      <c r="J166" s="176"/>
      <c r="K166" s="48" t="b">
        <v>0</v>
      </c>
      <c r="L166" s="1"/>
    </row>
    <row r="167" spans="1:12" s="29" customFormat="1" ht="42.75" customHeight="1" x14ac:dyDescent="0.15">
      <c r="A167" s="19" t="str">
        <f>Product!$A$59</f>
        <v>DATA-21</v>
      </c>
      <c r="B167" s="20" t="str">
        <f>VLOOKUP($A167,Product!$A$13:$E$61,2,0)&amp;""</f>
        <v>In the event of imminent bankruptcy, closing of business, or retirement of service, will you provide 90 days for customers to get their data out of the system and migrate applications?</v>
      </c>
      <c r="C167" s="45" t="str">
        <f>VLOOKUP($A167,Product!$A$13:$E$61,3,0)&amp;""</f>
        <v>Yes</v>
      </c>
      <c r="D167" s="34" t="str">
        <f>IF(LEFT(VLOOKUP($A167,Product!$A$13:$E$61,5,0),21)='Auto Responses'!$A$32,'Auto Responses'!$A$33,VLOOKUP($A167,Product!$A$13:$E$61,4,0))&amp;""</f>
        <v>In the event of imminent business closure or retirement of service, Accredible will provide a minimum of 90 days for customers to export their data. Data is also portable via Open Badge Standard.</v>
      </c>
      <c r="E167" s="288" t="str">
        <f>VLOOKUP($A167,Product!$A$13:$E$61,5,0)&amp;""</f>
        <v>State how the institution will be notified of imminent termination.</v>
      </c>
      <c r="F167" s="186"/>
      <c r="G167" s="30" t="str">
        <f>VLOOKUP($A167,Questions!$A$2:$X$333,21,0)&amp;""</f>
        <v>Yes</v>
      </c>
      <c r="H167" s="176"/>
      <c r="I167" s="45" t="str">
        <f>VLOOKUP($A167,Questions!$A$2:$X$333,23,0)&amp;""</f>
        <v>Minor Importance</v>
      </c>
      <c r="J167" s="176"/>
      <c r="K167" s="48" t="b">
        <v>0</v>
      </c>
      <c r="L167" s="1"/>
    </row>
    <row r="168" spans="1:12" s="29" customFormat="1" ht="60" customHeight="1" x14ac:dyDescent="0.15">
      <c r="A168" s="19" t="str">
        <f>Product!$A$60</f>
        <v>DATA-22</v>
      </c>
      <c r="B168" s="20" t="str">
        <f>VLOOKUP($A168,Product!$A$13:$E$61,2,0)&amp;""</f>
        <v>Are involatile backup copies made according to predefined schedules and securely stored and protected?</v>
      </c>
      <c r="C168" s="45" t="str">
        <f>VLOOKUP($A168,Product!$A$13:$E$61,3,0)&amp;""</f>
        <v>No</v>
      </c>
      <c r="D168" s="34" t="str">
        <f>IF(LEFT(VLOOKUP($A168,Product!$A$13:$E$61,5,0),21)='Auto Responses'!$A$32,'Auto Responses'!$A$33,VLOOKUP($A168,Product!$A$13:$E$61,4,0))&amp;""</f>
        <v xml:space="preserve">Accredible protects institutional data from system failures and ransomware through a layered approach that combines resilient cloud infrastructure, backup and recovery planning, and strict security controls.
Accredible’s platform is hosted on AWS, a highly redundant cloud infrastructure designed for high availability and fault tolerance. This reduces the risk of data loss due to hardware or system failure by leveraging distributed systems and managed services.   
In addition, Accredible maintains formal Business Continuity and Disaster Recovery plans, which are tested annually. These plans define procedures to restore services and recover data in the event of incidents such as system failures, outages, or malicious events.   
Data is further protected through regular backup mechanisms within the cloud environment, ensuring that recoverable copies of data are available if primary systems are impacted. These backups are stored securely and encrypted.   
To mitigate ransomware and other malicious threats, Accredible enforces strong access controls, including least-privilege access, role-based permissions, and multi-factor authentication for privileged systems. This limits the ability of unauthorized users to access or modify sensitive data.   </v>
      </c>
      <c r="E168" s="288" t="str">
        <f>VLOOKUP($A168,Product!$A$13:$E$61,5,0)&amp;""</f>
        <v>State how the institution's data is protected from system failures and ransomware.</v>
      </c>
      <c r="F168" s="186"/>
      <c r="G168" s="30" t="str">
        <f>VLOOKUP($A168,Questions!$A$2:$X$333,21,0)&amp;""</f>
        <v>Yes</v>
      </c>
      <c r="H168" s="176"/>
      <c r="I168" s="45" t="str">
        <f>VLOOKUP($A168,Questions!$A$2:$X$333,23,0)&amp;""</f>
        <v>Minor Importance</v>
      </c>
      <c r="J168" s="176"/>
      <c r="K168" s="48" t="b">
        <v>0</v>
      </c>
      <c r="L168" s="1"/>
    </row>
    <row r="169" spans="1:12" s="29" customFormat="1" ht="57" customHeight="1" x14ac:dyDescent="0.15">
      <c r="A169" s="19" t="str">
        <f>Product!$A$61</f>
        <v>DATA-23</v>
      </c>
      <c r="B169" s="20" t="str">
        <f>VLOOKUP($A169,Product!$A$13:$E$61,2,0)&amp;""</f>
        <v>Do you have a cryptographic key management process (generation, exchange, storage, safeguards, use, vetting, and replacement) that is documented and currently implemented, for all system components (e.g., database, system, web, etc.)?</v>
      </c>
      <c r="C169" s="45" t="str">
        <f>VLOOKUP($A169,Product!$A$13:$E$61,3,0)&amp;""</f>
        <v>Yes</v>
      </c>
      <c r="D169" s="34" t="str">
        <f>IF(LEFT(VLOOKUP($A169,Product!$A$13:$E$61,5,0),21)='Auto Responses'!$A$32,'Auto Responses'!$A$33,VLOOKUP($A169,Product!$A$13:$E$61,4,0))&amp;""</f>
        <v>Accredible maintains a documented cryptographic key management process covering generation, storage, safeguarding, use, and rotation for all system components. AWS KMS is used for key management.</v>
      </c>
      <c r="E169" s="288" t="str">
        <f>VLOOKUP($A169,Product!$A$13:$E$61,5,0)&amp;""</f>
        <v>Summarize your cryptographic key management process.</v>
      </c>
      <c r="F169" s="186"/>
      <c r="G169" s="30" t="str">
        <f>VLOOKUP($A169,Questions!$A$2:$X$333,21,0)&amp;""</f>
        <v>Yes</v>
      </c>
      <c r="H169" s="176"/>
      <c r="I169" s="45" t="str">
        <f>VLOOKUP($A169,Questions!$A$2:$X$333,23,0)&amp;""</f>
        <v>Minor Importance</v>
      </c>
      <c r="J169" s="176"/>
      <c r="K169" s="48" t="b">
        <v>0</v>
      </c>
      <c r="L169" s="1"/>
    </row>
    <row r="170" spans="1:12" s="1" customFormat="1" ht="18" customHeight="1" x14ac:dyDescent="0.15">
      <c r="A170" s="61" t="str">
        <f>VLOOKUP(LEFT($A171,4),'Auto Responses'!$N$4:$O$38,2,0)&amp;""</f>
        <v xml:space="preserve"> Application/Service Security</v>
      </c>
      <c r="B170" s="22"/>
      <c r="C170" s="31"/>
      <c r="D170" s="31"/>
      <c r="E170" s="289"/>
      <c r="F170" s="125" t="s">
        <v>652</v>
      </c>
      <c r="G170" s="293" t="s">
        <v>647</v>
      </c>
      <c r="H170" s="293" t="s">
        <v>648</v>
      </c>
      <c r="I170" s="293" t="s">
        <v>649</v>
      </c>
      <c r="J170" s="293" t="s">
        <v>650</v>
      </c>
      <c r="K170" s="293" t="s">
        <v>651</v>
      </c>
    </row>
    <row r="171" spans="1:12" s="29" customFormat="1" ht="180" customHeight="1" x14ac:dyDescent="0.15">
      <c r="A171" s="19" t="str">
        <f>Infrastructure!$A$20</f>
        <v>APPL-01</v>
      </c>
      <c r="B171" s="20" t="str">
        <f>VLOOKUP($A171,Infrastructure!$A$13:$E$74,2,0)&amp;""</f>
        <v>Are access controls for institutional accounts based on structured rules, such as role-based access control (RBAC), attribute-based access control (ABAC), or policy-based access control (PBAC)?*</v>
      </c>
      <c r="C171" s="45" t="str">
        <f>VLOOKUP($A171,Infrastructure!$A$13:$E$74,3,0)&amp;""</f>
        <v>Yes</v>
      </c>
      <c r="D171" s="34" t="str">
        <f>IF(LEFT(VLOOKUP($A171,Infrastructure!$A$13:$E$74,5,0),21)='Auto Responses'!$A$32,'Auto Responses'!$A$33,VLOOKUP($A171,Infrastructure!$A$13:$E$74,4,0))&amp;""</f>
        <v>Accredible implements role-based access control (RBAC) for all institutional accounts.</v>
      </c>
      <c r="E171" s="288" t="str">
        <f>VLOOKUP($A171,Infrastructure!$A$13:$E$74,5,0)&amp;""</f>
        <v>Describe available roles.</v>
      </c>
      <c r="F171" s="186"/>
      <c r="G171" s="30" t="str">
        <f>VLOOKUP($A171,Questions!$A$2:$X$333,21,0)&amp;""</f>
        <v>Yes</v>
      </c>
      <c r="H171" s="176"/>
      <c r="I171" s="45" t="str">
        <f>VLOOKUP($A171,Questions!$A$2:$X$333,23,0)&amp;""</f>
        <v>Critical Importance</v>
      </c>
      <c r="J171" s="176"/>
      <c r="K171" s="48" t="b">
        <v>0</v>
      </c>
      <c r="L171" s="1"/>
    </row>
    <row r="172" spans="1:12" s="29" customFormat="1" ht="15" customHeight="1" x14ac:dyDescent="0.15">
      <c r="A172" s="19" t="str">
        <f>Infrastructure!$A$21</f>
        <v>APPL-02</v>
      </c>
      <c r="B172" s="20" t="str">
        <f>VLOOKUP($A172,Infrastructure!$A$13:$E$74,2,0)&amp;""</f>
        <v>Are you using a web application firewall (WAF)?*</v>
      </c>
      <c r="C172" s="45" t="str">
        <f>VLOOKUP($A172,Infrastructure!$A$13:$E$74,3,0)&amp;""</f>
        <v>Yes</v>
      </c>
      <c r="D172" s="34" t="str">
        <f>IF(LEFT(VLOOKUP($A172,Infrastructure!$A$13:$E$74,5,0),21)='Auto Responses'!$A$32,'Auto Responses'!$A$33,VLOOKUP($A172,Infrastructure!$A$13:$E$74,4,0))&amp;""</f>
        <v>Accredible uses a Web Application Firewall (WAF) to protect against common web attacks.</v>
      </c>
      <c r="E172" s="288" t="str">
        <f>VLOOKUP($A172,Infrastructure!$A$13:$E$74,5,0)&amp;""</f>
        <v>Describe the currently implemented WAF.</v>
      </c>
      <c r="F172" s="186"/>
      <c r="G172" s="30" t="str">
        <f>VLOOKUP($A172,Questions!$A$2:$X$333,21,0)&amp;""</f>
        <v>Yes</v>
      </c>
      <c r="H172" s="176"/>
      <c r="I172" s="45" t="str">
        <f>VLOOKUP($A172,Questions!$A$2:$X$333,23,0)&amp;""</f>
        <v>Critical Importance</v>
      </c>
      <c r="J172" s="176"/>
      <c r="K172" s="48" t="b">
        <v>0</v>
      </c>
      <c r="L172" s="1"/>
    </row>
    <row r="173" spans="1:12" s="29" customFormat="1" ht="90" customHeight="1" x14ac:dyDescent="0.15">
      <c r="A173" s="19" t="str">
        <f>Infrastructure!$A$22</f>
        <v>APPL-03</v>
      </c>
      <c r="B173" s="20" t="str">
        <f>VLOOKUP($A173,Infrastructure!$A$13:$E$74,2,0)&amp;""</f>
        <v>Are only currently supported operating system(s), software, and libraries leveraged by the system(s)/application(s) that will have access to institution's data?*</v>
      </c>
      <c r="C173" s="45" t="str">
        <f>VLOOKUP($A173,Infrastructure!$A$13:$E$74,3,0)&amp;""</f>
        <v>Yes</v>
      </c>
      <c r="D173" s="34" t="str">
        <f>IF(LEFT(VLOOKUP($A173,Infrastructure!$A$13:$E$74,5,0),21)='Auto Responses'!$A$32,'Auto Responses'!$A$33,VLOOKUP($A173,Infrastructure!$A$13:$E$74,4,0))&amp;""</f>
        <v>Accredible uses only currently supported operating systems, software, and libraries. GitHub Dependabot and security bulletin subscriptions are used to monitor for vulnerabilities in dependencies.</v>
      </c>
      <c r="E173" s="288" t="str">
        <f>VLOOKUP($A173,Infrastructure!$A$13:$E$74,5,0)&amp;""</f>
        <v>Please provide a list of all required dependencies.</v>
      </c>
      <c r="F173" s="186"/>
      <c r="G173" s="30" t="str">
        <f>VLOOKUP($A173,Questions!$A$2:$X$333,21,0)&amp;""</f>
        <v>Yes</v>
      </c>
      <c r="H173" s="176"/>
      <c r="I173" s="45" t="str">
        <f>VLOOKUP($A173,Questions!$A$2:$X$333,23,0)&amp;""</f>
        <v>Critical Importance</v>
      </c>
      <c r="J173" s="176"/>
      <c r="K173" s="48" t="b">
        <v>0</v>
      </c>
      <c r="L173" s="1"/>
    </row>
    <row r="174" spans="1:12" s="29" customFormat="1" ht="15" customHeight="1" x14ac:dyDescent="0.15">
      <c r="A174" s="19" t="str">
        <f>Infrastructure!$A$23</f>
        <v>APPL-04</v>
      </c>
      <c r="B174" s="20" t="str">
        <f>VLOOKUP($A174,Infrastructure!$A$13:$E$74,2,0)&amp;""</f>
        <v>Does your application require access to location or GPS data?*</v>
      </c>
      <c r="C174" s="45" t="str">
        <f>VLOOKUP($A174,Infrastructure!$A$13:$E$74,3,0)&amp;""</f>
        <v>No</v>
      </c>
      <c r="D174" s="34" t="str">
        <f>IF(LEFT(VLOOKUP($A174,Infrastructure!$A$13:$E$74,5,0),21)='Auto Responses'!$A$32,'Auto Responses'!$A$33,VLOOKUP($A174,Infrastructure!$A$13:$E$74,4,0))&amp;""</f>
        <v>Accredible's application does not require access to user location or GPS data.</v>
      </c>
      <c r="E174" s="288" t="str">
        <f>VLOOKUP($A174,Infrastructure!$A$13:$E$74,5,0)&amp;""</f>
        <v>Please indicate any future plans that would require access to this data</v>
      </c>
      <c r="F174" s="186"/>
      <c r="G174" s="30" t="str">
        <f>VLOOKUP($A174,Questions!$A$2:$X$333,21,0)&amp;""</f>
        <v>No</v>
      </c>
      <c r="H174" s="176"/>
      <c r="I174" s="45" t="str">
        <f>VLOOKUP($A174,Questions!$A$2:$X$333,23,0)&amp;""</f>
        <v>Critical Importance</v>
      </c>
      <c r="J174" s="176"/>
      <c r="K174" s="48" t="b">
        <v>0</v>
      </c>
      <c r="L174" s="1"/>
    </row>
    <row r="175" spans="1:12" s="29" customFormat="1" ht="28.5" customHeight="1" x14ac:dyDescent="0.15">
      <c r="A175" s="19" t="str">
        <f>Infrastructure!$A$24</f>
        <v>APPL-05</v>
      </c>
      <c r="B175" s="20" t="str">
        <f>VLOOKUP($A175,Infrastructure!$A$13:$E$74,2,0)&amp;""</f>
        <v>Does your application provide separation of duties between security administration, system administration, and standard user functions?*</v>
      </c>
      <c r="C175" s="45" t="str">
        <f>VLOOKUP($A175,Infrastructure!$A$13:$E$74,3,0)&amp;""</f>
        <v>Yes</v>
      </c>
      <c r="D175" s="34" t="str">
        <f>IF(LEFT(VLOOKUP($A175,Infrastructure!$A$13:$E$74,5,0),21)='Auto Responses'!$A$32,'Auto Responses'!$A$33,VLOOKUP($A175,Infrastructure!$A$13:$E$74,4,0))&amp;""</f>
        <v>Accredible provides separation of duties between security administration, system administration, and standard user functions via RBAC.</v>
      </c>
      <c r="E175" s="288" t="str">
        <f>VLOOKUP($A175,Infrastructure!$A$13:$E$74,5,0)&amp;""</f>
        <v>Describe or provide a reference to the facilities available in the system to provide separation of duties between security administration and system administration functions.</v>
      </c>
      <c r="F175" s="186"/>
      <c r="G175" s="30" t="str">
        <f>VLOOKUP($A175,Questions!$A$2:$X$333,21,0)&amp;""</f>
        <v>Yes</v>
      </c>
      <c r="H175" s="176"/>
      <c r="I175" s="45" t="str">
        <f>VLOOKUP($A175,Questions!$A$2:$X$333,23,0)&amp;""</f>
        <v>Critical Importance</v>
      </c>
      <c r="J175" s="176"/>
      <c r="K175" s="48" t="b">
        <v>0</v>
      </c>
      <c r="L175" s="1"/>
    </row>
    <row r="176" spans="1:12" s="29" customFormat="1" ht="28.5" customHeight="1" x14ac:dyDescent="0.15">
      <c r="A176" s="19" t="str">
        <f>Infrastructure!$A$25</f>
        <v>APPL-06</v>
      </c>
      <c r="B176" s="20" t="str">
        <f>VLOOKUP($A176,Infrastructure!$A$13:$E$74,2,0)&amp;""</f>
        <v>Do you subject your code to static code analysis and/or static application security testing prior to release?*</v>
      </c>
      <c r="C176" s="45" t="str">
        <f>VLOOKUP($A176,Infrastructure!$A$13:$E$74,3,0)&amp;""</f>
        <v>Yes</v>
      </c>
      <c r="D176" s="34" t="str">
        <f>IF(LEFT(VLOOKUP($A176,Infrastructure!$A$13:$E$74,5,0),21)='Auto Responses'!$A$32,'Auto Responses'!$A$33,VLOOKUP($A176,Infrastructure!$A$13:$E$74,4,0))&amp;""</f>
        <v>Accredible subjects code to static code analysis and static application security testing (SAST) prior to release as part of the CI/CD pipeline.</v>
      </c>
      <c r="E176" s="288" t="str">
        <f>VLOOKUP($A176,Infrastructure!$A$13:$E$74,5,0)&amp;""</f>
        <v>Provide a list of all tools utilized during static code analysis or static application security testing.</v>
      </c>
      <c r="F176" s="186"/>
      <c r="G176" s="30" t="str">
        <f>VLOOKUP($A176,Questions!$A$2:$X$333,21,0)&amp;""</f>
        <v>Yes</v>
      </c>
      <c r="H176" s="176"/>
      <c r="I176" s="45" t="str">
        <f>VLOOKUP($A176,Questions!$A$2:$X$333,23,0)&amp;""</f>
        <v>Critical Importance</v>
      </c>
      <c r="J176" s="176"/>
      <c r="K176" s="48" t="b">
        <v>0</v>
      </c>
      <c r="L176" s="1"/>
    </row>
    <row r="177" spans="1:12" s="29" customFormat="1" ht="28.5" customHeight="1" x14ac:dyDescent="0.15">
      <c r="A177" s="19" t="str">
        <f>Infrastructure!$A$26</f>
        <v>APPL-07</v>
      </c>
      <c r="B177" s="20" t="str">
        <f>VLOOKUP($A177,Infrastructure!$A$13:$E$74,2,0)&amp;""</f>
        <v>Do you have software testing processes (dynamic or static) that are established and followed?*</v>
      </c>
      <c r="C177" s="45" t="str">
        <f>VLOOKUP($A177,Infrastructure!$A$13:$E$74,3,0)&amp;""</f>
        <v>Yes</v>
      </c>
      <c r="D177" s="34" t="str">
        <f>IF(LEFT(VLOOKUP($A177,Infrastructure!$A$13:$E$74,5,0),21)='Auto Responses'!$A$32,'Auto Responses'!$A$33,VLOOKUP($A177,Infrastructure!$A$13:$E$74,4,0))&amp;""</f>
        <v>Accredible employs automated and manual testing processes including unit tests, integration tests, staging environment validation, and code review before all releases.</v>
      </c>
      <c r="E177" s="288" t="str">
        <f>VLOOKUP($A177,Infrastructure!$A$13:$E$74,5,0)&amp;""</f>
        <v>Describe testing processes, including but not limited to, development of test plans, personnel involved in the testing process, and authorized individual accountable for approval and certification of test results.</v>
      </c>
      <c r="F177" s="186"/>
      <c r="G177" s="30" t="str">
        <f>VLOOKUP($A177,Questions!$A$2:$X$333,21,0)&amp;""</f>
        <v>Yes</v>
      </c>
      <c r="H177" s="176"/>
      <c r="I177" s="45" t="str">
        <f>VLOOKUP($A177,Questions!$A$2:$X$333,23,0)&amp;""</f>
        <v>Critical Importance</v>
      </c>
      <c r="J177" s="176"/>
      <c r="K177" s="48" t="b">
        <v>0</v>
      </c>
      <c r="L177" s="1"/>
    </row>
    <row r="178" spans="1:12" s="29" customFormat="1" ht="195" customHeight="1" x14ac:dyDescent="0.15">
      <c r="A178" s="19" t="str">
        <f>Infrastructure!$A$27</f>
        <v>APPL-08</v>
      </c>
      <c r="B178" s="20" t="str">
        <f>VLOOKUP($A178,Infrastructure!$A$13:$E$74,2,0)&amp;""</f>
        <v>Are access controls for staff within your organization based on structured rules, such as RBAC, ABAC, or PBAC?</v>
      </c>
      <c r="C178" s="45" t="str">
        <f>VLOOKUP($A178,Infrastructure!$A$13:$E$74,3,0)&amp;""</f>
        <v>Yes</v>
      </c>
      <c r="D178" s="34" t="str">
        <f>IF(LEFT(VLOOKUP($A178,Infrastructure!$A$13:$E$74,5,0),21)='Auto Responses'!$A$32,'Auto Responses'!$A$33,VLOOKUP($A178,Infrastructure!$A$13:$E$74,4,0))&amp;""</f>
        <v>Staff access within Accredible is based on RBAC, following a least-privilege model with formal access provisioning via ticketing system.</v>
      </c>
      <c r="E178" s="288" t="str">
        <f>VLOOKUP($A178,Infrastructure!$A$13:$E$74,5,0)&amp;""</f>
        <v>This includes system administrators and third-party personnel with access to the system. PBAC would include various dynamic controls such as conditional access, risk-based access, location-based access, or system activity–based access.</v>
      </c>
      <c r="F178" s="186"/>
      <c r="G178" s="30" t="str">
        <f>VLOOKUP($A178,Questions!$A$2:$X$333,21,0)&amp;""</f>
        <v>Yes</v>
      </c>
      <c r="H178" s="176"/>
      <c r="I178" s="45" t="str">
        <f>VLOOKUP($A178,Questions!$A$2:$X$333,23,0)&amp;""</f>
        <v>Standard Importance</v>
      </c>
      <c r="J178" s="176"/>
      <c r="K178" s="48" t="b">
        <v>0</v>
      </c>
      <c r="L178" s="1"/>
    </row>
    <row r="179" spans="1:12" s="29" customFormat="1" ht="15" customHeight="1" x14ac:dyDescent="0.15">
      <c r="A179" s="19" t="str">
        <f>Infrastructure!$A$28</f>
        <v>APPL-09</v>
      </c>
      <c r="B179" s="20" t="str">
        <f>VLOOKUP($A179,Infrastructure!$A$13:$E$74,2,0)&amp;""</f>
        <v>Does the system provide data input validation and error messages?</v>
      </c>
      <c r="C179" s="45" t="str">
        <f>VLOOKUP($A179,Infrastructure!$A$13:$E$74,3,0)&amp;""</f>
        <v>Yes</v>
      </c>
      <c r="D179" s="34" t="str">
        <f>IF(LEFT(VLOOKUP($A179,Infrastructure!$A$13:$E$74,5,0),21)='Auto Responses'!$A$32,'Auto Responses'!$A$33,VLOOKUP($A179,Infrastructure!$A$13:$E$74,4,0))&amp;""</f>
        <v>The Accredible application validates all data inputs and provides appropriate error messages.</v>
      </c>
      <c r="E179" s="288" t="str">
        <f>VLOOKUP($A179,Infrastructure!$A$13:$E$74,5,0)&amp;""</f>
        <v>Describe how your system(s) provide data input validation and error messages.</v>
      </c>
      <c r="F179" s="186"/>
      <c r="G179" s="30" t="str">
        <f>VLOOKUP($A179,Questions!$A$2:$X$333,21,0)&amp;""</f>
        <v>Yes</v>
      </c>
      <c r="H179" s="176"/>
      <c r="I179" s="45" t="str">
        <f>VLOOKUP($A179,Questions!$A$2:$X$333,23,0)&amp;""</f>
        <v>Standard Importance</v>
      </c>
      <c r="J179" s="176"/>
      <c r="K179" s="48" t="b">
        <v>0</v>
      </c>
      <c r="L179" s="1"/>
    </row>
    <row r="180" spans="1:12" s="29" customFormat="1" ht="45" customHeight="1" x14ac:dyDescent="0.15">
      <c r="A180" s="19" t="str">
        <f>Infrastructure!$A$29</f>
        <v>APPL-10</v>
      </c>
      <c r="B180" s="20" t="str">
        <f>VLOOKUP($A180,Infrastructure!$A$13:$E$74,2,0)&amp;""</f>
        <v>Do you have a process and implemented procedures for managing your software supply chain (e.g., libraries, repositories, frameworks, etc.)?</v>
      </c>
      <c r="C180" s="45" t="str">
        <f>VLOOKUP($A180,Infrastructure!$A$13:$E$74,3,0)&amp;""</f>
        <v>Yes</v>
      </c>
      <c r="D180" s="34" t="str">
        <f>IF(LEFT(VLOOKUP($A180,Infrastructure!$A$13:$E$74,5,0),21)='Auto Responses'!$A$32,'Auto Responses'!$A$33,VLOOKUP($A180,Infrastructure!$A$13:$E$74,4,0))&amp;""</f>
        <v>Accredible manages its software supply chain using GitHub Dependabot, security bulletin subscriptions, and a documented patch management policy.</v>
      </c>
      <c r="E180" s="288" t="str">
        <f>VLOOKUP($A180,Infrastructure!$A$13:$E$74,5,0)&amp;""</f>
        <v>Provide supporting documentation of your processes.</v>
      </c>
      <c r="F180" s="186"/>
      <c r="G180" s="30" t="str">
        <f>VLOOKUP($A180,Questions!$A$2:$X$333,21,0)&amp;""</f>
        <v>Yes</v>
      </c>
      <c r="H180" s="176"/>
      <c r="I180" s="45" t="str">
        <f>VLOOKUP($A180,Questions!$A$2:$X$333,23,0)&amp;""</f>
        <v>Standard Importance</v>
      </c>
      <c r="J180" s="176"/>
      <c r="K180" s="48" t="b">
        <v>0</v>
      </c>
      <c r="L180" s="1"/>
    </row>
    <row r="181" spans="1:12" s="29" customFormat="1" ht="15" customHeight="1" x14ac:dyDescent="0.15">
      <c r="A181" s="19" t="str">
        <f>Infrastructure!$A$30</f>
        <v>APPL-11</v>
      </c>
      <c r="B181" s="20" t="str">
        <f>VLOOKUP($A181,Infrastructure!$A$13:$E$74,2,0)&amp;""</f>
        <v>Have your developers been trained in secure coding techniques?</v>
      </c>
      <c r="C181" s="45" t="str">
        <f>VLOOKUP($A181,Infrastructure!$A$13:$E$74,3,0)&amp;""</f>
        <v>Yes</v>
      </c>
      <c r="D181" s="34" t="str">
        <f>IF(LEFT(VLOOKUP($A181,Infrastructure!$A$13:$E$74,5,0),21)='Auto Responses'!$A$32,'Auto Responses'!$A$33,VLOOKUP($A181,Infrastructure!$A$13:$E$74,4,0))&amp;""</f>
        <v>All Accredible developers have received training in secure coding techniques.</v>
      </c>
      <c r="E181" s="288" t="str">
        <f>VLOOKUP($A181,Infrastructure!$A$13:$E$74,5,0)&amp;""</f>
        <v>Summarize your secure coding training.</v>
      </c>
      <c r="F181" s="186"/>
      <c r="G181" s="30" t="str">
        <f>VLOOKUP($A181,Questions!$A$2:$X$333,21,0)&amp;""</f>
        <v>Yes</v>
      </c>
      <c r="H181" s="176"/>
      <c r="I181" s="45" t="str">
        <f>VLOOKUP($A181,Questions!$A$2:$X$333,23,0)&amp;""</f>
        <v>Standard Importance</v>
      </c>
      <c r="J181" s="176"/>
      <c r="K181" s="48" t="b">
        <v>0</v>
      </c>
      <c r="L181" s="1"/>
    </row>
    <row r="182" spans="1:12" s="29" customFormat="1" ht="15" customHeight="1" x14ac:dyDescent="0.15">
      <c r="A182" s="19" t="str">
        <f>Infrastructure!$A$31</f>
        <v>APPL-12</v>
      </c>
      <c r="B182" s="20" t="str">
        <f>VLOOKUP($A182,Infrastructure!$A$13:$E$74,2,0)&amp;""</f>
        <v>Was your application developed using secure coding techniques?</v>
      </c>
      <c r="C182" s="45" t="str">
        <f>VLOOKUP($A182,Infrastructure!$A$13:$E$74,3,0)&amp;""</f>
        <v>Yes</v>
      </c>
      <c r="D182" s="34" t="str">
        <f>IF(LEFT(VLOOKUP($A182,Infrastructure!$A$13:$E$74,5,0),21)='Auto Responses'!$A$32,'Auto Responses'!$A$33,VLOOKUP($A182,Infrastructure!$A$13:$E$74,4,0))&amp;""</f>
        <v>Accredible's application was developed and continues to be maintained using secure coding practices and techniques.</v>
      </c>
      <c r="E182" s="288" t="str">
        <f>VLOOKUP($A182,Infrastructure!$A$13:$E$74,5,0)&amp;""</f>
        <v>Summarize your secure coding practices.</v>
      </c>
      <c r="F182" s="186"/>
      <c r="G182" s="30" t="str">
        <f>VLOOKUP($A182,Questions!$A$2:$X$333,21,0)&amp;""</f>
        <v>Yes</v>
      </c>
      <c r="H182" s="176"/>
      <c r="I182" s="45" t="str">
        <f>VLOOKUP($A182,Questions!$A$2:$X$333,23,0)&amp;""</f>
        <v>Standard Importance</v>
      </c>
      <c r="J182" s="176"/>
      <c r="K182" s="48" t="b">
        <v>0</v>
      </c>
      <c r="L182" s="1"/>
    </row>
    <row r="183" spans="1:12" s="29" customFormat="1" ht="45" customHeight="1" x14ac:dyDescent="0.15">
      <c r="A183" s="19" t="str">
        <f>Infrastructure!$A$32</f>
        <v>APPL-13</v>
      </c>
      <c r="B183" s="20" t="str">
        <f>VLOOKUP($A183,Infrastructure!$A$13:$E$74,2,0)&amp;""</f>
        <v>If mobile, is the application available from a trusted source (e.g., App Store, Google Play Store)?</v>
      </c>
      <c r="C183" s="45" t="str">
        <f>VLOOKUP($A183,Infrastructure!$A$13:$E$74,3,0)&amp;""</f>
        <v>N/A</v>
      </c>
      <c r="D183" s="34" t="str">
        <f>IF(LEFT(VLOOKUP($A183,Infrastructure!$A$13:$E$74,5,0),21)='Auto Responses'!$A$32,'Auto Responses'!$A$33,VLOOKUP($A183,Infrastructure!$A$13:$E$74,4,0))&amp;""</f>
        <v>Accredible is a web-based SaaS platform. It is not a native mobile application distributed through an app store.</v>
      </c>
      <c r="E183" s="288" t="str">
        <f>VLOOKUP($A183,Infrastructure!$A$13:$E$74,5,0)&amp;""</f>
        <v>Please explain why this does not apply to your product or service.</v>
      </c>
      <c r="F183" s="186"/>
      <c r="G183" s="30" t="str">
        <f>VLOOKUP($A183,Questions!$A$2:$X$333,21,0)&amp;""</f>
        <v>Yes</v>
      </c>
      <c r="H183" s="176"/>
      <c r="I183" s="45" t="str">
        <f>VLOOKUP($A183,Questions!$A$2:$X$333,23,0)&amp;""</f>
        <v>Minor Importance</v>
      </c>
      <c r="J183" s="176"/>
      <c r="K183" s="48" t="b">
        <v>0</v>
      </c>
      <c r="L183" s="1"/>
    </row>
    <row r="184" spans="1:12" s="29" customFormat="1" ht="42.75" customHeight="1" x14ac:dyDescent="0.15">
      <c r="A184" s="19" t="str">
        <f>Infrastructure!$A$33</f>
        <v>APPL-14</v>
      </c>
      <c r="B184" s="20" t="str">
        <f>VLOOKUP($A184,Infrastructure!$A$13:$E$74,2,0)&amp;""</f>
        <v>Do you have a fully implemented policy or procedure that details how your employees obtain administrator access to institutional instance of the application?</v>
      </c>
      <c r="C184" s="45" t="str">
        <f>VLOOKUP($A184,Infrastructure!$A$13:$E$74,3,0)&amp;""</f>
        <v>Yes</v>
      </c>
      <c r="D184" s="34" t="str">
        <f>IF(LEFT(VLOOKUP($A184,Infrastructure!$A$13:$E$74,5,0),21)='Auto Responses'!$A$32,'Auto Responses'!$A$33,VLOOKUP($A184,Infrastructure!$A$13:$E$74,4,0))&amp;""</f>
        <v>Accredible maintains a fully implemented policy detailing how employees obtain administrator access to the Accredible application, using a formal access provisioning process via ticketing system.</v>
      </c>
      <c r="E184" s="288" t="str">
        <f>VLOOKUP($A184,Infrastructure!$A$13:$E$74,5,0)&amp;""</f>
        <v>Describe or provide a reference that details how administrator access is handled (e.g., provisioning, principle of least privilege, deprovisioning, etc.).</v>
      </c>
      <c r="F184" s="186"/>
      <c r="G184" s="30" t="str">
        <f>VLOOKUP($A184,Questions!$A$2:$X$333,21,0)&amp;""</f>
        <v>Yes</v>
      </c>
      <c r="H184" s="176"/>
      <c r="I184" s="45" t="str">
        <f>VLOOKUP($A184,Questions!$A$2:$X$333,23,0)&amp;""</f>
        <v>Minor Importance</v>
      </c>
      <c r="J184" s="176"/>
      <c r="K184" s="48" t="b">
        <v>0</v>
      </c>
      <c r="L184" s="1"/>
    </row>
    <row r="185" spans="1:12" s="1" customFormat="1" ht="18" customHeight="1" x14ac:dyDescent="0.15">
      <c r="A185" s="61" t="str">
        <f>VLOOKUP(LEFT($A186,4),'Auto Responses'!$N$4:$O$38,2,0)&amp;""</f>
        <v xml:space="preserve"> Datacenter</v>
      </c>
      <c r="B185" s="22"/>
      <c r="C185" s="31"/>
      <c r="D185" s="31"/>
      <c r="E185" s="289"/>
      <c r="F185" s="125" t="s">
        <v>652</v>
      </c>
      <c r="G185" s="293" t="s">
        <v>647</v>
      </c>
      <c r="H185" s="293" t="s">
        <v>648</v>
      </c>
      <c r="I185" s="293" t="s">
        <v>649</v>
      </c>
      <c r="J185" s="293" t="s">
        <v>650</v>
      </c>
      <c r="K185" s="293" t="s">
        <v>651</v>
      </c>
    </row>
    <row r="186" spans="1:12" s="29" customFormat="1" ht="135" customHeight="1" x14ac:dyDescent="0.15">
      <c r="A186" s="19" t="str">
        <f>Infrastructure!$A$35</f>
        <v>DCTR-01</v>
      </c>
      <c r="B186" s="20" t="str">
        <f>VLOOKUP($A186,Infrastructure!$A$13:$E$74,2,0)&amp;""</f>
        <v>Select your hosting option.</v>
      </c>
      <c r="C186" s="45" t="str">
        <f>VLOOKUP($A186,Infrastructure!$A$13:$E$74,3,0)&amp;""</f>
        <v>AWS</v>
      </c>
      <c r="D186" s="34" t="str">
        <f>IF(LEFT(VLOOKUP($A186,Infrastructure!$A$13:$E$74,5,0),21)='Auto Responses'!$A$32,'Auto Responses'!$A$33,VLOOKUP($A186,Infrastructure!$A$13:$E$74,4,0))&amp;""</f>
        <v/>
      </c>
      <c r="E186" s="288" t="str">
        <f>VLOOKUP($A186,Infrastructure!$A$13:$E$74,5,0)&amp;""</f>
        <v/>
      </c>
      <c r="F186" s="186"/>
      <c r="G186" s="30" t="str">
        <f>VLOOKUP($A186,Questions!$A$2:$X$333,21,0)&amp;""</f>
        <v>Not scored</v>
      </c>
      <c r="H186" s="176"/>
      <c r="I186" s="45" t="str">
        <f>VLOOKUP($A186,Questions!$A$2:$X$333,23,0)&amp;""</f>
        <v/>
      </c>
      <c r="J186" s="176"/>
      <c r="K186" s="48" t="b">
        <v>0</v>
      </c>
      <c r="L186" s="1"/>
    </row>
    <row r="187" spans="1:12" s="29" customFormat="1" ht="15" customHeight="1" x14ac:dyDescent="0.15">
      <c r="A187" s="19" t="str">
        <f>Infrastructure!$A$36</f>
        <v>DCTR-02</v>
      </c>
      <c r="B187" s="20" t="str">
        <f>VLOOKUP($A187,Infrastructure!$A$13:$E$74,2,0)&amp;""</f>
        <v>Is a SOC 2 Type 2 report available for the hosting environment?</v>
      </c>
      <c r="C187" s="45" t="str">
        <f>VLOOKUP($A187,Infrastructure!$A$13:$E$74,3,0)&amp;""</f>
        <v>Yes</v>
      </c>
      <c r="D187" s="34" t="str">
        <f>IF(LEFT(VLOOKUP($A187,Infrastructure!$A$13:$E$74,5,0),21)='Auto Responses'!$A$32,'Auto Responses'!$A$33,VLOOKUP($A187,Infrastructure!$A$13:$E$74,4,0))&amp;""</f>
        <v>This question does not apply.</v>
      </c>
      <c r="E187" s="288" t="str">
        <f>VLOOKUP($A187,Infrastructure!$A$13:$E$74,5,0)&amp;""</f>
        <v>Based on the response to DCTR-01, this question does not apply to this product or service.</v>
      </c>
      <c r="F187" s="186"/>
      <c r="G187" s="30" t="str">
        <f>VLOOKUP($A187,Questions!$A$2:$X$333,21,0)&amp;""</f>
        <v>Yes</v>
      </c>
      <c r="H187" s="176"/>
      <c r="I187" s="45" t="str">
        <f>VLOOKUP($A187,Questions!$A$2:$X$333,23,0)&amp;""</f>
        <v>Standard Importance</v>
      </c>
      <c r="J187" s="176"/>
      <c r="K187" s="48" t="b">
        <v>0</v>
      </c>
      <c r="L187" s="1"/>
    </row>
    <row r="188" spans="1:12" s="29" customFormat="1" ht="28.5" customHeight="1" x14ac:dyDescent="0.15">
      <c r="A188" s="19" t="str">
        <f>Infrastructure!$A$37</f>
        <v>DCTR-03</v>
      </c>
      <c r="B188" s="20" t="str">
        <f>VLOOKUP($A188,Infrastructure!$A$13:$E$74,2,0)&amp;""</f>
        <v>Are you generally able to accommodate storing each institution's data within its geographic region?</v>
      </c>
      <c r="C188" s="45" t="str">
        <f>VLOOKUP($A188,Infrastructure!$A$13:$E$74,3,0)&amp;""</f>
        <v>Yes</v>
      </c>
      <c r="D188" s="34" t="str">
        <f>IF(LEFT(VLOOKUP($A188,Infrastructure!$A$13:$E$74,5,0),21)='Auto Responses'!$A$32,'Auto Responses'!$A$33,VLOOKUP($A188,Infrastructure!$A$13:$E$74,4,0))&amp;""</f>
        <v>Accredible can generally accommodate storing institution data within its geographic region. EU and US data regions are available. Data is contained to the selected region under Accredible's data residency tenancy model.</v>
      </c>
      <c r="E188" s="288" t="str">
        <f>VLOOKUP($A188,Infrastructure!$A$13:$E$74,5,0)&amp;""</f>
        <v>Please indicate which geographic regions you can provide storage in the Additional Info column.</v>
      </c>
      <c r="F188" s="186"/>
      <c r="G188" s="30" t="str">
        <f>VLOOKUP($A188,Questions!$A$2:$X$333,21,0)&amp;""</f>
        <v>Yes</v>
      </c>
      <c r="H188" s="176"/>
      <c r="I188" s="45" t="str">
        <f>VLOOKUP($A188,Questions!$A$2:$X$333,23,0)&amp;""</f>
        <v>Standard Importance</v>
      </c>
      <c r="J188" s="176"/>
      <c r="K188" s="48" t="b">
        <v>0</v>
      </c>
      <c r="L188" s="1"/>
    </row>
    <row r="189" spans="1:12" s="29" customFormat="1" ht="28.5" customHeight="1" x14ac:dyDescent="0.15">
      <c r="A189" s="19" t="str">
        <f>Infrastructure!$A$38</f>
        <v>DCTR-04</v>
      </c>
      <c r="B189" s="20" t="str">
        <f>VLOOKUP($A189,Infrastructure!$A$13:$E$74,2,0)&amp;""</f>
        <v>Are the data centers staffed 24 hours a day, seven days a week (i.e., 24 x 7 x 365)?</v>
      </c>
      <c r="C189" s="45" t="str">
        <f>VLOOKUP($A189,Infrastructure!$A$13:$E$74,3,0)&amp;""</f>
        <v>Yes</v>
      </c>
      <c r="D189" s="34" t="str">
        <f>IF(LEFT(VLOOKUP($A189,Infrastructure!$A$13:$E$74,5,0),21)='Auto Responses'!$A$32,'Auto Responses'!$A$33,VLOOKUP($A189,Infrastructure!$A$13:$E$74,4,0))&amp;""</f>
        <v>This question does not apply.</v>
      </c>
      <c r="E189" s="288" t="str">
        <f>VLOOKUP($A189,Infrastructure!$A$13:$E$74,5,0)&amp;""</f>
        <v>Based on the response to DCTR-01, this question does not apply to this product or service.</v>
      </c>
      <c r="F189" s="186"/>
      <c r="G189" s="30" t="str">
        <f>VLOOKUP($A189,Questions!$A$2:$X$333,21,0)&amp;""</f>
        <v>Yes</v>
      </c>
      <c r="H189" s="176"/>
      <c r="I189" s="45" t="str">
        <f>VLOOKUP($A189,Questions!$A$2:$X$333,23,0)&amp;""</f>
        <v>Standard Importance</v>
      </c>
      <c r="J189" s="176"/>
      <c r="K189" s="48" t="b">
        <v>0</v>
      </c>
      <c r="L189" s="1"/>
    </row>
    <row r="190" spans="1:12" s="29" customFormat="1" ht="28.5" customHeight="1" x14ac:dyDescent="0.15">
      <c r="A190" s="19" t="str">
        <f>Infrastructure!$A$39</f>
        <v>DCTR-05</v>
      </c>
      <c r="B190" s="20" t="str">
        <f>VLOOKUP($A190,Infrastructure!$A$13:$E$74,2,0)&amp;""</f>
        <v>Are your servers separated from other companies via a physical barrier, such as a cage or hard walls?</v>
      </c>
      <c r="C190" s="45" t="str">
        <f>VLOOKUP($A190,Infrastructure!$A$13:$E$74,3,0)&amp;""</f>
        <v>N/A</v>
      </c>
      <c r="D190" s="34" t="str">
        <f>IF(LEFT(VLOOKUP($A190,Infrastructure!$A$13:$E$74,5,0),21)='Auto Responses'!$A$32,'Auto Responses'!$A$33,VLOOKUP($A190,Infrastructure!$A$13:$E$74,4,0))&amp;""</f>
        <v>This question does not apply.</v>
      </c>
      <c r="E190" s="288" t="str">
        <f>VLOOKUP($A190,Infrastructure!$A$13:$E$74,5,0)&amp;""</f>
        <v>Based on the response to DCTR-01, this question does not apply to this product or service.</v>
      </c>
      <c r="F190" s="186"/>
      <c r="G190" s="30" t="str">
        <f>VLOOKUP($A190,Questions!$A$2:$X$333,21,0)&amp;""</f>
        <v>Yes</v>
      </c>
      <c r="H190" s="176"/>
      <c r="I190" s="45" t="str">
        <f>VLOOKUP($A190,Questions!$A$2:$X$333,23,0)&amp;""</f>
        <v>Standard Importance</v>
      </c>
      <c r="J190" s="176"/>
      <c r="K190" s="48" t="b">
        <v>0</v>
      </c>
      <c r="L190" s="1"/>
    </row>
    <row r="191" spans="1:12" s="29" customFormat="1" ht="28.5" customHeight="1" x14ac:dyDescent="0.15">
      <c r="A191" s="19" t="str">
        <f>Infrastructure!$A$40</f>
        <v>DCTR-06</v>
      </c>
      <c r="B191" s="20" t="str">
        <f>VLOOKUP($A191,Infrastructure!$A$13:$E$74,2,0)&amp;""</f>
        <v>Does a physical barrier fully enclose the physical space, preventing unauthorized physical contact with any of your devices?*</v>
      </c>
      <c r="C191" s="45" t="str">
        <f>VLOOKUP($A191,Infrastructure!$A$13:$E$74,3,0)&amp;""</f>
        <v>N/A</v>
      </c>
      <c r="D191" s="34" t="str">
        <f>IF(LEFT(VLOOKUP($A191,Infrastructure!$A$13:$E$74,5,0),21)='Auto Responses'!$A$32,'Auto Responses'!$A$33,VLOOKUP($A191,Infrastructure!$A$13:$E$74,4,0))&amp;""</f>
        <v>This question does not apply.</v>
      </c>
      <c r="E191" s="288" t="str">
        <f>VLOOKUP($A191,Infrastructure!$A$13:$E$74,5,0)&amp;""</f>
        <v>Based on the response to DCTR-01, this question does not apply to this product or service.</v>
      </c>
      <c r="F191" s="186"/>
      <c r="G191" s="30" t="str">
        <f>VLOOKUP($A191,Questions!$A$2:$X$333,21,0)&amp;""</f>
        <v>Yes</v>
      </c>
      <c r="H191" s="176"/>
      <c r="I191" s="45" t="str">
        <f>VLOOKUP($A191,Questions!$A$2:$X$333,23,0)&amp;""</f>
        <v>Critical Importance</v>
      </c>
      <c r="J191" s="176"/>
      <c r="K191" s="48" t="b">
        <v>0</v>
      </c>
      <c r="L191" s="1"/>
    </row>
    <row r="192" spans="1:12" s="29" customFormat="1" ht="15" customHeight="1" x14ac:dyDescent="0.15">
      <c r="A192" s="19" t="str">
        <f>Infrastructure!$A$41</f>
        <v>DCTR-07</v>
      </c>
      <c r="B192" s="20" t="str">
        <f>VLOOKUP($A192,Infrastructure!$A$13:$E$74,2,0)&amp;""</f>
        <v>Are your primary and secondary data centers geographically diverse?</v>
      </c>
      <c r="C192" s="45" t="str">
        <f>VLOOKUP($A192,Infrastructure!$A$13:$E$74,3,0)&amp;""</f>
        <v>Yes</v>
      </c>
      <c r="D192" s="34" t="str">
        <f>IF(LEFT(VLOOKUP($A192,Infrastructure!$A$13:$E$74,5,0),21)='Auto Responses'!$A$32,'Auto Responses'!$A$33,VLOOKUP($A192,Infrastructure!$A$13:$E$74,4,0))&amp;""</f>
        <v>Accredible uses AWS across multiple geographically diverse regions. Primary and secondary data centers (AWS regions) are geographically separate.</v>
      </c>
      <c r="E192" s="288" t="str">
        <f>VLOOKUP($A192,Infrastructure!$A$13:$E$74,5,0)&amp;""</f>
        <v>State your primary and secondary data center locations. For cloud infrastructures, state the primary and secondary zones.</v>
      </c>
      <c r="F192" s="186"/>
      <c r="G192" s="30" t="str">
        <f>VLOOKUP($A192,Questions!$A$2:$X$333,21,0)&amp;""</f>
        <v>Yes</v>
      </c>
      <c r="H192" s="176"/>
      <c r="I192" s="45" t="str">
        <f>VLOOKUP($A192,Questions!$A$2:$X$333,23,0)&amp;""</f>
        <v>Standard Importance</v>
      </c>
      <c r="J192" s="176"/>
      <c r="K192" s="48" t="b">
        <v>0</v>
      </c>
      <c r="L192" s="1"/>
    </row>
    <row r="193" spans="1:12" s="29" customFormat="1" ht="15" customHeight="1" x14ac:dyDescent="0.15">
      <c r="A193" s="19" t="str">
        <f>Infrastructure!$A$42</f>
        <v>DCTR-08</v>
      </c>
      <c r="B193" s="20" t="str">
        <f>VLOOKUP($A193,Infrastructure!$A$13:$E$74,2,0)&amp;""</f>
        <v>Is the service hosted in a high-availability environment?</v>
      </c>
      <c r="C193" s="45" t="str">
        <f>VLOOKUP($A193,Infrastructure!$A$13:$E$74,3,0)&amp;""</f>
        <v>Yes</v>
      </c>
      <c r="D193" s="34" t="str">
        <f>IF(LEFT(VLOOKUP($A193,Infrastructure!$A$13:$E$74,5,0),21)='Auto Responses'!$A$32,'Auto Responses'!$A$33,VLOOKUP($A193,Infrastructure!$A$13:$E$74,4,0))&amp;""</f>
        <v>Accredible is hosted in a high-availability AWS environment using horizontal scaling and infrastructure redundancy to handle concurrent traffic from multiple clients.</v>
      </c>
      <c r="E193" s="288" t="str">
        <f>VLOOKUP($A193,Infrastructure!$A$13:$E$74,5,0)&amp;""</f>
        <v>Provide a summary to support your response selection.</v>
      </c>
      <c r="F193" s="186"/>
      <c r="G193" s="30" t="str">
        <f>VLOOKUP($A193,Questions!$A$2:$X$333,21,0)&amp;""</f>
        <v>Yes</v>
      </c>
      <c r="H193" s="176"/>
      <c r="I193" s="45" t="str">
        <f>VLOOKUP($A193,Questions!$A$2:$X$333,23,0)&amp;""</f>
        <v>Standard Importance</v>
      </c>
      <c r="J193" s="176"/>
      <c r="K193" s="48" t="b">
        <v>0</v>
      </c>
      <c r="L193" s="1"/>
    </row>
    <row r="194" spans="1:12" s="29" customFormat="1" ht="28.5" customHeight="1" x14ac:dyDescent="0.15">
      <c r="A194" s="19" t="str">
        <f>Infrastructure!$A$43</f>
        <v>DCTR-09</v>
      </c>
      <c r="B194" s="20" t="str">
        <f>VLOOKUP($A194,Infrastructure!$A$13:$E$74,2,0)&amp;""</f>
        <v>Is redundant power available for all data centers where institutional data will reside?</v>
      </c>
      <c r="C194" s="45" t="str">
        <f>VLOOKUP($A194,Infrastructure!$A$13:$E$74,3,0)&amp;""</f>
        <v>Yes</v>
      </c>
      <c r="D194" s="34" t="str">
        <f>IF(LEFT(VLOOKUP($A194,Infrastructure!$A$13:$E$74,5,0),21)='Auto Responses'!$A$32,'Auto Responses'!$A$33,VLOOKUP($A194,Infrastructure!$A$13:$E$74,4,0))&amp;""</f>
        <v>This question does not apply.</v>
      </c>
      <c r="E194" s="288" t="str">
        <f>VLOOKUP($A194,Infrastructure!$A$13:$E$74,5,0)&amp;""</f>
        <v>Based on the response to DCTR-01, this question does not apply to this product or service.</v>
      </c>
      <c r="F194" s="186"/>
      <c r="G194" s="30" t="str">
        <f>VLOOKUP($A194,Questions!$A$2:$X$333,21,0)&amp;""</f>
        <v>Yes</v>
      </c>
      <c r="H194" s="176"/>
      <c r="I194" s="45" t="str">
        <f>VLOOKUP($A194,Questions!$A$2:$X$333,23,0)&amp;""</f>
        <v>Standard Importance</v>
      </c>
      <c r="J194" s="176"/>
      <c r="K194" s="48" t="b">
        <v>0</v>
      </c>
      <c r="L194" s="1"/>
    </row>
    <row r="195" spans="1:12" s="29" customFormat="1" ht="15" customHeight="1" x14ac:dyDescent="0.15">
      <c r="A195" s="19" t="str">
        <f>Infrastructure!$A$44</f>
        <v>DCTR-10</v>
      </c>
      <c r="B195" s="20" t="str">
        <f>VLOOKUP($A195,Infrastructure!$A$13:$E$74,2,0)&amp;""</f>
        <v>Are redundant power strategies tested?*</v>
      </c>
      <c r="C195" s="45" t="str">
        <f>VLOOKUP($A195,Infrastructure!$A$13:$E$74,3,0)&amp;""</f>
        <v>N/A</v>
      </c>
      <c r="D195" s="34" t="str">
        <f>IF(LEFT(VLOOKUP($A195,Infrastructure!$A$13:$E$74,5,0),21)='Auto Responses'!$A$32,'Auto Responses'!$A$33,VLOOKUP($A195,Infrastructure!$A$13:$E$74,4,0))&amp;""</f>
        <v>This question does not apply.</v>
      </c>
      <c r="E195" s="288" t="str">
        <f>VLOOKUP($A195,Infrastructure!$A$13:$E$74,5,0)&amp;""</f>
        <v>Based on the response to DCTR-01, this question does not apply to this product or service.</v>
      </c>
      <c r="F195" s="186"/>
      <c r="G195" s="30" t="str">
        <f>VLOOKUP($A195,Questions!$A$2:$X$333,21,0)&amp;""</f>
        <v>Yes</v>
      </c>
      <c r="H195" s="176"/>
      <c r="I195" s="45" t="str">
        <f>VLOOKUP($A195,Questions!$A$2:$X$333,23,0)&amp;""</f>
        <v>Critical Importance</v>
      </c>
      <c r="J195" s="176"/>
      <c r="K195" s="48" t="b">
        <v>0</v>
      </c>
      <c r="L195" s="1"/>
    </row>
    <row r="196" spans="1:12" s="29" customFormat="1" ht="28.5" customHeight="1" x14ac:dyDescent="0.15">
      <c r="A196" s="19" t="str">
        <f>Infrastructure!$A$45</f>
        <v>DCTR-11</v>
      </c>
      <c r="B196" s="20" t="str">
        <f>VLOOKUP($A196,Infrastructure!$A$13:$E$74,2,0)&amp;""</f>
        <v>Does the center where the data will reside have cooling and fire-suppression systems that are active and regularly tested?</v>
      </c>
      <c r="C196" s="45" t="str">
        <f>VLOOKUP($A196,Infrastructure!$A$13:$E$74,3,0)&amp;""</f>
        <v>Yes</v>
      </c>
      <c r="D196" s="34" t="str">
        <f>IF(LEFT(VLOOKUP($A196,Infrastructure!$A$13:$E$74,5,0),21)='Auto Responses'!$A$32,'Auto Responses'!$A$33,VLOOKUP($A196,Infrastructure!$A$13:$E$74,4,0))&amp;""</f>
        <v>This question does not apply.</v>
      </c>
      <c r="E196" s="288" t="str">
        <f>VLOOKUP($A196,Infrastructure!$A$13:$E$74,5,0)&amp;""</f>
        <v>Based on the response to DCTR-01, this question does not apply to this product or service.</v>
      </c>
      <c r="F196" s="186"/>
      <c r="G196" s="30" t="str">
        <f>VLOOKUP($A196,Questions!$A$2:$X$333,21,0)&amp;""</f>
        <v>Yes</v>
      </c>
      <c r="H196" s="176"/>
      <c r="I196" s="45" t="str">
        <f>VLOOKUP($A196,Questions!$A$2:$X$333,23,0)&amp;""</f>
        <v>Standard Importance</v>
      </c>
      <c r="J196" s="176"/>
      <c r="K196" s="48" t="b">
        <v>0</v>
      </c>
      <c r="L196" s="1"/>
    </row>
    <row r="197" spans="1:12" s="29" customFormat="1" ht="15" customHeight="1" x14ac:dyDescent="0.15">
      <c r="A197" s="19" t="str">
        <f>Infrastructure!$A$46</f>
        <v>DCTR-12</v>
      </c>
      <c r="B197" s="20" t="str">
        <f>VLOOKUP($A197,Infrastructure!$A$13:$E$74,2,0)&amp;""</f>
        <v>Do you have Internet Service Provider (ISP) redundancy?</v>
      </c>
      <c r="C197" s="45" t="str">
        <f>VLOOKUP($A197,Infrastructure!$A$13:$E$74,3,0)&amp;""</f>
        <v>Yes</v>
      </c>
      <c r="D197" s="34" t="str">
        <f>IF(LEFT(VLOOKUP($A197,Infrastructure!$A$13:$E$74,5,0),21)='Auto Responses'!$A$32,'Auto Responses'!$A$33,VLOOKUP($A197,Infrastructure!$A$13:$E$74,4,0))&amp;""</f>
        <v>This question does not apply.</v>
      </c>
      <c r="E197" s="288" t="str">
        <f>VLOOKUP($A197,Infrastructure!$A$13:$E$74,5,0)&amp;""</f>
        <v>Based on the response to DCTR-01, this question does not apply to this product or service.</v>
      </c>
      <c r="F197" s="186"/>
      <c r="G197" s="30" t="str">
        <f>VLOOKUP($A197,Questions!$A$2:$X$333,21,0)&amp;""</f>
        <v>Yes</v>
      </c>
      <c r="H197" s="176"/>
      <c r="I197" s="45" t="str">
        <f>VLOOKUP($A197,Questions!$A$2:$X$333,23,0)&amp;""</f>
        <v>Standard Importance</v>
      </c>
      <c r="J197" s="176"/>
      <c r="K197" s="48" t="b">
        <v>0</v>
      </c>
      <c r="L197" s="1"/>
    </row>
    <row r="198" spans="1:12" s="29" customFormat="1" ht="28.5" customHeight="1" x14ac:dyDescent="0.15">
      <c r="A198" s="19" t="str">
        <f>Infrastructure!$A$47</f>
        <v>DCTR-13</v>
      </c>
      <c r="B198" s="20" t="str">
        <f>VLOOKUP($A198,Infrastructure!$A$13:$E$74,2,0)&amp;""</f>
        <v>Does every data center where the institution's data will reside have multiple telephone company or network provider entrances to the facility?</v>
      </c>
      <c r="C198" s="45" t="str">
        <f>VLOOKUP($A198,Infrastructure!$A$13:$E$74,3,0)&amp;""</f>
        <v>N/A</v>
      </c>
      <c r="D198" s="34" t="str">
        <f>IF(LEFT(VLOOKUP($A198,Infrastructure!$A$13:$E$74,5,0),21)='Auto Responses'!$A$32,'Auto Responses'!$A$33,VLOOKUP($A198,Infrastructure!$A$13:$E$74,4,0))&amp;""</f>
        <v>This question does not apply.</v>
      </c>
      <c r="E198" s="288" t="str">
        <f>VLOOKUP($A198,Infrastructure!$A$13:$E$74,5,0)&amp;""</f>
        <v>Based on the response to DCTR-01, this question does not apply to this product or service.</v>
      </c>
      <c r="F198" s="186"/>
      <c r="G198" s="30" t="str">
        <f>VLOOKUP($A198,Questions!$A$2:$X$333,21,0)&amp;""</f>
        <v>Yes</v>
      </c>
      <c r="H198" s="176"/>
      <c r="I198" s="45" t="str">
        <f>VLOOKUP($A198,Questions!$A$2:$X$333,23,0)&amp;""</f>
        <v>Standard Importance</v>
      </c>
      <c r="J198" s="176"/>
      <c r="K198" s="48" t="b">
        <v>0</v>
      </c>
      <c r="L198" s="1"/>
    </row>
    <row r="199" spans="1:12" s="29" customFormat="1" ht="28.5" customHeight="1" x14ac:dyDescent="0.15">
      <c r="A199" s="19" t="str">
        <f>Infrastructure!$A$48</f>
        <v>DCTR-14</v>
      </c>
      <c r="B199" s="20" t="str">
        <f>VLOOKUP($A199,Infrastructure!$A$13:$E$74,2,0)&amp;""</f>
        <v>Do you require multifactor authentication for all administrative accounts in your environment?</v>
      </c>
      <c r="C199" s="45" t="str">
        <f>VLOOKUP($A199,Infrastructure!$A$13:$E$74,3,0)&amp;""</f>
        <v>Yes</v>
      </c>
      <c r="D199" s="34" t="str">
        <f>IF(LEFT(VLOOKUP($A199,Infrastructure!$A$13:$E$74,5,0),21)='Auto Responses'!$A$32,'Auto Responses'!$A$33,VLOOKUP($A199,Infrastructure!$A$13:$E$74,4,0))&amp;""</f>
        <v>Accredible requires multifactor authentication (MFA) for all administrative accounts in its environment. Authentication uses individually assigned credentials.</v>
      </c>
      <c r="E199" s="288" t="str">
        <f>VLOOKUP($A199,Infrastructure!$A$13:$E$74,5,0)&amp;""</f>
        <v>State which model of MFA you are using.</v>
      </c>
      <c r="F199" s="186"/>
      <c r="G199" s="30" t="str">
        <f>VLOOKUP($A199,Questions!$A$2:$X$333,21,0)&amp;""</f>
        <v>Yes</v>
      </c>
      <c r="H199" s="176"/>
      <c r="I199" s="45" t="str">
        <f>VLOOKUP($A199,Questions!$A$2:$X$333,23,0)&amp;""</f>
        <v>Standard Importance</v>
      </c>
      <c r="J199" s="176"/>
      <c r="K199" s="48" t="b">
        <v>0</v>
      </c>
      <c r="L199" s="1"/>
    </row>
    <row r="200" spans="1:12" s="29" customFormat="1" ht="28.5" customHeight="1" x14ac:dyDescent="0.15">
      <c r="A200" s="19" t="str">
        <f>Infrastructure!$A$49</f>
        <v>DCTR-15</v>
      </c>
      <c r="B200" s="20" t="str">
        <f>VLOOKUP($A200,Infrastructure!$A$13:$E$74,2,0)&amp;""</f>
        <v>Are you using your cloud provider's available hardening tools or pre-hardened images?</v>
      </c>
      <c r="C200" s="45" t="str">
        <f>VLOOKUP($A200,Infrastructure!$A$13:$E$74,3,0)&amp;""</f>
        <v>Yes</v>
      </c>
      <c r="D200" s="34" t="str">
        <f>IF(LEFT(VLOOKUP($A200,Infrastructure!$A$13:$E$74,5,0),21)='Auto Responses'!$A$32,'Auto Responses'!$A$33,VLOOKUP($A200,Infrastructure!$A$13:$E$74,4,0))&amp;""</f>
        <v>Accredible uses AWS-available hardening tools and Vanta for continuous compliance monitoring and hardening of cloud resources.</v>
      </c>
      <c r="E200" s="288" t="str">
        <f>VLOOKUP($A200,Infrastructure!$A$13:$E$74,5,0)&amp;""</f>
        <v/>
      </c>
      <c r="F200" s="186"/>
      <c r="G200" s="30" t="str">
        <f>VLOOKUP($A200,Questions!$A$2:$X$333,21,0)&amp;""</f>
        <v>Yes</v>
      </c>
      <c r="H200" s="176"/>
      <c r="I200" s="45" t="str">
        <f>VLOOKUP($A200,Questions!$A$2:$X$333,23,0)&amp;""</f>
        <v>Standard Importance</v>
      </c>
      <c r="J200" s="176"/>
      <c r="K200" s="48" t="b">
        <v>0</v>
      </c>
      <c r="L200" s="1"/>
    </row>
    <row r="201" spans="1:12" s="29" customFormat="1" ht="15" customHeight="1" x14ac:dyDescent="0.15">
      <c r="A201" s="19" t="str">
        <f>Infrastructure!$A$50</f>
        <v>DCTR-16</v>
      </c>
      <c r="B201" s="20" t="str">
        <f>VLOOKUP($A201,Infrastructure!$A$13:$E$74,2,0)&amp;""</f>
        <v>Does your cloud solution provider have access to your encryption keys?</v>
      </c>
      <c r="C201" s="45" t="str">
        <f>VLOOKUP($A201,Infrastructure!$A$13:$E$74,3,0)&amp;""</f>
        <v>No</v>
      </c>
      <c r="D201" s="34" t="str">
        <f>IF(LEFT(VLOOKUP($A201,Infrastructure!$A$13:$E$74,5,0),21)='Auto Responses'!$A$32,'Auto Responses'!$A$33,VLOOKUP($A201,Infrastructure!$A$13:$E$74,4,0))&amp;""</f>
        <v>Accredible manages its own encryption keys using AWS KMS. The cloud provider does not have access to Accredible's encryption keys.</v>
      </c>
      <c r="E201" s="288" t="str">
        <f>VLOOKUP($A201,Infrastructure!$A$13:$E$74,5,0)&amp;""</f>
        <v>Describe your key management practices.</v>
      </c>
      <c r="F201" s="186"/>
      <c r="G201" s="30" t="str">
        <f>VLOOKUP($A201,Questions!$A$2:$X$333,21,0)&amp;""</f>
        <v>No</v>
      </c>
      <c r="H201" s="176"/>
      <c r="I201" s="45" t="str">
        <f>VLOOKUP($A201,Questions!$A$2:$X$333,23,0)&amp;""</f>
        <v>Standard Importance</v>
      </c>
      <c r="J201" s="176"/>
      <c r="K201" s="48" t="b">
        <v>0</v>
      </c>
      <c r="L201" s="1"/>
    </row>
    <row r="202" spans="1:12" s="1" customFormat="1" ht="18" customHeight="1" x14ac:dyDescent="0.15">
      <c r="A202" s="61" t="str">
        <f>VLOOKUP(LEFT($A203,4),'Auto Responses'!$N$4:$O$38,2,0)&amp;""</f>
        <v xml:space="preserve"> Firewalls, IDS, IPS, and Networking</v>
      </c>
      <c r="B202" s="22"/>
      <c r="C202" s="31"/>
      <c r="D202" s="31"/>
      <c r="E202" s="289"/>
      <c r="F202" s="125" t="s">
        <v>652</v>
      </c>
      <c r="G202" s="293" t="s">
        <v>647</v>
      </c>
      <c r="H202" s="293" t="s">
        <v>648</v>
      </c>
      <c r="I202" s="293" t="s">
        <v>649</v>
      </c>
      <c r="J202" s="293" t="s">
        <v>650</v>
      </c>
      <c r="K202" s="293" t="s">
        <v>651</v>
      </c>
    </row>
    <row r="203" spans="1:12" s="29" customFormat="1" ht="15" customHeight="1" x14ac:dyDescent="0.15">
      <c r="A203" s="19" t="str">
        <f>Infrastructure!$A$52</f>
        <v>FIDP-01</v>
      </c>
      <c r="B203" s="20" t="str">
        <f>VLOOKUP($A203,Infrastructure!$A$13:$E$74,2,0)&amp;""</f>
        <v>Are you utilizing a stateful packet inspection (SPI) firewall?*</v>
      </c>
      <c r="C203" s="45" t="str">
        <f>VLOOKUP($A203,Infrastructure!$A$13:$E$74,3,0)&amp;""</f>
        <v>Yes</v>
      </c>
      <c r="D203" s="34" t="str">
        <f>IF(LEFT(VLOOKUP($A203,Infrastructure!$A$13:$E$74,5,0),21)='Auto Responses'!$A$32,'Auto Responses'!$A$33,VLOOKUP($A203,Infrastructure!$A$13:$E$74,4,0))&amp;""</f>
        <v>Accredible uses stateful packet inspection firewalls as part of its AWS security infrastructure.</v>
      </c>
      <c r="E203" s="288" t="str">
        <f>VLOOKUP($A203,Infrastructure!$A$13:$E$74,5,0)&amp;""</f>
        <v>Describe the currently implemented SPI firewall.</v>
      </c>
      <c r="F203" s="186"/>
      <c r="G203" s="30" t="str">
        <f>VLOOKUP($A203,Questions!$A$2:$X$333,21,0)&amp;""</f>
        <v>Yes</v>
      </c>
      <c r="H203" s="176"/>
      <c r="I203" s="45" t="str">
        <f>VLOOKUP($A203,Questions!$A$2:$X$333,23,0)&amp;""</f>
        <v>Critical Importance</v>
      </c>
      <c r="J203" s="176"/>
      <c r="K203" s="48" t="b">
        <v>0</v>
      </c>
      <c r="L203" s="1"/>
    </row>
    <row r="204" spans="1:12" s="29" customFormat="1" ht="15" customHeight="1" x14ac:dyDescent="0.15">
      <c r="A204" s="19" t="str">
        <f>Infrastructure!$A$53</f>
        <v>FIDP-02</v>
      </c>
      <c r="B204" s="20" t="str">
        <f>VLOOKUP($A204,Infrastructure!$A$13:$E$74,2,0)&amp;""</f>
        <v>Do you have a documented policy for firewall change requests?*</v>
      </c>
      <c r="C204" s="45" t="str">
        <f>VLOOKUP($A204,Infrastructure!$A$13:$E$74,3,0)&amp;""</f>
        <v>Yes</v>
      </c>
      <c r="D204" s="34" t="str">
        <f>IF(LEFT(VLOOKUP($A204,Infrastructure!$A$13:$E$74,5,0),21)='Auto Responses'!$A$32,'Auto Responses'!$A$33,VLOOKUP($A204,Infrastructure!$A$13:$E$74,4,0))&amp;""</f>
        <v>Accredible has a documented policy for firewall change requests. Changes require peer review and use infrastructure as code where applicable.</v>
      </c>
      <c r="E204" s="288" t="str">
        <f>VLOOKUP($A204,Infrastructure!$A$13:$E$74,5,0)&amp;""</f>
        <v>Describe your documented firewall change request policy.</v>
      </c>
      <c r="F204" s="186"/>
      <c r="G204" s="30" t="str">
        <f>VLOOKUP($A204,Questions!$A$2:$X$333,21,0)&amp;""</f>
        <v>Yes</v>
      </c>
      <c r="H204" s="176"/>
      <c r="I204" s="45" t="str">
        <f>VLOOKUP($A204,Questions!$A$2:$X$333,23,0)&amp;""</f>
        <v>Critical Importance</v>
      </c>
      <c r="J204" s="176"/>
      <c r="K204" s="48" t="b">
        <v>0</v>
      </c>
      <c r="L204" s="1"/>
    </row>
    <row r="205" spans="1:12" s="29" customFormat="1" ht="15" customHeight="1" x14ac:dyDescent="0.15">
      <c r="A205" s="19" t="str">
        <f>Infrastructure!$A$54</f>
        <v>FIDP-03</v>
      </c>
      <c r="B205" s="20" t="str">
        <f>VLOOKUP($A205,Infrastructure!$A$13:$E$74,2,0)&amp;""</f>
        <v>Have you implemented an intrusion detection system (network-based)?*</v>
      </c>
      <c r="C205" s="45" t="str">
        <f>VLOOKUP($A205,Infrastructure!$A$13:$E$74,3,0)&amp;""</f>
        <v>Yes</v>
      </c>
      <c r="D205" s="34" t="str">
        <f>IF(LEFT(VLOOKUP($A205,Infrastructure!$A$13:$E$74,5,0),21)='Auto Responses'!$A$32,'Auto Responses'!$A$33,VLOOKUP($A205,Infrastructure!$A$13:$E$74,4,0))&amp;""</f>
        <v>Accredible uses AWS GuardDuty for network-based intrusion detection.</v>
      </c>
      <c r="E205" s="288" t="str">
        <f>VLOOKUP($A205,Infrastructure!$A$13:$E$74,5,0)&amp;""</f>
        <v>Describe the currently implemented IDS.</v>
      </c>
      <c r="F205" s="186"/>
      <c r="G205" s="30" t="str">
        <f>VLOOKUP($A205,Questions!$A$2:$X$333,21,0)&amp;""</f>
        <v>Yes</v>
      </c>
      <c r="H205" s="176"/>
      <c r="I205" s="45" t="str">
        <f>VLOOKUP($A205,Questions!$A$2:$X$333,23,0)&amp;""</f>
        <v>Critical Importance</v>
      </c>
      <c r="J205" s="176"/>
      <c r="K205" s="48" t="b">
        <v>0</v>
      </c>
      <c r="L205" s="1"/>
    </row>
    <row r="206" spans="1:12" s="29" customFormat="1" ht="15" customHeight="1" x14ac:dyDescent="0.15">
      <c r="A206" s="19" t="str">
        <f>Infrastructure!$A$55</f>
        <v>FIDP-04</v>
      </c>
      <c r="B206" s="20" t="str">
        <f>VLOOKUP($A206,Infrastructure!$A$13:$E$74,2,0)&amp;""</f>
        <v>Do you employ host-based intrusion detection?*</v>
      </c>
      <c r="C206" s="45" t="str">
        <f>VLOOKUP($A206,Infrastructure!$A$13:$E$74,3,0)&amp;""</f>
        <v>Yes</v>
      </c>
      <c r="D206" s="34" t="str">
        <f>IF(LEFT(VLOOKUP($A206,Infrastructure!$A$13:$E$74,5,0),21)='Auto Responses'!$A$32,'Auto Responses'!$A$33,VLOOKUP($A206,Infrastructure!$A$13:$E$74,4,0))&amp;""</f>
        <v>Accredible employs host-based intrusion detection via continuous monitoring through Vanta and AWS GuardDuty.</v>
      </c>
      <c r="E206" s="288" t="str">
        <f>VLOOKUP($A206,Infrastructure!$A$13:$E$74,5,0)&amp;""</f>
        <v>Describe the currently implemented host-based IDS solution(s).</v>
      </c>
      <c r="F206" s="186"/>
      <c r="G206" s="30" t="str">
        <f>VLOOKUP($A206,Questions!$A$2:$X$333,21,0)&amp;""</f>
        <v>Yes</v>
      </c>
      <c r="H206" s="176"/>
      <c r="I206" s="45" t="str">
        <f>VLOOKUP($A206,Questions!$A$2:$X$333,23,0)&amp;""</f>
        <v>Critical Importance</v>
      </c>
      <c r="J206" s="176"/>
      <c r="K206" s="48" t="b">
        <v>0</v>
      </c>
      <c r="L206" s="1"/>
    </row>
    <row r="207" spans="1:12" s="29" customFormat="1" ht="28.5" customHeight="1" x14ac:dyDescent="0.15">
      <c r="A207" s="19" t="str">
        <f>Infrastructure!$A$56</f>
        <v>FIDP-05</v>
      </c>
      <c r="B207" s="20" t="str">
        <f>VLOOKUP($A207,Infrastructure!$A$13:$E$74,2,0)&amp;""</f>
        <v>Are audit logs available for all changes to the network, firewall, IDS, and IPS systems?*</v>
      </c>
      <c r="C207" s="45" t="str">
        <f>VLOOKUP($A207,Infrastructure!$A$13:$E$74,3,0)&amp;""</f>
        <v>Yes</v>
      </c>
      <c r="D207" s="34" t="str">
        <f>IF(LEFT(VLOOKUP($A207,Infrastructure!$A$13:$E$74,5,0),21)='Auto Responses'!$A$32,'Auto Responses'!$A$33,VLOOKUP($A207,Infrastructure!$A$13:$E$74,4,0))&amp;""</f>
        <v>Audit logs are available for all changes to the network, firewall, IDS, and IPS systems.</v>
      </c>
      <c r="E207" s="288" t="str">
        <f>VLOOKUP($A207,Infrastructure!$A$13:$E$74,5,0)&amp;""</f>
        <v>Describe your current network systems logging strategy.</v>
      </c>
      <c r="F207" s="186"/>
      <c r="G207" s="30" t="str">
        <f>VLOOKUP($A207,Questions!$A$2:$X$333,21,0)&amp;""</f>
        <v>Yes</v>
      </c>
      <c r="H207" s="176"/>
      <c r="I207" s="45" t="str">
        <f>VLOOKUP($A207,Questions!$A$2:$X$333,23,0)&amp;""</f>
        <v>Critical Importance</v>
      </c>
      <c r="J207" s="176"/>
      <c r="K207" s="48" t="b">
        <v>0</v>
      </c>
      <c r="L207" s="1"/>
    </row>
    <row r="208" spans="1:12" s="29" customFormat="1" ht="28.5" customHeight="1" x14ac:dyDescent="0.15">
      <c r="A208" s="19" t="str">
        <f>Infrastructure!$A$57</f>
        <v>FIDP-06</v>
      </c>
      <c r="B208" s="20" t="str">
        <f>VLOOKUP($A208,Infrastructure!$A$13:$E$74,2,0)&amp;""</f>
        <v>Is authority for firewall change approval documented? Please list approver names or titles in Additional Info.</v>
      </c>
      <c r="C208" s="45" t="str">
        <f>VLOOKUP($A208,Infrastructure!$A$13:$E$74,3,0)&amp;""</f>
        <v>Yes</v>
      </c>
      <c r="D208" s="34" t="str">
        <f>IF(LEFT(VLOOKUP($A208,Infrastructure!$A$13:$E$74,5,0),21)='Auto Responses'!$A$32,'Auto Responses'!$A$33,VLOOKUP($A208,Infrastructure!$A$13:$E$74,4,0))&amp;""</f>
        <v>Authority for firewall change approval is documented. The CTO and IT Manager are responsible for approving significant network configuration changes.</v>
      </c>
      <c r="E208" s="288" t="str">
        <f>VLOOKUP($A208,Infrastructure!$A$13:$E$74,5,0)&amp;""</f>
        <v>List approver names or titles.</v>
      </c>
      <c r="F208" s="186"/>
      <c r="G208" s="30" t="str">
        <f>VLOOKUP($A208,Questions!$A$2:$X$333,21,0)&amp;""</f>
        <v>Yes</v>
      </c>
      <c r="H208" s="176"/>
      <c r="I208" s="45" t="str">
        <f>VLOOKUP($A208,Questions!$A$2:$X$333,23,0)&amp;""</f>
        <v>Standard Importance</v>
      </c>
      <c r="J208" s="176"/>
      <c r="K208" s="48" t="b">
        <v>0</v>
      </c>
      <c r="L208" s="1"/>
    </row>
    <row r="209" spans="1:12" s="29" customFormat="1" ht="15" customHeight="1" x14ac:dyDescent="0.15">
      <c r="A209" s="19" t="str">
        <f>Infrastructure!$A$58</f>
        <v>FIDP-07</v>
      </c>
      <c r="B209" s="20" t="str">
        <f>VLOOKUP($A209,Infrastructure!$A$13:$E$74,2,0)&amp;""</f>
        <v>Have you implemented an intrusion prevention system (network-based)?</v>
      </c>
      <c r="C209" s="45" t="str">
        <f>VLOOKUP($A209,Infrastructure!$A$13:$E$74,3,0)&amp;""</f>
        <v>Yes</v>
      </c>
      <c r="D209" s="34" t="str">
        <f>IF(LEFT(VLOOKUP($A209,Infrastructure!$A$13:$E$74,5,0),21)='Auto Responses'!$A$32,'Auto Responses'!$A$33,VLOOKUP($A209,Infrastructure!$A$13:$E$74,4,0))&amp;""</f>
        <v>Accredible employs network-based intrusion prevention capabilities through its AWS security infrastructure.</v>
      </c>
      <c r="E209" s="288" t="str">
        <f>VLOOKUP($A209,Infrastructure!$A$13:$E$74,5,0)&amp;""</f>
        <v>Describe the currently implemented IPS.</v>
      </c>
      <c r="F209" s="186"/>
      <c r="G209" s="30" t="str">
        <f>VLOOKUP($A209,Questions!$A$2:$X$333,21,0)&amp;""</f>
        <v>Yes</v>
      </c>
      <c r="H209" s="176"/>
      <c r="I209" s="45" t="str">
        <f>VLOOKUP($A209,Questions!$A$2:$X$333,23,0)&amp;""</f>
        <v>Standard Importance</v>
      </c>
      <c r="J209" s="176"/>
      <c r="K209" s="48" t="b">
        <v>0</v>
      </c>
      <c r="L209" s="1"/>
    </row>
    <row r="210" spans="1:12" s="29" customFormat="1" ht="15" customHeight="1" x14ac:dyDescent="0.15">
      <c r="A210" s="19" t="str">
        <f>Infrastructure!$A$59</f>
        <v>FIDP-08</v>
      </c>
      <c r="B210" s="20" t="str">
        <f>VLOOKUP($A210,Infrastructure!$A$13:$E$74,2,0)&amp;""</f>
        <v>Do you employ host-based intrusion prevention?</v>
      </c>
      <c r="C210" s="45" t="str">
        <f>VLOOKUP($A210,Infrastructure!$A$13:$E$74,3,0)&amp;""</f>
        <v>Yes</v>
      </c>
      <c r="D210" s="34" t="str">
        <f>IF(LEFT(VLOOKUP($A210,Infrastructure!$A$13:$E$74,5,0),21)='Auto Responses'!$A$32,'Auto Responses'!$A$33,VLOOKUP($A210,Infrastructure!$A$13:$E$74,4,0))&amp;""</f>
        <v>Host-based intrusion prevention is implemented as part of Accredible's layered security approach.</v>
      </c>
      <c r="E210" s="288" t="str">
        <f>VLOOKUP($A210,Infrastructure!$A$13:$E$74,5,0)&amp;""</f>
        <v>Describe the currently implemented host-based IPS solution(s).</v>
      </c>
      <c r="F210" s="186"/>
      <c r="G210" s="30" t="str">
        <f>VLOOKUP($A210,Questions!$A$2:$X$333,21,0)&amp;""</f>
        <v>Yes</v>
      </c>
      <c r="H210" s="176"/>
      <c r="I210" s="45" t="str">
        <f>VLOOKUP($A210,Questions!$A$2:$X$333,23,0)&amp;""</f>
        <v>Standard Importance</v>
      </c>
      <c r="J210" s="176"/>
      <c r="K210" s="48" t="b">
        <v>0</v>
      </c>
      <c r="L210" s="1"/>
    </row>
    <row r="211" spans="1:12" s="29" customFormat="1" ht="28.5" customHeight="1" x14ac:dyDescent="0.15">
      <c r="A211" s="19" t="str">
        <f>Infrastructure!$A$60</f>
        <v>FIDP-09</v>
      </c>
      <c r="B211" s="20" t="str">
        <f>VLOOKUP($A211,Infrastructure!$A$13:$E$74,2,0)&amp;""</f>
        <v>Are you employing any next-generation persistent threat (NGPT) monitoring?</v>
      </c>
      <c r="C211" s="45" t="str">
        <f>VLOOKUP($A211,Infrastructure!$A$13:$E$74,3,0)&amp;""</f>
        <v>Yes</v>
      </c>
      <c r="D211" s="34" t="str">
        <f>IF(LEFT(VLOOKUP($A211,Infrastructure!$A$13:$E$74,5,0),21)='Auto Responses'!$A$32,'Auto Responses'!$A$33,VLOOKUP($A211,Infrastructure!$A$13:$E$74,4,0))&amp;""</f>
        <v>AWS GuardDuty provides next-generation persistent threat monitoring for Accredible's infrastructure.</v>
      </c>
      <c r="E211" s="288" t="str">
        <f>VLOOKUP($A211,Infrastructure!$A$13:$E$74,5,0)&amp;""</f>
        <v>Describe your NGPT monitoring strategy.</v>
      </c>
      <c r="F211" s="186"/>
      <c r="G211" s="30" t="str">
        <f>VLOOKUP($A211,Questions!$A$2:$X$333,21,0)&amp;""</f>
        <v>Yes</v>
      </c>
      <c r="H211" s="176"/>
      <c r="I211" s="45" t="str">
        <f>VLOOKUP($A211,Questions!$A$2:$X$333,23,0)&amp;""</f>
        <v>Standard Importance</v>
      </c>
      <c r="J211" s="176"/>
      <c r="K211" s="48" t="b">
        <v>0</v>
      </c>
      <c r="L211" s="1"/>
    </row>
    <row r="212" spans="1:12" s="29" customFormat="1" ht="90" customHeight="1" x14ac:dyDescent="0.15">
      <c r="A212" s="19" t="str">
        <f>Infrastructure!$A$61</f>
        <v>FIDP-10</v>
      </c>
      <c r="B212" s="20" t="str">
        <f>VLOOKUP($A212,Infrastructure!$A$13:$E$74,2,0)&amp;""</f>
        <v>Is intrusion monitoring performed internally or by a third-party service?</v>
      </c>
      <c r="C212" s="45" t="str">
        <f>VLOOKUP($A212,Infrastructure!$A$13:$E$74,3,0)&amp;""</f>
        <v>Yes</v>
      </c>
      <c r="D212" s="34" t="str">
        <f>IF(LEFT(VLOOKUP($A212,Infrastructure!$A$13:$E$74,5,0),21)='Auto Responses'!$A$32,'Auto Responses'!$A$33,VLOOKUP($A212,Infrastructure!$A$13:$E$74,4,0))&amp;""</f>
        <v>Intrusion monitoring is performed using a combination of AWS GuardDuty (third-party managed service) and internal monitoring by Accredible's security team.</v>
      </c>
      <c r="E212" s="288" t="str">
        <f>VLOOKUP($A212,Infrastructure!$A$13:$E$74,5,0)&amp;""</f>
        <v>In addition to stating your intrusion monitoring strategy, provide a brief summary of its implementation.</v>
      </c>
      <c r="F212" s="186"/>
      <c r="G212" s="30" t="str">
        <f>VLOOKUP($A212,Questions!$A$2:$X$333,21,0)&amp;""</f>
        <v>Not scored</v>
      </c>
      <c r="H212" s="176"/>
      <c r="I212" s="45" t="str">
        <f>VLOOKUP($A212,Questions!$A$2:$X$333,23,0)&amp;""</f>
        <v/>
      </c>
      <c r="J212" s="176"/>
      <c r="K212" s="48" t="b">
        <v>0</v>
      </c>
      <c r="L212" s="1"/>
    </row>
    <row r="213" spans="1:12" s="29" customFormat="1" ht="15" customHeight="1" x14ac:dyDescent="0.15">
      <c r="A213" s="19" t="str">
        <f>Infrastructure!$A$62</f>
        <v>FIDP-11</v>
      </c>
      <c r="B213" s="20" t="str">
        <f>VLOOKUP($A213,Infrastructure!$A$13:$E$74,2,0)&amp;""</f>
        <v>Do you monitor for intrusions on a 24 x 7 x 365 basis?</v>
      </c>
      <c r="C213" s="45" t="str">
        <f>VLOOKUP($A213,Infrastructure!$A$13:$E$74,3,0)&amp;""</f>
        <v>Yes</v>
      </c>
      <c r="D213" s="34" t="str">
        <f>IF(LEFT(VLOOKUP($A213,Infrastructure!$A$13:$E$74,5,0),21)='Auto Responses'!$A$32,'Auto Responses'!$A$33,VLOOKUP($A213,Infrastructure!$A$13:$E$74,4,0))&amp;""</f>
        <v>Accredible monitors for intrusions on a 24x7x365 basis using automated tooling (AWS GuardDuty, Vanta) with alerting to the security team.</v>
      </c>
      <c r="E213" s="288" t="str">
        <f>VLOOKUP($A213,Infrastructure!$A$13:$E$74,5,0)&amp;""</f>
        <v>Provide a brief summary of this activity.</v>
      </c>
      <c r="F213" s="186"/>
      <c r="G213" s="30" t="str">
        <f>VLOOKUP($A213,Questions!$A$2:$X$333,21,0)&amp;""</f>
        <v>Yes</v>
      </c>
      <c r="H213" s="176"/>
      <c r="I213" s="45" t="str">
        <f>VLOOKUP($A213,Questions!$A$2:$X$333,23,0)&amp;""</f>
        <v>Minor Importance</v>
      </c>
      <c r="J213" s="176"/>
      <c r="K213" s="48" t="b">
        <v>0</v>
      </c>
      <c r="L213" s="1"/>
    </row>
    <row r="214" spans="1:12" s="1" customFormat="1" ht="18" customHeight="1" x14ac:dyDescent="0.15">
      <c r="A214" s="61" t="str">
        <f>VLOOKUP(LEFT($A215,4),'Auto Responses'!$N$4:$O$38,2,0)&amp;""</f>
        <v xml:space="preserve"> Incident Handling</v>
      </c>
      <c r="B214" s="22"/>
      <c r="C214" s="31"/>
      <c r="D214" s="31"/>
      <c r="E214" s="289"/>
      <c r="F214" s="125" t="s">
        <v>652</v>
      </c>
      <c r="G214" s="293" t="s">
        <v>647</v>
      </c>
      <c r="H214" s="293" t="s">
        <v>648</v>
      </c>
      <c r="I214" s="293" t="s">
        <v>649</v>
      </c>
      <c r="J214" s="293" t="s">
        <v>650</v>
      </c>
      <c r="K214" s="293" t="s">
        <v>651</v>
      </c>
    </row>
    <row r="215" spans="1:12" s="29" customFormat="1" ht="15" customHeight="1" x14ac:dyDescent="0.15">
      <c r="A215" s="19" t="str">
        <f>Infrastructure!$A$64</f>
        <v>HFIH-01</v>
      </c>
      <c r="B215" s="20" t="str">
        <f>VLOOKUP($A215,Infrastructure!$A$13:$E$74,2,0)&amp;""</f>
        <v>Do you have a formal incident response plan?</v>
      </c>
      <c r="C215" s="45" t="str">
        <f>VLOOKUP($A215,Infrastructure!$A$13:$E$74,3,0)&amp;""</f>
        <v>Yes</v>
      </c>
      <c r="D215" s="34" t="str">
        <f>IF(LEFT(VLOOKUP($A215,Infrastructure!$A$13:$E$74,5,0),21)='Auto Responses'!$A$32,'Auto Responses'!$A$33,VLOOKUP($A215,Infrastructure!$A$13:$E$74,4,0))&amp;""</f>
        <v>Accredible maintains a documented formal incident response plan including disclosure, reporting, classification, decision-making policies, and resolution procedures.</v>
      </c>
      <c r="E215" s="288" t="str">
        <f>VLOOKUP($A215,Infrastructure!$A$13:$E$74,5,0)&amp;""</f>
        <v>Summarize or provide a link to your formal incident response plan.</v>
      </c>
      <c r="F215" s="186"/>
      <c r="G215" s="30" t="str">
        <f>VLOOKUP($A215,Questions!$A$2:$X$333,21,0)&amp;""</f>
        <v>Yes</v>
      </c>
      <c r="H215" s="176"/>
      <c r="I215" s="45" t="str">
        <f>VLOOKUP($A215,Questions!$A$2:$X$333,23,0)&amp;""</f>
        <v>Standard Importance</v>
      </c>
      <c r="J215" s="176"/>
      <c r="K215" s="48" t="b">
        <v>0</v>
      </c>
      <c r="L215" s="1"/>
    </row>
    <row r="216" spans="1:12" s="29" customFormat="1" ht="28.5" customHeight="1" x14ac:dyDescent="0.15">
      <c r="A216" s="19" t="str">
        <f>Infrastructure!$A$65</f>
        <v>HFIH-02</v>
      </c>
      <c r="B216" s="20" t="str">
        <f>VLOOKUP($A216,Infrastructure!$A$13:$E$74,2,0)&amp;""</f>
        <v>Do you either have an internal incident response team or retain an external team?</v>
      </c>
      <c r="C216" s="45" t="str">
        <f>VLOOKUP($A216,Infrastructure!$A$13:$E$74,3,0)&amp;""</f>
        <v>Yes</v>
      </c>
      <c r="D216" s="34" t="str">
        <f>IF(LEFT(VLOOKUP($A216,Infrastructure!$A$13:$E$74,5,0),21)='Auto Responses'!$A$32,'Auto Responses'!$A$33,VLOOKUP($A216,Infrastructure!$A$13:$E$74,4,0))&amp;""</f>
        <v>Accredible has an internal incident response team capable of handling security incidents.</v>
      </c>
      <c r="E216" s="288" t="str">
        <f>VLOOKUP($A216,Infrastructure!$A$13:$E$74,5,0)&amp;""</f>
        <v>Summarize your incident response and reporting processes.</v>
      </c>
      <c r="F216" s="186"/>
      <c r="G216" s="30" t="str">
        <f>VLOOKUP($A216,Questions!$A$2:$X$333,21,0)&amp;""</f>
        <v>Yes</v>
      </c>
      <c r="H216" s="176"/>
      <c r="I216" s="45" t="str">
        <f>VLOOKUP($A216,Questions!$A$2:$X$333,23,0)&amp;""</f>
        <v>Minor Importance</v>
      </c>
      <c r="J216" s="176"/>
      <c r="K216" s="48" t="b">
        <v>0</v>
      </c>
      <c r="L216" s="1"/>
    </row>
    <row r="217" spans="1:12" s="29" customFormat="1" ht="28.5" customHeight="1" x14ac:dyDescent="0.15">
      <c r="A217" s="19" t="str">
        <f>Infrastructure!$A$66</f>
        <v>HFIH-03</v>
      </c>
      <c r="B217" s="20" t="str">
        <f>VLOOKUP($A217,Infrastructure!$A$13:$E$74,2,0)&amp;""</f>
        <v>Do you have the capability to respond to incidents on a 24 x 7 x 365 basis?</v>
      </c>
      <c r="C217" s="45" t="str">
        <f>VLOOKUP($A217,Infrastructure!$A$13:$E$74,3,0)&amp;""</f>
        <v>Yes</v>
      </c>
      <c r="D217" s="34" t="str">
        <f>IF(LEFT(VLOOKUP($A217,Infrastructure!$A$13:$E$74,5,0),21)='Auto Responses'!$A$32,'Auto Responses'!$A$33,VLOOKUP($A217,Infrastructure!$A$13:$E$74,4,0))&amp;""</f>
        <v>Accredible has the capability to respond to incidents on a 24x7x365 basis through automated alerting and on-call staff.</v>
      </c>
      <c r="E217" s="288" t="str">
        <f>VLOOKUP($A217,Infrastructure!$A$13:$E$74,5,0)&amp;""</f>
        <v>Summarize your internal approach or reference your third-party contractor.</v>
      </c>
      <c r="F217" s="186"/>
      <c r="G217" s="30" t="str">
        <f>VLOOKUP($A217,Questions!$A$2:$X$333,21,0)&amp;""</f>
        <v>Yes</v>
      </c>
      <c r="H217" s="176"/>
      <c r="I217" s="45" t="str">
        <f>VLOOKUP($A217,Questions!$A$2:$X$333,23,0)&amp;""</f>
        <v>Minor Importance</v>
      </c>
      <c r="J217" s="176"/>
      <c r="K217" s="48" t="b">
        <v>0</v>
      </c>
      <c r="L217" s="1"/>
    </row>
    <row r="218" spans="1:12" s="29" customFormat="1" ht="28.5" customHeight="1" x14ac:dyDescent="0.15">
      <c r="A218" s="19" t="str">
        <f>Infrastructure!$A$67</f>
        <v>HFIH-04</v>
      </c>
      <c r="B218" s="20" t="str">
        <f>VLOOKUP($A218,Infrastructure!$A$13:$E$74,2,0)&amp;""</f>
        <v>Do you carry cyber-risk insurance to protect against unforeseen service outages, data that is lost or stolen, and security incidents?</v>
      </c>
      <c r="C218" s="45" t="str">
        <f>VLOOKUP($A218,Infrastructure!$A$13:$E$74,3,0)&amp;""</f>
        <v>Yes</v>
      </c>
      <c r="D218" s="34" t="str">
        <f>IF(LEFT(VLOOKUP($A218,Infrastructure!$A$13:$E$74,5,0),21)='Auto Responses'!$A$32,'Auto Responses'!$A$33,VLOOKUP($A218,Infrastructure!$A$13:$E$74,4,0))&amp;""</f>
        <v>Accredible carries cyber-risk insurance covering data breaches, service outages, and security incidents.</v>
      </c>
      <c r="E218" s="288" t="str">
        <f>VLOOKUP($A218,Infrastructure!$A$13:$E$74,5,0)&amp;""</f>
        <v>Describe the coverage in place for this solution.</v>
      </c>
      <c r="F218" s="186"/>
      <c r="G218" s="30" t="str">
        <f>VLOOKUP($A218,Questions!$A$2:$X$333,21,0)&amp;""</f>
        <v>Yes</v>
      </c>
      <c r="H218" s="176"/>
      <c r="I218" s="45" t="str">
        <f>VLOOKUP($A218,Questions!$A$2:$X$333,23,0)&amp;""</f>
        <v>Minor Importance</v>
      </c>
      <c r="J218" s="176"/>
      <c r="K218" s="48" t="b">
        <v>0</v>
      </c>
      <c r="L218" s="1"/>
    </row>
    <row r="219" spans="1:12" s="1" customFormat="1" ht="18" customHeight="1" x14ac:dyDescent="0.15">
      <c r="A219" s="61" t="str">
        <f>VLOOKUP(LEFT($A220,4),'Auto Responses'!$N$4:$O$38,2,0)&amp;""</f>
        <v xml:space="preserve"> Vulnerability Management</v>
      </c>
      <c r="B219" s="22"/>
      <c r="C219" s="31"/>
      <c r="D219" s="31"/>
      <c r="E219" s="289"/>
      <c r="F219" s="125" t="s">
        <v>652</v>
      </c>
      <c r="G219" s="293" t="s">
        <v>647</v>
      </c>
      <c r="H219" s="293" t="s">
        <v>648</v>
      </c>
      <c r="I219" s="293" t="s">
        <v>649</v>
      </c>
      <c r="J219" s="293" t="s">
        <v>650</v>
      </c>
      <c r="K219" s="293" t="s">
        <v>651</v>
      </c>
    </row>
    <row r="220" spans="1:12" s="29" customFormat="1" ht="28.5" customHeight="1" x14ac:dyDescent="0.15">
      <c r="A220" s="19" t="str">
        <f>Infrastructure!$A$69</f>
        <v>VULN-01</v>
      </c>
      <c r="B220" s="20" t="str">
        <f>VLOOKUP($A220,Infrastructure!$A$13:$E$74,2,0)&amp;""</f>
        <v>Are your systems and applications scanned with an authenticated user account for vulnerabilities (that are remediated) prior to new releases?*</v>
      </c>
      <c r="C220" s="45" t="str">
        <f>VLOOKUP($A220,Infrastructure!$A$13:$E$74,3,0)&amp;""</f>
        <v>Yes</v>
      </c>
      <c r="D220" s="34" t="str">
        <f>IF(LEFT(VLOOKUP($A220,Infrastructure!$A$13:$E$74,5,0),21)='Auto Responses'!$A$32,'Auto Responses'!$A$33,VLOOKUP($A220,Infrastructure!$A$13:$E$74,4,0))&amp;""</f>
        <v>Accredible scans systems and applications with authenticated accounts for vulnerabilities prior to new releases. Automated scans of production websites are performed at least every 7 days.</v>
      </c>
      <c r="E220" s="288" t="str">
        <f>VLOOKUP($A220,Infrastructure!$A$13:$E$74,5,0)&amp;""</f>
        <v>Provide a brief description.</v>
      </c>
      <c r="F220" s="186"/>
      <c r="G220" s="30" t="str">
        <f>VLOOKUP($A220,Questions!$A$2:$X$333,21,0)&amp;""</f>
        <v>Yes</v>
      </c>
      <c r="H220" s="176"/>
      <c r="I220" s="45" t="str">
        <f>VLOOKUP($A220,Questions!$A$2:$X$333,23,0)&amp;""</f>
        <v>Critical Importance</v>
      </c>
      <c r="J220" s="176"/>
      <c r="K220" s="48" t="b">
        <v>0</v>
      </c>
      <c r="L220" s="1"/>
    </row>
    <row r="221" spans="1:12" s="29" customFormat="1" ht="28.5" customHeight="1" x14ac:dyDescent="0.15">
      <c r="A221" s="19" t="str">
        <f>Infrastructure!$A$70</f>
        <v>VULN-02</v>
      </c>
      <c r="B221" s="20" t="str">
        <f>VLOOKUP($A221,Infrastructure!$A$13:$E$74,2,0)&amp;""</f>
        <v>Will you provide results of application and system vulnerability scans to the institution?*</v>
      </c>
      <c r="C221" s="45" t="str">
        <f>VLOOKUP($A221,Infrastructure!$A$13:$E$74,3,0)&amp;""</f>
        <v>Yes</v>
      </c>
      <c r="D221" s="34" t="str">
        <f>IF(LEFT(VLOOKUP($A221,Infrastructure!$A$13:$E$74,5,0),21)='Auto Responses'!$A$32,'Auto Responses'!$A$33,VLOOKUP($A221,Infrastructure!$A$13:$E$74,4,0))&amp;""</f>
        <v>Accredible can provide results of vulnerability scans to the institution under NDA upon request.</v>
      </c>
      <c r="E221" s="288" t="str">
        <f>VLOOKUP($A221,Infrastructure!$A$13:$E$74,5,0)&amp;""</f>
        <v>Provide a reference to security scan documentation.</v>
      </c>
      <c r="F221" s="186"/>
      <c r="G221" s="30" t="str">
        <f>VLOOKUP($A221,Questions!$A$2:$X$333,21,0)&amp;""</f>
        <v>Yes</v>
      </c>
      <c r="H221" s="176"/>
      <c r="I221" s="45" t="str">
        <f>VLOOKUP($A221,Questions!$A$2:$X$333,23,0)&amp;""</f>
        <v>Critical Importance</v>
      </c>
      <c r="J221" s="176"/>
      <c r="K221" s="48" t="b">
        <v>0</v>
      </c>
      <c r="L221" s="1"/>
    </row>
    <row r="222" spans="1:12" s="29" customFormat="1" ht="42.75" customHeight="1" x14ac:dyDescent="0.15">
      <c r="A222" s="19" t="str">
        <f>Infrastructure!$A$71</f>
        <v>VULN-03</v>
      </c>
      <c r="B222" s="20" t="str">
        <f>VLOOKUP($A222,Infrastructure!$A$13:$E$74,2,0)&amp;""</f>
        <v>Will you allow the institution to perform its own vulnerability testing and/or scanning of your systems and/or application, provided that testing is performed at a mutually agreed upon time and date?*</v>
      </c>
      <c r="C222" s="45" t="str">
        <f>VLOOKUP($A222,Infrastructure!$A$13:$E$74,3,0)&amp;""</f>
        <v>Yes</v>
      </c>
      <c r="D222" s="34" t="str">
        <f>IF(LEFT(VLOOKUP($A222,Infrastructure!$A$13:$E$74,5,0),21)='Auto Responses'!$A$32,'Auto Responses'!$A$33,VLOOKUP($A222,Infrastructure!$A$13:$E$74,4,0))&amp;""</f>
        <v>Accredible will allow the institution to perform its own vulnerability testing at a mutually agreed upon time and date.</v>
      </c>
      <c r="E222" s="288" t="str">
        <f>VLOOKUP($A222,Infrastructure!$A$13:$E$74,5,0)&amp;""</f>
        <v>Provide reference to the process or procedure to set up security testing times and scopes.</v>
      </c>
      <c r="F222" s="186"/>
      <c r="G222" s="30" t="str">
        <f>VLOOKUP($A222,Questions!$A$2:$X$333,21,0)&amp;""</f>
        <v>Yes</v>
      </c>
      <c r="H222" s="176"/>
      <c r="I222" s="45" t="str">
        <f>VLOOKUP($A222,Questions!$A$2:$X$333,23,0)&amp;""</f>
        <v>Critical Importance</v>
      </c>
      <c r="J222" s="176"/>
      <c r="K222" s="48" t="b">
        <v>0</v>
      </c>
      <c r="L222" s="1"/>
    </row>
    <row r="223" spans="1:12" s="29" customFormat="1" ht="28.5" customHeight="1" x14ac:dyDescent="0.15">
      <c r="A223" s="19" t="str">
        <f>Infrastructure!$A$72</f>
        <v>VULN-04</v>
      </c>
      <c r="B223" s="20" t="str">
        <f>VLOOKUP($A223,Infrastructure!$A$13:$E$74,2,0)&amp;""</f>
        <v>Have your systems and applications had a third-party security assessment completed in the last year?</v>
      </c>
      <c r="C223" s="45" t="str">
        <f>VLOOKUP($A223,Infrastructure!$A$13:$E$74,3,0)&amp;""</f>
        <v>Yes</v>
      </c>
      <c r="D223" s="34" t="str">
        <f>IF(LEFT(VLOOKUP($A223,Infrastructure!$A$13:$E$74,5,0),21)='Auto Responses'!$A$32,'Auto Responses'!$A$33,VLOOKUP($A223,Infrastructure!$A$13:$E$74,4,0))&amp;""</f>
        <v>Accredible undergoes annual penetration testing by Cobalt Labs. The most recent test results are available under NDA upon request.</v>
      </c>
      <c r="E223" s="288" t="str">
        <f>VLOOKUP($A223,Infrastructure!$A$13:$E$74,5,0)&amp;""</f>
        <v>Provide the results with this document (link or attached), if possible. State the date of the last completed third-party security assessment.</v>
      </c>
      <c r="F223" s="186"/>
      <c r="G223" s="30" t="str">
        <f>VLOOKUP($A223,Questions!$A$2:$X$333,21,0)&amp;""</f>
        <v>Yes</v>
      </c>
      <c r="H223" s="176"/>
      <c r="I223" s="45" t="str">
        <f>VLOOKUP($A223,Questions!$A$2:$X$333,23,0)&amp;""</f>
        <v>Standard Importance</v>
      </c>
      <c r="J223" s="176"/>
      <c r="K223" s="48" t="b">
        <v>0</v>
      </c>
      <c r="L223" s="1"/>
    </row>
    <row r="224" spans="1:12" s="29" customFormat="1" ht="60" customHeight="1" x14ac:dyDescent="0.15">
      <c r="A224" s="19" t="str">
        <f>Infrastructure!$A$73</f>
        <v>VULN-05</v>
      </c>
      <c r="B224" s="20" t="str">
        <f>VLOOKUP($A224,Infrastructure!$A$13:$E$74,2,0)&amp;""</f>
        <v>Do you regularly scan for common web application security vulnerabilities (e.g., SQL injection, XSS, XSRF, etc.)?</v>
      </c>
      <c r="C224" s="45" t="str">
        <f>VLOOKUP($A224,Infrastructure!$A$13:$E$74,3,0)&amp;""</f>
        <v>Yes</v>
      </c>
      <c r="D224" s="34" t="str">
        <f>IF(LEFT(VLOOKUP($A224,Infrastructure!$A$13:$E$74,5,0),21)='Auto Responses'!$A$32,'Auto Responses'!$A$33,VLOOKUP($A224,Infrastructure!$A$13:$E$74,4,0))&amp;""</f>
        <v>Accredible regularly scans for common web application security vulnerabilities including OWASP Top 10 categories such as SQL injection, XSS, and CSRF.</v>
      </c>
      <c r="E224" s="288" t="str">
        <f>VLOOKUP($A224,Infrastructure!$A$13:$E$74,5,0)&amp;""</f>
        <v>Ensure that all elements of VULN-05 are clearly stated in your response.</v>
      </c>
      <c r="F224" s="186"/>
      <c r="G224" s="30" t="str">
        <f>VLOOKUP($A224,Questions!$A$2:$X$333,21,0)&amp;""</f>
        <v>Yes</v>
      </c>
      <c r="H224" s="176"/>
      <c r="I224" s="45" t="str">
        <f>VLOOKUP($A224,Questions!$A$2:$X$333,23,0)&amp;""</f>
        <v>Standard Importance</v>
      </c>
      <c r="J224" s="176"/>
      <c r="K224" s="48" t="b">
        <v>0</v>
      </c>
      <c r="L224" s="1"/>
    </row>
    <row r="225" spans="1:12" s="29" customFormat="1" ht="29.25" customHeight="1" thickBot="1" x14ac:dyDescent="0.2">
      <c r="A225" s="19" t="str">
        <f>Infrastructure!$A$74</f>
        <v>VULN-06</v>
      </c>
      <c r="B225" s="20" t="str">
        <f>VLOOKUP($A225,Infrastructure!$A$13:$E$74,2,0)&amp;""</f>
        <v>Are your systems and applications regularly scanned externally for vulnerabilities?</v>
      </c>
      <c r="C225" s="45" t="str">
        <f>VLOOKUP($A225,Infrastructure!$A$13:$E$74,3,0)&amp;""</f>
        <v>Yes</v>
      </c>
      <c r="D225" s="34" t="str">
        <f>IF(LEFT(VLOOKUP($A225,Infrastructure!$A$13:$E$74,5,0),21)='Auto Responses'!$A$32,'Auto Responses'!$A$33,VLOOKUP($A225,Infrastructure!$A$13:$E$74,4,0))&amp;""</f>
        <v>Accredible's production websites are externally scanned for vulnerabilities at least every 7 days by a third-party scanning tool.</v>
      </c>
      <c r="E225" s="288" t="str">
        <f>VLOOKUP($A225,Infrastructure!$A$13:$E$74,5,0)&amp;""</f>
        <v>Describe your external application vulnerability scanning strategy.</v>
      </c>
      <c r="F225" s="186"/>
      <c r="G225" s="30" t="str">
        <f>VLOOKUP($A225,Questions!$A$2:$X$333,21,0)&amp;""</f>
        <v>Yes</v>
      </c>
      <c r="H225" s="176"/>
      <c r="I225" s="45" t="str">
        <f>VLOOKUP($A225,Questions!$A$2:$X$333,23,0)&amp;""</f>
        <v>Minor Importance</v>
      </c>
      <c r="J225" s="176"/>
      <c r="K225" s="49" t="b">
        <v>0</v>
      </c>
      <c r="L225" s="1"/>
    </row>
    <row r="226" spans="1:12" s="1" customFormat="1" ht="18" customHeight="1" x14ac:dyDescent="0.15">
      <c r="A226" s="61" t="str">
        <f>VLOOKUP(LEFT($A227,4),'Auto Responses'!$N$4:$O$38,2,0)&amp;""</f>
        <v xml:space="preserve"> IT Accessibility</v>
      </c>
      <c r="B226" s="22"/>
      <c r="C226" s="31"/>
      <c r="D226" s="31"/>
      <c r="E226" s="289"/>
      <c r="F226" s="125" t="s">
        <v>652</v>
      </c>
      <c r="G226" s="293" t="s">
        <v>647</v>
      </c>
      <c r="H226" s="293" t="s">
        <v>648</v>
      </c>
      <c r="I226" s="293" t="s">
        <v>649</v>
      </c>
      <c r="J226" s="293" t="s">
        <v>650</v>
      </c>
      <c r="K226" s="293" t="s">
        <v>651</v>
      </c>
    </row>
    <row r="227" spans="1:12" s="29" customFormat="1" ht="15" customHeight="1" x14ac:dyDescent="0.15">
      <c r="A227" s="19" t="str">
        <f>'IT Accessibility'!$A$20</f>
        <v>ITAC-01</v>
      </c>
      <c r="B227" s="20" t="str">
        <f>VLOOKUP($A227,'IT Accessibility'!$A$13:$E$37,2,0)&amp;""</f>
        <v>Solution Provider Accessibility Contact Name</v>
      </c>
      <c r="C227" s="268" t="str">
        <f>VLOOKUP($A227,'IT Accessibility'!$A$13:$E$37,3,0)&amp;""</f>
        <v>Alan Heppenstall</v>
      </c>
      <c r="D227" s="269" t="str">
        <f>IF(LEFT(VLOOKUP($A227,'IT Accessibility'!$A$13:$E$37,5,0),21)='Auto Responses'!$A$32,'Auto Responses'!$A$33,VLOOKUP($A227,'IT Accessibility'!$A$13:$E$37,4,0))&amp;""</f>
        <v/>
      </c>
      <c r="E227" s="291" t="str">
        <f>VLOOKUP($A227,'IT Accessibility'!$A$13:$E$37,5,0)&amp;""</f>
        <v/>
      </c>
      <c r="F227" s="186"/>
      <c r="G227" s="30" t="str">
        <f>VLOOKUP($A227,Questions!$A$2:$X$333,21,0)&amp;""</f>
        <v>Not scored</v>
      </c>
      <c r="H227" s="176"/>
      <c r="I227" s="45" t="str">
        <f>VLOOKUP($A227,Questions!$A$2:$X$333,23,0)&amp;""</f>
        <v/>
      </c>
      <c r="J227" s="176"/>
      <c r="K227" s="48" t="b">
        <v>0</v>
      </c>
      <c r="L227" s="1"/>
    </row>
    <row r="228" spans="1:12" s="29" customFormat="1" ht="15" customHeight="1" x14ac:dyDescent="0.15">
      <c r="A228" s="19" t="str">
        <f>'IT Accessibility'!$A$21</f>
        <v>ITAC-02</v>
      </c>
      <c r="B228" s="20" t="str">
        <f>VLOOKUP($A228,'IT Accessibility'!$A$13:$E$37,2,0)&amp;""</f>
        <v>Solution Provider Accessibility Contact Title</v>
      </c>
      <c r="C228" s="268" t="str">
        <f>VLOOKUP($A228,'IT Accessibility'!$A$13:$E$37,3,0)&amp;""</f>
        <v>CTO</v>
      </c>
      <c r="D228" s="269" t="str">
        <f>IF(LEFT(VLOOKUP($A228,'IT Accessibility'!$A$13:$E$37,5,0),21)='Auto Responses'!$A$32,'Auto Responses'!$A$33,VLOOKUP($A228,'IT Accessibility'!$A$13:$E$37,4,0))&amp;""</f>
        <v/>
      </c>
      <c r="E228" s="291" t="str">
        <f>VLOOKUP($A228,'IT Accessibility'!$A$13:$E$37,5,0)&amp;""</f>
        <v/>
      </c>
      <c r="F228" s="186"/>
      <c r="G228" s="30" t="str">
        <f>VLOOKUP($A228,Questions!$A$2:$X$333,21,0)&amp;""</f>
        <v>Not scored</v>
      </c>
      <c r="H228" s="176"/>
      <c r="I228" s="45" t="str">
        <f>VLOOKUP($A228,Questions!$A$2:$X$333,23,0)&amp;""</f>
        <v/>
      </c>
      <c r="J228" s="176"/>
      <c r="K228" s="48" t="b">
        <v>0</v>
      </c>
      <c r="L228" s="1"/>
    </row>
    <row r="229" spans="1:12" s="29" customFormat="1" ht="15" customHeight="1" x14ac:dyDescent="0.15">
      <c r="A229" s="19" t="str">
        <f>'IT Accessibility'!$A$22</f>
        <v>ITAC-03</v>
      </c>
      <c r="B229" s="20" t="str">
        <f>VLOOKUP($A229,'IT Accessibility'!$A$13:$E$37,2,0)&amp;""</f>
        <v>Solution Provider Accessibility Contact Email</v>
      </c>
      <c r="C229" s="268" t="str">
        <f>VLOOKUP($A229,'IT Accessibility'!$A$13:$E$37,3,0)&amp;""</f>
        <v>alan@accredible.com</v>
      </c>
      <c r="D229" s="269" t="str">
        <f>IF(LEFT(VLOOKUP($A229,'IT Accessibility'!$A$13:$E$37,5,0),21)='Auto Responses'!$A$32,'Auto Responses'!$A$33,VLOOKUP($A229,'IT Accessibility'!$A$13:$E$37,4,0))&amp;""</f>
        <v/>
      </c>
      <c r="E229" s="291" t="str">
        <f>VLOOKUP($A229,'IT Accessibility'!$A$13:$E$37,5,0)&amp;""</f>
        <v/>
      </c>
      <c r="F229" s="186"/>
      <c r="G229" s="30" t="str">
        <f>VLOOKUP($A229,Questions!$A$2:$X$333,21,0)&amp;""</f>
        <v>Not scored</v>
      </c>
      <c r="H229" s="176"/>
      <c r="I229" s="45" t="str">
        <f>VLOOKUP($A229,Questions!$A$2:$X$333,23,0)&amp;""</f>
        <v/>
      </c>
      <c r="J229" s="176"/>
      <c r="K229" s="48" t="b">
        <v>0</v>
      </c>
      <c r="L229" s="1"/>
    </row>
    <row r="230" spans="1:12" s="29" customFormat="1" ht="15" customHeight="1" x14ac:dyDescent="0.15">
      <c r="A230" s="19" t="str">
        <f>'IT Accessibility'!$A$23</f>
        <v>ITAC-04</v>
      </c>
      <c r="B230" s="20" t="str">
        <f>VLOOKUP($A230,'IT Accessibility'!$A$13:$E$37,2,0)&amp;""</f>
        <v>Solution Provider Accessibility Contact Phone Number</v>
      </c>
      <c r="C230" s="268" t="str">
        <f>VLOOKUP($A230,'IT Accessibility'!$A$13:$E$37,3,0)&amp;""</f>
        <v>+1 (628) 214-2701</v>
      </c>
      <c r="D230" s="269" t="str">
        <f>IF(LEFT(VLOOKUP($A230,'IT Accessibility'!$A$13:$E$37,5,0),21)='Auto Responses'!$A$32,'Auto Responses'!$A$33,VLOOKUP($A230,'IT Accessibility'!$A$13:$E$37,4,0))&amp;""</f>
        <v/>
      </c>
      <c r="E230" s="291" t="str">
        <f>VLOOKUP($A230,'IT Accessibility'!$A$13:$E$37,5,0)&amp;""</f>
        <v/>
      </c>
      <c r="F230" s="186"/>
      <c r="G230" s="30" t="str">
        <f>VLOOKUP($A230,Questions!$A$2:$X$333,21,0)&amp;""</f>
        <v>Not scored</v>
      </c>
      <c r="H230" s="176"/>
      <c r="I230" s="45" t="str">
        <f>VLOOKUP($A230,Questions!$A$2:$X$333,23,0)&amp;""</f>
        <v/>
      </c>
      <c r="J230" s="176"/>
      <c r="K230" s="48" t="b">
        <v>0</v>
      </c>
      <c r="L230" s="1"/>
    </row>
    <row r="231" spans="1:12" s="29" customFormat="1" ht="45" customHeight="1" x14ac:dyDescent="0.15">
      <c r="A231" s="19" t="str">
        <f>'IT Accessibility'!$A$24</f>
        <v>ITAC-05</v>
      </c>
      <c r="B231" s="20" t="str">
        <f>VLOOKUP($A231,'IT Accessibility'!$A$13:$E$37,2,0)&amp;""</f>
        <v>Web Link to Accessibility Statement or VPAT</v>
      </c>
      <c r="C231" s="268" t="str">
        <f>VLOOKUP($A231,'IT Accessibility'!$A$13:$E$37,3,0)&amp;""</f>
        <v>https://help.accredible.com/s/article/accessibility</v>
      </c>
      <c r="D231" s="269" t="str">
        <f>IF(LEFT(VLOOKUP($A231,'IT Accessibility'!$A$13:$E$37,5,0),21)='Auto Responses'!$A$32,'Auto Responses'!$A$33,VLOOKUP($A231,'IT Accessibility'!$A$13:$E$37,4,0))&amp;""</f>
        <v>An up to date VPAT is available in the Accredible Help Center.</v>
      </c>
      <c r="E231" s="291" t="str">
        <f>VLOOKUP($A231,'IT Accessibility'!$A$13:$E$37,5,0)&amp;""</f>
        <v>VPAT can also be added as an attachment</v>
      </c>
      <c r="F231" s="186"/>
      <c r="G231" s="30" t="str">
        <f>VLOOKUP($A231,Questions!$A$2:$X$333,21,0)&amp;""</f>
        <v>Not scored</v>
      </c>
      <c r="H231" s="176"/>
      <c r="I231" s="45" t="str">
        <f>VLOOKUP($A231,Questions!$A$2:$X$333,23,0)&amp;""</f>
        <v/>
      </c>
      <c r="J231" s="176"/>
      <c r="K231" s="48" t="b">
        <v>0</v>
      </c>
      <c r="L231" s="1"/>
    </row>
    <row r="232" spans="1:12" s="29" customFormat="1" ht="240" customHeight="1" x14ac:dyDescent="0.15">
      <c r="A232" s="19" t="str">
        <f>'IT Accessibility'!$A$25</f>
        <v>ITAC-06</v>
      </c>
      <c r="B232" s="20" t="str">
        <f>VLOOKUP($A232,'IT Accessibility'!$A$13:$E$37,2,0)&amp;""</f>
        <v>Has a VPAT or ACR been created or updated for the solution and version under consideration within the past 12 months?*</v>
      </c>
      <c r="C232" s="45" t="str">
        <f>VLOOKUP($A232,'IT Accessibility'!$A$13:$E$37,3,0)&amp;""</f>
        <v>Yes</v>
      </c>
      <c r="D232" s="34" t="str">
        <f>IF(LEFT(VLOOKUP($A232,'IT Accessibility'!$A$13:$E$37,5,0),21)='Auto Responses'!$A$32,'Auto Responses'!$A$33,VLOOKUP($A232,'IT Accessibility'!$A$13:$E$37,4,0))&amp;""</f>
        <v>Accredible's VPAT has been created and updated within the past 12 months, tested by an IAAP-accredited tester.</v>
      </c>
      <c r="E232" s="291" t="str">
        <f>VLOOKUP($A232,'IT Accessibility'!$A$13:$E$37,5,0)&amp;""</f>
        <v>State the date the VPAT was completed. Include this VPAT in your submission and/or link to its web location.</v>
      </c>
      <c r="F232" s="186"/>
      <c r="G232" s="30" t="str">
        <f>VLOOKUP($A232,Questions!$A$2:$X$333,21,0)&amp;""</f>
        <v>Yes</v>
      </c>
      <c r="H232" s="176"/>
      <c r="I232" s="45" t="str">
        <f>VLOOKUP($A232,Questions!$A$2:$X$333,23,0)&amp;""</f>
        <v>Critical Importance</v>
      </c>
      <c r="J232" s="176"/>
      <c r="K232" s="48" t="b">
        <v>0</v>
      </c>
      <c r="L232" s="1"/>
    </row>
    <row r="233" spans="1:12" s="29" customFormat="1" ht="28.5" customHeight="1" x14ac:dyDescent="0.15">
      <c r="A233" s="19" t="str">
        <f>'IT Accessibility'!$A$26</f>
        <v>ITAC-07</v>
      </c>
      <c r="B233" s="20" t="str">
        <f>VLOOKUP($A233,'IT Accessibility'!$A$13:$E$37,2,0)&amp;""</f>
        <v>Will your company agree to meet your stated accessibility standard or WCAG 2.1 AA as part of your contractual agreement for the solution?*</v>
      </c>
      <c r="C233" s="45" t="str">
        <f>VLOOKUP($A233,'IT Accessibility'!$A$13:$E$37,3,0)&amp;""</f>
        <v>Yes</v>
      </c>
      <c r="D233" s="34" t="str">
        <f>IF(LEFT(VLOOKUP($A233,'IT Accessibility'!$A$13:$E$37,5,0),21)='Auto Responses'!$A$32,'Auto Responses'!$A$33,VLOOKUP($A233,'IT Accessibility'!$A$13:$E$37,4,0))&amp;""</f>
        <v>Accredible will agree to meet its stated accessibility standard (WCAG 2.1 AA) as part of contractual agreements.</v>
      </c>
      <c r="E233" s="291" t="str">
        <f>VLOOKUP($A233,'IT Accessibility'!$A$13:$E$37,5,0)&amp;""</f>
        <v/>
      </c>
      <c r="F233" s="186"/>
      <c r="G233" s="30" t="str">
        <f>VLOOKUP($A233,Questions!$A$2:$X$333,21,0)&amp;""</f>
        <v>Yes</v>
      </c>
      <c r="H233" s="176"/>
      <c r="I233" s="45" t="str">
        <f>VLOOKUP($A233,Questions!$A$2:$X$333,23,0)&amp;""</f>
        <v>Critical Importance</v>
      </c>
      <c r="J233" s="176"/>
      <c r="K233" s="48" t="b">
        <v>0</v>
      </c>
      <c r="L233" s="1"/>
    </row>
    <row r="234" spans="1:12" s="29" customFormat="1" ht="300" customHeight="1" x14ac:dyDescent="0.15">
      <c r="A234" s="19" t="str">
        <f>'IT Accessibility'!$A$27</f>
        <v>ITAC-08</v>
      </c>
      <c r="B234" s="20" t="str">
        <f>VLOOKUP($A234,'IT Accessibility'!$A$13:$E$37,2,0)&amp;""</f>
        <v>Does the solution substantially conform to WCAG 2.1 AA?*</v>
      </c>
      <c r="C234" s="45" t="str">
        <f>VLOOKUP($A234,'IT Accessibility'!$A$13:$E$37,3,0)&amp;""</f>
        <v>Yes</v>
      </c>
      <c r="D234" s="34" t="str">
        <f>IF(LEFT(VLOOKUP($A234,'IT Accessibility'!$A$13:$E$37,5,0),21)='Auto Responses'!$A$32,'Auto Responses'!$A$33,VLOOKUP($A234,'IT Accessibility'!$A$13:$E$37,4,0))&amp;""</f>
        <v>Accredible's solution substantially conforms to WCAG 2.1 AA. The product was tested by an IAAP-accredited tester across multiple browsers and assistive technologies.</v>
      </c>
      <c r="E234" s="291" t="str">
        <f>VLOOKUP($A234,'IT Accessibility'!$A$13:$E$37,5,0)&amp;""</f>
        <v>Solutions "substantially conform" if they entirely meet WCAG 2.1 AA or if almost all user and administrator features conform. Documentation about limitations and/or workarounds should be provided where WCAG conformance is not presently achieved. If the solution substantially conforms to a newer standard such as WCAG 2.2 AA, answer "yes."</v>
      </c>
      <c r="F234" s="186"/>
      <c r="G234" s="30" t="str">
        <f>VLOOKUP($A234,Questions!$A$2:$X$333,21,0)&amp;""</f>
        <v>Yes</v>
      </c>
      <c r="H234" s="176"/>
      <c r="I234" s="45" t="str">
        <f>VLOOKUP($A234,Questions!$A$2:$X$333,23,0)&amp;""</f>
        <v>Critical Importance</v>
      </c>
      <c r="J234" s="176"/>
      <c r="K234" s="48" t="b">
        <v>0</v>
      </c>
      <c r="L234" s="1"/>
    </row>
    <row r="235" spans="1:12" s="29" customFormat="1" ht="150" customHeight="1" x14ac:dyDescent="0.15">
      <c r="A235" s="19" t="str">
        <f>'IT Accessibility'!$A$28</f>
        <v>ITAC-09</v>
      </c>
      <c r="B235" s="20" t="str">
        <f>VLOOKUP($A235,'IT Accessibility'!$A$13:$E$37,2,0)&amp;""</f>
        <v>Do you have a documented and implemented process for reporting and tracking accessibility issues?*</v>
      </c>
      <c r="C235" s="45" t="str">
        <f>VLOOKUP($A235,'IT Accessibility'!$A$13:$E$37,3,0)&amp;""</f>
        <v>Yes</v>
      </c>
      <c r="D235" s="34" t="str">
        <f>IF(LEFT(VLOOKUP($A235,'IT Accessibility'!$A$13:$E$37,5,0),21)='Auto Responses'!$A$32,'Auto Responses'!$A$33,VLOOKUP($A235,'IT Accessibility'!$A$13:$E$37,4,0))&amp;""</f>
        <v>Accredible has a documented and implemented process for reporting and tracking accessibility issues.</v>
      </c>
      <c r="E235" s="291" t="str">
        <f>VLOOKUP($A235,'IT Accessibility'!$A$13:$E$37,5,0)&amp;""</f>
        <v>Describe the process and any recent examples of fixes as a result of the process.</v>
      </c>
      <c r="F235" s="186"/>
      <c r="G235" s="30" t="str">
        <f>VLOOKUP($A235,Questions!$A$2:$X$333,21,0)&amp;""</f>
        <v>Yes</v>
      </c>
      <c r="H235" s="176"/>
      <c r="I235" s="45" t="str">
        <f>VLOOKUP($A235,Questions!$A$2:$X$333,23,0)&amp;""</f>
        <v>Critical Importance</v>
      </c>
      <c r="J235" s="176"/>
      <c r="K235" s="48" t="b">
        <v>0</v>
      </c>
      <c r="L235" s="1"/>
    </row>
    <row r="236" spans="1:12" s="29" customFormat="1" ht="165" customHeight="1" x14ac:dyDescent="0.15">
      <c r="A236" s="19" t="str">
        <f>'IT Accessibility'!$A$29</f>
        <v>ITAC-10</v>
      </c>
      <c r="B236" s="20" t="str">
        <f>VLOOKUP($A236,'IT Accessibility'!$A$13:$E$37,2,0)&amp;""</f>
        <v>Do you have documentation to support the accessibility features of your solution?</v>
      </c>
      <c r="C236" s="45" t="str">
        <f>VLOOKUP($A236,'IT Accessibility'!$A$13:$E$37,3,0)&amp;""</f>
        <v>Yes</v>
      </c>
      <c r="D236" s="34" t="str">
        <f>IF(LEFT(VLOOKUP($A236,'IT Accessibility'!$A$13:$E$37,5,0),21)='Auto Responses'!$A$32,'Auto Responses'!$A$33,VLOOKUP($A236,'IT Accessibility'!$A$13:$E$37,4,0))&amp;""</f>
        <v>Documentation supporting accessibility features is available in the Accredible Help Center and VPAT.</v>
      </c>
      <c r="E236" s="291" t="str">
        <f>VLOOKUP($A236,'IT Accessibility'!$A$13:$E$37,5,0)&amp;""</f>
        <v>Provide examples with links where possible.</v>
      </c>
      <c r="F236" s="186"/>
      <c r="G236" s="30" t="str">
        <f>VLOOKUP($A236,Questions!$A$2:$X$333,21,0)&amp;""</f>
        <v>Yes</v>
      </c>
      <c r="H236" s="176"/>
      <c r="I236" s="45" t="str">
        <f>VLOOKUP($A236,Questions!$A$2:$X$333,23,0)&amp;""</f>
        <v>Standard Importance</v>
      </c>
      <c r="J236" s="176"/>
      <c r="K236" s="48" t="b">
        <v>0</v>
      </c>
      <c r="L236" s="1"/>
    </row>
    <row r="237" spans="1:12" s="29" customFormat="1" ht="165" customHeight="1" x14ac:dyDescent="0.15">
      <c r="A237" s="19" t="str">
        <f>'IT Accessibility'!$A$30</f>
        <v>ITAC-11</v>
      </c>
      <c r="B237" s="20" t="str">
        <f>VLOOKUP($A237,'IT Accessibility'!$A$13:$E$37,2,0)&amp;""</f>
        <v>Has a third-party expert conducted an audit of the most recent version of your solution?</v>
      </c>
      <c r="C237" s="45" t="str">
        <f>VLOOKUP($A237,'IT Accessibility'!$A$13:$E$37,3,0)&amp;""</f>
        <v>Yes</v>
      </c>
      <c r="D237" s="34" t="str">
        <f>IF(LEFT(VLOOKUP($A237,'IT Accessibility'!$A$13:$E$37,5,0),21)='Auto Responses'!$A$32,'Auto Responses'!$A$33,VLOOKUP($A237,'IT Accessibility'!$A$13:$E$37,4,0))&amp;""</f>
        <v>An IAAP-accredited tester conducted a third-party audit of the most recent version of Accredible's solution, examining it across multiple browsers and assistive technologies including screen readers, screen magnification, and speech recognition.</v>
      </c>
      <c r="E237" s="291" t="str">
        <f>VLOOKUP($A237,'IT Accessibility'!$A$13:$E$37,5,0)&amp;""</f>
        <v>State when the audit was conducted and by whom. Include the results in your submission and/or link to its web location.</v>
      </c>
      <c r="F237" s="186"/>
      <c r="G237" s="30" t="str">
        <f>VLOOKUP($A237,Questions!$A$2:$X$333,21,0)&amp;""</f>
        <v>Yes</v>
      </c>
      <c r="H237" s="176"/>
      <c r="I237" s="45" t="str">
        <f>VLOOKUP($A237,Questions!$A$2:$X$333,23,0)&amp;""</f>
        <v>Standard Importance</v>
      </c>
      <c r="J237" s="176"/>
      <c r="K237" s="48" t="b">
        <v>0</v>
      </c>
      <c r="L237" s="1"/>
    </row>
    <row r="238" spans="1:12" s="29" customFormat="1" ht="28.5" customHeight="1" x14ac:dyDescent="0.15">
      <c r="A238" s="19" t="str">
        <f>'IT Accessibility'!$A$31</f>
        <v>ITAC-12</v>
      </c>
      <c r="B238" s="20" t="str">
        <f>VLOOKUP($A238,'IT Accessibility'!$A$13:$E$37,2,0)&amp;""</f>
        <v>Do you have a documented and implemented process for verifying accessibility conformance?</v>
      </c>
      <c r="C238" s="45" t="str">
        <f>VLOOKUP($A238,'IT Accessibility'!$A$13:$E$37,3,0)&amp;""</f>
        <v>Yes</v>
      </c>
      <c r="D238" s="34" t="str">
        <f>IF(LEFT(VLOOKUP($A238,'IT Accessibility'!$A$13:$E$37,5,0),21)='Auto Responses'!$A$32,'Auto Responses'!$A$33,VLOOKUP($A238,'IT Accessibility'!$A$13:$E$37,4,0))&amp;""</f>
        <v>Accredible has a documented and implemented process for verifying accessibility conformance, including both manual and automated code analysis.</v>
      </c>
      <c r="E238" s="291" t="str">
        <f>VLOOKUP($A238,'IT Accessibility'!$A$13:$E$37,5,0)&amp;""</f>
        <v>Describe your processes and methodologies for validating accessibility conformance.</v>
      </c>
      <c r="F238" s="186"/>
      <c r="G238" s="30" t="str">
        <f>VLOOKUP($A238,Questions!$A$2:$X$333,21,0)&amp;""</f>
        <v>Yes</v>
      </c>
      <c r="H238" s="176"/>
      <c r="I238" s="45" t="str">
        <f>VLOOKUP($A238,Questions!$A$2:$X$333,23,0)&amp;""</f>
        <v>Standard Importance</v>
      </c>
      <c r="J238" s="176"/>
      <c r="K238" s="48" t="b">
        <v>0</v>
      </c>
      <c r="L238" s="1"/>
    </row>
    <row r="239" spans="1:12" s="29" customFormat="1" ht="180" customHeight="1" x14ac:dyDescent="0.15">
      <c r="A239" s="19" t="str">
        <f>'IT Accessibility'!$A$32</f>
        <v>ITAC-13</v>
      </c>
      <c r="B239" s="20" t="str">
        <f>VLOOKUP($A239,'IT Accessibility'!$A$13:$E$37,2,0)&amp;""</f>
        <v>Have you adopted a technical or legal standard of conformance for the solution?</v>
      </c>
      <c r="C239" s="45" t="str">
        <f>VLOOKUP($A239,'IT Accessibility'!$A$13:$E$37,3,0)&amp;""</f>
        <v>Yes</v>
      </c>
      <c r="D239" s="34" t="str">
        <f>IF(LEFT(VLOOKUP($A239,'IT Accessibility'!$A$13:$E$37,5,0),21)='Auto Responses'!$A$32,'Auto Responses'!$A$33,VLOOKUP($A239,'IT Accessibility'!$A$13:$E$37,4,0))&amp;""</f>
        <v>Accredible has adopted WCAG 2.1 AA as its technical standard of conformance, and the solution also meets Section 508 requirements.</v>
      </c>
      <c r="E239" s="291" t="str">
        <f>VLOOKUP($A239,'IT Accessibility'!$A$13:$E$37,5,0)&amp;""</f>
        <v>Indicate which primary standards and all additional standards the solution meets.</v>
      </c>
      <c r="F239" s="186"/>
      <c r="G239" s="30" t="str">
        <f>VLOOKUP($A239,Questions!$A$2:$X$333,21,0)&amp;""</f>
        <v>Yes</v>
      </c>
      <c r="H239" s="176"/>
      <c r="I239" s="45" t="str">
        <f>VLOOKUP($A239,Questions!$A$2:$X$333,23,0)&amp;""</f>
        <v>Standard Importance</v>
      </c>
      <c r="J239" s="176"/>
      <c r="K239" s="48" t="b">
        <v>0</v>
      </c>
      <c r="L239" s="1"/>
    </row>
    <row r="240" spans="1:12" s="29" customFormat="1" ht="150" customHeight="1" x14ac:dyDescent="0.15">
      <c r="A240" s="19" t="str">
        <f>'IT Accessibility'!$A$33</f>
        <v>ITAC-14</v>
      </c>
      <c r="B240" s="20" t="str">
        <f>VLOOKUP($A240,'IT Accessibility'!$A$13:$E$37,2,0)&amp;""</f>
        <v>Can you provide a current, detailed accessibility roadmap with delivery timelines?</v>
      </c>
      <c r="C240" s="45" t="str">
        <f>VLOOKUP($A240,'IT Accessibility'!$A$13:$E$37,3,0)&amp;""</f>
        <v>Yes</v>
      </c>
      <c r="D240" s="34" t="str">
        <f>IF(LEFT(VLOOKUP($A240,'IT Accessibility'!$A$13:$E$37,5,0),21)='Auto Responses'!$A$32,'Auto Responses'!$A$33,VLOOKUP($A240,'IT Accessibility'!$A$13:$E$37,4,0))&amp;""</f>
        <v>A current accessibility roadmap is available. Please contact Accredible for details.</v>
      </c>
      <c r="E240" s="291" t="str">
        <f>VLOOKUP($A240,'IT Accessibility'!$A$13:$E$37,5,0)&amp;""</f>
        <v>Comment on how far into the future the roadmap extends. Provide evidence (including links) of having delivered upon the accessibility roadmap in the past.</v>
      </c>
      <c r="F240" s="186"/>
      <c r="G240" s="30" t="str">
        <f>VLOOKUP($A240,Questions!$A$2:$X$333,21,0)&amp;""</f>
        <v>Yes</v>
      </c>
      <c r="H240" s="176"/>
      <c r="I240" s="45" t="str">
        <f>VLOOKUP($A240,Questions!$A$2:$X$333,23,0)&amp;""</f>
        <v>Standard Importance</v>
      </c>
      <c r="J240" s="176"/>
      <c r="K240" s="48" t="b">
        <v>0</v>
      </c>
      <c r="L240" s="1"/>
    </row>
    <row r="241" spans="1:12" s="29" customFormat="1" ht="345" customHeight="1" x14ac:dyDescent="0.15">
      <c r="A241" s="19" t="str">
        <f>'IT Accessibility'!$A$34</f>
        <v>ITAC-15</v>
      </c>
      <c r="B241" s="20" t="str">
        <f>VLOOKUP($A241,'IT Accessibility'!$A$13:$E$37,2,0)&amp;""</f>
        <v>Do you expect your staff to maintain a current skill set in IT accessibility?</v>
      </c>
      <c r="C241" s="45" t="str">
        <f>VLOOKUP($A241,'IT Accessibility'!$A$13:$E$37,3,0)&amp;""</f>
        <v>Yes</v>
      </c>
      <c r="D241" s="34" t="str">
        <f>IF(LEFT(VLOOKUP($A241,'IT Accessibility'!$A$13:$E$37,5,0),21)='Auto Responses'!$A$32,'Auto Responses'!$A$33,VLOOKUP($A241,'IT Accessibility'!$A$13:$E$37,4,0))&amp;""</f>
        <v>Accredible expects its staff to maintain current skills in IT accessibility.</v>
      </c>
      <c r="E241" s="291" t="str">
        <f>VLOOKUP($A241,'IT Accessibility'!$A$13:$E$37,5,0)&amp;""</f>
        <v>Provide any further relevant information about how expertise is maintained; include any accessibility certifications staff may hold (e.g., IAAP WAS &lt;https://www.accessibilityassociation.org/certifications&gt; or DHS Trusted Tester &lt;https://section508.gov/test/trusted-tester&gt;).</v>
      </c>
      <c r="F241" s="186"/>
      <c r="G241" s="30" t="str">
        <f>VLOOKUP($A241,Questions!$A$2:$X$333,21,0)&amp;""</f>
        <v>Yes</v>
      </c>
      <c r="H241" s="176"/>
      <c r="I241" s="45" t="str">
        <f>VLOOKUP($A241,Questions!$A$2:$X$333,23,0)&amp;""</f>
        <v>Standard Importance</v>
      </c>
      <c r="J241" s="176"/>
      <c r="K241" s="48" t="b">
        <v>0</v>
      </c>
      <c r="L241" s="1"/>
    </row>
    <row r="242" spans="1:12" s="29" customFormat="1" ht="405" customHeight="1" x14ac:dyDescent="0.15">
      <c r="A242" s="19" t="str">
        <f>'IT Accessibility'!$A$35</f>
        <v>ITAC-16</v>
      </c>
      <c r="B242" s="20" t="str">
        <f>VLOOKUP($A242,'IT Accessibility'!$A$13:$E$37,2,0)&amp;""</f>
        <v>Do you have documented processes and procedures for implementing accessibility into your development lifecycle?</v>
      </c>
      <c r="C242" s="45" t="str">
        <f>VLOOKUP($A242,'IT Accessibility'!$A$13:$E$37,3,0)&amp;""</f>
        <v>Yes</v>
      </c>
      <c r="D242" s="34" t="str">
        <f>IF(LEFT(VLOOKUP($A242,'IT Accessibility'!$A$13:$E$37,5,0),21)='Auto Responses'!$A$32,'Auto Responses'!$A$33,VLOOKUP($A242,'IT Accessibility'!$A$13:$E$37,4,0))&amp;""</f>
        <v>Accredible has documented processes and procedures for implementing accessibility into the development lifecycle.</v>
      </c>
      <c r="E242" s="291" t="str">
        <f>VLOOKUP($A242,'IT Accessibility'!$A$13:$E$37,5,0)&amp;""</f>
        <v>Provide further details in Additional Information.</v>
      </c>
      <c r="F242" s="186"/>
      <c r="G242" s="30" t="str">
        <f>VLOOKUP($A242,Questions!$A$2:$X$333,21,0)&amp;""</f>
        <v>Yes</v>
      </c>
      <c r="H242" s="176"/>
      <c r="I242" s="45" t="str">
        <f>VLOOKUP($A242,Questions!$A$2:$X$333,23,0)&amp;""</f>
        <v>Standard Importance</v>
      </c>
      <c r="J242" s="176"/>
      <c r="K242" s="48" t="b">
        <v>0</v>
      </c>
      <c r="L242" s="1"/>
    </row>
    <row r="243" spans="1:12" s="29" customFormat="1" ht="28.5" customHeight="1" x14ac:dyDescent="0.15">
      <c r="A243" s="19" t="str">
        <f>'IT Accessibility'!$A$36</f>
        <v>ITAC-17</v>
      </c>
      <c r="B243" s="20" t="str">
        <f>VLOOKUP($A243,'IT Accessibility'!$A$13:$E$37,2,0)&amp;""</f>
        <v>Can all functions of the application or service be performed using only the keyboard?</v>
      </c>
      <c r="C243" s="45" t="str">
        <f>VLOOKUP($A243,'IT Accessibility'!$A$13:$E$37,3,0)&amp;""</f>
        <v>Yes</v>
      </c>
      <c r="D243" s="34" t="str">
        <f>IF(LEFT(VLOOKUP($A243,'IT Accessibility'!$A$13:$E$37,5,0),21)='Auto Responses'!$A$32,'Auto Responses'!$A$33,VLOOKUP($A243,'IT Accessibility'!$A$13:$E$37,4,0))&amp;""</f>
        <v>All functions of the Accredible application are navigable using only a keyboard. All web pages are navigable by keyboards and other input devices with adequate field/link labeling and predictable selection behavior.</v>
      </c>
      <c r="E243" s="291" t="str">
        <f>VLOOKUP($A243,'IT Accessibility'!$A$13:$E$37,5,0)&amp;""</f>
        <v>State when and on which platform this was verified.</v>
      </c>
      <c r="F243" s="186"/>
      <c r="G243" s="30" t="str">
        <f>VLOOKUP($A243,Questions!$A$2:$X$333,21,0)&amp;""</f>
        <v>Yes</v>
      </c>
      <c r="H243" s="176"/>
      <c r="I243" s="45" t="str">
        <f>VLOOKUP($A243,Questions!$A$2:$X$333,23,0)&amp;""</f>
        <v>Standard Importance</v>
      </c>
      <c r="J243" s="176"/>
      <c r="K243" s="48" t="b">
        <v>0</v>
      </c>
      <c r="L243" s="1"/>
    </row>
    <row r="244" spans="1:12" s="29" customFormat="1" ht="255.75" customHeight="1" thickBot="1" x14ac:dyDescent="0.2">
      <c r="A244" s="19" t="str">
        <f>'IT Accessibility'!$A$37</f>
        <v>ITAC-18</v>
      </c>
      <c r="B244" s="20" t="str">
        <f>VLOOKUP($A244,'IT Accessibility'!$A$13:$E$37,2,0)&amp;""</f>
        <v>Does your product rely on activating a special "accessibility mode," a "lite version," or using an alternate interface (including “overlay” or AI-based alternates)  for accessibility purposes?</v>
      </c>
      <c r="C244" s="45" t="str">
        <f>VLOOKUP($A244,'IT Accessibility'!$A$13:$E$37,3,0)&amp;""</f>
        <v>No</v>
      </c>
      <c r="D244" s="34" t="str">
        <f>IF(LEFT(VLOOKUP($A244,'IT Accessibility'!$A$13:$E$37,5,0),21)='Auto Responses'!$A$32,'Auto Responses'!$A$33,VLOOKUP($A244,'IT Accessibility'!$A$13:$E$37,4,0))&amp;""</f>
        <v>Accredible does not rely on a special "accessibility mode" or alternate interface. Accessibility features are built into the standard product experience.</v>
      </c>
      <c r="E244" s="291" t="str">
        <f>VLOOKUP($A244,'IT Accessibility'!$A$13:$E$37,5,0)&amp;""</f>
        <v>Third-party overlays or add-ons are not sufficient for products to conform with accessibility standards. If there is an accessibility mode, does it address a specific accessibility need? Are plans in place to remove the accessible version, and are these distinctions delineated on your roadmap and timeline?</v>
      </c>
      <c r="F244" s="186"/>
      <c r="G244" s="30" t="str">
        <f>VLOOKUP($A244,Questions!$A$2:$X$333,21,0)&amp;""</f>
        <v>No</v>
      </c>
      <c r="H244" s="176"/>
      <c r="I244" s="45" t="str">
        <f>VLOOKUP($A244,Questions!$A$2:$X$333,23,0)&amp;""</f>
        <v>Standard Importance</v>
      </c>
      <c r="J244" s="176"/>
      <c r="K244" s="49" t="b">
        <v>0</v>
      </c>
      <c r="L244" s="1"/>
    </row>
    <row r="245" spans="1:12" s="1" customFormat="1" ht="18" customHeight="1" x14ac:dyDescent="0.15">
      <c r="A245" s="61" t="str">
        <f>VLOOKUP(LEFT($A246,4),'Auto Responses'!$N$4:$O$38,2,0)&amp;""</f>
        <v xml:space="preserve"> Consulting Services</v>
      </c>
      <c r="B245" s="22"/>
      <c r="C245" s="31"/>
      <c r="D245" s="31"/>
      <c r="E245" s="289"/>
      <c r="F245" s="125" t="s">
        <v>652</v>
      </c>
      <c r="G245" s="293" t="s">
        <v>647</v>
      </c>
      <c r="H245" s="293" t="s">
        <v>648</v>
      </c>
      <c r="I245" s="293" t="s">
        <v>649</v>
      </c>
      <c r="J245" s="293" t="s">
        <v>650</v>
      </c>
      <c r="K245" s="293" t="s">
        <v>651</v>
      </c>
    </row>
    <row r="246" spans="1:12" s="29" customFormat="1" ht="15" customHeight="1" x14ac:dyDescent="0.15">
      <c r="A246" s="19" t="str">
        <f>'Case-Specific'!$A$23</f>
        <v>CONS-01</v>
      </c>
      <c r="B246" s="20" t="str">
        <f>VLOOKUP($A246,'Case-Specific'!$A$13:$E$85,2,0)&amp;""</f>
        <v>Will the consultant require access to the institution's network resources?*</v>
      </c>
      <c r="C246" s="45" t="str">
        <f>VLOOKUP($A246,'Case-Specific'!$A$13:$E$85,3,0)&amp;""</f>
        <v>N/A</v>
      </c>
      <c r="D246" s="34" t="str">
        <f>IF(LEFT(VLOOKUP($A246,'Case-Specific'!$A$13:$E$85,5,0),21)='Auto Responses'!$A$32,'Auto Responses'!$A$33,VLOOKUP($A246,'Case-Specific'!$A$13:$E$85,4,0))&amp;""</f>
        <v>This question does not apply.</v>
      </c>
      <c r="E246" s="288" t="str">
        <f>VLOOKUP($A246,'Case-Specific'!$A$13:$E$85,5,0)&amp;""</f>
        <v>Based on the response to REQU-03 on the "START HERE" tab, this question does not apply to this product or service.</v>
      </c>
      <c r="F246" s="186"/>
      <c r="G246" s="30" t="str">
        <f>VLOOKUP($A246,Questions!$A$2:$X$333,21,0)&amp;""</f>
        <v>No</v>
      </c>
      <c r="H246" s="176"/>
      <c r="I246" s="45" t="str">
        <f>VLOOKUP($A246,Questions!$A$2:$X$333,23,0)&amp;""</f>
        <v>Critical Importance</v>
      </c>
      <c r="J246" s="176"/>
      <c r="K246" s="48" t="b">
        <v>0</v>
      </c>
      <c r="L246" s="1"/>
    </row>
    <row r="247" spans="1:12" s="29" customFormat="1" ht="28.5" customHeight="1" x14ac:dyDescent="0.15">
      <c r="A247" s="19" t="str">
        <f>'Case-Specific'!$A$24</f>
        <v>CONS-02</v>
      </c>
      <c r="B247" s="20" t="str">
        <f>VLOOKUP($A247,'Case-Specific'!$A$13:$E$85,2,0)&amp;""</f>
        <v>Has the consultant received training on (sensitive, HIPAA, PCI, etc.) data handling?*</v>
      </c>
      <c r="C247" s="45" t="str">
        <f>VLOOKUP($A247,'Case-Specific'!$A$13:$E$85,3,0)&amp;""</f>
        <v>N/A</v>
      </c>
      <c r="D247" s="34" t="str">
        <f>IF(LEFT(VLOOKUP($A247,'Case-Specific'!$A$13:$E$85,5,0),21)='Auto Responses'!$A$32,'Auto Responses'!$A$33,VLOOKUP($A247,'Case-Specific'!$A$13:$E$85,4,0))&amp;""</f>
        <v>This question does not apply.</v>
      </c>
      <c r="E247" s="288" t="str">
        <f>VLOOKUP($A247,'Case-Specific'!$A$13:$E$85,5,0)&amp;""</f>
        <v>Based on the response to REQU-03 on the "START HERE" tab, this question does not apply to this product or service.</v>
      </c>
      <c r="F247" s="186"/>
      <c r="G247" s="30" t="str">
        <f>VLOOKUP($A247,Questions!$A$2:$X$333,21,0)&amp;""</f>
        <v>Yes</v>
      </c>
      <c r="H247" s="176"/>
      <c r="I247" s="45" t="str">
        <f>VLOOKUP($A247,Questions!$A$2:$X$333,23,0)&amp;""</f>
        <v>Critical Importance</v>
      </c>
      <c r="J247" s="176"/>
      <c r="K247" s="48" t="b">
        <v>0</v>
      </c>
      <c r="L247" s="1"/>
    </row>
    <row r="248" spans="1:12" s="29" customFormat="1" ht="15" customHeight="1" x14ac:dyDescent="0.15">
      <c r="A248" s="19" t="str">
        <f>'Case-Specific'!$A$25</f>
        <v>CONS-03</v>
      </c>
      <c r="B248" s="20" t="str">
        <f>VLOOKUP($A248,'Case-Specific'!$A$13:$E$85,2,0)&amp;""</f>
        <v>Is the data encrypted (at rest) while in the consultant's possession?*</v>
      </c>
      <c r="C248" s="45" t="str">
        <f>VLOOKUP($A248,'Case-Specific'!$A$13:$E$85,3,0)&amp;""</f>
        <v>N/A</v>
      </c>
      <c r="D248" s="34" t="str">
        <f>IF(LEFT(VLOOKUP($A248,'Case-Specific'!$A$13:$E$85,5,0),21)='Auto Responses'!$A$32,'Auto Responses'!$A$33,VLOOKUP($A248,'Case-Specific'!$A$13:$E$85,4,0))&amp;""</f>
        <v>This question does not apply.</v>
      </c>
      <c r="E248" s="288" t="str">
        <f>VLOOKUP($A248,'Case-Specific'!$A$13:$E$85,5,0)&amp;""</f>
        <v>Based on the response to REQU-03 on the "START HERE" tab, this question does not apply to this product or service.</v>
      </c>
      <c r="F248" s="186"/>
      <c r="G248" s="30" t="str">
        <f>VLOOKUP($A248,Questions!$A$2:$X$333,21,0)&amp;""</f>
        <v>Yes</v>
      </c>
      <c r="H248" s="176"/>
      <c r="I248" s="45" t="str">
        <f>VLOOKUP($A248,Questions!$A$2:$X$333,23,0)&amp;""</f>
        <v>Critical Importance</v>
      </c>
      <c r="J248" s="176"/>
      <c r="K248" s="48" t="b">
        <v>0</v>
      </c>
      <c r="L248" s="1"/>
    </row>
    <row r="249" spans="1:12" s="29" customFormat="1" ht="15" customHeight="1" x14ac:dyDescent="0.15">
      <c r="A249" s="19" t="str">
        <f>'Case-Specific'!A26</f>
        <v>CONS-04</v>
      </c>
      <c r="B249" s="20" t="str">
        <f>VLOOKUP($A249,'Case-Specific'!$A$13:$E$85,2,0)&amp;""</f>
        <v>Can access be restricted based on source IP address?*</v>
      </c>
      <c r="C249" s="45" t="str">
        <f>VLOOKUP($A249,'Case-Specific'!$A$13:$E$85,3,0)&amp;""</f>
        <v>N/A</v>
      </c>
      <c r="D249" s="34" t="str">
        <f>IF(LEFT(VLOOKUP($A249,'Case-Specific'!$A$13:$E$85,5,0),21)='Auto Responses'!$A$32,'Auto Responses'!$A$33,VLOOKUP($A249,'Case-Specific'!$A$13:$E$85,4,0))&amp;""</f>
        <v>This question does not apply.</v>
      </c>
      <c r="E249" s="288" t="str">
        <f>VLOOKUP($A249,'Case-Specific'!$A$13:$E$85,5,0)&amp;""</f>
        <v>Based on the response to REQU-03 on the "START HERE" tab, this question does not apply to this product or service.</v>
      </c>
      <c r="F249" s="186"/>
      <c r="G249" s="30" t="str">
        <f>VLOOKUP($A249,Questions!$A$2:$X$333,21,0)&amp;""</f>
        <v>Yes</v>
      </c>
      <c r="H249" s="176"/>
      <c r="I249" s="45" t="str">
        <f>VLOOKUP($A249,Questions!$A$2:$X$333,23,0)&amp;""</f>
        <v>Critical Importance</v>
      </c>
      <c r="J249" s="176"/>
      <c r="K249" s="48" t="b">
        <v>0</v>
      </c>
      <c r="L249" s="1"/>
    </row>
    <row r="250" spans="1:12" s="29" customFormat="1" ht="15" customHeight="1" x14ac:dyDescent="0.15">
      <c r="A250" s="19" t="str">
        <f>'Case-Specific'!A27</f>
        <v>CONS-05</v>
      </c>
      <c r="B250" s="20" t="str">
        <f>VLOOKUP($A250,'Case-Specific'!$A$13:$E$85,2,0)&amp;""</f>
        <v>Will the consulting take place on-premises?</v>
      </c>
      <c r="C250" s="45" t="str">
        <f>VLOOKUP($A250,'Case-Specific'!$A$13:$E$85,3,0)&amp;""</f>
        <v>N/A</v>
      </c>
      <c r="D250" s="34" t="str">
        <f>IF(LEFT(VLOOKUP($A250,'Case-Specific'!$A$13:$E$85,5,0),21)='Auto Responses'!$A$32,'Auto Responses'!$A$33,VLOOKUP($A250,'Case-Specific'!$A$13:$E$85,4,0))&amp;""</f>
        <v>This question does not apply.</v>
      </c>
      <c r="E250" s="288" t="str">
        <f>VLOOKUP($A250,'Case-Specific'!$A$13:$E$85,5,0)&amp;""</f>
        <v>Based on the response to REQU-03 on the "START HERE" tab, this question does not apply to this product or service.</v>
      </c>
      <c r="F250" s="186"/>
      <c r="G250" s="30" t="str">
        <f>VLOOKUP($A250,Questions!$A$2:$X$333,21,0)&amp;""</f>
        <v>No</v>
      </c>
      <c r="H250" s="176"/>
      <c r="I250" s="45" t="str">
        <f>VLOOKUP($A250,Questions!$A$2:$X$333,23,0)&amp;""</f>
        <v>Standard Importance</v>
      </c>
      <c r="J250" s="176"/>
      <c r="K250" s="48" t="b">
        <v>0</v>
      </c>
      <c r="L250" s="1"/>
    </row>
    <row r="251" spans="1:12" s="29" customFormat="1" ht="28.5" customHeight="1" x14ac:dyDescent="0.15">
      <c r="A251" s="19" t="str">
        <f>'Case-Specific'!A28</f>
        <v>CONS-06</v>
      </c>
      <c r="B251" s="20" t="str">
        <f>VLOOKUP($A251,'Case-Specific'!$A$13:$E$85,2,0)&amp;""</f>
        <v>Will the consultant require access to hardware in the institution's data centers?</v>
      </c>
      <c r="C251" s="45" t="str">
        <f>VLOOKUP($A251,'Case-Specific'!$A$13:$E$85,3,0)&amp;""</f>
        <v>N/A</v>
      </c>
      <c r="D251" s="34" t="str">
        <f>IF(LEFT(VLOOKUP($A251,'Case-Specific'!$A$13:$E$85,5,0),21)='Auto Responses'!$A$32,'Auto Responses'!$A$33,VLOOKUP($A251,'Case-Specific'!$A$13:$E$85,4,0))&amp;""</f>
        <v>This question does not apply.</v>
      </c>
      <c r="E251" s="288" t="str">
        <f>VLOOKUP($A251,'Case-Specific'!$A$13:$E$85,5,0)&amp;""</f>
        <v>Based on the response to REQU-03 on the "START HERE" tab, this question does not apply to this product or service.</v>
      </c>
      <c r="F251" s="186"/>
      <c r="G251" s="30" t="str">
        <f>VLOOKUP($A251,Questions!$A$2:$X$333,21,0)&amp;""</f>
        <v>No</v>
      </c>
      <c r="H251" s="176"/>
      <c r="I251" s="45" t="str">
        <f>VLOOKUP($A251,Questions!$A$2:$X$333,23,0)&amp;""</f>
        <v>Standard Importance</v>
      </c>
      <c r="J251" s="176"/>
      <c r="K251" s="48" t="b">
        <v>0</v>
      </c>
      <c r="L251" s="1"/>
    </row>
    <row r="252" spans="1:12" s="29" customFormat="1" ht="28.5" customHeight="1" x14ac:dyDescent="0.15">
      <c r="A252" s="19" t="str">
        <f>'Case-Specific'!A29</f>
        <v>CONS-07</v>
      </c>
      <c r="B252" s="20" t="str">
        <f>VLOOKUP($A252,'Case-Specific'!$A$13:$E$85,2,0)&amp;""</f>
        <v>Will the consultant require an account within the institution's domain (@*.edu)?</v>
      </c>
      <c r="C252" s="45" t="str">
        <f>VLOOKUP($A252,'Case-Specific'!$A$13:$E$85,3,0)&amp;""</f>
        <v>N/A</v>
      </c>
      <c r="D252" s="34" t="str">
        <f>IF(LEFT(VLOOKUP($A252,'Case-Specific'!$A$13:$E$85,5,0),21)='Auto Responses'!$A$32,'Auto Responses'!$A$33,VLOOKUP($A252,'Case-Specific'!$A$13:$E$85,4,0))&amp;""</f>
        <v>This question does not apply.</v>
      </c>
      <c r="E252" s="288" t="str">
        <f>VLOOKUP($A252,'Case-Specific'!$A$13:$E$85,5,0)&amp;""</f>
        <v>Based on the response to REQU-03 on the "START HERE" tab, this question does not apply to this product or service.</v>
      </c>
      <c r="F252" s="186"/>
      <c r="G252" s="30" t="str">
        <f>VLOOKUP($A252,Questions!$A$2:$X$333,21,0)&amp;""</f>
        <v>No</v>
      </c>
      <c r="H252" s="176"/>
      <c r="I252" s="45" t="str">
        <f>VLOOKUP($A252,Questions!$A$2:$X$333,23,0)&amp;""</f>
        <v>Standard Importance</v>
      </c>
      <c r="J252" s="176"/>
      <c r="K252" s="48" t="b">
        <v>0</v>
      </c>
      <c r="L252" s="1"/>
    </row>
    <row r="253" spans="1:12" s="29" customFormat="1" ht="15" customHeight="1" x14ac:dyDescent="0.15">
      <c r="A253" s="19" t="str">
        <f>'Case-Specific'!A30</f>
        <v>CONS-08</v>
      </c>
      <c r="B253" s="20" t="str">
        <f>VLOOKUP($A253,'Case-Specific'!$A$13:$E$85,2,0)&amp;""</f>
        <v>Will any data be transferred to the consultant's possession?</v>
      </c>
      <c r="C253" s="45" t="str">
        <f>VLOOKUP($A253,'Case-Specific'!$A$13:$E$85,3,0)&amp;""</f>
        <v>N/A</v>
      </c>
      <c r="D253" s="34" t="str">
        <f>IF(LEFT(VLOOKUP($A253,'Case-Specific'!$A$13:$E$85,5,0),21)='Auto Responses'!$A$32,'Auto Responses'!$A$33,VLOOKUP($A253,'Case-Specific'!$A$13:$E$85,4,0))&amp;""</f>
        <v>This question does not apply.</v>
      </c>
      <c r="E253" s="288" t="str">
        <f>VLOOKUP($A253,'Case-Specific'!$A$13:$E$85,5,0)&amp;""</f>
        <v>Based on the response to REQU-03 on the "START HERE" tab, this question does not apply to this product or service.</v>
      </c>
      <c r="F253" s="186"/>
      <c r="G253" s="30" t="str">
        <f>VLOOKUP($A253,Questions!$A$2:$X$333,21,0)&amp;""</f>
        <v>No</v>
      </c>
      <c r="H253" s="176"/>
      <c r="I253" s="45" t="str">
        <f>VLOOKUP($A253,Questions!$A$2:$X$333,23,0)&amp;""</f>
        <v>Standard Importance</v>
      </c>
      <c r="J253" s="176"/>
      <c r="K253" s="48" t="b">
        <v>0</v>
      </c>
      <c r="L253" s="1"/>
    </row>
    <row r="254" spans="1:12" s="29" customFormat="1" ht="28.5" customHeight="1" x14ac:dyDescent="0.15">
      <c r="A254" s="19" t="str">
        <f>'Case-Specific'!A31</f>
        <v>CONS-09</v>
      </c>
      <c r="B254" s="20" t="str">
        <f>VLOOKUP($A254,'Case-Specific'!$A$13:$E$85,2,0)&amp;""</f>
        <v>Will the consultant need remote access to the institution's network or systems?</v>
      </c>
      <c r="C254" s="45" t="str">
        <f>VLOOKUP($A254,'Case-Specific'!$A$13:$E$85,3,0)&amp;""</f>
        <v>N/A</v>
      </c>
      <c r="D254" s="34" t="str">
        <f>IF(LEFT(VLOOKUP($A254,'Case-Specific'!$A$13:$E$85,5,0),21)='Auto Responses'!$A$32,'Auto Responses'!$A$33,VLOOKUP($A254,'Case-Specific'!$A$13:$E$85,4,0))&amp;""</f>
        <v>This question does not apply.</v>
      </c>
      <c r="E254" s="288" t="str">
        <f>VLOOKUP($A254,'Case-Specific'!$A$13:$E$85,5,0)&amp;""</f>
        <v>Based on the response to REQU-03 on the "START HERE" tab, this question does not apply to this product or service.</v>
      </c>
      <c r="F254" s="186"/>
      <c r="G254" s="30" t="str">
        <f>VLOOKUP($A254,Questions!$A$2:$X$333,21,0)&amp;""</f>
        <v>No</v>
      </c>
      <c r="H254" s="176"/>
      <c r="I254" s="45" t="str">
        <f>VLOOKUP($A254,Questions!$A$2:$X$333,23,0)&amp;""</f>
        <v>Standard Importance</v>
      </c>
      <c r="J254" s="176"/>
      <c r="K254" s="48" t="b">
        <v>0</v>
      </c>
      <c r="L254" s="1"/>
    </row>
    <row r="255" spans="1:12" s="1" customFormat="1" ht="18" customHeight="1" x14ac:dyDescent="0.15">
      <c r="A255" s="61" t="str">
        <f>VLOOKUP(LEFT($A256,4),'Auto Responses'!$N$4:$O$38,2,0)&amp;""</f>
        <v xml:space="preserve">HIPAA Compliance </v>
      </c>
      <c r="B255" s="22"/>
      <c r="C255" s="31"/>
      <c r="D255" s="31"/>
      <c r="E255" s="289"/>
      <c r="F255" s="125" t="s">
        <v>652</v>
      </c>
      <c r="G255" s="293" t="s">
        <v>647</v>
      </c>
      <c r="H255" s="293" t="s">
        <v>648</v>
      </c>
      <c r="I255" s="293" t="s">
        <v>649</v>
      </c>
      <c r="J255" s="293" t="s">
        <v>650</v>
      </c>
      <c r="K255" s="293" t="s">
        <v>651</v>
      </c>
    </row>
    <row r="256" spans="1:12" s="29" customFormat="1" ht="90" customHeight="1" x14ac:dyDescent="0.15">
      <c r="A256" s="19" t="str">
        <f>'Case-Specific'!A33</f>
        <v>HIPA-01</v>
      </c>
      <c r="B256" s="20" t="str">
        <f>VLOOKUP($A256,'Case-Specific'!$A$13:$E$85,2,0)&amp;""</f>
        <v>Do your workforce members receive regular training related to the Health Insurance Portability and Accountability Act (HIPAA) Privacy and Security Rules and the HITECH Act?*</v>
      </c>
      <c r="C256" s="45" t="str">
        <f>VLOOKUP($A256,'Case-Specific'!$A$13:$E$85,3,0)&amp;""</f>
        <v>N/A</v>
      </c>
      <c r="D256" s="34" t="str">
        <f>IF(LEFT(VLOOKUP($A256,'Case-Specific'!$A$13:$E$85,5,0),21)='Auto Responses'!$A$32,'Auto Responses'!$A$33,VLOOKUP($A256,'Case-Specific'!$A$13:$E$85,4,0))&amp;""</f>
        <v>This question does not apply.</v>
      </c>
      <c r="E256" s="288" t="str">
        <f>VLOOKUP($A256,'Case-Specific'!$A$13:$E$85,5,0)&amp;""</f>
        <v>Based on the response to REQU-05 on the "START HERE" tab, this question does not apply to this product or service.</v>
      </c>
      <c r="F256" s="186"/>
      <c r="G256" s="30" t="str">
        <f>VLOOKUP($A256,Questions!$A$2:$X$333,21,0)&amp;""</f>
        <v>Yes</v>
      </c>
      <c r="H256" s="176"/>
      <c r="I256" s="45" t="str">
        <f>VLOOKUP($A256,Questions!$A$2:$X$333,23,0)&amp;""</f>
        <v>Critical Importance</v>
      </c>
      <c r="J256" s="176"/>
      <c r="K256" s="48" t="b">
        <v>0</v>
      </c>
      <c r="L256" s="1"/>
    </row>
    <row r="257" spans="1:12" s="29" customFormat="1" ht="90" customHeight="1" x14ac:dyDescent="0.15">
      <c r="A257" s="19" t="str">
        <f>'Case-Specific'!A34</f>
        <v>HIPA-02</v>
      </c>
      <c r="B257" s="20" t="str">
        <f>VLOOKUP($A257,'Case-Specific'!$A$13:$E$85,2,0)&amp;""</f>
        <v>Have you identified areas of risk?*</v>
      </c>
      <c r="C257" s="45" t="str">
        <f>VLOOKUP($A257,'Case-Specific'!$A$13:$E$85,3,0)&amp;""</f>
        <v>N/A</v>
      </c>
      <c r="D257" s="34" t="str">
        <f>IF(LEFT(VLOOKUP($A257,'Case-Specific'!$A$13:$E$85,5,0),21)='Auto Responses'!$A$32,'Auto Responses'!$A$33,VLOOKUP($A257,'Case-Specific'!$A$13:$E$85,4,0))&amp;""</f>
        <v>This question does not apply.</v>
      </c>
      <c r="E257" s="288" t="str">
        <f>VLOOKUP($A257,'Case-Specific'!$A$13:$E$85,5,0)&amp;""</f>
        <v>Based on the response to REQU-05 on the "START HERE" tab, this question does not apply to this product or service.</v>
      </c>
      <c r="F257" s="186"/>
      <c r="G257" s="30" t="str">
        <f>VLOOKUP($A257,Questions!$A$2:$X$333,21,0)&amp;""</f>
        <v>Yes</v>
      </c>
      <c r="H257" s="176"/>
      <c r="I257" s="45" t="str">
        <f>VLOOKUP($A257,Questions!$A$2:$X$333,23,0)&amp;""</f>
        <v>Critical Importance</v>
      </c>
      <c r="J257" s="176"/>
      <c r="K257" s="48" t="b">
        <v>0</v>
      </c>
      <c r="L257" s="1"/>
    </row>
    <row r="258" spans="1:12" s="29" customFormat="1" ht="90" customHeight="1" x14ac:dyDescent="0.15">
      <c r="A258" s="19" t="str">
        <f>'Case-Specific'!A35</f>
        <v>HIPA-03</v>
      </c>
      <c r="B258" s="20" t="str">
        <f>VLOOKUP($A258,'Case-Specific'!$A$13:$E$85,2,0)&amp;""</f>
        <v>Have the relevant policies/plans been tested?*</v>
      </c>
      <c r="C258" s="45" t="str">
        <f>VLOOKUP($A258,'Case-Specific'!$A$13:$E$85,3,0)&amp;""</f>
        <v>N/A</v>
      </c>
      <c r="D258" s="34" t="str">
        <f>IF(LEFT(VLOOKUP($A258,'Case-Specific'!$A$13:$E$85,5,0),21)='Auto Responses'!$A$32,'Auto Responses'!$A$33,VLOOKUP($A258,'Case-Specific'!$A$13:$E$85,4,0))&amp;""</f>
        <v>This question does not apply.</v>
      </c>
      <c r="E258" s="288" t="str">
        <f>VLOOKUP($A258,'Case-Specific'!$A$13:$E$85,5,0)&amp;""</f>
        <v>Based on the response to REQU-05 on the "START HERE" tab, this question does not apply to this product or service.</v>
      </c>
      <c r="F258" s="186"/>
      <c r="G258" s="30" t="str">
        <f>VLOOKUP($A258,Questions!$A$2:$X$333,21,0)&amp;""</f>
        <v>Yes</v>
      </c>
      <c r="H258" s="176"/>
      <c r="I258" s="45" t="str">
        <f>VLOOKUP($A258,Questions!$A$2:$X$333,23,0)&amp;""</f>
        <v>Critical Importance</v>
      </c>
      <c r="J258" s="176"/>
      <c r="K258" s="48" t="b">
        <v>0</v>
      </c>
      <c r="L258" s="1"/>
    </row>
    <row r="259" spans="1:12" s="29" customFormat="1" ht="90" customHeight="1" x14ac:dyDescent="0.15">
      <c r="A259" s="19" t="str">
        <f>'Case-Specific'!A36</f>
        <v>HIPA-04</v>
      </c>
      <c r="B259" s="20" t="str">
        <f>VLOOKUP($A259,'Case-Specific'!$A$13:$E$85,2,0)&amp;""</f>
        <v>Have you entered into a Business Associate Agreements with all subcontractors who may have access to protected health information (PHI)?*</v>
      </c>
      <c r="C259" s="45" t="str">
        <f>VLOOKUP($A259,'Case-Specific'!$A$13:$E$85,3,0)&amp;""</f>
        <v>N/A</v>
      </c>
      <c r="D259" s="34" t="str">
        <f>IF(LEFT(VLOOKUP($A259,'Case-Specific'!$A$13:$E$85,5,0),21)='Auto Responses'!$A$32,'Auto Responses'!$A$33,VLOOKUP($A259,'Case-Specific'!$A$13:$E$85,4,0))&amp;""</f>
        <v>This question does not apply.</v>
      </c>
      <c r="E259" s="288" t="str">
        <f>VLOOKUP($A259,'Case-Specific'!$A$13:$E$85,5,0)&amp;""</f>
        <v>Based on the response to REQU-05 on the "START HERE" tab, this question does not apply to this product or service.</v>
      </c>
      <c r="F259" s="186"/>
      <c r="G259" s="30" t="str">
        <f>VLOOKUP($A259,Questions!$A$2:$X$333,21,0)&amp;""</f>
        <v>Yes</v>
      </c>
      <c r="H259" s="176"/>
      <c r="I259" s="45" t="str">
        <f>VLOOKUP($A259,Questions!$A$2:$X$333,23,0)&amp;""</f>
        <v>Critical Importance</v>
      </c>
      <c r="J259" s="176"/>
      <c r="K259" s="48" t="b">
        <v>0</v>
      </c>
      <c r="L259" s="1"/>
    </row>
    <row r="260" spans="1:12" s="29" customFormat="1" ht="90" customHeight="1" x14ac:dyDescent="0.15">
      <c r="A260" s="19" t="str">
        <f>'Case-Specific'!A37</f>
        <v>HIPA-05</v>
      </c>
      <c r="B260" s="20" t="str">
        <f>VLOOKUP($A260,'Case-Specific'!$A$13:$E$85,2,0)&amp;""</f>
        <v>Do you monitor or receive information regarding changes in HIPAA regulations?</v>
      </c>
      <c r="C260" s="45" t="str">
        <f>VLOOKUP($A260,'Case-Specific'!$A$13:$E$85,3,0)&amp;""</f>
        <v>N/A</v>
      </c>
      <c r="D260" s="34" t="str">
        <f>IF(LEFT(VLOOKUP($A260,'Case-Specific'!$A$13:$E$85,5,0),21)='Auto Responses'!$A$32,'Auto Responses'!$A$33,VLOOKUP($A260,'Case-Specific'!$A$13:$E$85,4,0))&amp;""</f>
        <v>This question does not apply.</v>
      </c>
      <c r="E260" s="288" t="str">
        <f>VLOOKUP($A260,'Case-Specific'!$A$13:$E$85,5,0)&amp;""</f>
        <v>Based on the response to REQU-05 on the "START HERE" tab, this question does not apply to this product or service.</v>
      </c>
      <c r="F260" s="186"/>
      <c r="G260" s="30" t="str">
        <f>VLOOKUP($A260,Questions!$A$2:$X$333,21,0)&amp;""</f>
        <v>Yes</v>
      </c>
      <c r="H260" s="176"/>
      <c r="I260" s="45" t="str">
        <f>VLOOKUP($A260,Questions!$A$2:$X$333,23,0)&amp;""</f>
        <v>Standard Importance</v>
      </c>
      <c r="J260" s="176"/>
      <c r="K260" s="48" t="b">
        <v>0</v>
      </c>
      <c r="L260" s="1"/>
    </row>
    <row r="261" spans="1:12" s="29" customFormat="1" ht="90" customHeight="1" x14ac:dyDescent="0.15">
      <c r="A261" s="19" t="str">
        <f>'Case-Specific'!A38</f>
        <v>HIPA-06</v>
      </c>
      <c r="B261" s="20" t="str">
        <f>VLOOKUP($A261,'Case-Specific'!$A$13:$E$85,2,0)&amp;""</f>
        <v>Has your organization designated HIPAA Privacy and Security officers as required by the rules?</v>
      </c>
      <c r="C261" s="45" t="str">
        <f>VLOOKUP($A261,'Case-Specific'!$A$13:$E$85,3,0)&amp;""</f>
        <v>N/A</v>
      </c>
      <c r="D261" s="34" t="str">
        <f>IF(LEFT(VLOOKUP($A261,'Case-Specific'!$A$13:$E$85,5,0),21)='Auto Responses'!$A$32,'Auto Responses'!$A$33,VLOOKUP($A261,'Case-Specific'!$A$13:$E$85,4,0))&amp;""</f>
        <v>This question does not apply.</v>
      </c>
      <c r="E261" s="288" t="str">
        <f>VLOOKUP($A261,'Case-Specific'!$A$13:$E$85,5,0)&amp;""</f>
        <v>Based on the response to REQU-05 on the "START HERE" tab, this question does not apply to this product or service.</v>
      </c>
      <c r="F261" s="186"/>
      <c r="G261" s="30" t="str">
        <f>VLOOKUP($A261,Questions!$A$2:$X$333,21,0)&amp;""</f>
        <v>Yes</v>
      </c>
      <c r="H261" s="176"/>
      <c r="I261" s="45" t="str">
        <f>VLOOKUP($A261,Questions!$A$2:$X$333,23,0)&amp;""</f>
        <v>Standard Importance</v>
      </c>
      <c r="J261" s="176"/>
      <c r="K261" s="48" t="b">
        <v>0</v>
      </c>
      <c r="L261" s="1"/>
    </row>
    <row r="262" spans="1:12" s="29" customFormat="1" ht="90" customHeight="1" x14ac:dyDescent="0.15">
      <c r="A262" s="19" t="str">
        <f>'Case-Specific'!A39</f>
        <v>HIPA-07</v>
      </c>
      <c r="B262" s="20" t="str">
        <f>VLOOKUP($A262,'Case-Specific'!$A$13:$E$85,2,0)&amp;""</f>
        <v>Do you comply with the requirements of the Health Information Technology for Economic and Clinical Health Act (HITECH)?</v>
      </c>
      <c r="C262" s="45" t="str">
        <f>VLOOKUP($A262,'Case-Specific'!$A$13:$E$85,3,0)&amp;""</f>
        <v>N/A</v>
      </c>
      <c r="D262" s="34" t="str">
        <f>IF(LEFT(VLOOKUP($A262,'Case-Specific'!$A$13:$E$85,5,0),21)='Auto Responses'!$A$32,'Auto Responses'!$A$33,VLOOKUP($A262,'Case-Specific'!$A$13:$E$85,4,0))&amp;""</f>
        <v>This question does not apply.</v>
      </c>
      <c r="E262" s="288" t="str">
        <f>VLOOKUP($A262,'Case-Specific'!$A$13:$E$85,5,0)&amp;""</f>
        <v>Based on the response to REQU-05 on the "START HERE" tab, this question does not apply to this product or service.</v>
      </c>
      <c r="F262" s="186"/>
      <c r="G262" s="30" t="str">
        <f>VLOOKUP($A262,Questions!$A$2:$X$333,21,0)&amp;""</f>
        <v>Yes</v>
      </c>
      <c r="H262" s="176"/>
      <c r="I262" s="45" t="str">
        <f>VLOOKUP($A262,Questions!$A$2:$X$333,23,0)&amp;""</f>
        <v>Standard Importance</v>
      </c>
      <c r="J262" s="176"/>
      <c r="K262" s="48" t="b">
        <v>0</v>
      </c>
      <c r="L262" s="1"/>
    </row>
    <row r="263" spans="1:12" s="29" customFormat="1" ht="90" customHeight="1" x14ac:dyDescent="0.15">
      <c r="A263" s="19" t="str">
        <f>'Case-Specific'!A40</f>
        <v>HIPA-08</v>
      </c>
      <c r="B263" s="20" t="str">
        <f>VLOOKUP($A263,'Case-Specific'!$A$13:$E$85,2,0)&amp;""</f>
        <v>Have you conducted a risk analysis as required under the HIPAA Security Rule?</v>
      </c>
      <c r="C263" s="45" t="str">
        <f>VLOOKUP($A263,'Case-Specific'!$A$13:$E$85,3,0)&amp;""</f>
        <v>N/A</v>
      </c>
      <c r="D263" s="34" t="str">
        <f>IF(LEFT(VLOOKUP($A263,'Case-Specific'!$A$13:$E$85,5,0),21)='Auto Responses'!$A$32,'Auto Responses'!$A$33,VLOOKUP($A263,'Case-Specific'!$A$13:$E$85,4,0))&amp;""</f>
        <v>This question does not apply.</v>
      </c>
      <c r="E263" s="288" t="str">
        <f>VLOOKUP($A263,'Case-Specific'!$A$13:$E$85,5,0)&amp;""</f>
        <v>Based on the response to REQU-05 on the "START HERE" tab, this question does not apply to this product or service.</v>
      </c>
      <c r="F263" s="186"/>
      <c r="G263" s="30" t="str">
        <f>VLOOKUP($A263,Questions!$A$2:$X$333,21,0)&amp;""</f>
        <v>Yes</v>
      </c>
      <c r="H263" s="176"/>
      <c r="I263" s="45" t="str">
        <f>VLOOKUP($A263,Questions!$A$2:$X$333,23,0)&amp;""</f>
        <v>Standard Importance</v>
      </c>
      <c r="J263" s="176"/>
      <c r="K263" s="48" t="b">
        <v>0</v>
      </c>
      <c r="L263" s="1"/>
    </row>
    <row r="264" spans="1:12" s="29" customFormat="1" ht="90" customHeight="1" x14ac:dyDescent="0.15">
      <c r="A264" s="19" t="str">
        <f>'Case-Specific'!A41</f>
        <v>HIPA-09</v>
      </c>
      <c r="B264" s="20" t="str">
        <f>VLOOKUP($A264,'Case-Specific'!$A$13:$E$85,2,0)&amp;""</f>
        <v>Have you taken actions to mitigate the identified risks?</v>
      </c>
      <c r="C264" s="45" t="str">
        <f>VLOOKUP($A264,'Case-Specific'!$A$13:$E$85,3,0)&amp;""</f>
        <v>N/A</v>
      </c>
      <c r="D264" s="34" t="str">
        <f>IF(LEFT(VLOOKUP($A264,'Case-Specific'!$A$13:$E$85,5,0),21)='Auto Responses'!$A$32,'Auto Responses'!$A$33,VLOOKUP($A264,'Case-Specific'!$A$13:$E$85,4,0))&amp;""</f>
        <v>This question does not apply.</v>
      </c>
      <c r="E264" s="288" t="str">
        <f>VLOOKUP($A264,'Case-Specific'!$A$13:$E$85,5,0)&amp;""</f>
        <v>Based on the response to REQU-05 on the "START HERE" tab, this question does not apply to this product or service.</v>
      </c>
      <c r="F264" s="186"/>
      <c r="G264" s="30" t="str">
        <f>VLOOKUP($A264,Questions!$A$2:$X$333,21,0)&amp;""</f>
        <v>Yes</v>
      </c>
      <c r="H264" s="176"/>
      <c r="I264" s="45" t="str">
        <f>VLOOKUP($A264,Questions!$A$2:$X$333,23,0)&amp;""</f>
        <v>Standard Importance</v>
      </c>
      <c r="J264" s="176"/>
      <c r="K264" s="48" t="b">
        <v>0</v>
      </c>
      <c r="L264" s="1"/>
    </row>
    <row r="265" spans="1:12" s="29" customFormat="1" ht="90" customHeight="1" x14ac:dyDescent="0.15">
      <c r="A265" s="19" t="str">
        <f>'Case-Specific'!A42</f>
        <v>HIPA-10</v>
      </c>
      <c r="B265" s="20" t="str">
        <f>VLOOKUP($A265,'Case-Specific'!$A$13:$E$85,2,0)&amp;""</f>
        <v>Does your application require user and system administrator password changes at a frequency no greater than 90 days?</v>
      </c>
      <c r="C265" s="45" t="str">
        <f>VLOOKUP($A265,'Case-Specific'!$A$13:$E$85,3,0)&amp;""</f>
        <v>N/A</v>
      </c>
      <c r="D265" s="34" t="str">
        <f>IF(LEFT(VLOOKUP($A265,'Case-Specific'!$A$13:$E$85,5,0),21)='Auto Responses'!$A$32,'Auto Responses'!$A$33,VLOOKUP($A265,'Case-Specific'!$A$13:$E$85,4,0))&amp;""</f>
        <v>This question does not apply.</v>
      </c>
      <c r="E265" s="288" t="str">
        <f>VLOOKUP($A265,'Case-Specific'!$A$13:$E$85,5,0)&amp;""</f>
        <v>Based on the response to REQU-05 on the "START HERE" tab, this question does not apply to this product or service.</v>
      </c>
      <c r="F265" s="186"/>
      <c r="G265" s="30" t="str">
        <f>VLOOKUP($A265,Questions!$A$2:$X$333,21,0)&amp;""</f>
        <v>Yes</v>
      </c>
      <c r="H265" s="176"/>
      <c r="I265" s="45" t="str">
        <f>VLOOKUP($A265,Questions!$A$2:$X$333,23,0)&amp;""</f>
        <v>Standard Importance</v>
      </c>
      <c r="J265" s="176"/>
      <c r="K265" s="48" t="b">
        <v>0</v>
      </c>
      <c r="L265" s="1"/>
    </row>
    <row r="266" spans="1:12" s="29" customFormat="1" ht="90" customHeight="1" x14ac:dyDescent="0.15">
      <c r="A266" s="19" t="str">
        <f>'Case-Specific'!A43</f>
        <v>HIPA-11</v>
      </c>
      <c r="B266" s="20" t="str">
        <f>VLOOKUP($A266,'Case-Specific'!$A$13:$E$85,2,0)&amp;""</f>
        <v>Does your application require users to set their own password after an administrator reset or on first use of the account?</v>
      </c>
      <c r="C266" s="45" t="str">
        <f>VLOOKUP($A266,'Case-Specific'!$A$13:$E$85,3,0)&amp;""</f>
        <v>N/A</v>
      </c>
      <c r="D266" s="34" t="str">
        <f>IF(LEFT(VLOOKUP($A266,'Case-Specific'!$A$13:$E$85,5,0),21)='Auto Responses'!$A$32,'Auto Responses'!$A$33,VLOOKUP($A266,'Case-Specific'!$A$13:$E$85,4,0))&amp;""</f>
        <v>This question does not apply.</v>
      </c>
      <c r="E266" s="288" t="str">
        <f>VLOOKUP($A266,'Case-Specific'!$A$13:$E$85,5,0)&amp;""</f>
        <v>Based on the response to REQU-05 on the "START HERE" tab, this question does not apply to this product or service.</v>
      </c>
      <c r="F266" s="186"/>
      <c r="G266" s="30" t="str">
        <f>VLOOKUP($A266,Questions!$A$2:$X$333,21,0)&amp;""</f>
        <v>Yes</v>
      </c>
      <c r="H266" s="176"/>
      <c r="I266" s="45" t="str">
        <f>VLOOKUP($A266,Questions!$A$2:$X$333,23,0)&amp;""</f>
        <v>Standard Importance</v>
      </c>
      <c r="J266" s="176"/>
      <c r="K266" s="48" t="b">
        <v>0</v>
      </c>
      <c r="L266" s="1"/>
    </row>
    <row r="267" spans="1:12" s="29" customFormat="1" ht="90" customHeight="1" x14ac:dyDescent="0.15">
      <c r="A267" s="19" t="str">
        <f>'Case-Specific'!A44</f>
        <v>HIPA-12</v>
      </c>
      <c r="B267" s="20" t="str">
        <f>VLOOKUP($A267,'Case-Specific'!$A$13:$E$85,2,0)&amp;""</f>
        <v>Does your application lock out an account after a number of failed login attempts?</v>
      </c>
      <c r="C267" s="45" t="str">
        <f>VLOOKUP($A267,'Case-Specific'!$A$13:$E$85,3,0)&amp;""</f>
        <v>N/A</v>
      </c>
      <c r="D267" s="34" t="str">
        <f>IF(LEFT(VLOOKUP($A267,'Case-Specific'!$A$13:$E$85,5,0),21)='Auto Responses'!$A$32,'Auto Responses'!$A$33,VLOOKUP($A267,'Case-Specific'!$A$13:$E$85,4,0))&amp;""</f>
        <v>This question does not apply.</v>
      </c>
      <c r="E267" s="288" t="str">
        <f>VLOOKUP($A267,'Case-Specific'!$A$13:$E$85,5,0)&amp;""</f>
        <v>Based on the response to REQU-05 on the "START HERE" tab, this question does not apply to this product or service.</v>
      </c>
      <c r="F267" s="186"/>
      <c r="G267" s="30" t="str">
        <f>VLOOKUP($A267,Questions!$A$2:$X$333,21,0)&amp;""</f>
        <v>Yes</v>
      </c>
      <c r="H267" s="176"/>
      <c r="I267" s="45" t="str">
        <f>VLOOKUP($A267,Questions!$A$2:$X$333,23,0)&amp;""</f>
        <v>Standard Importance</v>
      </c>
      <c r="J267" s="176"/>
      <c r="K267" s="48" t="b">
        <v>0</v>
      </c>
      <c r="L267" s="1"/>
    </row>
    <row r="268" spans="1:12" s="29" customFormat="1" ht="90" customHeight="1" x14ac:dyDescent="0.15">
      <c r="A268" s="19" t="str">
        <f>'Case-Specific'!A45</f>
        <v>HIPA-13</v>
      </c>
      <c r="B268" s="20" t="str">
        <f>VLOOKUP($A268,'Case-Specific'!$A$13:$E$85,2,0)&amp;""</f>
        <v>Does your application automatically lock or log-out an account after a period of inactivity?</v>
      </c>
      <c r="C268" s="45" t="str">
        <f>VLOOKUP($A268,'Case-Specific'!$A$13:$E$85,3,0)&amp;""</f>
        <v>N/A</v>
      </c>
      <c r="D268" s="34" t="str">
        <f>IF(LEFT(VLOOKUP($A268,'Case-Specific'!$A$13:$E$85,5,0),21)='Auto Responses'!$A$32,'Auto Responses'!$A$33,VLOOKUP($A268,'Case-Specific'!$A$13:$E$85,4,0))&amp;""</f>
        <v>This question does not apply.</v>
      </c>
      <c r="E268" s="288" t="str">
        <f>VLOOKUP($A268,'Case-Specific'!$A$13:$E$85,5,0)&amp;""</f>
        <v>Based on the response to REQU-05 on the "START HERE" tab, this question does not apply to this product or service.</v>
      </c>
      <c r="F268" s="186"/>
      <c r="G268" s="30" t="str">
        <f>VLOOKUP($A268,Questions!$A$2:$X$333,21,0)&amp;""</f>
        <v>Yes</v>
      </c>
      <c r="H268" s="176"/>
      <c r="I268" s="45" t="str">
        <f>VLOOKUP($A268,Questions!$A$2:$X$333,23,0)&amp;""</f>
        <v>Standard Importance</v>
      </c>
      <c r="J268" s="176"/>
      <c r="K268" s="48" t="b">
        <v>0</v>
      </c>
      <c r="L268" s="1"/>
    </row>
    <row r="269" spans="1:12" s="29" customFormat="1" ht="90" customHeight="1" x14ac:dyDescent="0.15">
      <c r="A269" s="19" t="str">
        <f>'Case-Specific'!A46</f>
        <v>HIPA-14</v>
      </c>
      <c r="B269" s="20" t="str">
        <f>VLOOKUP($A269,'Case-Specific'!$A$13:$E$85,2,0)&amp;""</f>
        <v>Are passwords visible in plain text, whether when stored or entered, including service level accounts (i.e., database accounts, etc.)?</v>
      </c>
      <c r="C269" s="45" t="str">
        <f>VLOOKUP($A269,'Case-Specific'!$A$13:$E$85,3,0)&amp;""</f>
        <v>N/A</v>
      </c>
      <c r="D269" s="34" t="str">
        <f>IF(LEFT(VLOOKUP($A269,'Case-Specific'!$A$13:$E$85,5,0),21)='Auto Responses'!$A$32,'Auto Responses'!$A$33,VLOOKUP($A269,'Case-Specific'!$A$13:$E$85,4,0))&amp;""</f>
        <v>This question does not apply.</v>
      </c>
      <c r="E269" s="288" t="str">
        <f>VLOOKUP($A269,'Case-Specific'!$A$13:$E$85,5,0)&amp;""</f>
        <v>Based on the response to REQU-05 on the "START HERE" tab, this question does not apply to this product or service.</v>
      </c>
      <c r="F269" s="186"/>
      <c r="G269" s="30" t="str">
        <f>VLOOKUP($A269,Questions!$A$2:$X$333,21,0)&amp;""</f>
        <v>No</v>
      </c>
      <c r="H269" s="176"/>
      <c r="I269" s="45" t="str">
        <f>VLOOKUP($A269,Questions!$A$2:$X$333,23,0)&amp;""</f>
        <v>Standard Importance</v>
      </c>
      <c r="J269" s="176"/>
      <c r="K269" s="48" t="b">
        <v>0</v>
      </c>
      <c r="L269" s="1"/>
    </row>
    <row r="270" spans="1:12" s="29" customFormat="1" ht="90" customHeight="1" x14ac:dyDescent="0.15">
      <c r="A270" s="19" t="str">
        <f>'Case-Specific'!A47</f>
        <v>HIPA-15</v>
      </c>
      <c r="B270" s="20" t="str">
        <f>VLOOKUP($A270,'Case-Specific'!$A$13:$E$85,2,0)&amp;""</f>
        <v>If the application is institution-hosted, can all service level and administrative account passwords be changed by the institution?</v>
      </c>
      <c r="C270" s="45" t="str">
        <f>VLOOKUP($A270,'Case-Specific'!$A$13:$E$85,3,0)&amp;""</f>
        <v>N/A</v>
      </c>
      <c r="D270" s="34" t="str">
        <f>IF(LEFT(VLOOKUP($A270,'Case-Specific'!$A$13:$E$85,5,0),21)='Auto Responses'!$A$32,'Auto Responses'!$A$33,VLOOKUP($A270,'Case-Specific'!$A$13:$E$85,4,0))&amp;""</f>
        <v>This question does not apply.</v>
      </c>
      <c r="E270" s="288" t="str">
        <f>VLOOKUP($A270,'Case-Specific'!$A$13:$E$85,5,0)&amp;""</f>
        <v>Based on the response to REQU-05 on the "START HERE" tab, this question does not apply to this product or service.</v>
      </c>
      <c r="F270" s="186"/>
      <c r="G270" s="30" t="str">
        <f>VLOOKUP($A270,Questions!$A$2:$X$333,21,0)&amp;""</f>
        <v>Yes</v>
      </c>
      <c r="H270" s="176"/>
      <c r="I270" s="45" t="str">
        <f>VLOOKUP($A270,Questions!$A$2:$X$333,23,0)&amp;""</f>
        <v>Standard Importance</v>
      </c>
      <c r="J270" s="176"/>
      <c r="K270" s="48" t="b">
        <v>0</v>
      </c>
      <c r="L270" s="1"/>
    </row>
    <row r="271" spans="1:12" s="29" customFormat="1" ht="90" customHeight="1" x14ac:dyDescent="0.15">
      <c r="A271" s="19" t="str">
        <f>'Case-Specific'!A48</f>
        <v>HIPA-16</v>
      </c>
      <c r="B271" s="20" t="str">
        <f>VLOOKUP($A271,'Case-Specific'!$A$13:$E$85,2,0)&amp;""</f>
        <v>Does your application provide the ability to define user access levels?</v>
      </c>
      <c r="C271" s="45" t="str">
        <f>VLOOKUP($A271,'Case-Specific'!$A$13:$E$85,3,0)&amp;""</f>
        <v>N/A</v>
      </c>
      <c r="D271" s="34" t="str">
        <f>IF(LEFT(VLOOKUP($A271,'Case-Specific'!$A$13:$E$85,5,0),21)='Auto Responses'!$A$32,'Auto Responses'!$A$33,VLOOKUP($A271,'Case-Specific'!$A$13:$E$85,4,0))&amp;""</f>
        <v>This question does not apply.</v>
      </c>
      <c r="E271" s="288" t="str">
        <f>VLOOKUP($A271,'Case-Specific'!$A$13:$E$85,5,0)&amp;""</f>
        <v>Based on the response to REQU-05 on the "START HERE" tab, this question does not apply to this product or service.</v>
      </c>
      <c r="F271" s="186"/>
      <c r="G271" s="30" t="str">
        <f>VLOOKUP($A271,Questions!$A$2:$X$333,21,0)&amp;""</f>
        <v>Yes</v>
      </c>
      <c r="H271" s="176"/>
      <c r="I271" s="45" t="str">
        <f>VLOOKUP($A271,Questions!$A$2:$X$333,23,0)&amp;""</f>
        <v>Standard Importance</v>
      </c>
      <c r="J271" s="176"/>
      <c r="K271" s="48" t="b">
        <v>0</v>
      </c>
      <c r="L271" s="1"/>
    </row>
    <row r="272" spans="1:12" s="29" customFormat="1" ht="90" customHeight="1" x14ac:dyDescent="0.15">
      <c r="A272" s="19" t="str">
        <f>'Case-Specific'!A49</f>
        <v>HIPA-17</v>
      </c>
      <c r="B272" s="20" t="str">
        <f>VLOOKUP($A272,'Case-Specific'!$A$13:$E$85,2,0)&amp;""</f>
        <v>Does your application support varying levels of access to administrative tasks defined individually per user?</v>
      </c>
      <c r="C272" s="45" t="str">
        <f>VLOOKUP($A272,'Case-Specific'!$A$13:$E$85,3,0)&amp;""</f>
        <v>N/A</v>
      </c>
      <c r="D272" s="34" t="str">
        <f>IF(LEFT(VLOOKUP($A272,'Case-Specific'!$A$13:$E$85,5,0),21)='Auto Responses'!$A$32,'Auto Responses'!$A$33,VLOOKUP($A272,'Case-Specific'!$A$13:$E$85,4,0))&amp;""</f>
        <v>This question does not apply.</v>
      </c>
      <c r="E272" s="288" t="str">
        <f>VLOOKUP($A272,'Case-Specific'!$A$13:$E$85,5,0)&amp;""</f>
        <v>Based on the response to REQU-05 on the "START HERE" tab, this question does not apply to this product or service.</v>
      </c>
      <c r="F272" s="186"/>
      <c r="G272" s="30" t="str">
        <f>VLOOKUP($A272,Questions!$A$2:$X$333,21,0)&amp;""</f>
        <v>Yes</v>
      </c>
      <c r="H272" s="176"/>
      <c r="I272" s="45" t="str">
        <f>VLOOKUP($A272,Questions!$A$2:$X$333,23,0)&amp;""</f>
        <v>Standard Importance</v>
      </c>
      <c r="J272" s="176"/>
      <c r="K272" s="48" t="b">
        <v>0</v>
      </c>
      <c r="L272" s="1"/>
    </row>
    <row r="273" spans="1:12" s="29" customFormat="1" ht="90" customHeight="1" x14ac:dyDescent="0.15">
      <c r="A273" s="19" t="str">
        <f>'Case-Specific'!A50</f>
        <v>HIPA-18</v>
      </c>
      <c r="B273" s="20" t="str">
        <f>VLOOKUP($A273,'Case-Specific'!$A$13:$E$85,2,0)&amp;""</f>
        <v>Does your application support varying levels of access to records based on user ID?</v>
      </c>
      <c r="C273" s="45" t="str">
        <f>VLOOKUP($A273,'Case-Specific'!$A$13:$E$85,3,0)&amp;""</f>
        <v>N/A</v>
      </c>
      <c r="D273" s="34" t="str">
        <f>IF(LEFT(VLOOKUP($A273,'Case-Specific'!$A$13:$E$85,5,0),21)='Auto Responses'!$A$32,'Auto Responses'!$A$33,VLOOKUP($A273,'Case-Specific'!$A$13:$E$85,4,0))&amp;""</f>
        <v>This question does not apply.</v>
      </c>
      <c r="E273" s="288" t="str">
        <f>VLOOKUP($A273,'Case-Specific'!$A$13:$E$85,5,0)&amp;""</f>
        <v>Based on the response to REQU-05 on the "START HERE" tab, this question does not apply to this product or service.</v>
      </c>
      <c r="F273" s="186"/>
      <c r="G273" s="30" t="str">
        <f>VLOOKUP($A273,Questions!$A$2:$X$333,21,0)&amp;""</f>
        <v>No</v>
      </c>
      <c r="H273" s="176"/>
      <c r="I273" s="45" t="str">
        <f>VLOOKUP($A273,Questions!$A$2:$X$333,23,0)&amp;""</f>
        <v>Standard Importance</v>
      </c>
      <c r="J273" s="176"/>
      <c r="K273" s="48" t="b">
        <v>0</v>
      </c>
      <c r="L273" s="1"/>
    </row>
    <row r="274" spans="1:12" s="29" customFormat="1" ht="90" customHeight="1" x14ac:dyDescent="0.15">
      <c r="A274" s="19" t="str">
        <f>'Case-Specific'!A51</f>
        <v>HIPA-19</v>
      </c>
      <c r="B274" s="20" t="str">
        <f>VLOOKUP($A274,'Case-Specific'!$A$13:$E$85,2,0)&amp;""</f>
        <v>Is there a limit to the number of groups to which a user can be assigned?</v>
      </c>
      <c r="C274" s="45" t="str">
        <f>VLOOKUP($A274,'Case-Specific'!$A$13:$E$85,3,0)&amp;""</f>
        <v>N/A</v>
      </c>
      <c r="D274" s="34" t="str">
        <f>IF(LEFT(VLOOKUP($A274,'Case-Specific'!$A$13:$E$85,5,0),21)='Auto Responses'!$A$32,'Auto Responses'!$A$33,VLOOKUP($A274,'Case-Specific'!$A$13:$E$85,4,0))&amp;""</f>
        <v>This question does not apply.</v>
      </c>
      <c r="E274" s="288" t="str">
        <f>VLOOKUP($A274,'Case-Specific'!$A$13:$E$85,5,0)&amp;""</f>
        <v>Based on the response to REQU-05 on the "START HERE" tab, this question does not apply to this product or service.</v>
      </c>
      <c r="F274" s="186"/>
      <c r="G274" s="30" t="str">
        <f>VLOOKUP($A274,Questions!$A$2:$X$333,21,0)&amp;""</f>
        <v>Yes</v>
      </c>
      <c r="H274" s="176"/>
      <c r="I274" s="45" t="str">
        <f>VLOOKUP($A274,Questions!$A$2:$X$333,23,0)&amp;""</f>
        <v>Standard Importance</v>
      </c>
      <c r="J274" s="176"/>
      <c r="K274" s="48" t="b">
        <v>0</v>
      </c>
      <c r="L274" s="1"/>
    </row>
    <row r="275" spans="1:12" s="29" customFormat="1" ht="90" customHeight="1" x14ac:dyDescent="0.15">
      <c r="A275" s="19" t="str">
        <f>'Case-Specific'!A52</f>
        <v>HIPA-20</v>
      </c>
      <c r="B275" s="20" t="str">
        <f>VLOOKUP($A275,'Case-Specific'!$A$13:$E$85,2,0)&amp;""</f>
        <v>Do accounts used for solution provider-supplied remote support abide by the same authentication policies and access logging as the rest of the system?</v>
      </c>
      <c r="C275" s="45" t="str">
        <f>VLOOKUP($A275,'Case-Specific'!$A$13:$E$85,3,0)&amp;""</f>
        <v>N/A</v>
      </c>
      <c r="D275" s="34" t="str">
        <f>IF(LEFT(VLOOKUP($A275,'Case-Specific'!$A$13:$E$85,5,0),21)='Auto Responses'!$A$32,'Auto Responses'!$A$33,VLOOKUP($A275,'Case-Specific'!$A$13:$E$85,4,0))&amp;""</f>
        <v>This question does not apply.</v>
      </c>
      <c r="E275" s="288" t="str">
        <f>VLOOKUP($A275,'Case-Specific'!$A$13:$E$85,5,0)&amp;""</f>
        <v>Based on the response to REQU-05 on the "START HERE" tab, this question does not apply to this product or service.</v>
      </c>
      <c r="F275" s="186"/>
      <c r="G275" s="30" t="str">
        <f>VLOOKUP($A275,Questions!$A$2:$X$333,21,0)&amp;""</f>
        <v>Yes</v>
      </c>
      <c r="H275" s="176"/>
      <c r="I275" s="45" t="str">
        <f>VLOOKUP($A275,Questions!$A$2:$X$333,23,0)&amp;""</f>
        <v>Standard Importance</v>
      </c>
      <c r="J275" s="176"/>
      <c r="K275" s="48" t="b">
        <v>0</v>
      </c>
      <c r="L275" s="1"/>
    </row>
    <row r="276" spans="1:12" s="29" customFormat="1" ht="90" customHeight="1" x14ac:dyDescent="0.15">
      <c r="A276" s="19" t="str">
        <f>'Case-Specific'!A53</f>
        <v>HIPA-21</v>
      </c>
      <c r="B276" s="20" t="str">
        <f>VLOOKUP($A276,'Case-Specific'!$A$13:$E$85,2,0)&amp;""</f>
        <v>Does the application log record access including specific user, date/time of access, and originating IP or device?</v>
      </c>
      <c r="C276" s="45" t="str">
        <f>VLOOKUP($A276,'Case-Specific'!$A$13:$E$85,3,0)&amp;""</f>
        <v>N/A</v>
      </c>
      <c r="D276" s="34" t="str">
        <f>IF(LEFT(VLOOKUP($A276,'Case-Specific'!$A$13:$E$85,5,0),21)='Auto Responses'!$A$32,'Auto Responses'!$A$33,VLOOKUP($A276,'Case-Specific'!$A$13:$E$85,4,0))&amp;""</f>
        <v>This question does not apply.</v>
      </c>
      <c r="E276" s="288" t="str">
        <f>VLOOKUP($A276,'Case-Specific'!$A$13:$E$85,5,0)&amp;""</f>
        <v>Based on the response to REQU-05 on the "START HERE" tab, this question does not apply to this product or service.</v>
      </c>
      <c r="F276" s="186"/>
      <c r="G276" s="30" t="str">
        <f>VLOOKUP($A276,Questions!$A$2:$X$333,21,0)&amp;""</f>
        <v>Yes</v>
      </c>
      <c r="H276" s="176"/>
      <c r="I276" s="45" t="str">
        <f>VLOOKUP($A276,Questions!$A$2:$X$333,23,0)&amp;""</f>
        <v>Standard Importance</v>
      </c>
      <c r="J276" s="176"/>
      <c r="K276" s="48" t="b">
        <v>0</v>
      </c>
      <c r="L276" s="1"/>
    </row>
    <row r="277" spans="1:12" s="29" customFormat="1" ht="90" customHeight="1" x14ac:dyDescent="0.15">
      <c r="A277" s="19" t="str">
        <f>'Case-Specific'!A54</f>
        <v>HIPA-22</v>
      </c>
      <c r="B277" s="20" t="str">
        <f>VLOOKUP($A277,'Case-Specific'!$A$13:$E$85,2,0)&amp;""</f>
        <v>Does the application log administrative activity, such as user account access changes and password changes, including specific user, date/time of changes, and originating IP or device?</v>
      </c>
      <c r="C277" s="45" t="str">
        <f>VLOOKUP($A277,'Case-Specific'!$A$13:$E$85,3,0)&amp;""</f>
        <v>N/A</v>
      </c>
      <c r="D277" s="34" t="str">
        <f>IF(LEFT(VLOOKUP($A277,'Case-Specific'!$A$13:$E$85,5,0),21)='Auto Responses'!$A$32,'Auto Responses'!$A$33,VLOOKUP($A277,'Case-Specific'!$A$13:$E$85,4,0))&amp;""</f>
        <v>This question does not apply.</v>
      </c>
      <c r="E277" s="288" t="str">
        <f>VLOOKUP($A277,'Case-Specific'!$A$13:$E$85,5,0)&amp;""</f>
        <v>Based on the response to REQU-05 on the "START HERE" tab, this question does not apply to this product or service.</v>
      </c>
      <c r="F277" s="186"/>
      <c r="G277" s="30" t="str">
        <f>VLOOKUP($A277,Questions!$A$2:$X$333,21,0)&amp;""</f>
        <v>Yes</v>
      </c>
      <c r="H277" s="176"/>
      <c r="I277" s="45" t="str">
        <f>VLOOKUP($A277,Questions!$A$2:$X$333,23,0)&amp;""</f>
        <v>Standard Importance</v>
      </c>
      <c r="J277" s="176"/>
      <c r="K277" s="48" t="b">
        <v>0</v>
      </c>
      <c r="L277" s="1"/>
    </row>
    <row r="278" spans="1:12" s="29" customFormat="1" ht="90" customHeight="1" x14ac:dyDescent="0.15">
      <c r="A278" s="19" t="str">
        <f>'Case-Specific'!A55</f>
        <v>HIPA-23</v>
      </c>
      <c r="B278" s="20" t="str">
        <f>VLOOKUP($A278,'Case-Specific'!$A$13:$E$85,2,0)&amp;""</f>
        <v>Do you retain logs for at least as long as required by HIPAA regulations?</v>
      </c>
      <c r="C278" s="45" t="str">
        <f>VLOOKUP($A278,'Case-Specific'!$A$13:$E$85,3,0)&amp;""</f>
        <v>N/A</v>
      </c>
      <c r="D278" s="34" t="str">
        <f>IF(LEFT(VLOOKUP($A278,'Case-Specific'!$A$13:$E$85,5,0),21)='Auto Responses'!$A$32,'Auto Responses'!$A$33,VLOOKUP($A278,'Case-Specific'!$A$13:$E$85,4,0))&amp;""</f>
        <v>This question does not apply.</v>
      </c>
      <c r="E278" s="288" t="str">
        <f>VLOOKUP($A278,'Case-Specific'!$A$13:$E$85,5,0)&amp;""</f>
        <v>Based on the response to REQU-05 on the "START HERE" tab, this question does not apply to this product or service.</v>
      </c>
      <c r="F278" s="186"/>
      <c r="G278" s="30" t="str">
        <f>VLOOKUP($A278,Questions!$A$2:$X$333,21,0)&amp;""</f>
        <v>Yes</v>
      </c>
      <c r="H278" s="176"/>
      <c r="I278" s="45" t="str">
        <f>VLOOKUP($A278,Questions!$A$2:$X$333,23,0)&amp;""</f>
        <v>Standard Importance</v>
      </c>
      <c r="J278" s="176"/>
      <c r="K278" s="48" t="b">
        <v>0</v>
      </c>
      <c r="L278" s="1"/>
    </row>
    <row r="279" spans="1:12" s="29" customFormat="1" ht="90" customHeight="1" x14ac:dyDescent="0.15">
      <c r="A279" s="19" t="str">
        <f>'Case-Specific'!A56</f>
        <v>HIPA-24</v>
      </c>
      <c r="B279" s="20" t="str">
        <f>VLOOKUP($A279,'Case-Specific'!$A$13:$E$85,2,0)&amp;""</f>
        <v>Can the application logs be archived?</v>
      </c>
      <c r="C279" s="45" t="str">
        <f>VLOOKUP($A279,'Case-Specific'!$A$13:$E$85,3,0)&amp;""</f>
        <v>N/A</v>
      </c>
      <c r="D279" s="34" t="str">
        <f>IF(LEFT(VLOOKUP($A279,'Case-Specific'!$A$13:$E$85,5,0),21)='Auto Responses'!$A$32,'Auto Responses'!$A$33,VLOOKUP($A279,'Case-Specific'!$A$13:$E$85,4,0))&amp;""</f>
        <v>This question does not apply.</v>
      </c>
      <c r="E279" s="288" t="str">
        <f>VLOOKUP($A279,'Case-Specific'!$A$13:$E$85,5,0)&amp;""</f>
        <v>Based on the response to REQU-05 on the "START HERE" tab, this question does not apply to this product or service.</v>
      </c>
      <c r="F279" s="186"/>
      <c r="G279" s="30" t="str">
        <f>VLOOKUP($A279,Questions!$A$2:$X$333,21,0)&amp;""</f>
        <v>Yes</v>
      </c>
      <c r="H279" s="176"/>
      <c r="I279" s="45" t="str">
        <f>VLOOKUP($A279,Questions!$A$2:$X$333,23,0)&amp;""</f>
        <v>Standard Importance</v>
      </c>
      <c r="J279" s="176"/>
      <c r="K279" s="48" t="b">
        <v>0</v>
      </c>
      <c r="L279" s="1"/>
    </row>
    <row r="280" spans="1:12" s="29" customFormat="1" ht="90" customHeight="1" x14ac:dyDescent="0.15">
      <c r="A280" s="19" t="str">
        <f>'Case-Specific'!A57</f>
        <v>HIPA-25</v>
      </c>
      <c r="B280" s="20" t="str">
        <f>VLOOKUP($A280,'Case-Specific'!$A$13:$E$85,2,0)&amp;""</f>
        <v>Can the application logs be saved externally?</v>
      </c>
      <c r="C280" s="45" t="str">
        <f>VLOOKUP($A280,'Case-Specific'!$A$13:$E$85,3,0)&amp;""</f>
        <v>N/A</v>
      </c>
      <c r="D280" s="34" t="str">
        <f>IF(LEFT(VLOOKUP($A280,'Case-Specific'!$A$13:$E$85,5,0),21)='Auto Responses'!$A$32,'Auto Responses'!$A$33,VLOOKUP($A280,'Case-Specific'!$A$13:$E$85,4,0))&amp;""</f>
        <v>This question does not apply.</v>
      </c>
      <c r="E280" s="288" t="str">
        <f>VLOOKUP($A280,'Case-Specific'!$A$13:$E$85,5,0)&amp;""</f>
        <v>Based on the response to REQU-05 on the "START HERE" tab, this question does not apply to this product or service.</v>
      </c>
      <c r="F280" s="186"/>
      <c r="G280" s="30" t="str">
        <f>VLOOKUP($A280,Questions!$A$2:$X$333,21,0)&amp;""</f>
        <v>Yes</v>
      </c>
      <c r="H280" s="176"/>
      <c r="I280" s="45" t="str">
        <f>VLOOKUP($A280,Questions!$A$2:$X$333,23,0)&amp;""</f>
        <v>Standard Importance</v>
      </c>
      <c r="J280" s="176"/>
      <c r="K280" s="48" t="b">
        <v>0</v>
      </c>
      <c r="L280" s="1"/>
    </row>
    <row r="281" spans="1:12" s="29" customFormat="1" ht="90" customHeight="1" x14ac:dyDescent="0.15">
      <c r="A281" s="19" t="str">
        <f>'Case-Specific'!A58</f>
        <v>HIPA-26</v>
      </c>
      <c r="B281" s="20" t="str">
        <f>VLOOKUP($A281,'Case-Specific'!$A$13:$E$85,2,0)&amp;""</f>
        <v>Do you have a disaster recovery plan and emergency mode operation plan?</v>
      </c>
      <c r="C281" s="45" t="str">
        <f>VLOOKUP($A281,'Case-Specific'!$A$13:$E$85,3,0)&amp;""</f>
        <v>N/A</v>
      </c>
      <c r="D281" s="34" t="str">
        <f>IF(LEFT(VLOOKUP($A281,'Case-Specific'!$A$13:$E$85,5,0),21)='Auto Responses'!$A$32,'Auto Responses'!$A$33,VLOOKUP($A281,'Case-Specific'!$A$13:$E$85,4,0))&amp;""</f>
        <v>This question does not apply.</v>
      </c>
      <c r="E281" s="288" t="str">
        <f>VLOOKUP($A281,'Case-Specific'!$A$13:$E$85,5,0)&amp;""</f>
        <v>Based on the response to REQU-05 on the "START HERE" tab, this question does not apply to this product or service.</v>
      </c>
      <c r="F281" s="186"/>
      <c r="G281" s="30" t="str">
        <f>VLOOKUP($A281,Questions!$A$2:$X$333,21,0)&amp;""</f>
        <v>Yes</v>
      </c>
      <c r="H281" s="176"/>
      <c r="I281" s="45" t="str">
        <f>VLOOKUP($A281,Questions!$A$2:$X$333,23,0)&amp;""</f>
        <v>Standard Importance</v>
      </c>
      <c r="J281" s="176"/>
      <c r="K281" s="48" t="b">
        <v>0</v>
      </c>
      <c r="L281" s="1"/>
    </row>
    <row r="282" spans="1:12" s="29" customFormat="1" ht="90" customHeight="1" x14ac:dyDescent="0.15">
      <c r="A282" s="19" t="str">
        <f>'Case-Specific'!A59</f>
        <v>HIPA-27</v>
      </c>
      <c r="B282" s="20" t="str">
        <f>VLOOKUP($A282,'Case-Specific'!$A$13:$E$85,2,0)&amp;""</f>
        <v>Can you provide a HIPAA compliance attestation document?</v>
      </c>
      <c r="C282" s="45" t="str">
        <f>VLOOKUP($A282,'Case-Specific'!$A$13:$E$85,3,0)&amp;""</f>
        <v>N/A</v>
      </c>
      <c r="D282" s="34" t="str">
        <f>IF(LEFT(VLOOKUP($A282,'Case-Specific'!$A$13:$E$85,5,0),21)='Auto Responses'!$A$32,'Auto Responses'!$A$33,VLOOKUP($A282,'Case-Specific'!$A$13:$E$85,4,0))&amp;""</f>
        <v>This question does not apply.</v>
      </c>
      <c r="E282" s="288" t="str">
        <f>VLOOKUP($A282,'Case-Specific'!$A$13:$E$85,5,0)&amp;""</f>
        <v>Based on the response to REQU-05 on the "START HERE" tab, this question does not apply to this product or service.</v>
      </c>
      <c r="F282" s="186"/>
      <c r="G282" s="30" t="str">
        <f>VLOOKUP($A282,Questions!$A$2:$X$333,21,0)&amp;""</f>
        <v>Yes</v>
      </c>
      <c r="H282" s="176"/>
      <c r="I282" s="45" t="str">
        <f>VLOOKUP($A282,Questions!$A$2:$X$333,23,0)&amp;""</f>
        <v>Standard Importance</v>
      </c>
      <c r="J282" s="176"/>
      <c r="K282" s="48" t="b">
        <v>0</v>
      </c>
      <c r="L282" s="1"/>
    </row>
    <row r="283" spans="1:12" s="29" customFormat="1" ht="90" customHeight="1" x14ac:dyDescent="0.15">
      <c r="A283" s="19" t="str">
        <f>'Case-Specific'!A60</f>
        <v>HIPA-28</v>
      </c>
      <c r="B283" s="20" t="str">
        <f>VLOOKUP($A283,'Case-Specific'!$A$13:$E$85,2,0)&amp;""</f>
        <v>Are you willing to enter into a Business Associate Agreement (BAA)?</v>
      </c>
      <c r="C283" s="45" t="str">
        <f>VLOOKUP($A283,'Case-Specific'!$A$13:$E$85,3,0)&amp;""</f>
        <v>N/A</v>
      </c>
      <c r="D283" s="34" t="str">
        <f>IF(LEFT(VLOOKUP($A283,'Case-Specific'!$A$13:$E$85,5,0),21)='Auto Responses'!$A$32,'Auto Responses'!$A$33,VLOOKUP($A283,'Case-Specific'!$A$13:$E$85,4,0))&amp;""</f>
        <v>This question does not apply.</v>
      </c>
      <c r="E283" s="288" t="str">
        <f>VLOOKUP($A283,'Case-Specific'!$A$13:$E$85,5,0)&amp;""</f>
        <v>Based on the response to REQU-05 on the "START HERE" tab, this question does not apply to this product or service.</v>
      </c>
      <c r="F283" s="186"/>
      <c r="G283" s="30" t="str">
        <f>VLOOKUP($A283,Questions!$A$2:$X$333,21,0)&amp;""</f>
        <v>Yes</v>
      </c>
      <c r="H283" s="176"/>
      <c r="I283" s="45" t="str">
        <f>VLOOKUP($A283,Questions!$A$2:$X$333,23,0)&amp;""</f>
        <v>Standard Importance</v>
      </c>
      <c r="J283" s="176"/>
      <c r="K283" s="48" t="b">
        <v>0</v>
      </c>
      <c r="L283" s="1"/>
    </row>
    <row r="284" spans="1:12" s="29" customFormat="1" ht="90" customHeight="1" x14ac:dyDescent="0.15">
      <c r="A284" s="19" t="str">
        <f>'Case-Specific'!A61</f>
        <v>HIPA-29</v>
      </c>
      <c r="B284" s="20" t="str">
        <f>VLOOKUP($A284,'Case-Specific'!$A$13:$E$85,2,0)&amp;""</f>
        <v>Do your data backup and retention policies and practices meet HIPAA requirements?</v>
      </c>
      <c r="C284" s="45" t="str">
        <f>VLOOKUP($A284,'Case-Specific'!$A$13:$E$85,3,0)&amp;""</f>
        <v>N/A</v>
      </c>
      <c r="D284" s="34" t="str">
        <f>IF(LEFT(VLOOKUP($A284,'Case-Specific'!$A$13:$E$85,5,0),21)='Auto Responses'!$A$32,'Auto Responses'!$A$33,VLOOKUP($A284,'Case-Specific'!$A$13:$E$85,4,0))&amp;""</f>
        <v>This question does not apply.</v>
      </c>
      <c r="E284" s="288" t="str">
        <f>VLOOKUP($A284,'Case-Specific'!$A$13:$E$85,5,0)&amp;""</f>
        <v>Based on the response to REQU-05 on the "START HERE" tab, this question does not apply to this product or service.</v>
      </c>
      <c r="F284" s="186"/>
      <c r="G284" s="30" t="str">
        <f>VLOOKUP($A284,Questions!$A$2:$X$333,21,0)&amp;""</f>
        <v>Yes</v>
      </c>
      <c r="H284" s="176"/>
      <c r="I284" s="45" t="str">
        <f>VLOOKUP($A284,Questions!$A$2:$X$333,23,0)&amp;""</f>
        <v>Minor Importance</v>
      </c>
      <c r="J284" s="176"/>
      <c r="K284" s="48" t="b">
        <v>0</v>
      </c>
      <c r="L284" s="1"/>
    </row>
    <row r="285" spans="1:12" s="1" customFormat="1" ht="18" customHeight="1" x14ac:dyDescent="0.15">
      <c r="A285" s="61" t="str">
        <f>VLOOKUP(LEFT($A286,4),'Auto Responses'!$N$4:$O$38,2,0)&amp;""</f>
        <v xml:space="preserve"> Payment Card Industry Data Security Standard (PCI DSS)</v>
      </c>
      <c r="B285" s="22"/>
      <c r="C285" s="31"/>
      <c r="D285" s="31"/>
      <c r="E285" s="289"/>
      <c r="F285" s="125" t="s">
        <v>652</v>
      </c>
      <c r="G285" s="293" t="s">
        <v>647</v>
      </c>
      <c r="H285" s="293" t="s">
        <v>648</v>
      </c>
      <c r="I285" s="293" t="s">
        <v>649</v>
      </c>
      <c r="J285" s="293" t="s">
        <v>650</v>
      </c>
      <c r="K285" s="293" t="s">
        <v>651</v>
      </c>
    </row>
    <row r="286" spans="1:12" s="29" customFormat="1" ht="75" customHeight="1" x14ac:dyDescent="0.15">
      <c r="A286" s="19" t="str">
        <f>'Case-Specific'!A63</f>
        <v>PCID-01</v>
      </c>
      <c r="B286" s="20" t="str">
        <f>VLOOKUP($A286,'Case-Specific'!$A$13:$E$85,2,0)&amp;""</f>
        <v>Do you have a current, executed within the past year, Attestation of Compliance (AoC) or Report on Compliance (RoC)?*</v>
      </c>
      <c r="C286" s="45" t="str">
        <f>VLOOKUP($A286,'Case-Specific'!$A$13:$E$85,3,0)&amp;""</f>
        <v>N/A</v>
      </c>
      <c r="D286" s="34" t="str">
        <f>IF(LEFT(VLOOKUP($A286,'Case-Specific'!$A$13:$E$85,5,0),21)='Auto Responses'!$A$32,'Auto Responses'!$A$33,VLOOKUP($A286,'Case-Specific'!$A$13:$E$85,4,0))&amp;""</f>
        <v>This question does not apply.</v>
      </c>
      <c r="E286" s="288" t="str">
        <f>VLOOKUP($A286,'Case-Specific'!$A$13:$E$85,5,0)&amp;""</f>
        <v>Based on the response to REQU-06 on the "START HERE" tab, this question does not apply to this product or service.</v>
      </c>
      <c r="F286" s="186"/>
      <c r="G286" s="30" t="str">
        <f>VLOOKUP($A286,Questions!$A$2:$X$333,21,0)&amp;""</f>
        <v>Yes</v>
      </c>
      <c r="H286" s="176"/>
      <c r="I286" s="45" t="str">
        <f>VLOOKUP($A286,Questions!$A$2:$X$333,23,0)&amp;""</f>
        <v>Critical Importance</v>
      </c>
      <c r="J286" s="176"/>
      <c r="K286" s="48" t="b">
        <v>0</v>
      </c>
      <c r="L286" s="1"/>
    </row>
    <row r="287" spans="1:12" s="29" customFormat="1" ht="75" customHeight="1" x14ac:dyDescent="0.15">
      <c r="A287" s="19" t="str">
        <f>'Case-Specific'!A64</f>
        <v>PCID-02</v>
      </c>
      <c r="B287" s="20" t="str">
        <f>VLOOKUP($A287,'Case-Specific'!$A$13:$E$85,2,0)&amp;""</f>
        <v>Is the application listed as an approved Payment Application Data Security Standard (PA-DSS) application?*</v>
      </c>
      <c r="C287" s="45" t="str">
        <f>VLOOKUP($A287,'Case-Specific'!$A$13:$E$85,3,0)&amp;""</f>
        <v>N/A</v>
      </c>
      <c r="D287" s="34" t="str">
        <f>IF(LEFT(VLOOKUP($A287,'Case-Specific'!$A$13:$E$85,5,0),21)='Auto Responses'!$A$32,'Auto Responses'!$A$33,VLOOKUP($A287,'Case-Specific'!$A$13:$E$85,4,0))&amp;""</f>
        <v>This question does not apply.</v>
      </c>
      <c r="E287" s="288" t="str">
        <f>VLOOKUP($A287,'Case-Specific'!$A$13:$E$85,5,0)&amp;""</f>
        <v>Based on the response to REQU-06 on the "START HERE" tab, this question does not apply to this product or service.</v>
      </c>
      <c r="F287" s="186"/>
      <c r="G287" s="30" t="str">
        <f>VLOOKUP($A287,Questions!$A$2:$X$333,21,0)&amp;""</f>
        <v>No</v>
      </c>
      <c r="H287" s="176"/>
      <c r="I287" s="45" t="str">
        <f>VLOOKUP($A287,Questions!$A$2:$X$333,23,0)&amp;""</f>
        <v>Critical Importance</v>
      </c>
      <c r="J287" s="176"/>
      <c r="K287" s="48" t="b">
        <v>0</v>
      </c>
      <c r="L287" s="1"/>
    </row>
    <row r="288" spans="1:12" s="29" customFormat="1" ht="75" customHeight="1" x14ac:dyDescent="0.15">
      <c r="A288" s="19" t="str">
        <f>'Case-Specific'!A65</f>
        <v>PCID-03</v>
      </c>
      <c r="B288" s="20" t="str">
        <f>VLOOKUP($A288,'Case-Specific'!$A$13:$E$85,2,0)&amp;""</f>
        <v>Does the system or solutions use a third party to collect, store, process, or transmit cardholder (payment/credit/debt card) data?*</v>
      </c>
      <c r="C288" s="45" t="str">
        <f>VLOOKUP($A288,'Case-Specific'!$A$13:$E$85,3,0)&amp;""</f>
        <v>N/A</v>
      </c>
      <c r="D288" s="34" t="str">
        <f>IF(LEFT(VLOOKUP($A288,'Case-Specific'!$A$13:$E$85,5,0),21)='Auto Responses'!$A$32,'Auto Responses'!$A$33,VLOOKUP($A288,'Case-Specific'!$A$13:$E$85,4,0))&amp;""</f>
        <v>This question does not apply.</v>
      </c>
      <c r="E288" s="288" t="str">
        <f>VLOOKUP($A288,'Case-Specific'!$A$13:$E$85,5,0)&amp;""</f>
        <v>Based on the response to REQU-06 on the "START HERE" tab, this question does not apply to this product or service.</v>
      </c>
      <c r="F288" s="186"/>
      <c r="G288" s="30" t="str">
        <f>VLOOKUP($A288,Questions!$A$2:$X$333,21,0)&amp;""</f>
        <v>No</v>
      </c>
      <c r="H288" s="176"/>
      <c r="I288" s="45" t="str">
        <f>VLOOKUP($A288,Questions!$A$2:$X$333,23,0)&amp;""</f>
        <v>Critical Importance</v>
      </c>
      <c r="J288" s="176"/>
      <c r="K288" s="48" t="b">
        <v>0</v>
      </c>
      <c r="L288" s="1"/>
    </row>
    <row r="289" spans="1:12" s="29" customFormat="1" ht="75" customHeight="1" x14ac:dyDescent="0.15">
      <c r="A289" s="19" t="str">
        <f>'Case-Specific'!A66</f>
        <v>PCID-04</v>
      </c>
      <c r="B289" s="20" t="str">
        <f>VLOOKUP($A289,'Case-Specific'!$A$13:$E$85,2,0)&amp;""</f>
        <v>Do your systems or solutions store, process, or transmit cardholder (payment/credit/debt card) data?</v>
      </c>
      <c r="C289" s="45" t="str">
        <f>VLOOKUP($A289,'Case-Specific'!$A$13:$E$85,3,0)&amp;""</f>
        <v>N/A</v>
      </c>
      <c r="D289" s="34" t="str">
        <f>IF(LEFT(VLOOKUP($A289,'Case-Specific'!$A$13:$E$85,5,0),21)='Auto Responses'!$A$32,'Auto Responses'!$A$33,VLOOKUP($A289,'Case-Specific'!$A$13:$E$85,4,0))&amp;""</f>
        <v>This question does not apply.</v>
      </c>
      <c r="E289" s="288" t="str">
        <f>VLOOKUP($A289,'Case-Specific'!$A$13:$E$85,5,0)&amp;""</f>
        <v>Based on the response to REQU-06 on the "START HERE" tab, this question does not apply to this product or service.</v>
      </c>
      <c r="F289" s="186"/>
      <c r="G289" s="30" t="str">
        <f>VLOOKUP($A289,Questions!$A$2:$X$333,21,0)&amp;""</f>
        <v>Yes</v>
      </c>
      <c r="H289" s="176"/>
      <c r="I289" s="45" t="str">
        <f>VLOOKUP($A289,Questions!$A$2:$X$333,23,0)&amp;""</f>
        <v>Standard Importance</v>
      </c>
      <c r="J289" s="176"/>
      <c r="K289" s="48" t="b">
        <v>0</v>
      </c>
      <c r="L289" s="1"/>
    </row>
    <row r="290" spans="1:12" s="29" customFormat="1" ht="75" customHeight="1" x14ac:dyDescent="0.15">
      <c r="A290" s="19" t="str">
        <f>'Case-Specific'!A67</f>
        <v>PCID-05</v>
      </c>
      <c r="B290" s="20" t="str">
        <f>VLOOKUP($A290,'Case-Specific'!$A$13:$E$85,2,0)&amp;""</f>
        <v>Are you compliant with the Payment Card Industry Data Security Standard (PCI DSS)?</v>
      </c>
      <c r="C290" s="45" t="str">
        <f>VLOOKUP($A290,'Case-Specific'!$A$13:$E$85,3,0)&amp;""</f>
        <v>N/A</v>
      </c>
      <c r="D290" s="34" t="str">
        <f>IF(LEFT(VLOOKUP($A290,'Case-Specific'!$A$13:$E$85,5,0),21)='Auto Responses'!$A$32,'Auto Responses'!$A$33,VLOOKUP($A290,'Case-Specific'!$A$13:$E$85,4,0))&amp;""</f>
        <v>This question does not apply.</v>
      </c>
      <c r="E290" s="288" t="str">
        <f>VLOOKUP($A290,'Case-Specific'!$A$13:$E$85,5,0)&amp;""</f>
        <v>Based on the response to REQU-06 on the "START HERE" tab, this question does not apply to this product or service.</v>
      </c>
      <c r="F290" s="186"/>
      <c r="G290" s="30" t="str">
        <f>VLOOKUP($A290,Questions!$A$2:$X$333,21,0)&amp;""</f>
        <v>Yes</v>
      </c>
      <c r="H290" s="176"/>
      <c r="I290" s="45" t="str">
        <f>VLOOKUP($A290,Questions!$A$2:$X$333,23,0)&amp;""</f>
        <v>Standard Importance</v>
      </c>
      <c r="J290" s="176"/>
      <c r="K290" s="48" t="b">
        <v>0</v>
      </c>
      <c r="L290" s="1"/>
    </row>
    <row r="291" spans="1:12" s="29" customFormat="1" ht="75" customHeight="1" x14ac:dyDescent="0.15">
      <c r="A291" s="19" t="str">
        <f>'Case-Specific'!A68</f>
        <v>PCID-06</v>
      </c>
      <c r="B291" s="20" t="str">
        <f>VLOOKUP($A291,'Case-Specific'!$A$13:$E$85,2,0)&amp;""</f>
        <v>Are you classified as a service provider?</v>
      </c>
      <c r="C291" s="45" t="str">
        <f>VLOOKUP($A291,'Case-Specific'!$A$13:$E$85,3,0)&amp;""</f>
        <v>N/A</v>
      </c>
      <c r="D291" s="34" t="str">
        <f>IF(LEFT(VLOOKUP($A291,'Case-Specific'!$A$13:$E$85,5,0),21)='Auto Responses'!$A$32,'Auto Responses'!$A$33,VLOOKUP($A291,'Case-Specific'!$A$13:$E$85,4,0))&amp;""</f>
        <v>This question does not apply.</v>
      </c>
      <c r="E291" s="288" t="str">
        <f>VLOOKUP($A291,'Case-Specific'!$A$13:$E$85,5,0)&amp;""</f>
        <v>Based on the response to REQU-06 on the "START HERE" tab, this question does not apply to this product or service.</v>
      </c>
      <c r="F291" s="186"/>
      <c r="G291" s="30" t="str">
        <f>VLOOKUP($A291,Questions!$A$2:$X$333,21,0)&amp;""</f>
        <v>Yes</v>
      </c>
      <c r="H291" s="176"/>
      <c r="I291" s="45" t="str">
        <f>VLOOKUP($A291,Questions!$A$2:$X$333,23,0)&amp;""</f>
        <v>Standard Importance</v>
      </c>
      <c r="J291" s="176"/>
      <c r="K291" s="48" t="b">
        <v>0</v>
      </c>
      <c r="L291" s="1"/>
    </row>
    <row r="292" spans="1:12" s="29" customFormat="1" ht="75" customHeight="1" x14ac:dyDescent="0.15">
      <c r="A292" s="19" t="str">
        <f>'Case-Specific'!A69</f>
        <v>PCID-07</v>
      </c>
      <c r="B292" s="20" t="str">
        <f>VLOOKUP($A292,'Case-Specific'!$A$13:$E$85,2,0)&amp;""</f>
        <v>Are you on the list of Visa approved service providers?</v>
      </c>
      <c r="C292" s="45" t="str">
        <f>VLOOKUP($A292,'Case-Specific'!$A$13:$E$85,3,0)&amp;""</f>
        <v>N/A</v>
      </c>
      <c r="D292" s="34" t="str">
        <f>IF(LEFT(VLOOKUP($A292,'Case-Specific'!$A$13:$E$85,5,0),21)='Auto Responses'!$A$32,'Auto Responses'!$A$33,VLOOKUP($A292,'Case-Specific'!$A$13:$E$85,4,0))&amp;""</f>
        <v>This question does not apply.</v>
      </c>
      <c r="E292" s="288" t="str">
        <f>VLOOKUP($A292,'Case-Specific'!$A$13:$E$85,5,0)&amp;""</f>
        <v>Based on the response to REQU-06 on the "START HERE" tab, this question does not apply to this product or service.</v>
      </c>
      <c r="F292" s="186"/>
      <c r="G292" s="30" t="str">
        <f>VLOOKUP($A292,Questions!$A$2:$X$333,21,0)&amp;""</f>
        <v>Yes</v>
      </c>
      <c r="H292" s="176"/>
      <c r="I292" s="45" t="str">
        <f>VLOOKUP($A292,Questions!$A$2:$X$333,23,0)&amp;""</f>
        <v>Standard Importance</v>
      </c>
      <c r="J292" s="176"/>
      <c r="K292" s="48" t="b">
        <v>0</v>
      </c>
      <c r="L292" s="1"/>
    </row>
    <row r="293" spans="1:12" s="29" customFormat="1" ht="75" customHeight="1" x14ac:dyDescent="0.15">
      <c r="A293" s="19" t="str">
        <f>'Case-Specific'!A70</f>
        <v>PCID-08</v>
      </c>
      <c r="B293" s="20" t="str">
        <f>VLOOKUP($A293,'Case-Specific'!$A$13:$E$85,2,0)&amp;""</f>
        <v>Are you classified as a merchant? If so, what level (1, 2, 3, 4)?</v>
      </c>
      <c r="C293" s="45" t="str">
        <f>VLOOKUP($A293,'Case-Specific'!$A$13:$E$85,3,0)&amp;""</f>
        <v>N/A</v>
      </c>
      <c r="D293" s="34" t="str">
        <f>IF(LEFT(VLOOKUP($A293,'Case-Specific'!$A$13:$E$85,5,0),21)='Auto Responses'!$A$32,'Auto Responses'!$A$33,VLOOKUP($A293,'Case-Specific'!$A$13:$E$85,4,0))&amp;""</f>
        <v>This question does not apply.</v>
      </c>
      <c r="E293" s="288" t="str">
        <f>VLOOKUP($A293,'Case-Specific'!$A$13:$E$85,5,0)&amp;""</f>
        <v>Based on the response to REQU-06 on the "START HERE" tab, this question does not apply to this product or service.</v>
      </c>
      <c r="F293" s="186"/>
      <c r="G293" s="30" t="str">
        <f>VLOOKUP($A293,Questions!$A$2:$X$333,21,0)&amp;""</f>
        <v>Yes</v>
      </c>
      <c r="H293" s="176"/>
      <c r="I293" s="45" t="str">
        <f>VLOOKUP($A293,Questions!$A$2:$X$333,23,0)&amp;""</f>
        <v>Standard Importance</v>
      </c>
      <c r="J293" s="176"/>
      <c r="K293" s="48" t="b">
        <v>0</v>
      </c>
      <c r="L293" s="1"/>
    </row>
    <row r="294" spans="1:12" s="29" customFormat="1" ht="75" customHeight="1" x14ac:dyDescent="0.15">
      <c r="A294" s="19" t="str">
        <f>'Case-Specific'!A71</f>
        <v>PCID-09</v>
      </c>
      <c r="B294" s="20" t="str">
        <f>VLOOKUP($A294,'Case-Specific'!$A$13:$E$85,2,0)&amp;""</f>
        <v>Describe the architecture employed by the system to verify and authorize credit card transactions.</v>
      </c>
      <c r="C294" s="268" t="str">
        <f>VLOOKUP($A294,'Case-Specific'!$A$13:$E$85,3,0)&amp;""</f>
        <v>N/A</v>
      </c>
      <c r="D294" s="267" t="str">
        <f>IF(LEFT(VLOOKUP($A294,'Case-Specific'!$A$13:$E$85,5,0),21)='Auto Responses'!$A$32,'Auto Responses'!$A$33,VLOOKUP($A294,'Case-Specific'!$A$13:$E$85,4,0))&amp;""</f>
        <v>This question does not apply.</v>
      </c>
      <c r="E294" s="288" t="str">
        <f>VLOOKUP($A294,'Case-Specific'!$A$13:$E$85,5,0)&amp;""</f>
        <v>Based on the response to REQU-06 on the "START HERE" tab, this question does not apply to this product or service.</v>
      </c>
      <c r="F294" s="186"/>
      <c r="G294" s="30" t="str">
        <f>VLOOKUP($A294,Questions!$A$2:$X$333,21,0)&amp;""</f>
        <v>Not scored</v>
      </c>
      <c r="H294" s="176"/>
      <c r="I294" s="45" t="str">
        <f>VLOOKUP($A294,Questions!$A$2:$X$333,23,0)&amp;""</f>
        <v/>
      </c>
      <c r="J294" s="176"/>
      <c r="K294" s="48" t="b">
        <v>0</v>
      </c>
      <c r="L294" s="1"/>
    </row>
    <row r="295" spans="1:12" s="29" customFormat="1" ht="75" customHeight="1" x14ac:dyDescent="0.15">
      <c r="A295" s="19" t="str">
        <f>'Case-Specific'!A72</f>
        <v>PCID-10</v>
      </c>
      <c r="B295" s="20" t="str">
        <f>VLOOKUP($A295,'Case-Specific'!$A$13:$E$85,2,0)&amp;""</f>
        <v>What payment processors/gateways does the system support?</v>
      </c>
      <c r="C295" s="45" t="str">
        <f>VLOOKUP($A295,'Case-Specific'!$A$13:$E$85,3,0)&amp;""</f>
        <v>N/A</v>
      </c>
      <c r="D295" s="34" t="str">
        <f>IF(LEFT(VLOOKUP($A295,'Case-Specific'!$A$13:$E$85,5,0),21)='Auto Responses'!$A$32,'Auto Responses'!$A$33,VLOOKUP($A295,'Case-Specific'!$A$13:$E$85,4,0))&amp;""</f>
        <v>This question does not apply.</v>
      </c>
      <c r="E295" s="288" t="str">
        <f>VLOOKUP($A295,'Case-Specific'!$A$13:$E$85,5,0)&amp;""</f>
        <v>Based on the response to REQU-06 on the "START HERE" tab, this question does not apply to this product or service.</v>
      </c>
      <c r="F295" s="186"/>
      <c r="G295" s="30" t="str">
        <f>VLOOKUP($A295,Questions!$A$2:$X$333,21,0)&amp;""</f>
        <v>Not scored</v>
      </c>
      <c r="H295" s="176"/>
      <c r="I295" s="45" t="str">
        <f>VLOOKUP($A295,Questions!$A$2:$X$333,23,0)&amp;""</f>
        <v/>
      </c>
      <c r="J295" s="176"/>
      <c r="K295" s="48" t="b">
        <v>0</v>
      </c>
      <c r="L295" s="1"/>
    </row>
    <row r="296" spans="1:12" s="29" customFormat="1" ht="75" customHeight="1" x14ac:dyDescent="0.15">
      <c r="A296" s="19" t="str">
        <f>'Case-Specific'!A73</f>
        <v>PCID-11</v>
      </c>
      <c r="B296" s="20" t="str">
        <f>VLOOKUP($A296,'Case-Specific'!$A$13:$E$85,2,0)&amp;""</f>
        <v>Can the application be installed in a PCI DSS–compliant manner?</v>
      </c>
      <c r="C296" s="45" t="str">
        <f>VLOOKUP($A296,'Case-Specific'!$A$13:$E$85,3,0)&amp;""</f>
        <v>N/A</v>
      </c>
      <c r="D296" s="34" t="str">
        <f>IF(LEFT(VLOOKUP($A296,'Case-Specific'!$A$13:$E$85,5,0),21)='Auto Responses'!$A$32,'Auto Responses'!$A$33,VLOOKUP($A296,'Case-Specific'!$A$13:$E$85,4,0))&amp;""</f>
        <v>This question does not apply.</v>
      </c>
      <c r="E296" s="288" t="str">
        <f>VLOOKUP($A296,'Case-Specific'!$A$13:$E$85,5,0)&amp;""</f>
        <v>Based on the response to REQU-06 on the "START HERE" tab, this question does not apply to this product or service.</v>
      </c>
      <c r="F296" s="186"/>
      <c r="G296" s="30" t="str">
        <f>VLOOKUP($A296,Questions!$A$2:$X$333,21,0)&amp;""</f>
        <v>Yes</v>
      </c>
      <c r="H296" s="176"/>
      <c r="I296" s="45" t="str">
        <f>VLOOKUP($A296,Questions!$A$2:$X$333,23,0)&amp;""</f>
        <v>Minor Importance</v>
      </c>
      <c r="J296" s="176"/>
      <c r="K296" s="48" t="b">
        <v>0</v>
      </c>
      <c r="L296" s="1"/>
    </row>
    <row r="297" spans="1:12" s="29" customFormat="1" ht="75" customHeight="1" x14ac:dyDescent="0.15">
      <c r="A297" s="19" t="str">
        <f>'Case-Specific'!A74</f>
        <v>PCID-12</v>
      </c>
      <c r="B297" s="20" t="str">
        <f>VLOOKUP($A297,'Case-Specific'!$A$13:$E$85,2,0)&amp;""</f>
        <v>Include documentation describing the system's abilities to comply with the PCI DSS and any features or capabilities of the system that must be added or changed in order to operate in compliance with the standards.</v>
      </c>
      <c r="C297" s="268" t="str">
        <f>VLOOKUP($A297,'Case-Specific'!$A$13:$E$85,3,0)&amp;""</f>
        <v>N/A</v>
      </c>
      <c r="D297" s="267" t="str">
        <f>IF(LEFT(VLOOKUP($A297,'Case-Specific'!$A$13:$E$85,5,0),21)='Auto Responses'!$A$32,'Auto Responses'!$A$33,VLOOKUP($A297,'Case-Specific'!$A$13:$E$85,4,0))&amp;""</f>
        <v>This question does not apply.</v>
      </c>
      <c r="E297" s="288" t="str">
        <f>VLOOKUP($A297,'Case-Specific'!$A$13:$E$85,5,0)&amp;""</f>
        <v>Based on the response to REQU-06 on the "START HERE" tab, this question does not apply to this product or service.</v>
      </c>
      <c r="F297" s="186"/>
      <c r="G297" s="30" t="str">
        <f>VLOOKUP($A297,Questions!$A$2:$X$333,21,0)&amp;""</f>
        <v>Not scored</v>
      </c>
      <c r="H297" s="176"/>
      <c r="I297" s="45" t="str">
        <f>VLOOKUP($A297,Questions!$A$2:$X$333,23,0)&amp;""</f>
        <v/>
      </c>
      <c r="J297" s="176"/>
      <c r="K297" s="48" t="b">
        <v>0</v>
      </c>
      <c r="L297" s="1"/>
    </row>
    <row r="298" spans="1:12" s="1" customFormat="1" ht="18" customHeight="1" x14ac:dyDescent="0.15">
      <c r="A298" s="61" t="str">
        <f>VLOOKUP(LEFT($A299,4),'Auto Responses'!$N$4:$O$38,2,0)&amp;""</f>
        <v xml:space="preserve"> On-Premises Data Solutions</v>
      </c>
      <c r="B298" s="22"/>
      <c r="C298" s="31"/>
      <c r="D298" s="31"/>
      <c r="E298" s="289"/>
      <c r="F298" s="125" t="s">
        <v>652</v>
      </c>
      <c r="G298" s="293" t="s">
        <v>647</v>
      </c>
      <c r="H298" s="293" t="s">
        <v>648</v>
      </c>
      <c r="I298" s="293" t="s">
        <v>649</v>
      </c>
      <c r="J298" s="293" t="s">
        <v>650</v>
      </c>
      <c r="K298" s="293" t="s">
        <v>651</v>
      </c>
    </row>
    <row r="299" spans="1:12" s="29" customFormat="1" ht="28.5" customHeight="1" x14ac:dyDescent="0.15">
      <c r="A299" s="19" t="str">
        <f>'Case-Specific'!A76</f>
        <v>OPEM-01</v>
      </c>
      <c r="B299" s="20" t="str">
        <f>VLOOKUP($A299,'Case-Specific'!$A$13:$E$85,2,0)&amp;""</f>
        <v>Do you support role-based access control (RBAC) for system administrators?</v>
      </c>
      <c r="C299" s="45" t="str">
        <f>VLOOKUP($A299,'Case-Specific'!$A$13:$E$85,3,0)&amp;""</f>
        <v>Yes</v>
      </c>
      <c r="D299" s="34" t="str">
        <f>IF(LEFT(VLOOKUP($A299,'Case-Specific'!$A$13:$E$85,5,0),21)='Auto Responses'!$A$32,'Auto Responses'!$A$33,VLOOKUP($A299,'Case-Specific'!$A$13:$E$85,4,0))&amp;""</f>
        <v>This question does not apply.</v>
      </c>
      <c r="E299" s="288" t="str">
        <f>VLOOKUP($A299,'Case-Specific'!$A$13:$E$85,5,0)&amp;""</f>
        <v>Based on the response to REQU-07 on the "START HERE" tab, this question does not apply to this product or service.</v>
      </c>
      <c r="F299" s="186"/>
      <c r="G299" s="30" t="str">
        <f>VLOOKUP($A299,Questions!$A$2:$X$333,21,0)&amp;""</f>
        <v>Yes</v>
      </c>
      <c r="H299" s="176"/>
      <c r="I299" s="45" t="str">
        <f>VLOOKUP($A299,Questions!$A$2:$X$333,23,0)&amp;""</f>
        <v>Standard Importance</v>
      </c>
      <c r="J299" s="176"/>
      <c r="K299" s="48" t="b">
        <v>0</v>
      </c>
      <c r="L299" s="1"/>
    </row>
    <row r="300" spans="1:12" s="29" customFormat="1" ht="15" customHeight="1" x14ac:dyDescent="0.15">
      <c r="A300" s="19" t="str">
        <f>'Case-Specific'!A77</f>
        <v>OPEM-02</v>
      </c>
      <c r="B300" s="20" t="str">
        <f>VLOOKUP($A300,'Case-Specific'!$A$13:$E$85,2,0)&amp;""</f>
        <v>Can your employees access customer systems remotely?</v>
      </c>
      <c r="C300" s="45" t="str">
        <f>VLOOKUP($A300,'Case-Specific'!$A$13:$E$85,3,0)&amp;""</f>
        <v>Yes</v>
      </c>
      <c r="D300" s="34" t="str">
        <f>IF(LEFT(VLOOKUP($A300,'Case-Specific'!$A$13:$E$85,5,0),21)='Auto Responses'!$A$32,'Auto Responses'!$A$33,VLOOKUP($A300,'Case-Specific'!$A$13:$E$85,4,0))&amp;""</f>
        <v>This question does not apply.</v>
      </c>
      <c r="E300" s="288" t="str">
        <f>VLOOKUP($A300,'Case-Specific'!$A$13:$E$85,5,0)&amp;""</f>
        <v>Based on the response to REQU-07 on the "START HERE" tab, this question does not apply to this product or service.</v>
      </c>
      <c r="F300" s="186"/>
      <c r="G300" s="30" t="str">
        <f>VLOOKUP($A300,Questions!$A$2:$X$333,21,0)&amp;""</f>
        <v>No</v>
      </c>
      <c r="H300" s="176"/>
      <c r="I300" s="45" t="str">
        <f>VLOOKUP($A300,Questions!$A$2:$X$333,23,0)&amp;""</f>
        <v>Standard Importance</v>
      </c>
      <c r="J300" s="176"/>
      <c r="K300" s="48" t="b">
        <v>0</v>
      </c>
      <c r="L300" s="1"/>
    </row>
    <row r="301" spans="1:12" s="29" customFormat="1" ht="42.75" customHeight="1" x14ac:dyDescent="0.15">
      <c r="A301" s="19" t="str">
        <f>'Case-Specific'!A78</f>
        <v>OPEM-03</v>
      </c>
      <c r="B301" s="20" t="str">
        <f>VLOOKUP($A301,'Case-Specific'!$A$13:$E$85,2,0)&amp;""</f>
        <v>Can you provide overall system and/or application architecture diagrams including a full description of the data communications architecture for all components of the system?</v>
      </c>
      <c r="C301" s="45" t="str">
        <f>VLOOKUP($A301,'Case-Specific'!$A$13:$E$85,3,0)&amp;""</f>
        <v>Yes</v>
      </c>
      <c r="D301" s="34" t="str">
        <f>IF(LEFT(VLOOKUP($A301,'Case-Specific'!$A$13:$E$85,5,0),21)='Auto Responses'!$A$32,'Auto Responses'!$A$33,VLOOKUP($A301,'Case-Specific'!$A$13:$E$85,4,0))&amp;""</f>
        <v>This question does not apply.</v>
      </c>
      <c r="E301" s="288" t="str">
        <f>VLOOKUP($A301,'Case-Specific'!$A$13:$E$85,5,0)&amp;""</f>
        <v>Based on the response to REQU-07 on the "START HERE" tab, this question does not apply to this product or service.</v>
      </c>
      <c r="F301" s="186"/>
      <c r="G301" s="30" t="str">
        <f>VLOOKUP($A301,Questions!$A$2:$X$333,21,0)&amp;""</f>
        <v>Yes</v>
      </c>
      <c r="H301" s="176"/>
      <c r="I301" s="45" t="str">
        <f>VLOOKUP($A301,Questions!$A$2:$X$333,23,0)&amp;""</f>
        <v>Standard Importance</v>
      </c>
      <c r="J301" s="176"/>
      <c r="K301" s="48" t="b">
        <v>0</v>
      </c>
      <c r="L301" s="1"/>
    </row>
    <row r="302" spans="1:12" s="29" customFormat="1" ht="15" customHeight="1" x14ac:dyDescent="0.15">
      <c r="A302" s="19" t="str">
        <f>'Case-Specific'!A79</f>
        <v>OPEM-04</v>
      </c>
      <c r="B302" s="20" t="str">
        <f>VLOOKUP($A302,'Case-Specific'!$A$13:$E$85,2,0)&amp;""</f>
        <v>Do you require remote management of the system?</v>
      </c>
      <c r="C302" s="45" t="str">
        <f>VLOOKUP($A302,'Case-Specific'!$A$13:$E$85,3,0)&amp;""</f>
        <v>Yes</v>
      </c>
      <c r="D302" s="34" t="str">
        <f>IF(LEFT(VLOOKUP($A302,'Case-Specific'!$A$13:$E$85,5,0),21)='Auto Responses'!$A$32,'Auto Responses'!$A$33,VLOOKUP($A302,'Case-Specific'!$A$13:$E$85,4,0))&amp;""</f>
        <v>This question does not apply.</v>
      </c>
      <c r="E302" s="288" t="str">
        <f>VLOOKUP($A302,'Case-Specific'!$A$13:$E$85,5,0)&amp;""</f>
        <v>Based on the response to REQU-07 on the "START HERE" tab, this question does not apply to this product or service.</v>
      </c>
      <c r="F302" s="186"/>
      <c r="G302" s="30" t="str">
        <f>VLOOKUP($A302,Questions!$A$2:$X$333,21,0)&amp;""</f>
        <v>No</v>
      </c>
      <c r="H302" s="176"/>
      <c r="I302" s="45" t="str">
        <f>VLOOKUP($A302,Questions!$A$2:$X$333,23,0)&amp;""</f>
        <v>Standard Importance</v>
      </c>
      <c r="J302" s="176"/>
      <c r="K302" s="48" t="b">
        <v>0</v>
      </c>
      <c r="L302" s="1"/>
    </row>
    <row r="303" spans="1:12" s="29" customFormat="1" ht="28.5" customHeight="1" x14ac:dyDescent="0.15">
      <c r="A303" s="19" t="str">
        <f>'Case-Specific'!A80</f>
        <v>OPEM-05</v>
      </c>
      <c r="B303" s="20" t="str">
        <f>VLOOKUP($A303,'Case-Specific'!$A$13:$E$85,2,0)&amp;""</f>
        <v>If you answered "yes" to OPEM-04, are your remote actions and changes logged or otherwise visible to the campus?</v>
      </c>
      <c r="C303" s="45" t="str">
        <f>VLOOKUP($A303,'Case-Specific'!$A$13:$E$85,3,0)&amp;""</f>
        <v>Yes</v>
      </c>
      <c r="D303" s="34" t="str">
        <f>IF(LEFT(VLOOKUP($A303,'Case-Specific'!$A$13:$E$85,5,0),21)='Auto Responses'!$A$32,'Auto Responses'!$A$33,VLOOKUP($A303,'Case-Specific'!$A$13:$E$85,4,0))&amp;""</f>
        <v>This question does not apply.</v>
      </c>
      <c r="E303" s="288" t="str">
        <f>VLOOKUP($A303,'Case-Specific'!$A$13:$E$85,5,0)&amp;""</f>
        <v>Based on the response to REQU-07 on the "START HERE" tab, this question does not apply to this product or service.</v>
      </c>
      <c r="F303" s="186"/>
      <c r="G303" s="30" t="str">
        <f>VLOOKUP($A303,Questions!$A$2:$X$333,21,0)&amp;""</f>
        <v>Yes</v>
      </c>
      <c r="H303" s="176"/>
      <c r="I303" s="45" t="str">
        <f>VLOOKUP($A303,Questions!$A$2:$X$333,23,0)&amp;""</f>
        <v>Standard Importance</v>
      </c>
      <c r="J303" s="176"/>
      <c r="K303" s="48" t="b">
        <v>0</v>
      </c>
      <c r="L303" s="1"/>
    </row>
    <row r="304" spans="1:12" s="29" customFormat="1" ht="28.5" customHeight="1" x14ac:dyDescent="0.15">
      <c r="A304" s="19" t="str">
        <f>'Case-Specific'!A81</f>
        <v>OPEM-06</v>
      </c>
      <c r="B304" s="20" t="str">
        <f>VLOOKUP($A304,'Case-Specific'!$A$13:$E$85,2,0)&amp;""</f>
        <v>If you maintain remote access to the system, will you handle data in a FERPA-compliant manner?</v>
      </c>
      <c r="C304" s="45" t="str">
        <f>VLOOKUP($A304,'Case-Specific'!$A$13:$E$85,3,0)&amp;""</f>
        <v>Yes</v>
      </c>
      <c r="D304" s="34" t="str">
        <f>IF(LEFT(VLOOKUP($A304,'Case-Specific'!$A$13:$E$85,5,0),21)='Auto Responses'!$A$32,'Auto Responses'!$A$33,VLOOKUP($A304,'Case-Specific'!$A$13:$E$85,4,0))&amp;""</f>
        <v>This question does not apply.</v>
      </c>
      <c r="E304" s="288" t="str">
        <f>VLOOKUP($A304,'Case-Specific'!$A$13:$E$85,5,0)&amp;""</f>
        <v>Based on the response to REQU-07 on the "START HERE" tab, this question does not apply to this product or service.</v>
      </c>
      <c r="F304" s="186"/>
      <c r="G304" s="30" t="str">
        <f>VLOOKUP($A304,Questions!$A$2:$X$333,21,0)&amp;""</f>
        <v>Yes</v>
      </c>
      <c r="H304" s="176"/>
      <c r="I304" s="45" t="str">
        <f>VLOOKUP($A304,Questions!$A$2:$X$333,23,0)&amp;""</f>
        <v>Standard Importance</v>
      </c>
      <c r="J304" s="176"/>
      <c r="K304" s="48" t="b">
        <v>0</v>
      </c>
      <c r="L304" s="1"/>
    </row>
    <row r="305" spans="1:12" s="29" customFormat="1" ht="28.5" customHeight="1" x14ac:dyDescent="0.15">
      <c r="A305" s="19" t="str">
        <f>'Case-Specific'!A82</f>
        <v>OPEM-07</v>
      </c>
      <c r="B305" s="20" t="str">
        <f>VLOOKUP($A305,'Case-Specific'!$A$13:$E$85,2,0)&amp;""</f>
        <v>Do you support campus status monitoring through SNMPv3 or other means?</v>
      </c>
      <c r="C305" s="45" t="str">
        <f>VLOOKUP($A305,'Case-Specific'!$A$13:$E$85,3,0)&amp;""</f>
        <v>N/A</v>
      </c>
      <c r="D305" s="34" t="str">
        <f>IF(LEFT(VLOOKUP($A305,'Case-Specific'!$A$13:$E$85,5,0),21)='Auto Responses'!$A$32,'Auto Responses'!$A$33,VLOOKUP($A305,'Case-Specific'!$A$13:$E$85,4,0))&amp;""</f>
        <v>This question does not apply.</v>
      </c>
      <c r="E305" s="290" t="str">
        <f>VLOOKUP($A305,'Case-Specific'!$A$13:$E$85,5,0)&amp;""</f>
        <v>Based on the response to REQU-07 on the "START HERE" tab, this question does not apply to this product or service.</v>
      </c>
      <c r="F305" s="186"/>
      <c r="G305" s="30" t="str">
        <f>VLOOKUP($A305,Questions!$A$2:$X$333,21,0)&amp;""</f>
        <v>Yes</v>
      </c>
      <c r="H305" s="176"/>
      <c r="I305" s="45" t="str">
        <f>VLOOKUP($A305,Questions!$A$2:$X$333,23,0)&amp;""</f>
        <v>Standard Importance</v>
      </c>
      <c r="J305" s="176"/>
      <c r="K305" s="48" t="b">
        <v>0</v>
      </c>
      <c r="L305" s="1"/>
    </row>
    <row r="306" spans="1:12" s="29" customFormat="1" ht="30" customHeight="1" x14ac:dyDescent="0.15">
      <c r="A306" s="19" t="str">
        <f>'Case-Specific'!A83</f>
        <v>OPEM-08</v>
      </c>
      <c r="B306" s="20" t="str">
        <f>VLOOKUP($A306,'Case-Specific'!$A$13:$E$85,2,0)&amp;""</f>
        <v>Describe or provide a reference to any other safeguards used to monitor for malicious activity.</v>
      </c>
      <c r="C306" s="268" t="str">
        <f>VLOOKUP($A306,'Case-Specific'!$A$13:$E$85,3,0)&amp;""</f>
        <v>Yes</v>
      </c>
      <c r="D306" s="269" t="str">
        <f>IF(LEFT(VLOOKUP($A306,'Case-Specific'!$A$13:$E$85,5,0),21)='Auto Responses'!$A$32,'Auto Responses'!$A$33,VLOOKUP($A306,'Case-Specific'!$A$13:$E$85,4,0))&amp;""</f>
        <v>This question does not apply.</v>
      </c>
      <c r="E306" s="290" t="str">
        <f>VLOOKUP($A306,'Case-Specific'!$A$13:$E$85,5,0)&amp;""</f>
        <v>Based on the response to REQU-07 on the "START HERE" tab, this question does not apply to this product or service.</v>
      </c>
      <c r="F306" s="186"/>
      <c r="G306" s="30" t="str">
        <f>VLOOKUP($A306,Questions!$A$2:$X$333,21,0)&amp;""</f>
        <v>Not scored</v>
      </c>
      <c r="H306" s="176"/>
      <c r="I306" s="45" t="str">
        <f>VLOOKUP($A306,Questions!$A$2:$X$333,23,0)&amp;""</f>
        <v/>
      </c>
      <c r="J306" s="176"/>
      <c r="K306" s="48" t="b">
        <v>0</v>
      </c>
      <c r="L306" s="1"/>
    </row>
    <row r="307" spans="1:12" s="29" customFormat="1" ht="45" customHeight="1" x14ac:dyDescent="0.15">
      <c r="A307" s="19" t="str">
        <f>'Case-Specific'!A84</f>
        <v>OPEM-09</v>
      </c>
      <c r="B307" s="20" t="str">
        <f>VLOOKUP($A307,'Case-Specific'!$A$13:$E$85,2,0)&amp;""</f>
        <v>Describe how long your organization has conducted business in this area.</v>
      </c>
      <c r="C307" s="268" t="str">
        <f>VLOOKUP($A307,'Case-Specific'!$A$13:$E$85,3,0)&amp;""</f>
        <v>Yes</v>
      </c>
      <c r="D307" s="269" t="str">
        <f>IF(LEFT(VLOOKUP($A307,'Case-Specific'!$A$13:$E$85,5,0),21)='Auto Responses'!$A$32,'Auto Responses'!$A$33,VLOOKUP($A307,'Case-Specific'!$A$13:$E$85,4,0))&amp;""</f>
        <v>This question does not apply.</v>
      </c>
      <c r="E307" s="290" t="str">
        <f>VLOOKUP($A307,'Case-Specific'!$A$13:$E$85,5,0)&amp;""</f>
        <v>Based on the response to REQU-07 on the "START HERE" tab, this question does not apply to this product or service.</v>
      </c>
      <c r="F307" s="186"/>
      <c r="G307" s="30" t="str">
        <f>VLOOKUP($A307,Questions!$A$2:$X$333,21,0)&amp;""</f>
        <v>Not scored</v>
      </c>
      <c r="H307" s="176"/>
      <c r="I307" s="45" t="str">
        <f>VLOOKUP($A307,Questions!$A$2:$X$333,23,0)&amp;""</f>
        <v/>
      </c>
      <c r="J307" s="176"/>
      <c r="K307" s="48" t="b">
        <v>0</v>
      </c>
      <c r="L307" s="1"/>
    </row>
    <row r="308" spans="1:12" s="29" customFormat="1" ht="15.75" customHeight="1" thickBot="1" x14ac:dyDescent="0.2">
      <c r="A308" s="19" t="str">
        <f>'Case-Specific'!A85</f>
        <v>OPEM-10</v>
      </c>
      <c r="B308" s="20" t="str">
        <f>VLOOKUP($A308,'Case-Specific'!$A$13:$E$85,2,0)&amp;""</f>
        <v>Do you have existing higher education customers?</v>
      </c>
      <c r="C308" s="45" t="str">
        <f>VLOOKUP($A308,'Case-Specific'!$A$13:$E$85,3,0)&amp;""</f>
        <v>Yes</v>
      </c>
      <c r="D308" s="34" t="str">
        <f>IF(LEFT(VLOOKUP($A308,'Case-Specific'!$A$13:$E$85,5,0),21)='Auto Responses'!$A$32,'Auto Responses'!$A$33,VLOOKUP($A308,'Case-Specific'!$A$13:$E$85,4,0))&amp;""</f>
        <v>This question does not apply.</v>
      </c>
      <c r="E308" s="290" t="str">
        <f>VLOOKUP($A308,'Case-Specific'!$A$13:$E$85,5,0)&amp;""</f>
        <v>Based on the response to REQU-07 on the "START HERE" tab, this question does not apply to this product or service.</v>
      </c>
      <c r="F308" s="186"/>
      <c r="G308" s="30" t="str">
        <f>VLOOKUP($A308,Questions!$A$2:$X$333,21,0)&amp;""</f>
        <v>Yes</v>
      </c>
      <c r="H308" s="176"/>
      <c r="I308" s="45" t="str">
        <f>VLOOKUP($A308,Questions!$A$2:$X$333,23,0)&amp;""</f>
        <v>Minor Importance</v>
      </c>
      <c r="J308" s="176"/>
      <c r="K308" s="49" t="b">
        <v>0</v>
      </c>
      <c r="L308" s="1"/>
    </row>
    <row r="309" spans="1:12" s="1" customFormat="1" ht="18" customHeight="1" x14ac:dyDescent="0.15">
      <c r="A309" s="61" t="str">
        <f>VLOOKUP(LEFT($A310,4),'Auto Responses'!$N$4:$O$38,2,0)&amp;""</f>
        <v xml:space="preserve"> AI Qualifying Questions</v>
      </c>
      <c r="B309" s="22"/>
      <c r="C309" s="31"/>
      <c r="D309" s="31"/>
      <c r="E309" s="289"/>
      <c r="F309" s="125" t="s">
        <v>652</v>
      </c>
      <c r="G309" s="293" t="s">
        <v>647</v>
      </c>
      <c r="H309" s="293" t="s">
        <v>648</v>
      </c>
      <c r="I309" s="293" t="s">
        <v>649</v>
      </c>
      <c r="J309" s="293" t="s">
        <v>650</v>
      </c>
      <c r="K309" s="293" t="s">
        <v>651</v>
      </c>
    </row>
    <row r="310" spans="1:12" s="29" customFormat="1" ht="150" customHeight="1" x14ac:dyDescent="0.15">
      <c r="A310" s="19" t="str">
        <f>AI!$A$20</f>
        <v>AIQU-01</v>
      </c>
      <c r="B310" s="20" t="str">
        <f>VLOOKUP($A310,AI!$A$13:$E$55,2,0)&amp;""</f>
        <v>Does your solution leverage machine learning (ML) or do you plan to do so in the next 12 months?</v>
      </c>
      <c r="C310" s="45" t="str">
        <f>VLOOKUP($A310,AI!$A$13:$E$55,3,0)&amp;""</f>
        <v>Yes</v>
      </c>
      <c r="D310" s="34" t="str">
        <f>IF(LEFT(VLOOKUP($A310,AI!$A$13:$E$55,5,0),21)='Auto Responses'!$A$32,'Auto Responses'!$A$33,VLOOKUP($A310,AI!$A$13:$E$55,4,0))&amp;""</f>
        <v>Accredible uses machine learning as part of its Skills Extraction Service, which takes course descriptions and suggests relevant skill tags via the OpenAI API.</v>
      </c>
      <c r="E310" s="288" t="str">
        <f>VLOOKUP($A310,AI!$A$13:$E$55,5,0)&amp;""</f>
        <v>DO complete the Machine Learning section (AIML)</v>
      </c>
      <c r="F310" s="186"/>
      <c r="G310" s="30" t="str">
        <f>VLOOKUP($A310,Questions!$A$2:$X$333,21,0)&amp;""</f>
        <v>Not scored</v>
      </c>
      <c r="H310" s="176"/>
      <c r="I310" s="45" t="str">
        <f>VLOOKUP($A310,Questions!$A$2:$X$333,23,0)&amp;""</f>
        <v/>
      </c>
      <c r="J310" s="176"/>
      <c r="K310" s="48" t="b">
        <v>0</v>
      </c>
      <c r="L310" s="1"/>
    </row>
    <row r="311" spans="1:12" s="29" customFormat="1" ht="120" customHeight="1" x14ac:dyDescent="0.15">
      <c r="A311" s="19" t="str">
        <f>AI!$A$21</f>
        <v>AIQU-02</v>
      </c>
      <c r="B311" s="20" t="str">
        <f>VLOOKUP($A311,AI!$A$13:$E$55,2,0)&amp;""</f>
        <v>Does your solution leverage a large language model (LLM) or do you plan to do so in the next 12 months?</v>
      </c>
      <c r="C311" s="45" t="str">
        <f>VLOOKUP($A311,AI!$A$13:$E$55,3,0)&amp;""</f>
        <v>Yes</v>
      </c>
      <c r="D311" s="34" t="str">
        <f>IF(LEFT(VLOOKUP($A311,AI!$A$13:$E$55,5,0),21)='Auto Responses'!$A$32,'Auto Responses'!$A$33,VLOOKUP($A311,AI!$A$13:$E$55,4,0))&amp;""</f>
        <v>Accredible uses OpenAI's large language model API as part of its Skills Extraction Service.</v>
      </c>
      <c r="E311" s="288" t="str">
        <f>VLOOKUP($A311,AI!$A$13:$E$55,5,0)&amp;""</f>
        <v>DO complete the Large Language Model section (AILM)</v>
      </c>
      <c r="F311" s="186"/>
      <c r="G311" s="30" t="str">
        <f>VLOOKUP($A311,Questions!$A$2:$X$333,21,0)&amp;""</f>
        <v>Not scored</v>
      </c>
      <c r="H311" s="176"/>
      <c r="I311" s="45" t="str">
        <f>VLOOKUP($A311,Questions!$A$2:$X$333,23,0)&amp;""</f>
        <v/>
      </c>
      <c r="J311" s="176"/>
      <c r="K311" s="48" t="b">
        <v>0</v>
      </c>
      <c r="L311" s="1"/>
    </row>
    <row r="312" spans="1:12" s="1" customFormat="1" ht="18" customHeight="1" x14ac:dyDescent="0.15">
      <c r="A312" s="61" t="str">
        <f>VLOOKUP(LEFT($A313,4),'Auto Responses'!$N$4:$O$38,2,0)&amp;""</f>
        <v xml:space="preserve"> General AI Questions</v>
      </c>
      <c r="B312" s="22"/>
      <c r="C312" s="31"/>
      <c r="D312" s="31"/>
      <c r="E312" s="289"/>
      <c r="F312" s="125" t="s">
        <v>652</v>
      </c>
      <c r="G312" s="293" t="s">
        <v>647</v>
      </c>
      <c r="H312" s="293" t="s">
        <v>648</v>
      </c>
      <c r="I312" s="293" t="s">
        <v>649</v>
      </c>
      <c r="J312" s="293" t="s">
        <v>650</v>
      </c>
      <c r="K312" s="293" t="s">
        <v>651</v>
      </c>
    </row>
    <row r="313" spans="1:12" s="29" customFormat="1" ht="60" customHeight="1" x14ac:dyDescent="0.15">
      <c r="A313" s="19" t="str">
        <f>AI!$A$23</f>
        <v>AIGN-01</v>
      </c>
      <c r="B313" s="20" t="str">
        <f>VLOOKUP($A313,AI!$A$13:$E$55,2,0)&amp;""</f>
        <v>Does your solution have an AI risk model when developing or implementing your solution's AI model?*</v>
      </c>
      <c r="C313" s="45" t="str">
        <f>VLOOKUP($A313,AI!$A$13:$E$55,3,0)&amp;""</f>
        <v>Yes</v>
      </c>
      <c r="D313" s="34" t="str">
        <f>IF(LEFT(VLOOKUP($A313,AI!$A$13:$E$55,5,0),21)='Auto Responses'!$A$32,'Auto Responses'!$A$33,VLOOKUP($A313,AI!$A$13:$E$55,4,0))&amp;""</f>
        <v>Accredible maintains an AI risk model for developing and implementing its AI features, informed by responsible AI principles and OpenAI's enterprise usage policies.</v>
      </c>
      <c r="E313" s="288" t="str">
        <f>VLOOKUP($A313,AI!$A$13:$E$55,5,0)&amp;""</f>
        <v>Provide the AI risk framework, model, or methodology used.</v>
      </c>
      <c r="F313" s="186"/>
      <c r="G313" s="30" t="str">
        <f>VLOOKUP($A313,Questions!$A$2:$X$333,21,0)&amp;""</f>
        <v>Yes</v>
      </c>
      <c r="H313" s="176"/>
      <c r="I313" s="45" t="str">
        <f>VLOOKUP($A313,Questions!$A$2:$X$333,23,0)&amp;""</f>
        <v>Critical Importance</v>
      </c>
      <c r="J313" s="176"/>
      <c r="K313" s="48" t="b">
        <v>0</v>
      </c>
      <c r="L313" s="1"/>
    </row>
    <row r="314" spans="1:12" s="29" customFormat="1" ht="15" customHeight="1" x14ac:dyDescent="0.15">
      <c r="A314" s="19" t="str">
        <f>AI!$A$24</f>
        <v>AIGN-02</v>
      </c>
      <c r="B314" s="20" t="str">
        <f>VLOOKUP($A314,AI!$A$13:$E$55,2,0)&amp;""</f>
        <v>Can your solution's AI features be disabled by tenant and/or user?*</v>
      </c>
      <c r="C314" s="45" t="str">
        <f>VLOOKUP($A314,AI!$A$13:$E$55,3,0)&amp;""</f>
        <v>Yes</v>
      </c>
      <c r="D314" s="34" t="str">
        <f>IF(LEFT(VLOOKUP($A314,AI!$A$13:$E$55,5,0),21)='Auto Responses'!$A$32,'Auto Responses'!$A$33,VLOOKUP($A314,AI!$A$13:$E$55,4,0))&amp;""</f>
        <v>Individual users can also choose not to use AI-suggested skill tags.</v>
      </c>
      <c r="E314" s="288" t="str">
        <f>VLOOKUP($A314,AI!$A$13:$E$55,5,0)&amp;""</f>
        <v>Describe the level of AI feature control at the institutional and user level.</v>
      </c>
      <c r="F314" s="186"/>
      <c r="G314" s="30" t="str">
        <f>VLOOKUP($A314,Questions!$A$2:$X$333,21,0)&amp;""</f>
        <v>Yes</v>
      </c>
      <c r="H314" s="176"/>
      <c r="I314" s="45" t="str">
        <f>VLOOKUP($A314,Questions!$A$2:$X$333,23,0)&amp;""</f>
        <v>Critical Importance</v>
      </c>
      <c r="J314" s="176"/>
      <c r="K314" s="48" t="b">
        <v>0</v>
      </c>
      <c r="L314" s="1"/>
    </row>
    <row r="315" spans="1:12" s="29" customFormat="1" ht="15" customHeight="1" x14ac:dyDescent="0.15">
      <c r="A315" s="19" t="str">
        <f>AI!$A$25</f>
        <v>AIGN-03</v>
      </c>
      <c r="B315" s="20" t="str">
        <f>VLOOKUP($A315,AI!$A$13:$E$55,2,0)&amp;""</f>
        <v>Have your staff completed responsible AI training?*</v>
      </c>
      <c r="C315" s="45" t="str">
        <f>VLOOKUP($A315,AI!$A$13:$E$55,3,0)&amp;""</f>
        <v>Yes</v>
      </c>
      <c r="D315" s="34" t="str">
        <f>IF(LEFT(VLOOKUP($A315,AI!$A$13:$E$55,5,0),21)='Auto Responses'!$A$32,'Auto Responses'!$A$33,VLOOKUP($A315,AI!$A$13:$E$55,4,0))&amp;""</f>
        <v>All Accredible staff complete responsible AI training as part of the annual security and compliance training program.</v>
      </c>
      <c r="E315" s="288" t="str">
        <f>VLOOKUP($A315,AI!$A$13:$E$55,5,0)&amp;""</f>
        <v>Provide the following details about your responsible AI training program: learning objectives, frequency, alignment with standards (e.g., NIST), and who is required to complete the training.</v>
      </c>
      <c r="F315" s="186"/>
      <c r="G315" s="30" t="str">
        <f>VLOOKUP($A315,Questions!$A$2:$X$333,21,0)&amp;""</f>
        <v>Yes</v>
      </c>
      <c r="H315" s="176"/>
      <c r="I315" s="45" t="str">
        <f>VLOOKUP($A315,Questions!$A$2:$X$333,23,0)&amp;""</f>
        <v>Critical Importance</v>
      </c>
      <c r="J315" s="176"/>
      <c r="K315" s="48" t="b">
        <v>0</v>
      </c>
      <c r="L315" s="1"/>
    </row>
    <row r="316" spans="1:12" s="29" customFormat="1" ht="195" customHeight="1" x14ac:dyDescent="0.15">
      <c r="A316" s="19" t="str">
        <f>AI!$A$26</f>
        <v>AIGN-04</v>
      </c>
      <c r="B316" s="20" t="str">
        <f>VLOOKUP($A316,AI!$A$13:$E$55,2,0)&amp;""</f>
        <v>Please describe the capabilities of your solution's AI features.</v>
      </c>
      <c r="C316" s="268" t="str">
        <f>VLOOKUP($A316,AI!$A$13:$E$55,3,0)&amp;""</f>
        <v>Yes</v>
      </c>
      <c r="D316" s="269" t="str">
        <f>IF(LEFT(VLOOKUP($A316,AI!$A$13:$E$55,5,0),21)='Auto Responses'!$A$32,'Auto Responses'!$A$33,VLOOKUP($A316,AI!$A$13:$E$55,4,0))&amp;""</f>
        <v>Accredible's AI features consist of a Skills Extraction Service that takes course descriptions as input, submits them to the OpenAI API to generate suggested skill tags, and processes the response through a CritiqueEvaluatorService before surfacing results to users. This feature helps issuers associate relevant skills with their credentials. No student or recipient personal data is sent to the AI model; only course description text is processed.</v>
      </c>
      <c r="E316" s="288" t="str">
        <f>VLOOKUP($A316,AI!$A$13:$E$55,5,0)&amp;""</f>
        <v/>
      </c>
      <c r="F316" s="186"/>
      <c r="G316" s="30" t="str">
        <f>VLOOKUP($A316,Questions!$A$2:$X$333,21,0)&amp;""</f>
        <v>Not scored</v>
      </c>
      <c r="H316" s="176"/>
      <c r="I316" s="45" t="str">
        <f>VLOOKUP($A316,Questions!$A$2:$X$333,23,0)&amp;""</f>
        <v/>
      </c>
      <c r="J316" s="176"/>
      <c r="K316" s="48" t="b">
        <v>0</v>
      </c>
      <c r="L316" s="1"/>
    </row>
    <row r="317" spans="1:12" s="29" customFormat="1" ht="28.5" customHeight="1" x14ac:dyDescent="0.15">
      <c r="A317" s="19" t="str">
        <f>AI!$A$27</f>
        <v>AIGN-05</v>
      </c>
      <c r="B317" s="20" t="str">
        <f>VLOOKUP($A317,AI!$A$13:$E$55,2,0)&amp;""</f>
        <v>Does your solution support business rules to protect sensitive data from being ingested by the AI model?</v>
      </c>
      <c r="C317" s="45" t="str">
        <f>VLOOKUP($A317,AI!$A$13:$E$55,3,0)&amp;""</f>
        <v>Yes</v>
      </c>
      <c r="D317" s="34" t="str">
        <f>IF(LEFT(VLOOKUP($A317,AI!$A$13:$E$55,5,0),21)='Auto Responses'!$A$32,'Auto Responses'!$A$33,VLOOKUP($A317,AI!$A$13:$E$55,4,0))&amp;""</f>
        <v>Accredible has implemented business rules to ensure only appropriate course description text (not personal data) is submitted to the AI model. Data is not persistent</v>
      </c>
      <c r="E317" s="288" t="str">
        <f>VLOOKUP($A317,AI!$A$13:$E$55,5,0)&amp;""</f>
        <v>Provide data loss prevention (DLP) features as they relate to your AI offerings. Indicate whether these DLP rules are configurable at the institutional and/or user level.</v>
      </c>
      <c r="F317" s="186"/>
      <c r="G317" s="30" t="str">
        <f>VLOOKUP($A317,Questions!$A$2:$X$333,21,0)&amp;""</f>
        <v>Yes</v>
      </c>
      <c r="H317" s="176"/>
      <c r="I317" s="45" t="str">
        <f>VLOOKUP($A317,Questions!$A$2:$X$333,23,0)&amp;""</f>
        <v>Standard Importance</v>
      </c>
      <c r="J317" s="176"/>
      <c r="K317" s="48" t="b">
        <v>0</v>
      </c>
      <c r="L317" s="1"/>
    </row>
    <row r="318" spans="1:12" s="1" customFormat="1" ht="18" customHeight="1" x14ac:dyDescent="0.15">
      <c r="A318" s="61" t="str">
        <f>VLOOKUP(LEFT($A319,4),'Auto Responses'!$N$4:$O$38,2,0)&amp;""</f>
        <v xml:space="preserve"> AI Policy</v>
      </c>
      <c r="B318" s="22"/>
      <c r="C318" s="31"/>
      <c r="D318" s="31"/>
      <c r="E318" s="289"/>
      <c r="F318" s="125" t="s">
        <v>652</v>
      </c>
      <c r="G318" s="293" t="s">
        <v>647</v>
      </c>
      <c r="H318" s="293" t="s">
        <v>648</v>
      </c>
      <c r="I318" s="293" t="s">
        <v>649</v>
      </c>
      <c r="J318" s="293" t="s">
        <v>650</v>
      </c>
      <c r="K318" s="293" t="s">
        <v>651</v>
      </c>
    </row>
    <row r="319" spans="1:12" s="29" customFormat="1" ht="57" customHeight="1" x14ac:dyDescent="0.15">
      <c r="A319" s="19" t="str">
        <f>AI!$A$29</f>
        <v>AIPL-01</v>
      </c>
      <c r="B319" s="20" t="str">
        <f>VLOOKUP($A319,AI!$A$13:$E$55,2,0)&amp;""</f>
        <v>Are your AI developer's policies, processes, procedures, and practices across the organization related to the mapping, measuring, and managing of AI risks conspicuously posted, unambiguous, and implemented effectively?*</v>
      </c>
      <c r="C319" s="45" t="str">
        <f>VLOOKUP($A319,AI!$A$13:$E$55,3,0)&amp;""</f>
        <v>Yes</v>
      </c>
      <c r="D319" s="34" t="str">
        <f>IF(LEFT(VLOOKUP($A319,AI!$A$13:$E$55,5,0),21)='Auto Responses'!$A$32,'Auto Responses'!$A$33,VLOOKUP($A319,AI!$A$13:$E$55,4,0))&amp;""</f>
        <v>Accredible's AI-related policies, processes, and practices are documented and implemented. These are available to customers upon request.</v>
      </c>
      <c r="E319" s="288" t="str">
        <f>VLOOKUP($A319,AI!$A$13:$E$55,5,0)&amp;""</f>
        <v/>
      </c>
      <c r="F319" s="186"/>
      <c r="G319" s="30" t="str">
        <f>VLOOKUP($A319,Questions!$A$2:$X$333,21,0)&amp;""</f>
        <v>Yes</v>
      </c>
      <c r="H319" s="176"/>
      <c r="I319" s="45" t="str">
        <f>VLOOKUP($A319,Questions!$A$2:$X$333,23,0)&amp;""</f>
        <v>Critical Importance</v>
      </c>
      <c r="J319" s="176"/>
      <c r="K319" s="48" t="b">
        <v>0</v>
      </c>
      <c r="L319" s="1"/>
    </row>
    <row r="320" spans="1:12" s="29" customFormat="1" ht="15" customHeight="1" x14ac:dyDescent="0.15">
      <c r="A320" s="19" t="str">
        <f>AI!$A$30</f>
        <v>AIPL-02</v>
      </c>
      <c r="B320" s="20" t="str">
        <f>VLOOKUP($A320,AI!$A$13:$E$55,2,0)&amp;""</f>
        <v>Have you identified and measured AI risks?*</v>
      </c>
      <c r="C320" s="45" t="str">
        <f>VLOOKUP($A320,AI!$A$13:$E$55,3,0)&amp;""</f>
        <v>Yes</v>
      </c>
      <c r="D320" s="34" t="str">
        <f>IF(LEFT(VLOOKUP($A320,AI!$A$13:$E$55,5,0),21)='Auto Responses'!$A$32,'Auto Responses'!$A$33,VLOOKUP($A320,AI!$A$13:$E$55,4,0))&amp;""</f>
        <v>Accredible has identified and assessed AI risks associated with its use of OpenAI's API, including data handling, model behavior, and privacy considerations.</v>
      </c>
      <c r="E320" s="288" t="str">
        <f>VLOOKUP($A320,AI!$A$13:$E$55,5,0)&amp;""</f>
        <v>Provide the standard or framework used to identify and measure AI risk.</v>
      </c>
      <c r="F320" s="186"/>
      <c r="G320" s="30" t="str">
        <f>VLOOKUP($A320,Questions!$A$2:$X$333,21,0)&amp;""</f>
        <v>Yes</v>
      </c>
      <c r="H320" s="176"/>
      <c r="I320" s="45" t="str">
        <f>VLOOKUP($A320,Questions!$A$2:$X$333,23,0)&amp;""</f>
        <v>Critical Importance</v>
      </c>
      <c r="J320" s="176"/>
      <c r="K320" s="48" t="b">
        <v>0</v>
      </c>
      <c r="L320" s="1"/>
    </row>
    <row r="321" spans="1:12" s="29" customFormat="1" ht="28.5" customHeight="1" x14ac:dyDescent="0.15">
      <c r="A321" s="19" t="str">
        <f>AI!$A$31</f>
        <v>AIPL-03</v>
      </c>
      <c r="B321" s="20" t="str">
        <f>VLOOKUP($A321,AI!$A$13:$E$55,2,0)&amp;""</f>
        <v>In the event of an incident, can your solution's AI features be disabled in a timely manner?*</v>
      </c>
      <c r="C321" s="45" t="str">
        <f>VLOOKUP($A321,AI!$A$13:$E$55,3,0)&amp;""</f>
        <v>Yes</v>
      </c>
      <c r="D321" s="34" t="str">
        <f>IF(LEFT(VLOOKUP($A321,AI!$A$13:$E$55,5,0),21)='Auto Responses'!$A$32,'Auto Responses'!$A$33,VLOOKUP($A321,AI!$A$13:$E$55,4,0))&amp;""</f>
        <v>In the event of an incident, Accredible can disable the Skills Extraction AI feature in a timely manner at the platform level.</v>
      </c>
      <c r="E321" s="288" t="str">
        <f>VLOOKUP($A321,AI!$A$13:$E$55,5,0)&amp;""</f>
        <v>Provide documentation on how to disable AI features. Include a time estimate for the time between disabling the feature and when the feature is inaccessible to users.</v>
      </c>
      <c r="F321" s="186"/>
      <c r="G321" s="30" t="str">
        <f>VLOOKUP($A321,Questions!$A$2:$X$333,21,0)&amp;""</f>
        <v>Yes</v>
      </c>
      <c r="H321" s="176"/>
      <c r="I321" s="45" t="str">
        <f>VLOOKUP($A321,Questions!$A$2:$X$333,23,0)&amp;""</f>
        <v>Critical Importance</v>
      </c>
      <c r="J321" s="176"/>
      <c r="K321" s="48" t="b">
        <v>0</v>
      </c>
      <c r="L321" s="1"/>
    </row>
    <row r="322" spans="1:12" s="29" customFormat="1" ht="28.5" customHeight="1" x14ac:dyDescent="0.15">
      <c r="A322" s="19" t="str">
        <f>AI!$A$32</f>
        <v>AIPL-04</v>
      </c>
      <c r="B322" s="20" t="str">
        <f>VLOOKUP($A322,AI!$A$13:$E$55,2,0)&amp;""</f>
        <v>If disabled because of an incident, can your solution's AI features be re-enabled in a timely manner?*</v>
      </c>
      <c r="C322" s="45" t="str">
        <f>VLOOKUP($A322,AI!$A$13:$E$55,3,0)&amp;""</f>
        <v>Yes</v>
      </c>
      <c r="D322" s="34" t="str">
        <f>IF(LEFT(VLOOKUP($A322,AI!$A$13:$E$55,5,0),21)='Auto Responses'!$A$32,'Auto Responses'!$A$33,VLOOKUP($A322,AI!$A$13:$E$55,4,0))&amp;""</f>
        <v>Once an incident is resolved, Accredible can re-enable AI features in a timely manner.</v>
      </c>
      <c r="E322" s="288" t="str">
        <f>VLOOKUP($A322,AI!$A$13:$E$55,5,0)&amp;""</f>
        <v>Provide documentation on how to enable AI features. Include a time estimate for the time between enabling the feature and when the feature is accessible to users.</v>
      </c>
      <c r="F322" s="186"/>
      <c r="G322" s="30" t="str">
        <f>VLOOKUP($A322,Questions!$A$2:$X$333,21,0)&amp;""</f>
        <v>Yes</v>
      </c>
      <c r="H322" s="176"/>
      <c r="I322" s="45" t="str">
        <f>VLOOKUP($A322,Questions!$A$2:$X$333,23,0)&amp;""</f>
        <v>Critical Importance</v>
      </c>
      <c r="J322" s="176"/>
      <c r="K322" s="48" t="b">
        <v>0</v>
      </c>
      <c r="L322" s="1"/>
    </row>
    <row r="323" spans="1:12" s="29" customFormat="1" ht="45" customHeight="1" x14ac:dyDescent="0.15">
      <c r="A323" s="19" t="str">
        <f>AI!$A$33</f>
        <v>AIPL-05</v>
      </c>
      <c r="B323" s="20" t="str">
        <f>VLOOKUP($A323,AI!$A$13:$E$55,2,0)&amp;""</f>
        <v>Do you have documented technical and procedural processes to address potential negative impacts of AI as described by the AI Risk Management Framework (RMF)?</v>
      </c>
      <c r="C323" s="45" t="str">
        <f>VLOOKUP($A323,AI!$A$13:$E$55,3,0)&amp;""</f>
        <v>Yes</v>
      </c>
      <c r="D323" s="34" t="str">
        <f>IF(LEFT(VLOOKUP($A323,AI!$A$13:$E$55,5,0),21)='Auto Responses'!$A$32,'Auto Responses'!$A$33,VLOOKUP($A323,AI!$A$13:$E$55,4,0))&amp;""</f>
        <v>Accredible has documented technical and procedural processes to address potential negative impacts of AI, aligned with responsible AI risk management frameworks.</v>
      </c>
      <c r="E323" s="288" t="str">
        <f>VLOOKUP($A323,AI!$A$13:$E$55,5,0)&amp;""</f>
        <v/>
      </c>
      <c r="F323" s="186"/>
      <c r="G323" s="30" t="str">
        <f>VLOOKUP($A323,Questions!$A$2:$X$333,21,0)&amp;""</f>
        <v>Yes</v>
      </c>
      <c r="H323" s="176"/>
      <c r="I323" s="45" t="str">
        <f>VLOOKUP($A323,Questions!$A$2:$X$333,23,0)&amp;""</f>
        <v>Minor Importance</v>
      </c>
      <c r="J323" s="176"/>
      <c r="K323" s="48" t="b">
        <v>0</v>
      </c>
      <c r="L323" s="1"/>
    </row>
    <row r="324" spans="1:12" s="1" customFormat="1" ht="18" customHeight="1" x14ac:dyDescent="0.15">
      <c r="A324" s="61" t="str">
        <f>VLOOKUP(LEFT($A325,4),'Auto Responses'!$N$4:$O$38,2,0)&amp;""</f>
        <v xml:space="preserve"> AI Data Security</v>
      </c>
      <c r="B324" s="22"/>
      <c r="C324" s="31"/>
      <c r="D324" s="31"/>
      <c r="E324" s="289"/>
      <c r="F324" s="125" t="s">
        <v>652</v>
      </c>
      <c r="G324" s="293" t="s">
        <v>647</v>
      </c>
      <c r="H324" s="293" t="s">
        <v>648</v>
      </c>
      <c r="I324" s="293" t="s">
        <v>649</v>
      </c>
      <c r="J324" s="293" t="s">
        <v>650</v>
      </c>
      <c r="K324" s="293" t="s">
        <v>651</v>
      </c>
    </row>
    <row r="325" spans="1:12" s="29" customFormat="1" ht="315" customHeight="1" x14ac:dyDescent="0.15">
      <c r="A325" s="19" t="str">
        <f>AI!$A$35</f>
        <v>AISC-01</v>
      </c>
      <c r="B325" s="20" t="str">
        <f>VLOOKUP($A325,AI!$A$13:$E$55,2,0)&amp;""</f>
        <v>If sensitive data is introduced to your solution's AI model, can the data be removed from the AI model by request?*</v>
      </c>
      <c r="C325" s="45" t="str">
        <f>VLOOKUP($A325,AI!$A$13:$E$55,3,0)&amp;""</f>
        <v>Yes</v>
      </c>
      <c r="D325" s="34" t="str">
        <f>IF(LEFT(VLOOKUP($A325,AI!$A$13:$E$55,5,0),21)='Auto Responses'!$A$32,'Auto Responses'!$A$33,VLOOKUP($A325,AI!$A$13:$E$55,4,0))&amp;""</f>
        <v>Under Accredible's enterprise agreement with OpenAI, data submitted via the API is not used to train OpenAI's models. If sensitive data is inadvertently introduced, it can be requested for removal.</v>
      </c>
      <c r="E325" s="288" t="str">
        <f>VLOOKUP($A325,AI!$A$13:$E$55,5,0)&amp;""</f>
        <v>Describe how the AI model supports data deletion or unlearning and whether it is manual or automated; include retention timelines, limitations, and how requests are handled. Reference compliance with FERPA, GDPR Article 17, and state privacy laws.</v>
      </c>
      <c r="F325" s="186"/>
      <c r="G325" s="30" t="str">
        <f>VLOOKUP($A325,Questions!$A$2:$X$333,21,0)&amp;""</f>
        <v>Yes</v>
      </c>
      <c r="H325" s="176"/>
      <c r="I325" s="45" t="str">
        <f>VLOOKUP($A325,Questions!$A$2:$X$333,23,0)&amp;""</f>
        <v>Critical Importance</v>
      </c>
      <c r="J325" s="176"/>
      <c r="K325" s="48" t="b">
        <v>0</v>
      </c>
      <c r="L325" s="1"/>
    </row>
    <row r="326" spans="1:12" s="29" customFormat="1" ht="210" customHeight="1" x14ac:dyDescent="0.15">
      <c r="A326" s="19" t="str">
        <f>AI!$A$36</f>
        <v>AISC-02</v>
      </c>
      <c r="B326" s="20" t="str">
        <f>VLOOKUP($A326,AI!$A$13:$E$55,2,0)&amp;""</f>
        <v>Is user input data used to influence your solution's AI model?*</v>
      </c>
      <c r="C326" s="45" t="str">
        <f>VLOOKUP($A326,AI!$A$13:$E$55,3,0)&amp;""</f>
        <v>No</v>
      </c>
      <c r="D326" s="34" t="str">
        <f>IF(LEFT(VLOOKUP($A326,AI!$A$13:$E$55,5,0),21)='Auto Responses'!$A$32,'Auto Responses'!$A$33,VLOOKUP($A326,AI!$A$13:$E$55,4,0))&amp;""</f>
        <v>User input data is not used to influence Accredible's AI model. Accredible uses OpenAI's enterprise API under terms that prohibit OpenAI from using submitted data for model training.</v>
      </c>
      <c r="E326" s="288" t="str">
        <f>VLOOKUP($A326,AI!$A$13:$E$55,5,0)&amp;""</f>
        <v>Confirm that user input data is not retained or used to train the AI model. Describe controls that prevent institutional data from influencing the model, indicate whether this is included in agreements, and say how institutions will be notified and asked for consent if practices change.</v>
      </c>
      <c r="F326" s="186"/>
      <c r="G326" s="30" t="str">
        <f>VLOOKUP($A326,Questions!$A$2:$X$333,21,0)&amp;""</f>
        <v>No</v>
      </c>
      <c r="H326" s="176"/>
      <c r="I326" s="45" t="str">
        <f>VLOOKUP($A326,Questions!$A$2:$X$333,23,0)&amp;""</f>
        <v>Critical Importance</v>
      </c>
      <c r="J326" s="176"/>
      <c r="K326" s="48" t="b">
        <v>0</v>
      </c>
      <c r="L326" s="1"/>
    </row>
    <row r="327" spans="1:12" s="29" customFormat="1" ht="210" customHeight="1" x14ac:dyDescent="0.15">
      <c r="A327" s="19" t="str">
        <f>AI!$A$37</f>
        <v>AISC-03</v>
      </c>
      <c r="B327" s="20" t="str">
        <f>VLOOKUP($A327,AI!$A$13:$E$55,2,0)&amp;""</f>
        <v>Do you provide logging for your solution's AI feature(s) that includes user, date, and action taken?*</v>
      </c>
      <c r="C327" s="45" t="str">
        <f>VLOOKUP($A327,AI!$A$13:$E$55,3,0)&amp;""</f>
        <v>Yes</v>
      </c>
      <c r="D327" s="34" t="str">
        <f>IF(LEFT(VLOOKUP($A327,AI!$A$13:$E$55,5,0),21)='Auto Responses'!$A$32,'Auto Responses'!$A$33,VLOOKUP($A327,AI!$A$13:$E$55,4,0))&amp;""</f>
        <v>Accredible provides logging for its AI features including user, date, and action taken. Logs are retained for at least 30 days.</v>
      </c>
      <c r="E327" s="288" t="str">
        <f>VLOOKUP($A327,AI!$A$13:$E$55,5,0)&amp;""</f>
        <v>Describe what audit logs capture, how long they are retained, whether they are immutable, and how they support audits and oversight.</v>
      </c>
      <c r="F327" s="186"/>
      <c r="G327" s="30" t="str">
        <f>VLOOKUP($A327,Questions!$A$2:$X$333,21,0)&amp;""</f>
        <v>Yes</v>
      </c>
      <c r="H327" s="176"/>
      <c r="I327" s="45" t="str">
        <f>VLOOKUP($A327,Questions!$A$2:$X$333,23,0)&amp;""</f>
        <v>Critical Importance</v>
      </c>
      <c r="J327" s="176"/>
      <c r="K327" s="48" t="b">
        <v>0</v>
      </c>
      <c r="L327" s="1"/>
    </row>
    <row r="328" spans="1:12" s="29" customFormat="1" ht="165" customHeight="1" x14ac:dyDescent="0.15">
      <c r="A328" s="19" t="str">
        <f>AI!$A$38</f>
        <v>AISC-04</v>
      </c>
      <c r="B328" s="20" t="str">
        <f>VLOOKUP($A328,AI!$A$13:$E$55,2,0)&amp;""</f>
        <v>Please describe how you validate user inputs.</v>
      </c>
      <c r="C328" s="268" t="str">
        <f>VLOOKUP($A328,AI!$A$13:$E$55,3,0)&amp;""</f>
        <v>Yes</v>
      </c>
      <c r="D328" s="269" t="str">
        <f>IF(LEFT(VLOOKUP($A328,AI!$A$13:$E$55,5,0),21)='Auto Responses'!$A$32,'Auto Responses'!$A$33,VLOOKUP($A328,AI!$A$13:$E$55,4,0))&amp;""</f>
        <v>User inputs (course description text) are validated before being submitted to the AI model. The CritiqueEvaluatorService processes and validates AI outputs before surfacing them to users, providing a quality control layer.</v>
      </c>
      <c r="E328" s="290" t="str">
        <f>VLOOKUP($A328,AI!$A$13:$E$55,5,0)&amp;""</f>
        <v/>
      </c>
      <c r="F328" s="186"/>
      <c r="G328" s="30" t="str">
        <f>VLOOKUP($A328,Questions!$A$2:$X$333,21,0)&amp;""</f>
        <v>Not scored</v>
      </c>
      <c r="H328" s="176"/>
      <c r="I328" s="45" t="str">
        <f>VLOOKUP($A328,Questions!$A$2:$X$333,23,0)&amp;""</f>
        <v/>
      </c>
      <c r="J328" s="176"/>
      <c r="K328" s="48" t="b">
        <v>0</v>
      </c>
      <c r="L328" s="1"/>
    </row>
    <row r="329" spans="1:12" s="29" customFormat="1" ht="15" customHeight="1" x14ac:dyDescent="0.15">
      <c r="A329" s="19" t="str">
        <f>AI!$A$39</f>
        <v>AISC-05</v>
      </c>
      <c r="B329" s="20" t="str">
        <f>VLOOKUP($A329,AI!$A$13:$E$55,2,0)&amp;""</f>
        <v>Do you plan for and mitigate supply-chain risk related to your AI features?</v>
      </c>
      <c r="C329" s="45" t="str">
        <f>VLOOKUP($A329,AI!$A$13:$E$55,3,0)&amp;""</f>
        <v>Yes</v>
      </c>
      <c r="D329" s="34" t="str">
        <f>IF(LEFT(VLOOKUP($A329,AI!$A$13:$E$55,5,0),21)='Auto Responses'!$A$32,'Auto Responses'!$A$33,VLOOKUP($A329,AI!$A$13:$E$55,4,0))&amp;""</f>
        <v>Accredible monitors and manages supply-chain risks related to its AI features, including OpenAI service availability, data handling compliance, and contractual obligations.</v>
      </c>
      <c r="E329" s="288" t="str">
        <f>VLOOKUP($A329,AI!$A$13:$E$55,5,0)&amp;""</f>
        <v>Describe your use of SAST, SBOM, and monitoring of third-party AI components, and how you address vulnerabilities in line with NIST and state requirements</v>
      </c>
      <c r="F329" s="186"/>
      <c r="G329" s="30" t="str">
        <f>VLOOKUP($A329,Questions!$A$2:$X$333,21,0)&amp;""</f>
        <v>Yes</v>
      </c>
      <c r="H329" s="176"/>
      <c r="I329" s="45" t="str">
        <f>VLOOKUP($A329,Questions!$A$2:$X$333,23,0)&amp;""</f>
        <v>Standard Importance</v>
      </c>
      <c r="J329" s="176"/>
      <c r="K329" s="48" t="b">
        <v>0</v>
      </c>
      <c r="L329" s="1"/>
    </row>
    <row r="330" spans="1:12" s="1" customFormat="1" ht="18" customHeight="1" x14ac:dyDescent="0.15">
      <c r="A330" s="61" t="str">
        <f>VLOOKUP(LEFT($A331,4),'Auto Responses'!$N$4:$O$38,2,0)&amp;""</f>
        <v xml:space="preserve"> AI Machine Learning</v>
      </c>
      <c r="B330" s="22"/>
      <c r="C330" s="31"/>
      <c r="D330" s="31"/>
      <c r="E330" s="289"/>
      <c r="F330" s="125" t="s">
        <v>652</v>
      </c>
      <c r="G330" s="293" t="s">
        <v>647</v>
      </c>
      <c r="H330" s="293" t="s">
        <v>648</v>
      </c>
      <c r="I330" s="293" t="s">
        <v>649</v>
      </c>
      <c r="J330" s="293" t="s">
        <v>650</v>
      </c>
      <c r="K330" s="293" t="s">
        <v>651</v>
      </c>
    </row>
    <row r="331" spans="1:12" s="29" customFormat="1" ht="240" customHeight="1" x14ac:dyDescent="0.15">
      <c r="A331" s="19" t="str">
        <f>AI!$A$41</f>
        <v>AIML-01</v>
      </c>
      <c r="B331" s="20" t="str">
        <f>VLOOKUP($A331,AI!$A$13:$E$55,2,0)&amp;""</f>
        <v>Do you separate ML training data from your ML solution data?*</v>
      </c>
      <c r="C331" s="45" t="str">
        <f>VLOOKUP($A331,AI!$A$13:$E$55,3,0)&amp;""</f>
        <v>N/A</v>
      </c>
      <c r="D331" s="34" t="str">
        <f>IF(LEFT(VLOOKUP($A331,AI!$A$13:$E$55,5,0),21)='Auto Responses'!$A$32,'Auto Responses'!$A$33,VLOOKUP($A331,AI!$A$13:$E$55,4,0))&amp;""</f>
        <v>Accredible uses OpenAI's commercial enterprise API rather than training its own ML model. Responsibility for ML training data management sits with OpenAI under the enterprise agreement. This section does not apply to Accredible's AI implementation.</v>
      </c>
      <c r="E331" s="288" t="str">
        <f>VLOOKUP($A331,AI!$A$13:$E$55,5,0)&amp;""</f>
        <v>Please answer based on whether training data is kept separate from production data to protect institutional information. Include how organizational data is segregated, anonymized, or excluded from training, and state whether institutions can opt out of data use for model improvement.</v>
      </c>
      <c r="F331" s="186"/>
      <c r="G331" s="30" t="str">
        <f>VLOOKUP($A331,Questions!$A$2:$X$333,21,0)&amp;""</f>
        <v>Yes</v>
      </c>
      <c r="H331" s="176"/>
      <c r="I331" s="45" t="str">
        <f>VLOOKUP($A331,Questions!$A$2:$X$333,23,0)&amp;""</f>
        <v>Critical Importance</v>
      </c>
      <c r="J331" s="176"/>
      <c r="K331" s="48" t="b">
        <v>0</v>
      </c>
      <c r="L331" s="1"/>
    </row>
    <row r="332" spans="1:12" s="29" customFormat="1" ht="15" customHeight="1" x14ac:dyDescent="0.15">
      <c r="A332" s="19" t="str">
        <f>AI!$A$42</f>
        <v>AIML-02</v>
      </c>
      <c r="B332" s="20" t="str">
        <f>VLOOKUP($A332,AI!$A$13:$E$55,2,0)&amp;""</f>
        <v>Do you authenticate and verify your ML model's feedback?*</v>
      </c>
      <c r="C332" s="45" t="str">
        <f>VLOOKUP($A332,AI!$A$13:$E$55,3,0)&amp;""</f>
        <v>N/A</v>
      </c>
      <c r="D332" s="34" t="str">
        <f>IF(LEFT(VLOOKUP($A332,AI!$A$13:$E$55,5,0),21)='Auto Responses'!$A$32,'Auto Responses'!$A$33,VLOOKUP($A332,AI!$A$13:$E$55,4,0))&amp;""</f>
        <v>Accredible uses OpenAI's commercial enterprise API rather than training its own ML model. Responsibility for ML training data management sits with OpenAI under the enterprise agreement. This section does not apply to Accredible's AI implementation.</v>
      </c>
      <c r="E332" s="288" t="str">
        <f>VLOOKUP($A332,AI!$A$13:$E$55,5,0)&amp;""</f>
        <v/>
      </c>
      <c r="F332" s="186"/>
      <c r="G332" s="30" t="str">
        <f>VLOOKUP($A332,Questions!$A$2:$X$333,21,0)&amp;""</f>
        <v>Yes</v>
      </c>
      <c r="H332" s="176"/>
      <c r="I332" s="45" t="str">
        <f>VLOOKUP($A332,Questions!$A$2:$X$333,23,0)&amp;""</f>
        <v>Critical Importance</v>
      </c>
      <c r="J332" s="176"/>
      <c r="K332" s="48" t="b">
        <v>0</v>
      </c>
      <c r="L332" s="1"/>
    </row>
    <row r="333" spans="1:12" s="29" customFormat="1" ht="28.5" customHeight="1" x14ac:dyDescent="0.15">
      <c r="A333" s="19" t="str">
        <f>AI!$A$43</f>
        <v>AIML-03</v>
      </c>
      <c r="B333" s="20" t="str">
        <f>VLOOKUP($A333,AI!$A$13:$E$55,2,0)&amp;""</f>
        <v>Is your ML training data vetted, validated, and verified before training the solution's AI model?</v>
      </c>
      <c r="C333" s="45" t="str">
        <f>VLOOKUP($A333,AI!$A$13:$E$55,3,0)&amp;""</f>
        <v>N/A</v>
      </c>
      <c r="D333" s="34" t="str">
        <f>IF(LEFT(VLOOKUP($A333,AI!$A$13:$E$55,5,0),21)='Auto Responses'!$A$32,'Auto Responses'!$A$33,VLOOKUP($A333,AI!$A$13:$E$55,4,0))&amp;""</f>
        <v>Accredible uses OpenAI's commercial enterprise API rather than training its own ML model. Responsibility for ML training data management sits with OpenAI under the enterprise agreement. This section does not apply to Accredible's AI implementation.</v>
      </c>
      <c r="E333" s="288" t="str">
        <f>VLOOKUP($A333,AI!$A$13:$E$55,5,0)&amp;""</f>
        <v/>
      </c>
      <c r="F333" s="186"/>
      <c r="G333" s="30" t="str">
        <f>VLOOKUP($A333,Questions!$A$2:$X$333,21,0)&amp;""</f>
        <v>Yes</v>
      </c>
      <c r="H333" s="176"/>
      <c r="I333" s="45" t="str">
        <f>VLOOKUP($A333,Questions!$A$2:$X$333,23,0)&amp;""</f>
        <v>Standard Importance</v>
      </c>
      <c r="J333" s="176"/>
      <c r="K333" s="48" t="b">
        <v>0</v>
      </c>
      <c r="L333" s="1"/>
    </row>
    <row r="334" spans="1:12" s="29" customFormat="1" ht="15" customHeight="1" x14ac:dyDescent="0.15">
      <c r="A334" s="19" t="str">
        <f>AI!$A$44</f>
        <v>AIML-04</v>
      </c>
      <c r="B334" s="20" t="str">
        <f>VLOOKUP($A334,AI!$A$13:$E$55,2,0)&amp;""</f>
        <v>Is your ML training data monitored and audited?</v>
      </c>
      <c r="C334" s="45" t="str">
        <f>VLOOKUP($A334,AI!$A$13:$E$55,3,0)&amp;""</f>
        <v>N/A</v>
      </c>
      <c r="D334" s="34" t="str">
        <f>IF(LEFT(VLOOKUP($A334,AI!$A$13:$E$55,5,0),21)='Auto Responses'!$A$32,'Auto Responses'!$A$33,VLOOKUP($A334,AI!$A$13:$E$55,4,0))&amp;""</f>
        <v>Accredible uses OpenAI's commercial enterprise API rather than training its own ML model. Responsibility for ML training data management sits with OpenAI under the enterprise agreement. This section does not apply to Accredible's AI implementation.</v>
      </c>
      <c r="E334" s="288" t="str">
        <f>VLOOKUP($A334,AI!$A$13:$E$55,5,0)&amp;""</f>
        <v/>
      </c>
      <c r="F334" s="186"/>
      <c r="G334" s="30" t="str">
        <f>VLOOKUP($A334,Questions!$A$2:$X$333,21,0)&amp;""</f>
        <v>Yes</v>
      </c>
      <c r="H334" s="176"/>
      <c r="I334" s="45" t="str">
        <f>VLOOKUP($A334,Questions!$A$2:$X$333,23,0)&amp;""</f>
        <v>Standard Importance</v>
      </c>
      <c r="J334" s="176"/>
      <c r="K334" s="48" t="b">
        <v>0</v>
      </c>
      <c r="L334" s="1"/>
    </row>
    <row r="335" spans="1:12" s="29" customFormat="1" ht="28.5" customHeight="1" x14ac:dyDescent="0.15">
      <c r="A335" s="19" t="str">
        <f>AI!$A$45</f>
        <v>AIML-05</v>
      </c>
      <c r="B335" s="20" t="str">
        <f>VLOOKUP($A335,AI!$A$13:$E$55,2,0)&amp;""</f>
        <v>Have you limited access to your ML training data to only staff with an explicit business need?</v>
      </c>
      <c r="C335" s="45" t="str">
        <f>VLOOKUP($A335,AI!$A$13:$E$55,3,0)&amp;""</f>
        <v>N/A</v>
      </c>
      <c r="D335" s="34" t="str">
        <f>IF(LEFT(VLOOKUP($A335,AI!$A$13:$E$55,5,0),21)='Auto Responses'!$A$32,'Auto Responses'!$A$33,VLOOKUP($A335,AI!$A$13:$E$55,4,0))&amp;""</f>
        <v>Accredible uses OpenAI's commercial enterprise API rather than training its own ML model. Responsibility for ML training data management sits with OpenAI under the enterprise agreement. This section does not apply to Accredible's AI implementation.</v>
      </c>
      <c r="E335" s="288" t="str">
        <f>VLOOKUP($A335,AI!$A$13:$E$55,5,0)&amp;""</f>
        <v/>
      </c>
      <c r="F335" s="186"/>
      <c r="G335" s="30" t="str">
        <f>VLOOKUP($A335,Questions!$A$2:$X$333,21,0)&amp;""</f>
        <v>Yes</v>
      </c>
      <c r="H335" s="176"/>
      <c r="I335" s="45" t="str">
        <f>VLOOKUP($A335,Questions!$A$2:$X$333,23,0)&amp;""</f>
        <v>Minor Importance</v>
      </c>
      <c r="J335" s="176"/>
      <c r="K335" s="48" t="b">
        <v>0</v>
      </c>
      <c r="L335" s="1"/>
    </row>
    <row r="336" spans="1:12" s="29" customFormat="1" ht="28.5" customHeight="1" x14ac:dyDescent="0.15">
      <c r="A336" s="19" t="str">
        <f>AI!$A$46</f>
        <v>AIML-06</v>
      </c>
      <c r="B336" s="20" t="str">
        <f>VLOOKUP($A336,AI!$A$13:$E$55,2,0)&amp;""</f>
        <v>Have you implemented adversarial training or other model defense mechanisms to protect your ML-related features?</v>
      </c>
      <c r="C336" s="45" t="str">
        <f>VLOOKUP($A336,AI!$A$13:$E$55,3,0)&amp;""</f>
        <v>N/A</v>
      </c>
      <c r="D336" s="34" t="str">
        <f>IF(LEFT(VLOOKUP($A336,AI!$A$13:$E$55,5,0),21)='Auto Responses'!$A$32,'Auto Responses'!$A$33,VLOOKUP($A336,AI!$A$13:$E$55,4,0))&amp;""</f>
        <v>Accredible uses OpenAI's commercial enterprise API rather than training its own ML model. Responsibility for ML training data management sits with OpenAI under the enterprise agreement. This section does not apply to Accredible's AI implementation.</v>
      </c>
      <c r="E336" s="288" t="str">
        <f>VLOOKUP($A336,AI!$A$13:$E$55,5,0)&amp;""</f>
        <v/>
      </c>
      <c r="F336" s="186"/>
      <c r="G336" s="30" t="str">
        <f>VLOOKUP($A336,Questions!$A$2:$X$333,21,0)&amp;""</f>
        <v>Yes</v>
      </c>
      <c r="H336" s="176"/>
      <c r="I336" s="45" t="str">
        <f>VLOOKUP($A336,Questions!$A$2:$X$333,23,0)&amp;""</f>
        <v>Minor Importance</v>
      </c>
      <c r="J336" s="176"/>
      <c r="K336" s="48" t="b">
        <v>0</v>
      </c>
      <c r="L336" s="1"/>
    </row>
    <row r="337" spans="1:14" s="29" customFormat="1" ht="28.5" customHeight="1" x14ac:dyDescent="0.15">
      <c r="A337" s="19" t="str">
        <f>AI!$A$47</f>
        <v>AIML-07</v>
      </c>
      <c r="B337" s="20" t="str">
        <f>VLOOKUP($A337,AI!$A$13:$E$55,2,0)&amp;""</f>
        <v>Do you make your ML model transparent through documentation and log inputs and outputs?</v>
      </c>
      <c r="C337" s="45" t="str">
        <f>VLOOKUP($A337,AI!$A$13:$E$55,3,0)&amp;""</f>
        <v>N/A</v>
      </c>
      <c r="D337" s="34" t="str">
        <f>IF(LEFT(VLOOKUP($A337,AI!$A$13:$E$55,5,0),21)='Auto Responses'!$A$32,'Auto Responses'!$A$33,VLOOKUP($A337,AI!$A$13:$E$55,4,0))&amp;""</f>
        <v>Accredible uses OpenAI's commercial enterprise API rather than training its own ML model. Responsibility for ML training data management sits with OpenAI under the enterprise agreement. This section does not apply to Accredible's AI implementation.</v>
      </c>
      <c r="E337" s="288" t="str">
        <f>VLOOKUP($A337,AI!$A$13:$E$55,5,0)&amp;""</f>
        <v/>
      </c>
      <c r="F337" s="186"/>
      <c r="G337" s="30" t="str">
        <f>VLOOKUP($A337,Questions!$A$2:$X$333,21,0)&amp;""</f>
        <v>Yes</v>
      </c>
      <c r="H337" s="176"/>
      <c r="I337" s="45" t="str">
        <f>VLOOKUP($A337,Questions!$A$2:$X$333,23,0)&amp;""</f>
        <v>Minor Importance</v>
      </c>
      <c r="J337" s="176"/>
      <c r="K337" s="48" t="b">
        <v>0</v>
      </c>
      <c r="L337" s="1"/>
    </row>
    <row r="338" spans="1:14" s="29" customFormat="1" ht="15" customHeight="1" x14ac:dyDescent="0.15">
      <c r="A338" s="19" t="str">
        <f>AI!$A$48</f>
        <v>AIML-08</v>
      </c>
      <c r="B338" s="20" t="str">
        <f>VLOOKUP($A338,AI!$A$13:$E$55,2,0)&amp;""</f>
        <v>Do you watermark your ML training data?</v>
      </c>
      <c r="C338" s="45" t="str">
        <f>VLOOKUP($A338,AI!$A$13:$E$55,3,0)&amp;""</f>
        <v>N/A</v>
      </c>
      <c r="D338" s="34" t="str">
        <f>IF(LEFT(VLOOKUP($A338,AI!$A$13:$E$55,5,0),21)='Auto Responses'!$A$32,'Auto Responses'!$A$33,VLOOKUP($A338,AI!$A$13:$E$55,4,0))&amp;""</f>
        <v>Accredible uses OpenAI's commercial enterprise API rather than training its own ML model. Responsibility for ML training data management sits with OpenAI under the enterprise agreement. This section does not apply to Accredible's AI implementation.</v>
      </c>
      <c r="E338" s="288" t="str">
        <f>VLOOKUP($A338,AI!$A$13:$E$55,5,0)&amp;""</f>
        <v/>
      </c>
      <c r="F338" s="186"/>
      <c r="G338" s="30" t="str">
        <f>VLOOKUP($A338,Questions!$A$2:$X$333,21,0)&amp;""</f>
        <v>Yes</v>
      </c>
      <c r="H338" s="176"/>
      <c r="I338" s="45" t="str">
        <f>VLOOKUP($A338,Questions!$A$2:$X$333,23,0)&amp;""</f>
        <v>Minor Importance</v>
      </c>
      <c r="J338" s="176"/>
      <c r="K338" s="48" t="b">
        <v>0</v>
      </c>
      <c r="L338" s="1"/>
    </row>
    <row r="339" spans="1:14" s="1" customFormat="1" ht="18" customHeight="1" x14ac:dyDescent="0.15">
      <c r="A339" s="61" t="str">
        <f>VLOOKUP(LEFT($A340,4),'Auto Responses'!$N$4:$O$38,2,0)&amp;""</f>
        <v xml:space="preserve"> AI Large Language Model (LLM)</v>
      </c>
      <c r="B339" s="22"/>
      <c r="C339" s="125"/>
      <c r="D339" s="31"/>
      <c r="E339" s="292"/>
      <c r="F339" s="125" t="s">
        <v>652</v>
      </c>
      <c r="G339" s="293" t="s">
        <v>647</v>
      </c>
      <c r="H339" s="293" t="s">
        <v>648</v>
      </c>
      <c r="I339" s="293" t="s">
        <v>649</v>
      </c>
      <c r="J339" s="293" t="s">
        <v>650</v>
      </c>
      <c r="K339" s="293" t="s">
        <v>651</v>
      </c>
    </row>
    <row r="340" spans="1:14" s="29" customFormat="1" ht="15" customHeight="1" x14ac:dyDescent="0.15">
      <c r="A340" s="19" t="str">
        <f>AI!$A$50</f>
        <v>AILM-01</v>
      </c>
      <c r="B340" s="20" t="str">
        <f>VLOOKUP($A340,AI!$A$13:$E$55,2,0)&amp;""</f>
        <v>Do you limit your solution's LLM privileges by default?*</v>
      </c>
      <c r="C340" s="45" t="str">
        <f>VLOOKUP($A340,AI!$A$13:$E$55,3,0)&amp;""</f>
        <v>Yes</v>
      </c>
      <c r="D340" s="34" t="str">
        <f>IF(LEFT(VLOOKUP($A340,AI!$A$13:$E$55,5,0),21)='Auto Responses'!$A$32,'Auto Responses'!$A$33,VLOOKUP($A340,AI!$A$13:$E$55,4,0))&amp;""</f>
        <v>Accredible limits LLM privileges by default. The OpenAI API is called only with the specific input required for skills extraction (course description text) and is not given access to broader system resources.</v>
      </c>
      <c r="E340" s="288" t="str">
        <f>VLOOKUP($A340,AI!$A$13:$E$55,5,0)&amp;""</f>
        <v>Describe how privilege control is implemented for the LLM and how trust boundaries are established between LLM, external sources, and extensible functionality (plugins or downstream functions). Include how you leverage "human in the loop" principals.</v>
      </c>
      <c r="F340" s="186"/>
      <c r="G340" s="30" t="str">
        <f>VLOOKUP($A340,Questions!$A$2:$X$333,21,0)&amp;""</f>
        <v>Yes</v>
      </c>
      <c r="H340" s="176"/>
      <c r="I340" s="45" t="str">
        <f>VLOOKUP($A340,Questions!$A$2:$X$333,23,0)&amp;""</f>
        <v>Critical Importance</v>
      </c>
      <c r="J340" s="176"/>
      <c r="K340" s="48" t="b">
        <v>0</v>
      </c>
      <c r="L340" s="1"/>
    </row>
    <row r="341" spans="1:14" s="29" customFormat="1" ht="28.5" customHeight="1" x14ac:dyDescent="0.15">
      <c r="A341" s="19" t="str">
        <f>AI!$A$51</f>
        <v>AILM-02</v>
      </c>
      <c r="B341" s="20" t="str">
        <f>VLOOKUP($A341,AI!$A$13:$E$55,2,0)&amp;""</f>
        <v>Is your LLM training data vetted, validated, and verified before training the solution's AI model?*</v>
      </c>
      <c r="C341" s="45" t="str">
        <f>VLOOKUP($A341,AI!$A$13:$E$55,3,0)&amp;""</f>
        <v>N/A</v>
      </c>
      <c r="D341" s="34" t="str">
        <f>IF(LEFT(VLOOKUP($A341,AI!$A$13:$E$55,5,0),21)='Auto Responses'!$A$32,'Auto Responses'!$A$33,VLOOKUP($A341,AI!$A$13:$E$55,4,0))&amp;""</f>
        <v>LLM training data is managed by OpenAI under the enterprise agreement. Accredible does not control or have visibility into OpenAI's LLM training data. Accredible's enterprise agreement prohibits use of submitted data for training.</v>
      </c>
      <c r="E341" s="288" t="str">
        <f>VLOOKUP($A341,AI!$A$13:$E$55,5,0)&amp;""</f>
        <v/>
      </c>
      <c r="F341" s="186"/>
      <c r="G341" s="30" t="str">
        <f>VLOOKUP($A341,Questions!$A$2:$X$333,21,0)&amp;""</f>
        <v>Yes</v>
      </c>
      <c r="H341" s="176"/>
      <c r="I341" s="45" t="str">
        <f>VLOOKUP($A341,Questions!$A$2:$X$333,23,0)&amp;""</f>
        <v>Critical Importance</v>
      </c>
      <c r="J341" s="176"/>
      <c r="K341" s="48" t="b">
        <v>0</v>
      </c>
      <c r="L341" s="1"/>
    </row>
    <row r="342" spans="1:14" s="29" customFormat="1" ht="28.5" customHeight="1" x14ac:dyDescent="0.15">
      <c r="A342" s="19" t="str">
        <f>AI!$A$52</f>
        <v>AILM-03</v>
      </c>
      <c r="B342" s="20" t="str">
        <f>VLOOKUP($A342,AI!$A$13:$E$55,2,0)&amp;""</f>
        <v>Do any actions taken by your solution's LLM features or plugins require human intervention?*</v>
      </c>
      <c r="C342" s="45" t="str">
        <f>VLOOKUP($A342,AI!$A$13:$E$55,3,0)&amp;""</f>
        <v>Yes</v>
      </c>
      <c r="D342" s="34" t="str">
        <f>IF(LEFT(VLOOKUP($A342,AI!$A$13:$E$55,5,0),21)='Auto Responses'!$A$32,'Auto Responses'!$A$33,VLOOKUP($A342,AI!$A$13:$E$55,4,0))&amp;""</f>
        <v>AI-generated skill tag suggestions are processed through Accredible's CritiqueEvaluatorService before being presented to users. Users must review and confirm suggestions rather than having them applied automatically, providing human oversight.</v>
      </c>
      <c r="E342" s="288" t="str">
        <f>VLOOKUP($A342,AI!$A$13:$E$55,5,0)&amp;""</f>
        <v>Describe how human approval or oversight is applied before sensitive or high-impact LLM actions are executed. Include where approvals occur and what roles are involved.</v>
      </c>
      <c r="F342" s="186"/>
      <c r="G342" s="30" t="str">
        <f>VLOOKUP($A342,Questions!$A$2:$X$333,21,0)&amp;""</f>
        <v>Yes</v>
      </c>
      <c r="H342" s="176"/>
      <c r="I342" s="45" t="str">
        <f>VLOOKUP($A342,Questions!$A$2:$X$333,23,0)&amp;""</f>
        <v>Critical Importance</v>
      </c>
      <c r="J342" s="176"/>
      <c r="K342" s="48" t="b">
        <v>0</v>
      </c>
      <c r="L342" s="1"/>
    </row>
    <row r="343" spans="1:14" s="29" customFormat="1" ht="28.5" customHeight="1" x14ac:dyDescent="0.15">
      <c r="A343" s="19" t="str">
        <f>AI!$A$53</f>
        <v>AILM-04</v>
      </c>
      <c r="B343" s="20" t="str">
        <f>VLOOKUP($A343,AI!$A$13:$E$55,2,0)&amp;""</f>
        <v>Do you limit multiple LLM model plugins being called as part of a single input?*</v>
      </c>
      <c r="C343" s="45" t="str">
        <f>VLOOKUP($A343,AI!$A$13:$E$55,3,0)&amp;""</f>
        <v>Yes</v>
      </c>
      <c r="D343" s="34" t="str">
        <f>IF(LEFT(VLOOKUP($A343,AI!$A$13:$E$55,5,0),21)='Auto Responses'!$A$32,'Auto Responses'!$A$33,VLOOKUP($A343,AI!$A$13:$E$55,4,0))&amp;""</f>
        <v>Accredible limits API calls to a single OpenAI interaction per skills extraction request, preventing multiple chained LLM operations.</v>
      </c>
      <c r="E343" s="288" t="str">
        <f>VLOOKUP($A343,AI!$A$13:$E$55,5,0)&amp;""</f>
        <v>Describe how plugins or external tools are restricted. Include whether limits, validation, or monitoring are applied.</v>
      </c>
      <c r="F343" s="186"/>
      <c r="G343" s="30" t="str">
        <f>VLOOKUP($A343,Questions!$A$2:$X$333,21,0)&amp;""</f>
        <v>Yes</v>
      </c>
      <c r="H343" s="176"/>
      <c r="I343" s="45" t="str">
        <f>VLOOKUP($A343,Questions!$A$2:$X$333,23,0)&amp;""</f>
        <v>Critical Importance</v>
      </c>
      <c r="J343" s="176"/>
      <c r="K343" s="48" t="b">
        <v>0</v>
      </c>
      <c r="L343" s="1"/>
    </row>
    <row r="344" spans="1:14" s="29" customFormat="1" ht="28.5" customHeight="1" x14ac:dyDescent="0.15">
      <c r="A344" s="19" t="str">
        <f>AI!$A$54</f>
        <v>AILM-05</v>
      </c>
      <c r="B344" s="20" t="str">
        <f>VLOOKUP($A344,AI!$A$13:$E$55,2,0)&amp;""</f>
        <v>Do you limit your solution's LLM resource use per request, per step, and per action?</v>
      </c>
      <c r="C344" s="45" t="str">
        <f>VLOOKUP($A344,AI!$A$13:$E$55,3,0)&amp;""</f>
        <v>Yes</v>
      </c>
      <c r="D344" s="34" t="str">
        <f>IF(LEFT(VLOOKUP($A344,AI!$A$13:$E$55,5,0),21)='Auto Responses'!$A$32,'Auto Responses'!$A$33,VLOOKUP($A344,AI!$A$13:$E$55,4,0))&amp;""</f>
        <v>Accredible limits LLM resource use through rate limiting and controlled API calls per request.</v>
      </c>
      <c r="E344" s="288" t="str">
        <f>VLOOKUP($A344,AI!$A$13:$E$55,5,0)&amp;""</f>
        <v>Describe how resource usage such as tokens, CPU, memory, or API calls is managed. Include whether quotas, monitoring, or escalation paths are defined.</v>
      </c>
      <c r="F344" s="186"/>
      <c r="G344" s="30" t="str">
        <f>VLOOKUP($A344,Questions!$A$2:$X$333,21,0)&amp;""</f>
        <v>Yes</v>
      </c>
      <c r="H344" s="176"/>
      <c r="I344" s="45" t="str">
        <f>VLOOKUP($A344,Questions!$A$2:$X$333,23,0)&amp;""</f>
        <v>Standard Importance</v>
      </c>
      <c r="J344" s="176"/>
      <c r="K344" s="48" t="b">
        <v>0</v>
      </c>
      <c r="L344" s="1"/>
    </row>
    <row r="345" spans="1:14" s="29" customFormat="1" ht="28.5" customHeight="1" x14ac:dyDescent="0.15">
      <c r="A345" s="19" t="str">
        <f>AI!$A$55</f>
        <v>AILM-06</v>
      </c>
      <c r="B345" s="20" t="str">
        <f>VLOOKUP($A345,AI!$A$13:$E$55,2,0)&amp;""</f>
        <v>Do you leverage LLM model tuning or other model validation mechanisms?</v>
      </c>
      <c r="C345" s="45" t="str">
        <f>VLOOKUP($A345,AI!$A$13:$E$55,3,0)&amp;""</f>
        <v>Yes</v>
      </c>
      <c r="D345" s="34" t="str">
        <f>IF(LEFT(VLOOKUP($A345,AI!$A$13:$E$55,5,0),21)='Auto Responses'!$A$32,'Auto Responses'!$A$33,VLOOKUP($A345,AI!$A$13:$E$55,4,0))&amp;""</f>
        <v>Accredible leverages OpenAI's model validation capabilities and reviews the quality of AI outputs through its CritiqueEvaluatorService.</v>
      </c>
      <c r="E345" s="288" t="str">
        <f>VLOOKUP($A345,AI!$A$13:$E$55,5,0)&amp;""</f>
        <v>Describe how you improve factual reliability. Include whether methods such as retrieval augmentation, fact checking, or human review are applied</v>
      </c>
      <c r="F345" s="186"/>
      <c r="G345" s="30" t="str">
        <f>VLOOKUP($A345,Questions!$A$2:$X$333,21,0)&amp;""</f>
        <v>Yes</v>
      </c>
      <c r="H345" s="176"/>
      <c r="I345" s="45" t="str">
        <f>VLOOKUP($A345,Questions!$A$2:$X$333,23,0)&amp;""</f>
        <v>Standard Importance</v>
      </c>
      <c r="J345" s="176"/>
      <c r="K345" s="48" t="b">
        <v>0</v>
      </c>
      <c r="L345" s="1"/>
      <c r="N345" s="228" t="s">
        <v>361</v>
      </c>
    </row>
    <row r="346" spans="1:14" ht="42" customHeight="1" x14ac:dyDescent="0.2">
      <c r="A346" s="41" t="s">
        <v>2</v>
      </c>
    </row>
    <row r="347" spans="1:14" ht="15" hidden="1" customHeight="1" x14ac:dyDescent="0.2"/>
    <row r="348" spans="1:14" ht="15" hidden="1" customHeight="1" x14ac:dyDescent="0.2"/>
    <row r="349" spans="1:14" ht="15" hidden="1" customHeight="1" x14ac:dyDescent="0.2"/>
    <row r="350" spans="1:14" ht="15" hidden="1" customHeight="1" x14ac:dyDescent="0.2"/>
    <row r="351" spans="1:14" ht="15" hidden="1" customHeight="1" x14ac:dyDescent="0.2"/>
    <row r="352" spans="1:14"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sheetData>
  <mergeCells count="1">
    <mergeCell ref="A19:C19"/>
  </mergeCells>
  <conditionalFormatting sqref="F21:G40">
    <cfRule type="dataBar" priority="3">
      <dataBar>
        <cfvo type="num" val="0"/>
        <cfvo type="num" val="1"/>
        <color rgb="FFD0DAF0"/>
      </dataBar>
    </cfRule>
  </conditionalFormatting>
  <conditionalFormatting sqref="H40:I40">
    <cfRule type="dataBar" priority="2">
      <dataBar>
        <cfvo type="num" val="0"/>
        <cfvo type="num" val="1"/>
        <color rgb="FF638EC6"/>
      </dataBar>
    </cfRule>
  </conditionalFormatting>
  <dataValidations xWindow="1346" yWindow="518" count="2">
    <dataValidation allowBlank="1" showInputMessage="1" showErrorMessage="1" prompt="This answer has been populated from the &quot;START HERE&quot; tab and does not need to be re-entered." sqref="C11:C17" xr:uid="{00000000-0002-0000-0800-000000000000}"/>
    <dataValidation allowBlank="1" showInputMessage="1" showErrorMessage="1" promptTitle="Warning!" prompt="The HECVAT is built using a number of complex formulas. Editing this cell can break the functionality of the tool. " sqref="A3:A17 A44:E346 B2:B17 B20:B40 C20 C40 D20:I40 G56:G345 I2 I56:I345" xr:uid="{00000000-0002-0000-0800-000001000000}"/>
  </dataValidations>
  <hyperlinks>
    <hyperlink ref="A10" r:id="rId1" display="http://www.educause.edu/HECVAT" xr:uid="{00000000-0004-0000-0800-000000000000}"/>
    <hyperlink ref="G21" location="'Institution Evaluation'!A65" display="'Institution Evaluation'!A65" xr:uid="{00000000-0004-0000-0800-000001000000}"/>
    <hyperlink ref="G22" location="'Institution Evaluation'!A80" display="'Institution Evaluation'!A80" xr:uid="{00000000-0004-0000-0800-000002000000}"/>
    <hyperlink ref="G23" location="'Institution Evaluation'!A88" display="'Institution Evaluation'!A88" xr:uid="{00000000-0004-0000-0800-000003000000}"/>
    <hyperlink ref="G24" location="'Institution Evaluation'!A94" display="'Institution Evaluation'!A94" xr:uid="{00000000-0004-0000-0800-000004000000}"/>
    <hyperlink ref="G25" location="'Institution Evaluation'!A111" display="'Institution Evaluation'!A111" xr:uid="{00000000-0004-0000-0800-000005000000}"/>
    <hyperlink ref="G26" location="'Institution Evaluation'!A127" display="'Institution Evaluation'!A127" xr:uid="{00000000-0004-0000-0800-000006000000}"/>
    <hyperlink ref="G27" location="'Institution Evaluation'!A146" display="'Institution Evaluation'!A146" xr:uid="{00000000-0004-0000-0800-000007000000}"/>
    <hyperlink ref="G28" location="'Institution Evaluation'!A170" display="'Institution Evaluation'!A170" xr:uid="{00000000-0004-0000-0800-000008000000}"/>
    <hyperlink ref="G29" location="'Institution Evaluation'!A185" display="'Institution Evaluation'!A185" xr:uid="{00000000-0004-0000-0800-000009000000}"/>
    <hyperlink ref="G30" location="'Institution Evaluation'!A202" display="'Institution Evaluation'!A202" xr:uid="{00000000-0004-0000-0800-00000A000000}"/>
    <hyperlink ref="G31" location="'Institution Evaluation'!A214" display="'Institution Evaluation'!A214" xr:uid="{00000000-0004-0000-0800-00000B000000}"/>
    <hyperlink ref="G32" location="'Institution Evaluation'!A219" display="'Institution Evaluation'!A219" xr:uid="{00000000-0004-0000-0800-00000C000000}"/>
    <hyperlink ref="G33" location="'Institution Evaluation'!A245" display="'Institution Evaluation'!A245" xr:uid="{00000000-0004-0000-0800-00000D000000}"/>
    <hyperlink ref="G34" location="'Institution Evaluation'!A255" display="'Institution Evaluation'!A255" xr:uid="{00000000-0004-0000-0800-00000E000000}"/>
    <hyperlink ref="G35" location="'Institution Evaluation'!A285" display="'Institution Evaluation'!A285" xr:uid="{00000000-0004-0000-0800-00000F000000}"/>
    <hyperlink ref="G36" location="'Institution Evaluation'!A298" display="'Institution Evaluation'!A298" xr:uid="{00000000-0004-0000-0800-000010000000}"/>
    <hyperlink ref="G37" location="'Institution Evaluation'!A226" display="'Institution Evaluation'!A226" xr:uid="{00000000-0004-0000-0800-000011000000}"/>
    <hyperlink ref="G38" location="'Institution Evaluation'!A309" display="'Institution Evaluation'!A309" xr:uid="{00000000-0004-0000-0800-000012000000}"/>
    <hyperlink ref="G39" location="'Privacy Analyst Evaluation'!A1" display="'Privacy Analyst Evaluation'!A1" xr:uid="{00000000-0004-0000-0800-000013000000}"/>
    <hyperlink ref="A52" r:id="rId2" display="http://www.educause.edu/HECVAT" xr:uid="{00000000-0004-0000-0800-000014000000}"/>
    <hyperlink ref="F55" location="'Institution Evaluation'!B20" display="Back to Scorecard" xr:uid="{00000000-0004-0000-0800-000015000000}"/>
    <hyperlink ref="F65" location="'Institution Evaluation'!B20" display="Back to Scorecard" xr:uid="{00000000-0004-0000-0800-000016000000}"/>
    <hyperlink ref="F71" location="'Institution Evaluation'!B20" display="Back to Scorecard" xr:uid="{00000000-0004-0000-0800-000017000000}"/>
    <hyperlink ref="F80" location="'Institution Evaluation'!B20" display="Back to Scorecard" xr:uid="{00000000-0004-0000-0800-000018000000}"/>
    <hyperlink ref="F88" location="'Institution Evaluation'!B20" display="Back to Scorecard" xr:uid="{00000000-0004-0000-0800-000019000000}"/>
    <hyperlink ref="F94" location="'Institution Evaluation'!B20" display="Back to Scorecard" xr:uid="{00000000-0004-0000-0800-00001A000000}"/>
    <hyperlink ref="F111" location="'Institution Evaluation'!B20" display="Back to Scorecard" xr:uid="{00000000-0004-0000-0800-00001B000000}"/>
    <hyperlink ref="F127" location="'Institution Evaluation'!B20" display="Back to Scorecard" xr:uid="{00000000-0004-0000-0800-00001C000000}"/>
    <hyperlink ref="F146" location="'Institution Evaluation'!B20" display="Back to Scorecard" xr:uid="{00000000-0004-0000-0800-00001D000000}"/>
    <hyperlink ref="F170" location="'Institution Evaluation'!B20" display="Back to Scorecard" xr:uid="{00000000-0004-0000-0800-00001E000000}"/>
    <hyperlink ref="F185" location="'Institution Evaluation'!B20" display="Back to Scorecard" xr:uid="{00000000-0004-0000-0800-00001F000000}"/>
    <hyperlink ref="F202" location="'Institution Evaluation'!B20" display="Back to Scorecard" xr:uid="{00000000-0004-0000-0800-000020000000}"/>
    <hyperlink ref="F214" location="'Institution Evaluation'!B20" display="Back to Scorecard" xr:uid="{00000000-0004-0000-0800-000021000000}"/>
    <hyperlink ref="F219" location="'Institution Evaluation'!B20" display="Back to Scorecard" xr:uid="{00000000-0004-0000-0800-000022000000}"/>
    <hyperlink ref="F226" location="'Institution Evaluation'!B20" display="Back to Scorecard" xr:uid="{00000000-0004-0000-0800-000023000000}"/>
    <hyperlink ref="F245" location="'Institution Evaluation'!B20" display="Back to Scorecard" xr:uid="{00000000-0004-0000-0800-000024000000}"/>
    <hyperlink ref="F255" location="'Institution Evaluation'!B20" display="Back to Scorecard" xr:uid="{00000000-0004-0000-0800-000025000000}"/>
    <hyperlink ref="F285" location="'Institution Evaluation'!B20" display="Back to Scorecard" xr:uid="{00000000-0004-0000-0800-000026000000}"/>
    <hyperlink ref="F298" location="'Institution Evaluation'!B20" display="Back to Scorecard" xr:uid="{00000000-0004-0000-0800-000027000000}"/>
    <hyperlink ref="F309" location="'Institution Evaluation'!B20" display="Back to Scorecard" xr:uid="{00000000-0004-0000-0800-000028000000}"/>
    <hyperlink ref="F312" location="'Institution Evaluation'!B20" display="Back to Scorecard" xr:uid="{00000000-0004-0000-0800-000029000000}"/>
    <hyperlink ref="F318" location="'Institution Evaluation'!B20" display="Back to Scorecard" xr:uid="{00000000-0004-0000-0800-00002A000000}"/>
    <hyperlink ref="F324" location="'Institution Evaluation'!B20" display="Back to Scorecard" xr:uid="{00000000-0004-0000-0800-00002B000000}"/>
    <hyperlink ref="F330" location="'Institution Evaluation'!B20" display="Back to Scorecard" xr:uid="{00000000-0004-0000-0800-00002C000000}"/>
    <hyperlink ref="F339" location="'Institution Evaluation'!B20" display="Back to Scorecard" xr:uid="{00000000-0004-0000-0800-00002D000000}"/>
  </hyperlinks>
  <pageMargins left="0.7" right="0.7" top="0.75" bottom="0.75" header="0.3" footer="0.3"/>
  <pageSetup orientation="portrait"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Organization</vt:lpstr>
      <vt:lpstr>Product</vt:lpstr>
      <vt:lpstr>Infrastructure</vt:lpstr>
      <vt:lpstr>IT Accessibility</vt:lpstr>
      <vt:lpstr>Case-Specific</vt:lpstr>
      <vt:lpstr>AI</vt:lpstr>
      <vt:lpstr>Privacy</vt:lpstr>
      <vt:lpstr>Institution Evaluation</vt:lpstr>
      <vt:lpstr>High-Risk Evaluation</vt:lpstr>
      <vt:lpstr>Privacy Analyst Evaluation</vt:lpstr>
      <vt:lpstr>Analyst Reference</vt:lpstr>
      <vt:lpstr>Questions</vt:lpstr>
      <vt:lpstr>Auto Responses</vt:lpstr>
      <vt:lpstr>(backend scoring)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HECVAT 4.0</dc:title>
  <dc:creator>BJ Hollowell</dc:creator>
  <cp:lastModifiedBy>Steve Smith</cp:lastModifiedBy>
  <dcterms:created xsi:type="dcterms:W3CDTF">2024-11-11T16:57:18Z</dcterms:created>
  <dcterms:modified xsi:type="dcterms:W3CDTF">2026-04-09T09:30:00Z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0x01010074D872F97966D74188195EB9403F400A</vt:lpwstr>
  </property>
  <property fmtid="{D5CDD505-2E9C-101B-9397-08002B2CF9AE}" pid="3" name="MediaServiceImageTags">
    <vt:lpwstr/>
  </property>
</Properties>
</file>