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10.xml.rels" ContentType="application/vnd.openxmlformats-package.relationships+xml"/>
  <Override PartName="/xl/worksheets/_rels/sheet3.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vmlDrawing1.vml" ContentType="application/vnd.openxmlformats-officedocument.vmlDrawing"/>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Landed Cost" sheetId="2" state="visible" r:id="rId4"/>
    <sheet name="Country Compare" sheetId="3" state="visible" r:id="rId5"/>
    <sheet name="Product List" sheetId="4" state="visible" r:id="rId6"/>
    <sheet name="Scenarios" sheetId="5" state="visible" r:id="rId7"/>
    <sheet name="Container &amp; MOQ" sheetId="6" state="visible" r:id="rId8"/>
    <sheet name="Cash Flow" sheetId="7" state="visible" r:id="rId9"/>
    <sheet name="Rate Tables" sheetId="8" state="visible" r:id="rId10"/>
    <sheet name="Watchlist" sheetId="9" state="visible" r:id="rId11"/>
    <sheet name="Sources" sheetId="10" state="visible" r:id="rId12"/>
  </sheets>
  <definedNames>
    <definedName function="false" hidden="false" localSheetId="1" name="_xlnm.Print_Area" vbProcedure="false">'Landed Cost'!$B$1:$I$64</definedName>
    <definedName function="false" hidden="false" name="B_CV" vbProcedure="false">Scenarios!$C$6</definedName>
    <definedName function="false" hidden="false" name="B_Fr" vbProcedure="false">Scenarios!$C$8</definedName>
    <definedName function="false" hidden="false" name="B_L" vbProcedure="false">Scenarios!$C$5</definedName>
    <definedName function="false" hidden="false" name="B_M" vbProcedure="false">Scenarios!$C$10</definedName>
    <definedName function="false" hidden="false" name="B_P" vbProcedure="false">Scenarios!$C$9</definedName>
    <definedName function="false" hidden="false" name="B_Rate" vbProcedure="false">Scenarios!$C$7</definedName>
    <definedName function="false" hidden="false" name="C301_Opt" vbProcedure="false">'Rate Tables'!$B$53:$B$61</definedName>
    <definedName function="false" hidden="false" name="C301_Post" vbProcedure="false">'Rate Tables'!$D$53:$D$61</definedName>
    <definedName function="false" hidden="false" name="C301_Pre" vbProcedure="false">'Rate Tables'!$C$53:$C$61</definedName>
    <definedName function="false" hidden="false" name="CF_Dep" vbProcedure="false">'Cash Flow'!$C$6</definedName>
    <definedName function="false" hidden="false" name="CF_Lead" vbProcedure="false">'Cash Flow'!$C$7</definedName>
    <definedName function="false" hidden="false" name="CF_Pay" vbProcedure="false">'Cash Flow'!$C$9</definedName>
    <definedName function="false" hidden="false" name="CF_PO" vbProcedure="false">'Cash Flow'!$C$5</definedName>
    <definedName function="false" hidden="false" name="CF_Transit" vbProcedure="false">'Cash Flow'!$C$8</definedName>
    <definedName function="false" hidden="false" name="CM_CBM" vbProcedure="false">'Container &amp; MOQ'!$C$14</definedName>
    <definedName function="false" hidden="false" name="CM_Cut" vbProcedure="false">'Container &amp; MOQ'!$C$11</definedName>
    <definedName function="false" hidden="false" name="CM_H" vbProcedure="false">'Container &amp; MOQ'!$C$7</definedName>
    <definedName function="false" hidden="false" name="CM_L" vbProcedure="false">'Container &amp; MOQ'!$C$5</definedName>
    <definedName function="false" hidden="false" name="CM_LCL" vbProcedure="false">'Container &amp; MOQ'!$C$10</definedName>
    <definedName function="false" hidden="false" name="CM_Load" vbProcedure="false">'Container &amp; MOQ'!$C$9</definedName>
    <definedName function="false" hidden="false" name="CM_Pref" vbProcedure="false">'Container &amp; MOQ'!$C$12</definedName>
    <definedName function="false" hidden="false" name="CM_UPC" vbProcedure="false">'Container &amp; MOQ'!$C$8</definedName>
    <definedName function="false" hidden="false" name="CM_W" vbProcedure="false">'Container &amp; MOQ'!$C$6</definedName>
    <definedName function="false" hidden="false" name="CT_Country" vbProcedure="false">'Rate Tables'!$B$23:$B$47</definedName>
    <definedName function="false" hidden="false" name="CT_Method" vbProcedure="false">'Rate Tables'!$C$23:$C$47</definedName>
    <definedName function="false" hidden="false" name="CT_Rate" vbProcedure="false">'Rate Tables'!$D$23:$D$47</definedName>
    <definedName function="false" hidden="false" name="CT_USMCA" vbProcedure="false">'Rate Tables'!$E$23:$E$47</definedName>
    <definedName function="false" hidden="false" name="CT_WhatIf" vbProcedure="false">'Rate Tables'!$F$23:$F$47</definedName>
    <definedName function="false" hidden="false" name="Excl_Expiry" vbProcedure="false">'Rate Tables'!$C$17</definedName>
    <definedName function="false" hidden="false" name="Formal_Thr" vbProcedure="false">'Rate Tables'!$C$14</definedName>
    <definedName function="false" hidden="false" name="FR_CBM" vbProcedure="false">'Rate Tables'!$E$79:$E$82</definedName>
    <definedName function="false" hidden="false" name="FR_Cont" vbProcedure="false">'Rate Tables'!$B$79:$B$82</definedName>
    <definedName function="false" hidden="false" name="FR_ContFCL" vbProcedure="false">'Rate Tables'!$B$79:$B$81</definedName>
    <definedName function="false" hidden="false" name="FR_East" vbProcedure="false">'Rate Tables'!$D$79:$D$82</definedName>
    <definedName function="false" hidden="false" name="FR_West" vbProcedure="false">'Rate Tables'!$C$79:$C$82</definedName>
    <definedName function="false" hidden="false" name="FY27_Start" vbProcedure="false">'Rate Tables'!$C$11</definedName>
    <definedName function="false" hidden="false" name="HMF_Rate" vbProcedure="false">'Rate Tables'!$C$15</definedName>
    <definedName function="false" hidden="false" name="H_Ch301Opt" vbProcedure="false">'Landed Cost'!$L$9</definedName>
    <definedName function="false" hidden="false" name="H_FLRate" vbProcedure="false">'Landed Cost'!$L$6</definedName>
    <definedName function="false" hidden="false" name="H_Freight" vbProcedure="false">'Landed Cost'!$L$17</definedName>
    <definedName function="false" hidden="false" name="H_FreightMissing" vbProcedure="false">'Landed Cost'!$L$18</definedName>
    <definedName function="false" hidden="false" name="H_IsUS" vbProcedure="false">'Landed Cost'!$L$11</definedName>
    <definedName function="false" hidden="false" name="H_Method" vbProcedure="false">'Landed Cost'!$L$5</definedName>
    <definedName function="false" hidden="false" name="H_MPFInf" vbProcedure="false">'Landed Cost'!$L$15</definedName>
    <definedName function="false" hidden="false" name="H_MPFMax" vbProcedure="false">'Landed Cost'!$L$14</definedName>
    <definedName function="false" hidden="false" name="H_MPFMin" vbProcedure="false">'Landed Cost'!$L$13</definedName>
    <definedName function="false" hidden="false" name="H_RefFreight" vbProcedure="false">'Landed Cost'!$L$16</definedName>
    <definedName function="false" hidden="false" name="H_S232" vbProcedure="false">'Landed Cost'!$L$10</definedName>
    <definedName function="false" hidden="false" name="H_USMCA" vbProcedure="false">'Landed Cost'!$L$7</definedName>
    <definedName function="false" hidden="false" name="H_USMCAClaim" vbProcedure="false">'Landed Cost'!$L$12</definedName>
    <definedName function="false" hidden="false" name="H_WhatIfRate" vbProcedure="false">'Landed Cost'!$L$8</definedName>
    <definedName function="false" hidden="false" name="in_ADCVD" vbProcedure="false">'Landed Cost'!$C$24</definedName>
    <definedName function="false" hidden="false" name="in_Bond" vbProcedure="false">'Landed Cost'!$C$36</definedName>
    <definedName function="false" hidden="false" name="in_Broker" vbProcedure="false">'Landed Cost'!$C$34</definedName>
    <definedName function="false" hidden="false" name="in_Ch301" vbProcedure="false">'Landed Cost'!$C$18</definedName>
    <definedName function="false" hidden="false" name="in_Ch301Custom" vbProcedure="false">'Landed Cost'!$C$19</definedName>
    <definedName function="false" hidden="false" name="in_CIF" vbProcedure="false">'Landed Cost'!$C$11</definedName>
    <definedName function="false" hidden="false" name="in_Coast" vbProcedure="false">'Landed Cost'!$C$31</definedName>
    <definedName function="false" hidden="false" name="in_Container" vbProcedure="false">'Landed Cost'!$C$29</definedName>
    <definedName function="false" hidden="false" name="in_Date" vbProcedure="false">'Landed Cost'!$C$8</definedName>
    <definedName function="false" hidden="false" name="in_Dray" vbProcedure="false">'Landed Cost'!$C$37</definedName>
    <definedName function="false" hidden="false" name="in_FLExempt" vbProcedure="false">'Landed Cost'!$C$22</definedName>
    <definedName function="false" hidden="false" name="in_FreightQuote" vbProcedure="false">'Landed Cost'!$C$32</definedName>
    <definedName function="false" hidden="false" name="in_FTA" vbProcedure="false">'Landed Cost'!$C$16</definedName>
    <definedName function="false" hidden="false" name="in_FTARate" vbProcedure="false">'Landed Cost'!$C$17</definedName>
    <definedName function="false" hidden="false" name="in_HTS" vbProcedure="false">'Landed Cost'!$C$6</definedName>
    <definedName function="false" hidden="false" name="in_Inland" vbProcedure="false">'Landed Cost'!$C$38</definedName>
    <definedName function="false" hidden="false" name="in_InsPct" vbProcedure="false">'Landed Cost'!$C$33</definedName>
    <definedName function="false" hidden="false" name="in_ISF" vbProcedure="false">'Landed Cost'!$C$35</definedName>
    <definedName function="false" hidden="false" name="in_MFN" vbProcedure="false">'Landed Cost'!$C$15</definedName>
    <definedName function="false" hidden="false" name="in_Mode" vbProcedure="false">'Landed Cost'!$C$12</definedName>
    <definedName function="false" hidden="false" name="in_NumCont" vbProcedure="false">'Landed Cost'!$C$30</definedName>
    <definedName function="false" hidden="false" name="in_Origin" vbProcedure="false">'Landed Cost'!$C$7</definedName>
    <definedName function="false" hidden="false" name="in_Other" vbProcedure="false">'Landed Cost'!$C$41</definedName>
    <definedName function="false" hidden="false" name="in_OtherRate" vbProcedure="false">'Landed Cost'!$C$25</definedName>
    <definedName function="false" hidden="false" name="in_PlannedPrice" vbProcedure="false">'Landed Cost'!$C$45</definedName>
    <definedName function="false" hidden="false" name="in_Price" vbProcedure="false">'Landed Cost'!$C$10</definedName>
    <definedName function="false" hidden="false" name="in_RetailMargin" vbProcedure="false">'Landed Cost'!$C$46</definedName>
    <definedName function="false" hidden="false" name="in_S232" vbProcedure="false">'Landed Cost'!$C$20</definedName>
    <definedName function="false" hidden="false" name="in_S232Custom" vbProcedure="false">'Landed Cost'!$C$21</definedName>
    <definedName function="false" hidden="false" name="in_S338" vbProcedure="false">'Landed Cost'!$C$23</definedName>
    <definedName function="false" hidden="false" name="in_TargetMargin" vbProcedure="false">'Landed Cost'!$C$44</definedName>
    <definedName function="false" hidden="false" name="in_Testing" vbProcedure="false">'Landed Cost'!$C$40</definedName>
    <definedName function="false" hidden="false" name="in_Units" vbProcedure="false">'Landed Cost'!$C$9</definedName>
    <definedName function="false" hidden="false" name="in_WhatIf" vbProcedure="false">'Landed Cost'!$C$26</definedName>
    <definedName function="false" hidden="false" name="in_Whse" vbProcedure="false">'Landed Cost'!$C$39</definedName>
    <definedName function="false" hidden="false" name="L_Coast" vbProcedure="false">'Rate Tables'!$D$96:$D$97</definedName>
    <definedName function="false" hidden="false" name="L_Mode" vbProcedure="false">'Rate Tables'!$C$96:$C$98</definedName>
    <definedName function="false" hidden="false" name="L_YesNo" vbProcedure="false">'Rate Tables'!$B$96:$B$97</definedName>
    <definedName function="false" hidden="false" name="MPF_Inf_FY26" vbProcedure="false">'Rate Tables'!$C$12</definedName>
    <definedName function="false" hidden="false" name="MPF_Inf_FY27" vbProcedure="false">'Rate Tables'!$C$13</definedName>
    <definedName function="false" hidden="false" name="MPF_Max_FY26" vbProcedure="false">'Rate Tables'!$C$8</definedName>
    <definedName function="false" hidden="false" name="MPF_Max_FY27" vbProcedure="false">'Rate Tables'!$C$10</definedName>
    <definedName function="false" hidden="false" name="MPF_Min_FY26" vbProcedure="false">'Rate Tables'!$C$7</definedName>
    <definedName function="false" hidden="false" name="MPF_Min_FY27" vbProcedure="false">'Rate Tables'!$C$9</definedName>
    <definedName function="false" hidden="false" name="MPF_Rate" vbProcedure="false">'Rate Tables'!$C$6</definedName>
    <definedName function="false" hidden="false" name="R_BrokerEtc" vbProcedure="false">'Landed Cost'!$H$29</definedName>
    <definedName function="false" hidden="false" name="R_CV" vbProcedure="false">'Landed Cost'!$H$10</definedName>
    <definedName function="false" hidden="false" name="R_DrayEtc" vbProcedure="false">'Landed Cost'!$H$30</definedName>
    <definedName function="false" hidden="false" name="R_Duties" vbProcedure="false">'Landed Cost'!$H$20</definedName>
    <definedName function="false" hidden="false" name="R_DutyFees" vbProcedure="false">'Landed Cost'!$H$25</definedName>
    <definedName function="false" hidden="false" name="R_DutyRate" vbProcedure="false">'Landed Cost'!$G$20</definedName>
    <definedName function="false" hidden="false" name="R_FreightIns" vbProcedure="false">'Landed Cost'!$H$28</definedName>
    <definedName function="false" hidden="false" name="R_Goods" vbProcedure="false">'Landed Cost'!$H$6</definedName>
    <definedName function="false" hidden="false" name="R_Landed" vbProcedure="false">'Landed Cost'!$H$33</definedName>
    <definedName function="false" hidden="false" name="R_LandedUnit" vbProcedure="false">'Landed Cost'!$H$34</definedName>
    <definedName function="false" hidden="false" name="R_TestEtc" vbProcedure="false">'Landed Cost'!$H$31</definedName>
    <definedName function="false" hidden="false" name="S232_2027" vbProcedure="false">'Rate Tables'!$D$66:$D$74</definedName>
    <definedName function="false" hidden="false" name="S232_Now" vbProcedure="false">'Rate Tables'!$C$66:$C$74</definedName>
    <definedName function="false" hidden="false" name="S232_Opt" vbProcedure="false">'Rate Tables'!$B$66:$B$74</definedName>
    <definedName function="false" hidden="false" name="S338_Rate" vbProcedure="false">'Rate Tables'!$C$16</definedName>
    <definedName function="false" hidden="false" name="Verified" vbProcedure="false">'Rate Tables'!$C$19</definedName>
    <definedName function="false" hidden="false" name="Wood_Step" vbProcedure="false">'Rate Tables'!$C$18</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I9" authorId="0">
      <text>
        <r>
          <rPr>
            <sz val="10"/>
            <rFont val="Arial"/>
            <family val="2"/>
          </rPr>
          <t xml:space="preserve">Example value only, not a market benchmark. Enter your trucking quote.</t>
        </r>
      </text>
    </comment>
    <comment ref="J9" authorId="0">
      <text>
        <r>
          <rPr>
            <sz val="10"/>
            <rFont val="Arial"/>
            <family val="2"/>
          </rPr>
          <t xml:space="preserve">Example value only, not a market benchmark. Enter your domestic freight quote.</t>
        </r>
      </text>
    </comment>
  </commentList>
</comments>
</file>

<file path=xl/sharedStrings.xml><?xml version="1.0" encoding="utf-8"?>
<sst xmlns="http://schemas.openxmlformats.org/spreadsheetml/2006/main" count="872" uniqueCount="621">
  <si>
    <t xml:space="preserve">KLUGONYX</t>
  </si>
  <si>
    <t xml:space="preserve">Tariff and Landed Cost Calculator</t>
  </si>
  <si>
    <t xml:space="preserve">Free planning tool for U.S. consumer product brands. 2026 edition.</t>
  </si>
  <si>
    <t xml:space="preserve">What this workbook does</t>
  </si>
  <si>
    <t xml:space="preserve">Estimates what a product really costs once it lands in your U.S. warehouse: supplier price, every 2026 tariff layer, customs fees, freight and logistics. Then it shows your margin, compares sourcing countries, and stress tests the result.</t>
  </si>
  <si>
    <t xml:space="preserve">Quick start</t>
  </si>
  <si>
    <t xml:space="preserve">1. Look up your HTS code</t>
  </si>
  <si>
    <t xml:space="preserve">Find your 10-digit code and its General duty rate at hts.usitc.gov. Classification drives every duty in this tool.</t>
  </si>
  <si>
    <t xml:space="preserve">2. Fill in Landed Cost</t>
  </si>
  <si>
    <t xml:space="preserve">Enter origin, entry date, units, supplier price and the duty inputs. Yellow cells are inputs.</t>
  </si>
  <si>
    <t xml:space="preserve">3. Add your logistics quotes</t>
  </si>
  <si>
    <t xml:space="preserve">Freight, broker, ISF, bond, drayage and testing. Example values are placeholders.</t>
  </si>
  <si>
    <t xml:space="preserve">4. Compare countries</t>
  </si>
  <si>
    <t xml:space="preserve">Country Compare runs the same product from up to eight origins with your quotes.</t>
  </si>
  <si>
    <t xml:space="preserve">5. Stress test</t>
  </si>
  <si>
    <t xml:space="preserve">Scenarios, Container and MOQ, and Cash Flow show what happens when tariffs, freight or order sizes change.</t>
  </si>
  <si>
    <t xml:space="preserve">Tabs</t>
  </si>
  <si>
    <t xml:space="preserve">Landed Cost</t>
  </si>
  <si>
    <t xml:space="preserve">Single shipment calculator with duty build, fees, landed cost per unit, pricing, alerts and a margin price list.</t>
  </si>
  <si>
    <t xml:space="preserve">Country Compare</t>
  </si>
  <si>
    <t xml:space="preserve">Side by side landed cost for eight origins, ranking and break-even supplier price.</t>
  </si>
  <si>
    <t xml:space="preserve">Product List</t>
  </si>
  <si>
    <t xml:space="preserve">Up to 60 SKUs with duty rate, landed cost and margin before and after duties.</t>
  </si>
  <si>
    <t xml:space="preserve">Scenarios</t>
  </si>
  <si>
    <t xml:space="preserve">Tariff change table, freight change table and a combined sensitivity grid.</t>
  </si>
  <si>
    <t xml:space="preserve">Container &amp; MOQ</t>
  </si>
  <si>
    <t xml:space="preserve">Carton volume, units per container and freight per unit at different order sizes.</t>
  </si>
  <si>
    <t xml:space="preserve">Cash Flow</t>
  </si>
  <si>
    <t xml:space="preserve">Deposit, balance, freight and duty timing and peak cash needed.</t>
  </si>
  <si>
    <t xml:space="preserve">Rate Tables</t>
  </si>
  <si>
    <t xml:space="preserve">Country tiers, China 301 lists, Section 232 categories, fees and freight reference. Update here.</t>
  </si>
  <si>
    <t xml:space="preserve">Watchlist</t>
  </si>
  <si>
    <t xml:space="preserve">Pending actions that could change your costs, and how to model each one.</t>
  </si>
  <si>
    <t xml:space="preserve">Sources</t>
  </si>
  <si>
    <t xml:space="preserve">Source list with links, change log and disclaimer.</t>
  </si>
  <si>
    <t xml:space="preserve">Cell legend</t>
  </si>
  <si>
    <t xml:space="preserve">Example input</t>
  </si>
  <si>
    <t xml:space="preserve">Yellow cells with blue text are inputs. Change them.</t>
  </si>
  <si>
    <t xml:space="preserve">Calculated</t>
  </si>
  <si>
    <t xml:space="preserve">Black text is calculated. Sheets are protected without a password to prevent accidental edits. To customize, use Review, then Unprotect Sheet.</t>
  </si>
  <si>
    <t xml:space="preserve">How the 2026 duty stack works</t>
  </si>
  <si>
    <t xml:space="preserve">MFN (General rate)</t>
  </si>
  <si>
    <t xml:space="preserve">From the HTS for your 10-digit code. Replaced by the Special rate when you claim a trade program preference.</t>
  </si>
  <si>
    <t xml:space="preserve">China Section 301</t>
  </si>
  <si>
    <t xml:space="preserve">China origin only. 25% (Lists 1 to 3), 7.5% (List 4A), 0% (List 4B, suspended).</t>
  </si>
  <si>
    <t xml:space="preserve">Section 301 forced labor</t>
  </si>
  <si>
    <t xml:space="preserve">The country layer since July 24, 2026: 10% or 12.5% added, or a 10% or 12.5% cap net of MFN for the EU, Taiwan, Japan, South Korea and Switzerland. Zero for Section 232 goods, USMCA goods and Annex exemptions.</t>
  </si>
  <si>
    <t xml:space="preserve">Section 232</t>
  </si>
  <si>
    <t xml:space="preserve">Steel, aluminum, copper (full customs value) and certain wood products. Replaces the forced labor layer.</t>
  </si>
  <si>
    <t xml:space="preserve">Section 338</t>
  </si>
  <si>
    <t xml:space="preserve">50% on listed Canadian goods, even when USMCA qualifying.</t>
  </si>
  <si>
    <t xml:space="preserve">Fees</t>
  </si>
  <si>
    <t xml:space="preserve">MPF 0.3464% with a per entry minimum and maximum (waived for claimed USMCA goods). HMF 0.125% on ocean cargo.</t>
  </si>
  <si>
    <t xml:space="preserve">Disclaimer</t>
  </si>
  <si>
    <t xml:space="preserve">This calculator provides planning estimates only. It is not legal, customs or tax advice. Tariff rates, exemptions and fees change often and depend on the exact 10-digit HTS classification, country of origin, entry date and program eligibility of your goods. Verify all rates with the official Harmonized Tariff Schedule and CBP guidance, and consult a licensed customs broker or trade attorney before making purchasing, pricing or compliance decisions. Klugonyx makes no warranty as to accuracy or completeness. Rates last verified: September 28, 2026.</t>
  </si>
  <si>
    <t xml:space="preserve">Need help lowering your landed cost?</t>
  </si>
  <si>
    <t xml:space="preserve">Klugonyx designs, engineers and sources consumer products for U.S. brands. West Valley City, UT. www.klugonyx.com</t>
  </si>
  <si>
    <t xml:space="preserve">Landed Cost Calculator</t>
  </si>
  <si>
    <t xml:space="preserve">One shipment, one product. Yellow cells are inputs; everything else calculates. Rates verified September 28, 2026.</t>
  </si>
  <si>
    <t xml:space="preserve">1. Product and shipment</t>
  </si>
  <si>
    <t xml:space="preserve">Results</t>
  </si>
  <si>
    <t xml:space="preserve">Helper calculations (do not edit)</t>
  </si>
  <si>
    <t xml:space="preserve">Product name</t>
  </si>
  <si>
    <t xml:space="preserve">Wooden stacking toy (example)</t>
  </si>
  <si>
    <t xml:space="preserve">Free text.</t>
  </si>
  <si>
    <t xml:space="preserve">Line</t>
  </si>
  <si>
    <t xml:space="preserve">Rate</t>
  </si>
  <si>
    <t xml:space="preserve">Amount</t>
  </si>
  <si>
    <t xml:space="preserve">Per unit</t>
  </si>
  <si>
    <t xml:space="preserve">H_Method</t>
  </si>
  <si>
    <t xml:space="preserve">HTS code (10 digit)</t>
  </si>
  <si>
    <t xml:space="preserve">9503.00.0090</t>
  </si>
  <si>
    <t xml:space="preserve">Look up at hts.usitc.gov. Classification drives every rate below.</t>
  </si>
  <si>
    <t xml:space="preserve">Goods value (units x price)</t>
  </si>
  <si>
    <t xml:space="preserve">H_FLRate</t>
  </si>
  <si>
    <t xml:space="preserve">Country of origin</t>
  </si>
  <si>
    <t xml:space="preserve">China</t>
  </si>
  <si>
    <t xml:space="preserve">Where the goods were last substantially transformed, not where they ship from.</t>
  </si>
  <si>
    <t xml:space="preserve">Freight used for this shipment</t>
  </si>
  <si>
    <t xml:space="preserve">H_USMCA</t>
  </si>
  <si>
    <t xml:space="preserve">Entry date</t>
  </si>
  <si>
    <t xml:space="preserve">Sets the fee year and date-based rules (exclusion expiry, wood step-up).</t>
  </si>
  <si>
    <t xml:space="preserve">Cargo insurance</t>
  </si>
  <si>
    <t xml:space="preserve">H_WhatIfRate</t>
  </si>
  <si>
    <t xml:space="preserve">Units in this shipment</t>
  </si>
  <si>
    <t xml:space="preserve">Less freight and insurance included in price</t>
  </si>
  <si>
    <t xml:space="preserve">H_Ch301Opt</t>
  </si>
  <si>
    <t xml:space="preserve">Supplier price per unit ($)</t>
  </si>
  <si>
    <t xml:space="preserve">Your factory quote.</t>
  </si>
  <si>
    <t xml:space="preserve">Customs (dutiable) value</t>
  </si>
  <si>
    <t xml:space="preserve">H_S232</t>
  </si>
  <si>
    <t xml:space="preserve">Does that price include international freight and insurance?</t>
  </si>
  <si>
    <t xml:space="preserve">No</t>
  </si>
  <si>
    <t xml:space="preserve">No = FOB, FCA or EXW. Yes = CIF or CFR; freight and insurance are removed from the dutiable value.</t>
  </si>
  <si>
    <t xml:space="preserve">H_IsUS</t>
  </si>
  <si>
    <t xml:space="preserve">Mode of transport</t>
  </si>
  <si>
    <t xml:space="preserve">Ocean</t>
  </si>
  <si>
    <t xml:space="preserve">HMF and ISF apply to ocean shipments only.</t>
  </si>
  <si>
    <t xml:space="preserve">Duties</t>
  </si>
  <si>
    <t xml:space="preserve">H_USMCAClaim</t>
  </si>
  <si>
    <t xml:space="preserve">General (MFN) or preferential rate</t>
  </si>
  <si>
    <t xml:space="preserve">H_MPFMin</t>
  </si>
  <si>
    <t xml:space="preserve">2. Duty inputs</t>
  </si>
  <si>
    <t xml:space="preserve">H_MPFMax</t>
  </si>
  <si>
    <t xml:space="preserve">General (MFN) duty rate</t>
  </si>
  <si>
    <t xml:space="preserve">HTS column 1 General rate for your 10-digit code.</t>
  </si>
  <si>
    <t xml:space="preserve">Section 301 forced labor (country layer)</t>
  </si>
  <si>
    <t xml:space="preserve">H_MPFInf</t>
  </si>
  <si>
    <t xml:space="preserve">Claiming USMCA or another FTA preference?</t>
  </si>
  <si>
    <t xml:space="preserve">Only if the goods qualify and you hold origin documentation.</t>
  </si>
  <si>
    <t xml:space="preserve">H_RefFreight</t>
  </si>
  <si>
    <t xml:space="preserve">Preferential (Special) rate if claimed</t>
  </si>
  <si>
    <t xml:space="preserve">Most USMCA-originating goods enter Free.</t>
  </si>
  <si>
    <t xml:space="preserve">Section 338 (listed Canadian goods)</t>
  </si>
  <si>
    <t xml:space="preserve">H_Freight</t>
  </si>
  <si>
    <t xml:space="preserve">China Section 301 list (China origin only)</t>
  </si>
  <si>
    <t xml:space="preserve">List 4B (suspended, 0%)</t>
  </si>
  <si>
    <t xml:space="preserve">Ignored for other origins. Check Chapter 99 for your line.</t>
  </si>
  <si>
    <t xml:space="preserve">AD/CVD</t>
  </si>
  <si>
    <t xml:space="preserve">H_FreightMissing</t>
  </si>
  <si>
    <t xml:space="preserve">China 301 custom rate (if Custom selected)</t>
  </si>
  <si>
    <t xml:space="preserve">What-if add-on (not in force)</t>
  </si>
  <si>
    <t xml:space="preserve">Section 232 category</t>
  </si>
  <si>
    <t xml:space="preserve">Not covered</t>
  </si>
  <si>
    <t xml:space="preserve">If covered, the forced labor 301 layer drops to zero.</t>
  </si>
  <si>
    <t xml:space="preserve">Total duties</t>
  </si>
  <si>
    <t xml:space="preserve">Section 232 custom rate (if Custom selected)</t>
  </si>
  <si>
    <t xml:space="preserve">Exempt from forced labor 301? (Annex I or II line, CAFTA-DR duty-free textile, Jordan FTA)</t>
  </si>
  <si>
    <t xml:space="preserve">Check the USTR annexes for your HTS line.</t>
  </si>
  <si>
    <t xml:space="preserve">Customs fees</t>
  </si>
  <si>
    <t xml:space="preserve">Canadian origin: product on a Section 338 list?</t>
  </si>
  <si>
    <t xml:space="preserve">Listed goods pay 50%, even if USMCA qualifying.</t>
  </si>
  <si>
    <t xml:space="preserve">Merchandise Processing Fee (MPF)</t>
  </si>
  <si>
    <t xml:space="preserve">AD/CVD rate for this product and exporter</t>
  </si>
  <si>
    <t xml:space="preserve">Case-specific. Leave at 0% if no order covers your product.</t>
  </si>
  <si>
    <t xml:space="preserve">Harbor Maintenance Fee (HMF, ocean only)</t>
  </si>
  <si>
    <t xml:space="preserve">Country tariff rate if origin is Other</t>
  </si>
  <si>
    <t xml:space="preserve">Used only when origin is set to Other.</t>
  </si>
  <si>
    <t xml:space="preserve">Total duties and fees</t>
  </si>
  <si>
    <t xml:space="preserve">Include what-if add-ons (not in force)?</t>
  </si>
  <si>
    <t xml:space="preserve">Adds the scenario rates set on Rate Tables column F.</t>
  </si>
  <si>
    <t xml:space="preserve">Logistics and other costs</t>
  </si>
  <si>
    <t xml:space="preserve">3. Freight and logistics (this shipment)</t>
  </si>
  <si>
    <t xml:space="preserve">Freight and insurance (if not in supplier price)</t>
  </si>
  <si>
    <t xml:space="preserve">Container size</t>
  </si>
  <si>
    <t xml:space="preserve">40 FT</t>
  </si>
  <si>
    <t xml:space="preserve">Broker, ISF and bond</t>
  </si>
  <si>
    <t xml:space="preserve">Number of containers</t>
  </si>
  <si>
    <t xml:space="preserve">Used with the reference rate only.</t>
  </si>
  <si>
    <t xml:space="preserve">Drayage, inland freight and warehousing</t>
  </si>
  <si>
    <t xml:space="preserve">Destination coast</t>
  </si>
  <si>
    <t xml:space="preserve">West</t>
  </si>
  <si>
    <t xml:space="preserve">Testing, inspection and other</t>
  </si>
  <si>
    <t xml:space="preserve">Your freight quote for this shipment ($)</t>
  </si>
  <si>
    <t xml:space="preserve">Leave blank to use the reference rate on Rate Tables.</t>
  </si>
  <si>
    <t xml:space="preserve">Cargo insurance (% of goods value)</t>
  </si>
  <si>
    <t xml:space="preserve">Example value. Replace with your quote.</t>
  </si>
  <si>
    <t xml:space="preserve">Total landed cost</t>
  </si>
  <si>
    <t xml:space="preserve">Customs broker fee ($)</t>
  </si>
  <si>
    <t xml:space="preserve">Example value. Replace with your broker's quote.</t>
  </si>
  <si>
    <t xml:space="preserve">Landed cost per unit</t>
  </si>
  <si>
    <t xml:space="preserve">ISF filing fee ($, ocean only)</t>
  </si>
  <si>
    <t xml:space="preserve">Example value.</t>
  </si>
  <si>
    <t xml:space="preserve">Duties and fees as % of goods value</t>
  </si>
  <si>
    <t xml:space="preserve">Customs bond cost for this entry ($)</t>
  </si>
  <si>
    <t xml:space="preserve">Single entry bond, or your continuous bond cost allocated to this entry.</t>
  </si>
  <si>
    <t xml:space="preserve">Landed cost vs supplier price (markup)</t>
  </si>
  <si>
    <t xml:space="preserve">Drayage, port to warehouse ($)</t>
  </si>
  <si>
    <t xml:space="preserve">Inland freight ($)</t>
  </si>
  <si>
    <t xml:space="preserve">Pricing</t>
  </si>
  <si>
    <t xml:space="preserve">Warehousing and handling ($)</t>
  </si>
  <si>
    <t xml:space="preserve">Price per unit for your target margin</t>
  </si>
  <si>
    <t xml:space="preserve">Testing, inspection and certification ($)</t>
  </si>
  <si>
    <t xml:space="preserve">For example CPSIA third party testing for children's products.</t>
  </si>
  <si>
    <t xml:space="preserve">Suggested MSRP at retailer margin</t>
  </si>
  <si>
    <t xml:space="preserve">Other costs ($)</t>
  </si>
  <si>
    <t xml:space="preserve">Profit per unit at your planned price</t>
  </si>
  <si>
    <t xml:space="preserve">Gross margin at your planned price</t>
  </si>
  <si>
    <t xml:space="preserve">4. Pricing</t>
  </si>
  <si>
    <t xml:space="preserve">Gross profit on this shipment at planned price</t>
  </si>
  <si>
    <t xml:space="preserve">Target gross margin</t>
  </si>
  <si>
    <t xml:space="preserve">Margin on your selling price.</t>
  </si>
  <si>
    <t xml:space="preserve">MSRP at planned price and retailer margin</t>
  </si>
  <si>
    <t xml:space="preserve">Your planned selling price per unit ($)</t>
  </si>
  <si>
    <t xml:space="preserve">Wholesale or direct price you plan to charge.</t>
  </si>
  <si>
    <t xml:space="preserve">Retailer margin for MSRP estimate</t>
  </si>
  <si>
    <t xml:space="preserve">Typical retail keystone is 50%.</t>
  </si>
  <si>
    <t xml:space="preserve">Alerts</t>
  </si>
  <si>
    <t xml:space="preserve">5. Price list by margin</t>
  </si>
  <si>
    <t xml:space="preserve">Gross margin</t>
  </si>
  <si>
    <t xml:space="preserve">Price per unit</t>
  </si>
  <si>
    <t xml:space="preserve">Profit per unit</t>
  </si>
  <si>
    <t xml:space="preserve">The same product from up to eight origins. Product rules (MFN, lists, Section 232, exemptions, units, logistics) come from Landed Cost.</t>
  </si>
  <si>
    <t xml:space="preserve">Change the yellow cells in rows 6 to 10. Supplier prices are example quotes only. Prices are compared on an FOB basis. AD/CVD is excluded because it is specific to each country and exporter.</t>
  </si>
  <si>
    <t xml:space="preserve">Inputs by origin</t>
  </si>
  <si>
    <t xml:space="preserve">Vietnam</t>
  </si>
  <si>
    <t xml:space="preserve">Malaysia</t>
  </si>
  <si>
    <t xml:space="preserve">Indonesia</t>
  </si>
  <si>
    <t xml:space="preserve">India</t>
  </si>
  <si>
    <t xml:space="preserve">Cambodia</t>
  </si>
  <si>
    <t xml:space="preserve">Mexico</t>
  </si>
  <si>
    <t xml:space="preserve">United States (domestic)</t>
  </si>
  <si>
    <t xml:space="preserve">Supplier price per unit, FOB ($)</t>
  </si>
  <si>
    <t xml:space="preserve">Truck/Rail</t>
  </si>
  <si>
    <t xml:space="preserve">Freight for this shipment ($)</t>
  </si>
  <si>
    <t xml:space="preserve">Claiming USMCA or FTA preference?</t>
  </si>
  <si>
    <t xml:space="preserve">Yes</t>
  </si>
  <si>
    <t xml:space="preserve">Freight defaults to the Landed Cost freight for ocean origins. Replace with a quote for each lane.</t>
  </si>
  <si>
    <t xml:space="preserve">Results by origin</t>
  </si>
  <si>
    <t xml:space="preserve">Goods value / customs value</t>
  </si>
  <si>
    <t xml:space="preserve">Section 338 (Canada)</t>
  </si>
  <si>
    <t xml:space="preserve">Total duty rate</t>
  </si>
  <si>
    <t xml:space="preserve">Total duties ($)</t>
  </si>
  <si>
    <t xml:space="preserve">MPF ($)</t>
  </si>
  <si>
    <t xml:space="preserve">HMF ($)</t>
  </si>
  <si>
    <t xml:space="preserve">Freight and insurance ($)</t>
  </si>
  <si>
    <t xml:space="preserve">Broker, ISF and bond ($)</t>
  </si>
  <si>
    <t xml:space="preserve">Drayage, warehousing, testing, other ($)</t>
  </si>
  <si>
    <t xml:space="preserve">Total landed cost ($)</t>
  </si>
  <si>
    <t xml:space="preserve">Landed cost per unit ($)</t>
  </si>
  <si>
    <t xml:space="preserve">Duties and fees per unit ($)</t>
  </si>
  <si>
    <t xml:space="preserve">Difference vs first column, per unit ($)</t>
  </si>
  <si>
    <t xml:space="preserve">Rank (1 = lowest landed cost)</t>
  </si>
  <si>
    <t xml:space="preserve">Break-even supplier price vs first column (approx.)</t>
  </si>
  <si>
    <t xml:space="preserve">Margin at planned price</t>
  </si>
  <si>
    <t xml:space="preserve">Break-even price: the supplier price at which that origin matches the first column's landed cost per unit. MPF minimums and caps make it approximate.</t>
  </si>
  <si>
    <t xml:space="preserve">Helper: method</t>
  </si>
  <si>
    <t xml:space="preserve">Helper: country rate</t>
  </si>
  <si>
    <t xml:space="preserve">Helper: USMCA partner</t>
  </si>
  <si>
    <t xml:space="preserve">Helper: what-if rate</t>
  </si>
  <si>
    <t xml:space="preserve">Helper: is domestic</t>
  </si>
  <si>
    <t xml:space="preserve">Helper: USMCA claimed</t>
  </si>
  <si>
    <t xml:space="preserve">Chart</t>
  </si>
  <si>
    <t xml:space="preserve">Estimate duties and margins for up to 60 SKUs at once. One row per product. Entry date comes from Landed Cost.</t>
  </si>
  <si>
    <t xml:space="preserve">Yellow columns are inputs. Other costs per unit = freight, packaging not in the dutiable price, handling (not subject to duty). Fees use ad valorem MPF and HMF rates without the per entry minimum and maximum.</t>
  </si>
  <si>
    <t xml:space="preserve">#</t>
  </si>
  <si>
    <t xml:space="preserve">Product</t>
  </si>
  <si>
    <t xml:space="preserve">SKU</t>
  </si>
  <si>
    <t xml:space="preserve">HTS code</t>
  </si>
  <si>
    <t xml:space="preserve">MFN rate</t>
  </si>
  <si>
    <t xml:space="preserve">USMCA or FTA claimed?</t>
  </si>
  <si>
    <t xml:space="preserve">China 301 list</t>
  </si>
  <si>
    <t xml:space="preserve">Forced labor 301 exempt?</t>
  </si>
  <si>
    <t xml:space="preserve">Mode</t>
  </si>
  <si>
    <t xml:space="preserve">Other costs per unit ($)</t>
  </si>
  <si>
    <t xml:space="preserve">Selling price per unit ($)</t>
  </si>
  <si>
    <t xml:space="preserve">Country layer rate</t>
  </si>
  <si>
    <t xml:space="preserve">Duties per unit ($)</t>
  </si>
  <si>
    <t xml:space="preserve">Fees per unit, est. ($)</t>
  </si>
  <si>
    <t xml:space="preserve">Landed per unit before duties ($)</t>
  </si>
  <si>
    <t xml:space="preserve">Landed per unit after duties ($)</t>
  </si>
  <si>
    <t xml:space="preserve">Margin $ before duties</t>
  </si>
  <si>
    <t xml:space="preserve">Margin % before duties</t>
  </si>
  <si>
    <t xml:space="preserve">Margin $ after duties</t>
  </si>
  <si>
    <t xml:space="preserve">Margin % after duties</t>
  </si>
  <si>
    <t xml:space="preserve">Wooden stacking toy</t>
  </si>
  <si>
    <t xml:space="preserve">KX-001</t>
  </si>
  <si>
    <t xml:space="preserve">Plush activity cube</t>
  </si>
  <si>
    <t xml:space="preserve">KX-002</t>
  </si>
  <si>
    <t xml:space="preserve">Not on an active list</t>
  </si>
  <si>
    <t xml:space="preserve">Kids upholstered armchair</t>
  </si>
  <si>
    <t xml:space="preserve">KX-003</t>
  </si>
  <si>
    <t xml:space="preserve">9401.61.4011</t>
  </si>
  <si>
    <t xml:space="preserve">Wood: upholstered wooden seats (25%)</t>
  </si>
  <si>
    <t xml:space="preserve">Custom list or Section 232 options use the custom rates entered on Landed Cost. Margin % after duties turns red when duties cut margin by more than 5 points.</t>
  </si>
  <si>
    <t xml:space="preserve">Stress test the Landed Cost result against tariff and freight changes.</t>
  </si>
  <si>
    <t xml:space="preserve">Base case from Landed Cost</t>
  </si>
  <si>
    <t xml:space="preserve">Customs value per unit</t>
  </si>
  <si>
    <t xml:space="preserve">Current total duty rate</t>
  </si>
  <si>
    <t xml:space="preserve">Freight and insurance per unit</t>
  </si>
  <si>
    <t xml:space="preserve">Planned selling price</t>
  </si>
  <si>
    <t xml:space="preserve">A. What if the tariff on this product changes?</t>
  </si>
  <si>
    <t xml:space="preserve">Change in duty rate (points)</t>
  </si>
  <si>
    <t xml:space="preserve">New total duty rate</t>
  </si>
  <si>
    <t xml:space="preserve">Duties per unit</t>
  </si>
  <si>
    <t xml:space="preserve">Price for target margin</t>
  </si>
  <si>
    <t xml:space="preserve">MPF and HMF do not change with tariffs because duty is not part of the customs value. Negative rows model relief, such as a possible China 30-for-30 cut.</t>
  </si>
  <si>
    <t xml:space="preserve">B. What if freight changes?</t>
  </si>
  <si>
    <t xml:space="preserve">Change in freight</t>
  </si>
  <si>
    <t xml:space="preserve">Freight per unit</t>
  </si>
  <si>
    <t xml:space="preserve">If your supplier price already includes freight (CIF), freight per unit shows as zero; change the supplier price instead.</t>
  </si>
  <si>
    <t xml:space="preserve">C. Landed cost per unit: tariff change (rows) by freight change (columns)</t>
  </si>
  <si>
    <t xml:space="preserve">Duty change / freight change</t>
  </si>
  <si>
    <t xml:space="preserve">Shaded cells: landed cost is above the level that keeps your target margin at your planned price.</t>
  </si>
  <si>
    <t xml:space="preserve">Container and MOQ Planner</t>
  </si>
  <si>
    <t xml:space="preserve">How many units fit, and what freight costs per unit at different order sizes.</t>
  </si>
  <si>
    <t xml:space="preserve">Carton inputs</t>
  </si>
  <si>
    <t xml:space="preserve">Carton length (cm)</t>
  </si>
  <si>
    <t xml:space="preserve">Carton width (cm)</t>
  </si>
  <si>
    <t xml:space="preserve">Carton height (cm)</t>
  </si>
  <si>
    <t xml:space="preserve">Units per carton</t>
  </si>
  <si>
    <t xml:space="preserve">Container loadability (% of volume usable)</t>
  </si>
  <si>
    <t xml:space="preserve">LCL rate per CBM ($)</t>
  </si>
  <si>
    <t xml:space="preserve">Example value. Replace with your forwarder quote.</t>
  </si>
  <si>
    <t xml:space="preserve">Use LCL at or below this volume (CBM)</t>
  </si>
  <si>
    <t xml:space="preserve">Rule of thumb example. Ask your forwarder where FCL becomes cheaper.</t>
  </si>
  <si>
    <t xml:space="preserve">Preferred FCL container</t>
  </si>
  <si>
    <t xml:space="preserve">Carton volume (CBM)</t>
  </si>
  <si>
    <t xml:space="preserve">Volume per unit (CBM)</t>
  </si>
  <si>
    <t xml:space="preserve">Container capacity</t>
  </si>
  <si>
    <t xml:space="preserve">Container</t>
  </si>
  <si>
    <t xml:space="preserve">Nominal CBM</t>
  </si>
  <si>
    <t xml:space="preserve">Usable CBM</t>
  </si>
  <si>
    <t xml:space="preserve">Cartons that fit</t>
  </si>
  <si>
    <t xml:space="preserve">Units that fit</t>
  </si>
  <si>
    <t xml:space="preserve">Freight quote ($)</t>
  </si>
  <si>
    <t xml:space="preserve">Freight per unit, full container</t>
  </si>
  <si>
    <t xml:space="preserve">20 FT</t>
  </si>
  <si>
    <t xml:space="preserve">40 FT HC</t>
  </si>
  <si>
    <t xml:space="preserve">Freight quotes default to the Rate Tables reference for your Landed Cost coast. Type over them with your own quotes. This ignores weight limits: check that heavy cartons stay under the container payload.</t>
  </si>
  <si>
    <t xml:space="preserve">Order quantity scenarios</t>
  </si>
  <si>
    <t xml:space="preserve">Order quantity (units)</t>
  </si>
  <si>
    <t xml:space="preserve">Cartons</t>
  </si>
  <si>
    <t xml:space="preserve">Total CBM</t>
  </si>
  <si>
    <t xml:space="preserve">Shipping method</t>
  </si>
  <si>
    <t xml:space="preserve">Freight ($)</t>
  </si>
  <si>
    <t xml:space="preserve">Freight per unit ($)</t>
  </si>
  <si>
    <t xml:space="preserve">Est. landed per unit ($)</t>
  </si>
  <si>
    <t xml:space="preserve">Supplier prices by quantity are example tiers. Estimated landed cost adds duty at the Landed Cost total duty rate plus ad valorem MPF and HMF, and freight. Broker, drayage, testing and other fixed costs are excluded; they fall per unit as quantity rises.</t>
  </si>
  <si>
    <t xml:space="preserve">Cash Flow Timing</t>
  </si>
  <si>
    <t xml:space="preserve">When cash leaves and returns for the shipment on Landed Cost.</t>
  </si>
  <si>
    <t xml:space="preserve">Inputs</t>
  </si>
  <si>
    <t xml:space="preserve">Purchase order date</t>
  </si>
  <si>
    <t xml:space="preserve">Deposit at PO (% of goods)</t>
  </si>
  <si>
    <t xml:space="preserve">Balance is paid before shipment.</t>
  </si>
  <si>
    <t xml:space="preserve">Production lead time (days from PO to ship)</t>
  </si>
  <si>
    <t xml:space="preserve">Transit and clearance (days from ship to warehouse)</t>
  </si>
  <si>
    <t xml:space="preserve">Days from arrival until your customer pays</t>
  </si>
  <si>
    <t xml:space="preserve">Timeline</t>
  </si>
  <si>
    <t xml:space="preserve">Event</t>
  </si>
  <si>
    <t xml:space="preserve">Date</t>
  </si>
  <si>
    <t xml:space="preserve">Cash out ($)</t>
  </si>
  <si>
    <t xml:space="preserve">Cash in ($)</t>
  </si>
  <si>
    <t xml:space="preserve">Cumulative ($)</t>
  </si>
  <si>
    <t xml:space="preserve">Notes</t>
  </si>
  <si>
    <t xml:space="preserve">Deposit to supplier</t>
  </si>
  <si>
    <t xml:space="preserve">Balance to supplier</t>
  </si>
  <si>
    <t xml:space="preserve">Freight and insurance</t>
  </si>
  <si>
    <t xml:space="preserve">Zero if freight is in the supplier price.</t>
  </si>
  <si>
    <t xml:space="preserve">Duties, customs fees, broker, ISF and bond</t>
  </si>
  <si>
    <t xml:space="preserve">Duties are generally paid shortly after release. An FTZ or bonded warehouse can defer them.</t>
  </si>
  <si>
    <t xml:space="preserve">Drayage, warehousing, testing, other</t>
  </si>
  <si>
    <t xml:space="preserve">Customer payment received</t>
  </si>
  <si>
    <t xml:space="preserve">Assumes the whole shipment sells at your planned price.</t>
  </si>
  <si>
    <t xml:space="preserve">Peak cash required</t>
  </si>
  <si>
    <t xml:space="preserve">Days cash is tied up</t>
  </si>
  <si>
    <t xml:space="preserve">Net cash after the cycle</t>
  </si>
  <si>
    <t xml:space="preserve">Every rate the calculator uses lives here. Rates verified September 28, 2026. Update this tab when rules change.</t>
  </si>
  <si>
    <t xml:space="preserve">Fixed constants</t>
  </si>
  <si>
    <t xml:space="preserve">Constant</t>
  </si>
  <si>
    <t xml:space="preserve">Value</t>
  </si>
  <si>
    <t xml:space="preserve">Effective</t>
  </si>
  <si>
    <t xml:space="preserve">Source (see Sources tab)</t>
  </si>
  <si>
    <t xml:space="preserve">MPF ad valorem rate</t>
  </si>
  <si>
    <t xml:space="preserve">FY2026 and FY2027</t>
  </si>
  <si>
    <t xml:space="preserve">S7, S8</t>
  </si>
  <si>
    <t xml:space="preserve">MPF minimum per formal entry, FY2026</t>
  </si>
  <si>
    <t xml:space="preserve">Oct 1, 2025 to Sep 30, 2026</t>
  </si>
  <si>
    <t xml:space="preserve">S7</t>
  </si>
  <si>
    <t xml:space="preserve">MPF maximum per formal entry, FY2026</t>
  </si>
  <si>
    <t xml:space="preserve">MPF minimum per formal entry, FY2027</t>
  </si>
  <si>
    <t xml:space="preserve">From Oct 1, 2026</t>
  </si>
  <si>
    <t xml:space="preserve">MPF maximum per formal entry, FY2027</t>
  </si>
  <si>
    <t xml:space="preserve">FY2027 fee start date</t>
  </si>
  <si>
    <t xml:space="preserve">Informal entry MPF, automated, FY2026</t>
  </si>
  <si>
    <t xml:space="preserve">S9</t>
  </si>
  <si>
    <t xml:space="preserve">Informal entry MPF, automated, FY2027</t>
  </si>
  <si>
    <t xml:space="preserve">S8</t>
  </si>
  <si>
    <t xml:space="preserve">Formal entry threshold (customs value)</t>
  </si>
  <si>
    <t xml:space="preserve">Harbor Maintenance Fee rate (ocean only)</t>
  </si>
  <si>
    <t xml:space="preserve">S10</t>
  </si>
  <si>
    <t xml:space="preserve">Section 338 rate on listed Canadian goods</t>
  </si>
  <si>
    <t xml:space="preserve">Aug 22, 2026</t>
  </si>
  <si>
    <t xml:space="preserve">S15, S16</t>
  </si>
  <si>
    <t xml:space="preserve">China Section 301 exclusions expire after</t>
  </si>
  <si>
    <t xml:space="preserve">11:59 p.m. EDT</t>
  </si>
  <si>
    <t xml:space="preserve">S5</t>
  </si>
  <si>
    <t xml:space="preserve">Section 232 wood step-up date</t>
  </si>
  <si>
    <t xml:space="preserve">S13, S14</t>
  </si>
  <si>
    <t xml:space="preserve">Rates last verified</t>
  </si>
  <si>
    <t xml:space="preserve">Country layer: Section 301 forced labor tariff (effective July 24, 2026)</t>
  </si>
  <si>
    <t xml:space="preserve">Country or economy</t>
  </si>
  <si>
    <t xml:space="preserve">Method</t>
  </si>
  <si>
    <t xml:space="preserve">USMCA partner</t>
  </si>
  <si>
    <t xml:space="preserve">Excess capacity 301 under review</t>
  </si>
  <si>
    <t xml:space="preserve">Source</t>
  </si>
  <si>
    <t xml:space="preserve">Additive</t>
  </si>
  <si>
    <t xml:space="preserve">Stacks with China Section 301 lists. HTS 9503 toys are generally on List 4B (suspended), so 12.5% total added duty.</t>
  </si>
  <si>
    <t xml:space="preserve">S1, S2, S11</t>
  </si>
  <si>
    <t xml:space="preserve">Separate Vietnam IP Section 301 investigation opened May 29, 2026 (pending).</t>
  </si>
  <si>
    <t xml:space="preserve">S1, S2, S22</t>
  </si>
  <si>
    <t xml:space="preserve">Thailand</t>
  </si>
  <si>
    <t xml:space="preserve">S1, S2</t>
  </si>
  <si>
    <t xml:space="preserve">Philippines</t>
  </si>
  <si>
    <t xml:space="preserve">Turkiye</t>
  </si>
  <si>
    <t xml:space="preserve">Bangladesh</t>
  </si>
  <si>
    <t xml:space="preserve">Moved from the proposed 12.5% tier to 10% in the final action.</t>
  </si>
  <si>
    <t xml:space="preserve">Sri Lanka</t>
  </si>
  <si>
    <t xml:space="preserve">Pakistan</t>
  </si>
  <si>
    <t xml:space="preserve">Honduras</t>
  </si>
  <si>
    <t xml:space="preserve">CAFTA-DR duty-free textiles are exempt. Mark them exempt on Landed Cost.</t>
  </si>
  <si>
    <t xml:space="preserve">El Salvador</t>
  </si>
  <si>
    <t xml:space="preserve">CAFTA-DR duty-free textiles are exempt.</t>
  </si>
  <si>
    <t xml:space="preserve">Guatemala</t>
  </si>
  <si>
    <t xml:space="preserve">USMCA-qualifying goods pay 0% forced labor 301 and no MPF when the preference is claimed at entry.</t>
  </si>
  <si>
    <t xml:space="preserve">S1, S16, S23</t>
  </si>
  <si>
    <t xml:space="preserve">Canada</t>
  </si>
  <si>
    <t xml:space="preserve">USMCA-qualifying goods pay 0% forced labor 301, but listed goods still pay the 50% Section 338 tariff.</t>
  </si>
  <si>
    <t xml:space="preserve">S1, S15, S16</t>
  </si>
  <si>
    <t xml:space="preserve">United Kingdom</t>
  </si>
  <si>
    <t xml:space="preserve">European Union</t>
  </si>
  <si>
    <t xml:space="preserve">Cap</t>
  </si>
  <si>
    <t xml:space="preserve">Cap is net of MFN: the 301 layer only fills the gap between the MFN rate and 10%.</t>
  </si>
  <si>
    <t xml:space="preserve">Taiwan</t>
  </si>
  <si>
    <t xml:space="preserve">Cap is net of MFN.</t>
  </si>
  <si>
    <t xml:space="preserve">South Korea</t>
  </si>
  <si>
    <t xml:space="preserve">Japan</t>
  </si>
  <si>
    <t xml:space="preserve">Switzerland</t>
  </si>
  <si>
    <t xml:space="preserve">None</t>
  </si>
  <si>
    <t xml:space="preserve">Domestic production. No duties, customs fees, broker or ISF costs.</t>
  </si>
  <si>
    <t xml:space="preserve">Other (enter rate on Landed Cost)</t>
  </si>
  <si>
    <t xml:space="preserve">Rate comes from Landed Cost cell C25. Confirm your country's tier in the USTR annexes.</t>
  </si>
  <si>
    <t xml:space="preserve">S1</t>
  </si>
  <si>
    <t xml:space="preserve">Method: Additive adds the rate on top of MFN. Cap charges MAX(0, cap minus MFN). None means no country layer. The forced labor layer is zero when Section 232 applies, when USMCA is claimed for Mexican or Canadian goods, or when the HTS line is exempt under Annex I or II.</t>
  </si>
  <si>
    <t xml:space="preserve">What-if add-on: optional scenario rate for pending actions (see Watchlist). Enter a negative value to model relief. Only used when Landed Cost C26 is set to Yes.</t>
  </si>
  <si>
    <t xml:space="preserve">China Section 301 lists (China origin only)</t>
  </si>
  <si>
    <t xml:space="preserve">List option</t>
  </si>
  <si>
    <t xml:space="preserve">Rate through Nov 9, 2026</t>
  </si>
  <si>
    <t xml:space="preserve">Rate after Nov 9, 2026</t>
  </si>
  <si>
    <t xml:space="preserve">List 1 (25%)</t>
  </si>
  <si>
    <t xml:space="preserve">List 2 (25%)</t>
  </si>
  <si>
    <t xml:space="preserve">List 3 (25%)</t>
  </si>
  <si>
    <t xml:space="preserve">List 4A (7.5%)</t>
  </si>
  <si>
    <t xml:space="preserve">Most HTS 9503 toys fall here. Confirm your 10-digit line in Chapter 99.</t>
  </si>
  <si>
    <t xml:space="preserve">Excluded, underlying 25%</t>
  </si>
  <si>
    <t xml:space="preserve">178 exclusions run through 11:59 p.m. EDT Nov 9, 2026 (9903.88.69, 9903.88.70).</t>
  </si>
  <si>
    <t xml:space="preserve">Excluded, underlying 7.5%</t>
  </si>
  <si>
    <t xml:space="preserve">Custom rate (enter on Landed Cost)</t>
  </si>
  <si>
    <t xml:space="preserve">For 2024 four-year review increases or other rates. Enter in Landed Cost C19.</t>
  </si>
  <si>
    <t xml:space="preserve">Section 232 categories (full customs value)</t>
  </si>
  <si>
    <t xml:space="preserve">Category</t>
  </si>
  <si>
    <t xml:space="preserve">Rate now</t>
  </si>
  <si>
    <t xml:space="preserve">Rate from Jan 1, 2027</t>
  </si>
  <si>
    <t xml:space="preserve">Metals: Annex I-A (50%)</t>
  </si>
  <si>
    <t xml:space="preserve">Steel, aluminum, copper articles. Applies to full customs value since Apr 6, 2026 (S12, S29).</t>
  </si>
  <si>
    <t xml:space="preserve">Metals: Annex I-B derivative (25%)</t>
  </si>
  <si>
    <t xml:space="preserve">Products with 15% or less metal content were removed from scope.</t>
  </si>
  <si>
    <t xml:space="preserve">Metals: transitional equipment (15%)</t>
  </si>
  <si>
    <t xml:space="preserve">Certain industrial and grid equipment.</t>
  </si>
  <si>
    <t xml:space="preserve">Metals: U.S.-smelted and cast (10%)</t>
  </si>
  <si>
    <t xml:space="preserve">9401.61.4011, 9401.61.4031, 9401.61.6011, 9401.61.6031.</t>
  </si>
  <si>
    <t xml:space="preserve">Wood: kitchen cabinets and vanities (25%)</t>
  </si>
  <si>
    <t xml:space="preserve">9403.40.9060, 9403.60.8093, 9403.91.0080.</t>
  </si>
  <si>
    <t xml:space="preserve">Wood: softwood lumber (10%)</t>
  </si>
  <si>
    <t xml:space="preserve">Use for country deal caps (for example UK, EU, Japan). Enter in Landed Cost C21.</t>
  </si>
  <si>
    <t xml:space="preserve">Ocean freight reference (per container, spot)</t>
  </si>
  <si>
    <t xml:space="preserve">West Coast ($)</t>
  </si>
  <si>
    <t xml:space="preserve">East Coast ($)</t>
  </si>
  <si>
    <t xml:space="preserve">Nominal volume (CBM)</t>
  </si>
  <si>
    <t xml:space="preserve">No 20 ft benchmark published in the WCI. Enter your forwarder quote on Landed Cost.</t>
  </si>
  <si>
    <t xml:space="preserve">Drewry WCI, Shanghai to Los Angeles and Shanghai to New York, Sep 24, 2026. China lanes only. Rates move weekly.</t>
  </si>
  <si>
    <t xml:space="preserve">Enter your forwarder quote.</t>
  </si>
  <si>
    <t xml:space="preserve">LCL or air (enter quote)</t>
  </si>
  <si>
    <t xml:space="preserve">Enter your quote on Landed Cost.</t>
  </si>
  <si>
    <t xml:space="preserve">MFN reference: verified lines only</t>
  </si>
  <si>
    <t xml:space="preserve">HTS line</t>
  </si>
  <si>
    <t xml:space="preserve">General rate</t>
  </si>
  <si>
    <t xml:space="preserve">Status</t>
  </si>
  <si>
    <t xml:space="preserve">Description</t>
  </si>
  <si>
    <t xml:space="preserve">9503.00.00</t>
  </si>
  <si>
    <t xml:space="preserve">Free</t>
  </si>
  <si>
    <t xml:space="preserve">Verified</t>
  </si>
  <si>
    <t xml:space="preserve">Toys, dolls, puzzles, scale models</t>
  </si>
  <si>
    <t xml:space="preserve">9401.61.4001</t>
  </si>
  <si>
    <t xml:space="preserve">Children's seats (upholstered, wood frame)</t>
  </si>
  <si>
    <t xml:space="preserve">9401.80.4001</t>
  </si>
  <si>
    <t xml:space="preserve">Children's seats (other)</t>
  </si>
  <si>
    <t xml:space="preserve">9403.70.8003</t>
  </si>
  <si>
    <t xml:space="preserve">Children's furniture (plastic)</t>
  </si>
  <si>
    <t xml:space="preserve">All other lines: look up the 10-digit General rate at hts.usitc.gov (HTS 2026 Revision 19, published Sep 15, 2026). Special column rates apply only when a trade program preference is claimed.</t>
  </si>
  <si>
    <t xml:space="preserve">Dropdown lists</t>
  </si>
  <si>
    <t xml:space="preserve">YesNo</t>
  </si>
  <si>
    <t xml:space="preserve">Coast</t>
  </si>
  <si>
    <t xml:space="preserve">Air</t>
  </si>
  <si>
    <t xml:space="preserve">East</t>
  </si>
  <si>
    <t xml:space="preserve">Pending actions that could change your landed cost. Status as of September 28, 2026.</t>
  </si>
  <si>
    <t xml:space="preserve">Item</t>
  </si>
  <si>
    <t xml:space="preserve">What could change</t>
  </si>
  <si>
    <t xml:space="preserve">How to model it here</t>
  </si>
  <si>
    <t xml:space="preserve">Section 301 excess capacity investigation (16 economies: China, EU, Singapore, Switzerland, Norway, Indonesia, Malaysia, Cambodia, Thailand, South Korea, Vietnam, Taiwan, Bangladesh, Mexico, Japan, India)</t>
  </si>
  <si>
    <t xml:space="preserve">Initiated March 11, 2026. Hearings May 5 to 8. No determination published. The statutory window runs into March 2027.</t>
  </si>
  <si>
    <t xml:space="preserve">New country tariffs on top of the forced labor 301 layer.</t>
  </si>
  <si>
    <t xml:space="preserve">Enter a rate in Rate Tables column F and set Landed Cost C26 to Yes.</t>
  </si>
  <si>
    <t xml:space="preserve">S21</t>
  </si>
  <si>
    <t xml:space="preserve">U.S.-China 30-for-30 framework</t>
  </si>
  <si>
    <t xml:space="preserve">Product lists released Sept 27 to 28, 2026. Toys, holiday decorations, children's car seats and small appliances are named. No rate, legal layer or effective date yet.</t>
  </si>
  <si>
    <t xml:space="preserve">Lower China rates on named categories.</t>
  </si>
  <si>
    <t xml:space="preserve">Enter a negative China rate in Rate Tables column F, or use Scenarios table A.</t>
  </si>
  <si>
    <t xml:space="preserve">S6, S26</t>
  </si>
  <si>
    <t xml:space="preserve">China Section 301 exclusions</t>
  </si>
  <si>
    <t xml:space="preserve">178 exclusions expire after 11:59 p.m. EDT November 9, 2026.</t>
  </si>
  <si>
    <t xml:space="preserve">25% or 7.5% returns on excluded lines.</t>
  </si>
  <si>
    <t xml:space="preserve">Pick an Excluded option on Landed Cost. The tool applies the underlying rate after the expiry date.</t>
  </si>
  <si>
    <t xml:space="preserve">Section 232 wood step-up</t>
  </si>
  <si>
    <t xml:space="preserve">Scheduled for January 1, 2027.</t>
  </si>
  <si>
    <t xml:space="preserve">Upholstered wooden seats 25% to 30%. Cabinets and vanities 25% to 50%.</t>
  </si>
  <si>
    <t xml:space="preserve">Automatic when the entry date is on or after Jan 1, 2027.</t>
  </si>
  <si>
    <t xml:space="preserve">Vietnam IP Section 301 investigation</t>
  </si>
  <si>
    <t xml:space="preserve">Opened May 29, 2026. Comments closed July 2.</t>
  </si>
  <si>
    <t xml:space="preserve">Possible additional Vietnam tariff.</t>
  </si>
  <si>
    <t xml:space="preserve">Enter a rate for Vietnam in Rate Tables column F.</t>
  </si>
  <si>
    <t xml:space="preserve">S22</t>
  </si>
  <si>
    <t xml:space="preserve">Section 338 Canada</t>
  </si>
  <si>
    <t xml:space="preserve">In effect Aug 22, 2026. Lists modified Sept 8 (furniture and more wood products added). Import bans on certain products from Sept 29.</t>
  </si>
  <si>
    <t xml:space="preserve">Scope changes.</t>
  </si>
  <si>
    <t xml:space="preserve">Set Landed Cost C23 to Yes for listed products.</t>
  </si>
  <si>
    <t xml:space="preserve">USMCA annual reviews</t>
  </si>
  <si>
    <t xml:space="preserve">The U.S. declined to renew in current form on July 1, 2026. The agreement stays in force with annual reviews until 2036.</t>
  </si>
  <si>
    <t xml:space="preserve">Changes to USMCA treatment.</t>
  </si>
  <si>
    <t xml:space="preserve">Toggle the USMCA claim on Landed Cost and Country Compare.</t>
  </si>
  <si>
    <t xml:space="preserve">S17</t>
  </si>
  <si>
    <t xml:space="preserve">Section 122 appeal</t>
  </si>
  <si>
    <t xml:space="preserve">Pending at the Federal Circuit after the CIT ruled it unlawful for the plaintiffs on May 7, 2026.</t>
  </si>
  <si>
    <t xml:space="preserve">Possible refunds of the 10% surcharge paid Feb 24 to July 24, 2026.</t>
  </si>
  <si>
    <t xml:space="preserve">Not modeled. Do not count on these refunds.</t>
  </si>
  <si>
    <t xml:space="preserve">S18</t>
  </si>
  <si>
    <t xml:space="preserve">IEEPA refunds (CAPE)</t>
  </si>
  <si>
    <t xml:space="preserve">Refunds flowing through CBP's CAPE tool in ACE. CBP says valid refunds generally issue 60 to 90 days after a CAPE Declaration is accepted.</t>
  </si>
  <si>
    <t xml:space="preserve">Cash back on duties paid Feb 2025 to Feb 2026.</t>
  </si>
  <si>
    <t xml:space="preserve">Not modeled. Ask your broker to file through CAPE.</t>
  </si>
  <si>
    <t xml:space="preserve">S3, S19</t>
  </si>
  <si>
    <t xml:space="preserve">Sources, Updates and Disclaimer</t>
  </si>
  <si>
    <t xml:space="preserve">Primary government sources are marked. Accessed September 28, 2026.</t>
  </si>
  <si>
    <t xml:space="preserve">ID</t>
  </si>
  <si>
    <t xml:space="preserve">Type</t>
  </si>
  <si>
    <t xml:space="preserve">Link</t>
  </si>
  <si>
    <t xml:space="preserve">USTR: USTR Takes Action in Forced Labor Section 301 Investigations (July 2026)</t>
  </si>
  <si>
    <t xml:space="preserve">Primary</t>
  </si>
  <si>
    <t xml:space="preserve">https://ustr.gov/about/policy-offices/press-office/press-releases/2026/july/ustr-takes-action-forced-labor-section-301-investigations</t>
  </si>
  <si>
    <t xml:space="preserve">S2</t>
  </si>
  <si>
    <t xml:space="preserve">The White House: Actions in the Section 301 investigations of 60 economies related to forced labor (July 2026)</t>
  </si>
  <si>
    <t xml:space="preserve">https://www.whitehouse.gov/presidential-actions/2026/07/actions-by-the-united-states-in-the-investigations-under-section-301-of-the-trade-act-of-1974-of-the-acts-policies-and-practices-of-60-economies-related-to-the-failure-of-each-economy-to-impose-and/</t>
  </si>
  <si>
    <t xml:space="preserve">S3</t>
  </si>
  <si>
    <t xml:space="preserve">U.S. Customs and Border Protection: IEEPA Duty Refunds</t>
  </si>
  <si>
    <t xml:space="preserve">https://www.cbp.gov/trade/programs-administration/trade-remedies/ieepa-duty-refunds</t>
  </si>
  <si>
    <t xml:space="preserve">S4</t>
  </si>
  <si>
    <t xml:space="preserve">Federal Register: Indefinite Suspension of the De Minimis Exemption (June 24, 2026)</t>
  </si>
  <si>
    <t xml:space="preserve">https://www.federalregister.gov/documents/2026/06/24/2026-12670/indefinite-suspension-of-the-de-minimis-exemption-for-merchandise-arriving-through-all-modes-other</t>
  </si>
  <si>
    <t xml:space="preserve">Federal Register: Notice of Product Exclusion Extensions, China Section 301 (Dec 1, 2025)</t>
  </si>
  <si>
    <t xml:space="preserve">https://www.federalregister.gov/documents/2025/12/01/2025-21671/notice-of-product-exclusion-extensions-chinas-acts-policies-and-practices-related-to-technology</t>
  </si>
  <si>
    <t xml:space="preserve">S6</t>
  </si>
  <si>
    <t xml:space="preserve">The White House: Terms of Reference for the 30-for-30 Framework (Sept 2026)</t>
  </si>
  <si>
    <t xml:space="preserve">https://www.whitehouse.gov/wp-content/uploads/2026/09/Terms-of-Reference-for-30-for-30-Framework.pdf</t>
  </si>
  <si>
    <t xml:space="preserve">Sunshine Supply Chain: Customs user fees change on October 1 (FY2027 MPF)</t>
  </si>
  <si>
    <t xml:space="preserve">Secondary</t>
  </si>
  <si>
    <t xml:space="preserve">https://www.sunshinescm.com/news/customs-user-fees-fy2027.html</t>
  </si>
  <si>
    <t xml:space="preserve">Borderless: MPF changes October 1, 2026</t>
  </si>
  <si>
    <t xml:space="preserve">https://borderless.us/guides/mpf-changes-october-1-2026</t>
  </si>
  <si>
    <t xml:space="preserve">GingerControl: Merchandise Processing Fee guide (FY2026 informal MPF, FTA exemptions)</t>
  </si>
  <si>
    <t xml:space="preserve">https://gingercontrol.com/blog/merchandise-processing-fee-guide</t>
  </si>
  <si>
    <t xml:space="preserve">Malakar Consulting: MPF and HMF customs fees explained</t>
  </si>
  <si>
    <t xml:space="preserve">https://malakarconsulting.com/guides/mpf-hmf-customs-fees-explained.html</t>
  </si>
  <si>
    <t xml:space="preserve">S11</t>
  </si>
  <si>
    <t xml:space="preserve">Honigman: Section 122 tariffs expire; Section 301 forced labor tariffs replace them</t>
  </si>
  <si>
    <t xml:space="preserve">https://www.honigman.com/alert-3462</t>
  </si>
  <si>
    <t xml:space="preserve">S12</t>
  </si>
  <si>
    <t xml:space="preserve">GHY International: Section 232 steel, aluminum and copper now on full customs value</t>
  </si>
  <si>
    <t xml:space="preserve">https://www.ghy.com/trade-compliance/us-adjusts-section-232-tariffs-on-aluminum-steel-and-copper-full-customs-value-now-applies/</t>
  </si>
  <si>
    <t xml:space="preserve">S13</t>
  </si>
  <si>
    <t xml:space="preserve">Thompson Hine SmarTrade: Section 232 increase on wood furniture, cabinets and vanities delayed</t>
  </si>
  <si>
    <t xml:space="preserve">https://www.thompsonhinesmartrade.com/2026/01/president-trump-delays-section-232-tariff-increase-on-wood-furniture-cabinets-and-vanities/</t>
  </si>
  <si>
    <t xml:space="preserve">S14</t>
  </si>
  <si>
    <t xml:space="preserve">GHY International: U.S. tariffs on lumber, upholstered furniture, cabinets and vanities</t>
  </si>
  <si>
    <t xml:space="preserve">https://www.ghy.com/trade-compliance/us-tariffs-lumber-upholstered-furniture-cabinets-vanities/</t>
  </si>
  <si>
    <t xml:space="preserve">S15</t>
  </si>
  <si>
    <t xml:space="preserve">Zonos: Section 338 tariffs on Canada</t>
  </si>
  <si>
    <t xml:space="preserve">https://zonos.com/docs/guides/country-guides/united-states/section-338-canada-tariffs</t>
  </si>
  <si>
    <t xml:space="preserve">S16</t>
  </si>
  <si>
    <t xml:space="preserve">Congressional Research Service R49349: U.S. tariffs on Canadian imports under Section 338 (mirror)</t>
  </si>
  <si>
    <t xml:space="preserve">https://www.everycrsreport.com/reports/R49349.html</t>
  </si>
  <si>
    <t xml:space="preserve">White &amp; Case: USMCA 2026 joint review</t>
  </si>
  <si>
    <t xml:space="preserve">https://www.whitecase.com/insight-alert/usmca-2026-joint-review-united-states-declines-extend-agreement-triggering-annual</t>
  </si>
  <si>
    <t xml:space="preserve">Skadden: US Trade Court strikes down Section 122 tariffs</t>
  </si>
  <si>
    <t xml:space="preserve">https://www.skadden.com/insights/publications/2026/05/us-trade-court-strikes-down-section-122-tariffs</t>
  </si>
  <si>
    <t xml:space="preserve">S19</t>
  </si>
  <si>
    <t xml:space="preserve">Holland &amp; Knight: CAPE has arrived, IEEPA duty refunds</t>
  </si>
  <si>
    <t xml:space="preserve">https://www.hklaw.com/en/insights/publications/2026/04/cape-has-arrived-navigating-the-next-phase-of-ieepa-duty-refunds</t>
  </si>
  <si>
    <t xml:space="preserve">S20</t>
  </si>
  <si>
    <t xml:space="preserve">Drewry: World Container Index</t>
  </si>
  <si>
    <t xml:space="preserve">https://www.drewry.co.uk/supply-chain-advisors/supply-chain-expertise/world-container-index-assessed-by-drewry</t>
  </si>
  <si>
    <t xml:space="preserve">White &amp; Case: USTR initiates Section 301 investigations of 16 trade partners (excess capacity)</t>
  </si>
  <si>
    <t xml:space="preserve">https://www.whitecase.com/insight-alert/ustr-initiates-section-301-investigations-16-us-trade-partners-targeting-industrial</t>
  </si>
  <si>
    <t xml:space="preserve">Thompson Hine SmarTrade: USTR launches Section 301 investigation into Vietnam IP practices</t>
  </si>
  <si>
    <t xml:space="preserve">https://www.thompsonhinesmartrade.com/2026/05/ustr-launches-section-301-investigation-into-vietnams-acts-policies-and-practices-related-to-intellectual-property/</t>
  </si>
  <si>
    <t xml:space="preserve">S23</t>
  </si>
  <si>
    <t xml:space="preserve">Federal Register (1999): Exemption of originating Mexican goods from merchandise processing fees</t>
  </si>
  <si>
    <t xml:space="preserve">https://www.govinfo.gov/content/pkg/FR-1999-08-03/html/99-19807.htm</t>
  </si>
  <si>
    <t xml:space="preserve">S24</t>
  </si>
  <si>
    <t xml:space="preserve">USITC: Harmonized Tariff Schedule search</t>
  </si>
  <si>
    <t xml:space="preserve">https://hts.usitc.gov/</t>
  </si>
  <si>
    <t xml:space="preserve">S25</t>
  </si>
  <si>
    <t xml:space="preserve">Alvarez &amp; Marsal: CIT upholds suspension of de minimis treatment (Axle of Dearborn)</t>
  </si>
  <si>
    <t xml:space="preserve">https://www.alvarezandmarsal.com/thought-leadership/uscit-upholds-ieepa-suspension-of-de-minimis-treatment-in-axle-of-dearborn</t>
  </si>
  <si>
    <t xml:space="preserve">S26</t>
  </si>
  <si>
    <t xml:space="preserve">CNN Business: US and China agree to cut tariffs on goods from coal to toys (Sept 28, 2026)</t>
  </si>
  <si>
    <t xml:space="preserve">https://www.cnn.com/2026/09/28/business/us-china-tariff-cuts-60-billion-intl</t>
  </si>
  <si>
    <t xml:space="preserve">S27</t>
  </si>
  <si>
    <t xml:space="preserve">CBP: Summary of changes, 2024 public guidance on setting bond amounts</t>
  </si>
  <si>
    <t xml:space="preserve">https://www.cbp.gov/sites/default/files/assets/documents/2024-Feb/Summary%20of%20Changes%20from%201991%20Directive%20to%202024%20Public%20Guidance.pdf</t>
  </si>
  <si>
    <t xml:space="preserve">S28</t>
  </si>
  <si>
    <t xml:space="preserve">Fennemore: New U.S. tariffs replace expiring Section 122 tariffs</t>
  </si>
  <si>
    <t xml:space="preserve">https://www.fennemorelaw.com/new-u-s-tariffs-replace-expiring-section-122-tariffs/</t>
  </si>
  <si>
    <t xml:space="preserve">S29</t>
  </si>
  <si>
    <t xml:space="preserve">Thompson Hine SmarTrade: Section 232 tariffs on aluminum, copper and steel modified (June 2026)</t>
  </si>
  <si>
    <t xml:space="preserve">https://www.thompsonhinesmartrade.com/2026/06/president-trump-modifies-section-232-tariffs-on-aluminum-copper-and-steel-imports/</t>
  </si>
  <si>
    <t xml:space="preserve">S30</t>
  </si>
  <si>
    <t xml:space="preserve">WSI: CBP guidance on the Section 301 forced labor import duties</t>
  </si>
  <si>
    <t xml:space="preserve">https://go-wsi.com/announcements/us-cbp-guidance-on-the-section-301-forced-labor-import-duties</t>
  </si>
  <si>
    <t xml:space="preserve">Change log</t>
  </si>
  <si>
    <t xml:space="preserve">Sep 28, 2026</t>
  </si>
  <si>
    <t xml:space="preserve">Version 2026.10. Rebuilt the rate engine as five layers (MFN, China 301, forced labor 301, Section 232, Section 338). Removed IEEPA reciprocal rates and the Section 122 surcharge. Added FY2027 MPF, HMF, USMCA MPF exemption, net-of-MFN caps, date-aware rules, Country Compare, Scenarios, Container and MOQ, Cash Flow, Watchlist and sources. Replaced XLOOKUP with INDEX and MATCH for Google Sheets and older Excel.</t>
  </si>
</sst>
</file>

<file path=xl/styles.xml><?xml version="1.0" encoding="utf-8"?>
<styleSheet xmlns="http://schemas.openxmlformats.org/spreadsheetml/2006/main">
  <numFmts count="24">
    <numFmt numFmtId="164" formatCode="General"/>
    <numFmt numFmtId="165" formatCode="\$#,##0;&quot;($&quot;#,##0\);\-"/>
    <numFmt numFmtId="166" formatCode="\$#,##0.000;&quot;($&quot;#,##0.000\);\-"/>
    <numFmt numFmtId="167" formatCode="0.0%;\(0.0%\);\-"/>
    <numFmt numFmtId="168" formatCode="mmm\ d&quot;, &quot;yyyy"/>
    <numFmt numFmtId="169" formatCode="#,##0"/>
    <numFmt numFmtId="170" formatCode="\$#,##0.00"/>
    <numFmt numFmtId="171" formatCode="General"/>
    <numFmt numFmtId="172" formatCode="\$#,##0.00;&quot;($&quot;#,##0.00\);\-"/>
    <numFmt numFmtId="173" formatCode="0.0%"/>
    <numFmt numFmtId="174" formatCode="\$#,##0"/>
    <numFmt numFmtId="175" formatCode="0.00%"/>
    <numFmt numFmtId="176" formatCode="\$#,##0.00;[RED]&quot;-$&quot;#,##0.00;\-"/>
    <numFmt numFmtId="177" formatCode="0"/>
    <numFmt numFmtId="178" formatCode="\$0.00"/>
    <numFmt numFmtId="179" formatCode="\$#,##0.000"/>
    <numFmt numFmtId="180" formatCode="\+0.0%;\-0.0%;0.0%"/>
    <numFmt numFmtId="181" formatCode="\+0%;\-0%;0%"/>
    <numFmt numFmtId="182" formatCode="0.000"/>
    <numFmt numFmtId="183" formatCode="0.0000"/>
    <numFmt numFmtId="184" formatCode="#,##0;\(#,##0\);\-"/>
    <numFmt numFmtId="185" formatCode="0.0"/>
    <numFmt numFmtId="186" formatCode="\$#,##0;[RED]&quot;-$&quot;#,##0"/>
    <numFmt numFmtId="187" formatCode="0.000%"/>
  </numFmts>
  <fonts count="30">
    <font>
      <sz val="11"/>
      <color theme="1"/>
      <name val="Calibri"/>
      <family val="2"/>
      <charset val="1"/>
    </font>
    <font>
      <sz val="10"/>
      <name val="Arial"/>
      <family val="0"/>
    </font>
    <font>
      <sz val="10"/>
      <name val="Arial"/>
      <family val="0"/>
    </font>
    <font>
      <sz val="10"/>
      <name val="Arial"/>
      <family val="0"/>
    </font>
    <font>
      <b val="true"/>
      <sz val="12"/>
      <color rgb="FFFCB040"/>
      <name val="Arial"/>
      <family val="0"/>
      <charset val="1"/>
    </font>
    <font>
      <b val="true"/>
      <sz val="22"/>
      <color rgb="FFFFFFFF"/>
      <name val="Arial"/>
      <family val="0"/>
      <charset val="1"/>
    </font>
    <font>
      <sz val="11"/>
      <color rgb="FFFFFFFF"/>
      <name val="Arial"/>
      <family val="0"/>
      <charset val="1"/>
    </font>
    <font>
      <b val="true"/>
      <sz val="10"/>
      <color rgb="FFFFFFFF"/>
      <name val="Arial"/>
      <family val="0"/>
      <charset val="1"/>
    </font>
    <font>
      <b val="true"/>
      <sz val="11"/>
      <color rgb="FF1F3321"/>
      <name val="Arial"/>
      <family val="0"/>
      <charset val="1"/>
    </font>
    <font>
      <sz val="10"/>
      <color rgb="FF000000"/>
      <name val="Arial"/>
      <family val="0"/>
      <charset val="1"/>
    </font>
    <font>
      <b val="true"/>
      <sz val="10"/>
      <color rgb="FF000000"/>
      <name val="Arial"/>
      <family val="0"/>
      <charset val="1"/>
    </font>
    <font>
      <b val="true"/>
      <sz val="10"/>
      <color rgb="FF1770FF"/>
      <name val="Arial"/>
      <family val="0"/>
      <charset val="1"/>
    </font>
    <font>
      <sz val="10"/>
      <name val="Arial"/>
      <family val="0"/>
      <charset val="1"/>
    </font>
    <font>
      <sz val="9"/>
      <color rgb="FF000000"/>
      <name val="Arial"/>
      <family val="0"/>
      <charset val="1"/>
    </font>
    <font>
      <b val="true"/>
      <sz val="13"/>
      <color rgb="FFF7F5F2"/>
      <name val="Arial"/>
      <family val="0"/>
      <charset val="1"/>
    </font>
    <font>
      <u val="single"/>
      <sz val="10"/>
      <color rgb="FFF7F5F2"/>
      <name val="Arial"/>
      <family val="0"/>
      <charset val="1"/>
    </font>
    <font>
      <b val="true"/>
      <sz val="18"/>
      <color rgb="FFFFFFFF"/>
      <name val="Arial"/>
      <family val="0"/>
      <charset val="1"/>
    </font>
    <font>
      <sz val="10"/>
      <color rgb="FFFFFFFF"/>
      <name val="Arial"/>
      <family val="0"/>
      <charset val="1"/>
    </font>
    <font>
      <b val="true"/>
      <sz val="9"/>
      <color rgb="FF6B6B6B"/>
      <name val="Arial"/>
      <family val="0"/>
      <charset val="1"/>
    </font>
    <font>
      <sz val="9"/>
      <color rgb="FF6B6B6B"/>
      <name val="Arial"/>
      <family val="0"/>
      <charset val="1"/>
    </font>
    <font>
      <b val="true"/>
      <sz val="12"/>
      <color rgb="FF1770FF"/>
      <name val="Arial"/>
      <family val="0"/>
      <charset val="1"/>
    </font>
    <font>
      <b val="true"/>
      <sz val="14"/>
      <color rgb="FF1770FF"/>
      <name val="Arial"/>
      <family val="0"/>
      <charset val="1"/>
    </font>
    <font>
      <sz val="9"/>
      <color rgb="FF9A5B00"/>
      <name val="Arial"/>
      <family val="0"/>
      <charset val="1"/>
    </font>
    <font>
      <sz val="10"/>
      <name val="Arial"/>
      <family val="2"/>
    </font>
    <font>
      <b val="true"/>
      <sz val="18"/>
      <color rgb="FF000000"/>
      <name val="Calibri"/>
      <family val="2"/>
    </font>
    <font>
      <sz val="10"/>
      <color rgb="FF000000"/>
      <name val="Calibri"/>
      <family val="2"/>
    </font>
    <font>
      <b val="true"/>
      <sz val="10"/>
      <color rgb="FF000000"/>
      <name val="Calibri"/>
      <family val="2"/>
    </font>
    <font>
      <b val="true"/>
      <sz val="9"/>
      <color rgb="FF000000"/>
      <name val="Arial"/>
      <family val="0"/>
      <charset val="1"/>
    </font>
    <font>
      <sz val="9"/>
      <color rgb="FF1770FF"/>
      <name val="Arial"/>
      <family val="0"/>
      <charset val="1"/>
    </font>
    <font>
      <u val="single"/>
      <sz val="9"/>
      <color rgb="FF1770FF"/>
      <name val="Arial"/>
      <family val="0"/>
      <charset val="1"/>
    </font>
  </fonts>
  <fills count="7">
    <fill>
      <patternFill patternType="none"/>
    </fill>
    <fill>
      <patternFill patternType="gray125"/>
    </fill>
    <fill>
      <patternFill patternType="solid">
        <fgColor rgb="FF1770FF"/>
        <bgColor rgb="FF0066CC"/>
      </patternFill>
    </fill>
    <fill>
      <patternFill patternType="solid">
        <fgColor rgb="FFBEC0FF"/>
        <bgColor rgb="FFD0D0D8"/>
      </patternFill>
    </fill>
    <fill>
      <patternFill patternType="solid">
        <fgColor rgb="FFFFF1D6"/>
        <bgColor rgb="FFF7F5F2"/>
      </patternFill>
    </fill>
    <fill>
      <patternFill patternType="solid">
        <fgColor rgb="FF1F3321"/>
        <bgColor rgb="FF333300"/>
      </patternFill>
    </fill>
    <fill>
      <patternFill patternType="solid">
        <fgColor rgb="FFE7E8FF"/>
        <bgColor rgb="FFF7F5F2"/>
      </patternFill>
    </fill>
  </fills>
  <borders count="2">
    <border diagonalUp="false" diagonalDown="false">
      <left/>
      <right/>
      <top/>
      <bottom/>
      <diagonal/>
    </border>
    <border diagonalUp="false" diagonalDown="false">
      <left style="thin">
        <color rgb="FFD0D0D8"/>
      </left>
      <right style="thin">
        <color rgb="FFD0D0D8"/>
      </right>
      <top style="thin">
        <color rgb="FFD0D0D8"/>
      </top>
      <bottom style="thin">
        <color rgb="FFD0D0D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true" applyProtection="false">
      <alignment horizontal="general" vertical="center"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center" textRotation="0" wrapText="true" indent="0" shrinkToFit="false"/>
      <protection locked="true" hidden="false"/>
    </xf>
    <xf numFmtId="164" fontId="10" fillId="0" borderId="0" xfId="0" applyFont="true" applyBorder="false" applyAlignment="true" applyProtection="false">
      <alignment horizontal="general" vertical="center" textRotation="0" wrapText="tru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4" fontId="11" fillId="0" borderId="0" xfId="0" applyFont="true" applyBorder="false" applyAlignment="true" applyProtection="false">
      <alignment horizontal="general" vertical="center" textRotation="0" wrapText="true" indent="0" shrinkToFit="false"/>
      <protection locked="true" hidden="false"/>
    </xf>
    <xf numFmtId="164" fontId="11" fillId="4" borderId="1" xfId="0" applyFont="true" applyBorder="true" applyAlignment="true" applyProtection="false">
      <alignment horizontal="left" vertical="center" textRotation="0" wrapText="fals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true" applyAlignment="true" applyProtection="false">
      <alignment horizontal="general" vertical="center" textRotation="0" wrapText="tru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14" fillId="5" borderId="0" xfId="0" applyFont="true" applyBorder="false" applyAlignment="false" applyProtection="false">
      <alignment horizontal="general" vertical="bottom" textRotation="0" wrapText="false" indent="0" shrinkToFit="false"/>
      <protection locked="true" hidden="false"/>
    </xf>
    <xf numFmtId="164" fontId="15" fillId="5" borderId="0" xfId="0" applyFont="true" applyBorder="true" applyAlignment="false" applyProtection="false">
      <alignment horizontal="general" vertical="bottom" textRotation="0" wrapText="false" indent="0" shrinkToFit="false"/>
      <protection locked="true" hidden="false"/>
    </xf>
    <xf numFmtId="164" fontId="16" fillId="2" borderId="0" xfId="0" applyFont="true" applyBorder="false" applyAlignment="true" applyProtection="false">
      <alignment horizontal="general" vertical="center" textRotation="0" wrapText="false" indent="0" shrinkToFit="false"/>
      <protection locked="true" hidden="false"/>
    </xf>
    <xf numFmtId="164" fontId="17" fillId="2" borderId="0" xfId="0" applyFont="true" applyBorder="false" applyAlignment="true" applyProtection="false">
      <alignment horizontal="general" vertical="top" textRotation="0" wrapText="false" indent="0" shrinkToFit="false"/>
      <protection locked="true" hidden="false"/>
    </xf>
    <xf numFmtId="164" fontId="18" fillId="0" borderId="0" xfId="0" applyFont="true" applyBorder="false" applyAlignment="true" applyProtection="false">
      <alignment horizontal="general" vertical="center" textRotation="0" wrapText="true" indent="0" shrinkToFit="false"/>
      <protection locked="true" hidden="false"/>
    </xf>
    <xf numFmtId="164" fontId="11" fillId="4" borderId="1" xfId="0" applyFont="true" applyBorder="true" applyAlignment="true" applyProtection="true">
      <alignment horizontal="left" vertical="center" textRotation="0" wrapText="false" indent="0" shrinkToFit="false"/>
      <protection locked="false" hidden="false"/>
    </xf>
    <xf numFmtId="164" fontId="19" fillId="0" borderId="0" xfId="0" applyFont="true" applyBorder="false" applyAlignment="true" applyProtection="false">
      <alignment horizontal="general" vertical="center" textRotation="0" wrapText="true" indent="0" shrinkToFit="false"/>
      <protection locked="true" hidden="false"/>
    </xf>
    <xf numFmtId="164" fontId="10" fillId="0" borderId="0" xfId="0" applyFont="true" applyBorder="false" applyAlignment="true" applyProtection="false">
      <alignment horizontal="left" vertical="center" textRotation="0" wrapText="false" indent="0" shrinkToFit="false"/>
      <protection locked="true" hidden="false"/>
    </xf>
    <xf numFmtId="164" fontId="10" fillId="0" borderId="0" xfId="0" applyFont="true" applyBorder="false" applyAlignment="true" applyProtection="false">
      <alignment horizontal="right" vertical="center" textRotation="0" wrapText="false" indent="0" shrinkToFit="false"/>
      <protection locked="true" hidden="false"/>
    </xf>
    <xf numFmtId="164" fontId="19" fillId="0" borderId="0" xfId="0" applyFont="true" applyBorder="false" applyAlignment="true" applyProtection="false">
      <alignment horizontal="right" vertical="center" textRotation="0" wrapText="false" indent="0" shrinkToFit="false"/>
      <protection locked="true" hidden="false"/>
    </xf>
    <xf numFmtId="165" fontId="9" fillId="0" borderId="0" xfId="0" applyFont="true" applyBorder="false" applyAlignment="true" applyProtection="false">
      <alignment horizontal="right" vertical="center" textRotation="0" wrapText="false" indent="0" shrinkToFit="false"/>
      <protection locked="true" hidden="false"/>
    </xf>
    <xf numFmtId="166" fontId="9" fillId="0" borderId="0" xfId="0" applyFont="true" applyBorder="false" applyAlignment="true" applyProtection="false">
      <alignment horizontal="right" vertical="center" textRotation="0" wrapText="false" indent="0" shrinkToFit="false"/>
      <protection locked="true" hidden="false"/>
    </xf>
    <xf numFmtId="167" fontId="19" fillId="0" borderId="0" xfId="0" applyFont="true" applyBorder="false" applyAlignment="true" applyProtection="false">
      <alignment horizontal="right" vertical="center" textRotation="0" wrapText="false" indent="0" shrinkToFit="false"/>
      <protection locked="true" hidden="false"/>
    </xf>
    <xf numFmtId="168" fontId="11" fillId="4" borderId="1" xfId="0" applyFont="true" applyBorder="true" applyAlignment="true" applyProtection="true">
      <alignment horizontal="right" vertical="center" textRotation="0" wrapText="false" indent="0" shrinkToFit="false"/>
      <protection locked="false" hidden="false"/>
    </xf>
    <xf numFmtId="169" fontId="11" fillId="4" borderId="1" xfId="0" applyFont="true" applyBorder="true" applyAlignment="true" applyProtection="true">
      <alignment horizontal="right" vertical="center" textRotation="0" wrapText="false" indent="0" shrinkToFit="false"/>
      <protection locked="false" hidden="false"/>
    </xf>
    <xf numFmtId="170" fontId="11" fillId="4" borderId="1" xfId="0" applyFont="true" applyBorder="true" applyAlignment="true" applyProtection="true">
      <alignment horizontal="right" vertical="center" textRotation="0" wrapText="false" indent="0" shrinkToFit="false"/>
      <protection locked="false" hidden="false"/>
    </xf>
    <xf numFmtId="165" fontId="10" fillId="0" borderId="0" xfId="0" applyFont="true" applyBorder="false" applyAlignment="true" applyProtection="false">
      <alignment horizontal="right" vertical="center" textRotation="0" wrapText="false" indent="0" shrinkToFit="false"/>
      <protection locked="true" hidden="false"/>
    </xf>
    <xf numFmtId="166" fontId="10" fillId="0" borderId="0" xfId="0" applyFont="true" applyBorder="false" applyAlignment="true" applyProtection="false">
      <alignment horizontal="right" vertical="center" textRotation="0" wrapText="false" indent="0" shrinkToFit="false"/>
      <protection locked="true" hidden="false"/>
    </xf>
    <xf numFmtId="164" fontId="11" fillId="4" borderId="1" xfId="0" applyFont="true" applyBorder="true" applyAlignment="true" applyProtection="true">
      <alignment horizontal="center" vertical="center" textRotation="0" wrapText="false" indent="0" shrinkToFit="false"/>
      <protection locked="false" hidden="false"/>
    </xf>
    <xf numFmtId="171" fontId="19" fillId="0" borderId="0" xfId="0" applyFont="true" applyBorder="false" applyAlignment="true" applyProtection="false">
      <alignment horizontal="right" vertical="center" textRotation="0" wrapText="false" indent="0" shrinkToFit="false"/>
      <protection locked="true" hidden="false"/>
    </xf>
    <xf numFmtId="167" fontId="9" fillId="0" borderId="0" xfId="0" applyFont="true" applyBorder="false" applyAlignment="true" applyProtection="false">
      <alignment horizontal="right" vertical="center" textRotation="0" wrapText="false" indent="0" shrinkToFit="false"/>
      <protection locked="true" hidden="false"/>
    </xf>
    <xf numFmtId="172" fontId="19" fillId="0" borderId="0" xfId="0" applyFont="true" applyBorder="false" applyAlignment="true" applyProtection="false">
      <alignment horizontal="right" vertical="center" textRotation="0" wrapText="false" indent="0" shrinkToFit="false"/>
      <protection locked="true" hidden="false"/>
    </xf>
    <xf numFmtId="173" fontId="11" fillId="4" borderId="1" xfId="0" applyFont="true" applyBorder="true" applyAlignment="true" applyProtection="true">
      <alignment horizontal="right" vertical="center" textRotation="0" wrapText="false" indent="0" shrinkToFit="false"/>
      <protection locked="false" hidden="false"/>
    </xf>
    <xf numFmtId="165" fontId="19" fillId="0" borderId="0" xfId="0" applyFont="true" applyBorder="false" applyAlignment="true" applyProtection="false">
      <alignment horizontal="right" vertical="center" textRotation="0" wrapText="false" indent="0" shrinkToFit="false"/>
      <protection locked="true" hidden="false"/>
    </xf>
    <xf numFmtId="167" fontId="10" fillId="0" borderId="0" xfId="0" applyFont="true" applyBorder="false" applyAlignment="true" applyProtection="false">
      <alignment horizontal="right" vertical="center" textRotation="0" wrapText="false" indent="0" shrinkToFit="false"/>
      <protection locked="true" hidden="false"/>
    </xf>
    <xf numFmtId="172" fontId="9" fillId="0" borderId="0" xfId="0" applyFont="true" applyBorder="false" applyAlignment="true" applyProtection="false">
      <alignment horizontal="right" vertical="center" textRotation="0" wrapText="false" indent="0" shrinkToFit="false"/>
      <protection locked="true" hidden="false"/>
    </xf>
    <xf numFmtId="174" fontId="11" fillId="4" borderId="1" xfId="0" applyFont="true" applyBorder="true" applyAlignment="true" applyProtection="true">
      <alignment horizontal="right" vertical="center" textRotation="0" wrapText="false" indent="0" shrinkToFit="false"/>
      <protection locked="false" hidden="false"/>
    </xf>
    <xf numFmtId="175" fontId="11" fillId="4" borderId="1" xfId="0" applyFont="true" applyBorder="true" applyAlignment="true" applyProtection="true">
      <alignment horizontal="right" vertical="center" textRotation="0" wrapText="false" indent="0" shrinkToFit="false"/>
      <protection locked="false" hidden="false"/>
    </xf>
    <xf numFmtId="164" fontId="10" fillId="3" borderId="0" xfId="0" applyFont="true" applyBorder="false" applyAlignment="true" applyProtection="false">
      <alignment horizontal="general" vertical="center" textRotation="0" wrapText="true" indent="0" shrinkToFit="false"/>
      <protection locked="true" hidden="false"/>
    </xf>
    <xf numFmtId="165" fontId="10" fillId="3" borderId="0" xfId="0" applyFont="true" applyBorder="false" applyAlignment="true" applyProtection="false">
      <alignment horizontal="right" vertical="center" textRotation="0" wrapText="false" indent="0" shrinkToFit="false"/>
      <protection locked="true" hidden="false"/>
    </xf>
    <xf numFmtId="166" fontId="10" fillId="3" borderId="0" xfId="0" applyFont="true" applyBorder="false" applyAlignment="true" applyProtection="false">
      <alignment horizontal="right" vertical="center" textRotation="0" wrapText="false" indent="0" shrinkToFit="false"/>
      <protection locked="true" hidden="false"/>
    </xf>
    <xf numFmtId="164" fontId="20" fillId="0" borderId="0" xfId="0" applyFont="true" applyBorder="false" applyAlignment="true" applyProtection="false">
      <alignment horizontal="general" vertical="center" textRotation="0" wrapText="true" indent="0" shrinkToFit="false"/>
      <protection locked="true" hidden="false"/>
    </xf>
    <xf numFmtId="172" fontId="21" fillId="0" borderId="0" xfId="0" applyFont="true" applyBorder="true" applyAlignment="true" applyProtection="false">
      <alignment horizontal="right" vertical="center" textRotation="0" wrapText="false" indent="0" shrinkToFit="false"/>
      <protection locked="true" hidden="false"/>
    </xf>
    <xf numFmtId="172" fontId="10" fillId="0" borderId="0" xfId="0" applyFont="true" applyBorder="false" applyAlignment="true" applyProtection="false">
      <alignment horizontal="right" vertical="center" textRotation="0" wrapText="false" indent="0" shrinkToFit="false"/>
      <protection locked="true" hidden="false"/>
    </xf>
    <xf numFmtId="164" fontId="22" fillId="0" borderId="0" xfId="0" applyFont="true" applyBorder="true" applyAlignment="true" applyProtection="false">
      <alignment horizontal="general" vertical="center" textRotation="0" wrapText="true" indent="0" shrinkToFit="false"/>
      <protection locked="true" hidden="false"/>
    </xf>
    <xf numFmtId="164" fontId="10" fillId="0" borderId="0" xfId="0" applyFont="true" applyBorder="false" applyAlignment="true" applyProtection="false">
      <alignment horizontal="center" vertical="bottom" textRotation="0" wrapText="false" indent="0" shrinkToFit="false"/>
      <protection locked="true" hidden="false"/>
    </xf>
    <xf numFmtId="173" fontId="11" fillId="4" borderId="1" xfId="0" applyFont="true" applyBorder="true" applyAlignment="true" applyProtection="true">
      <alignment horizontal="center" vertical="bottom" textRotation="0" wrapText="false" indent="0" shrinkToFit="false"/>
      <protection locked="false" hidden="false"/>
    </xf>
    <xf numFmtId="172" fontId="9" fillId="0" borderId="0" xfId="0" applyFont="true" applyBorder="false" applyAlignment="true" applyProtection="false">
      <alignment horizontal="center" vertical="bottom" textRotation="0" wrapText="false" indent="0" shrinkToFit="false"/>
      <protection locked="true" hidden="false"/>
    </xf>
    <xf numFmtId="164" fontId="19" fillId="0" borderId="0" xfId="0" applyFont="true" applyBorder="true" applyAlignment="false" applyProtection="false">
      <alignment horizontal="general" vertical="bottom" textRotation="0" wrapText="false" indent="0" shrinkToFit="false"/>
      <protection locked="true" hidden="false"/>
    </xf>
    <xf numFmtId="164" fontId="19" fillId="0" borderId="0" xfId="0" applyFont="true" applyBorder="true" applyAlignment="true" applyProtection="false">
      <alignment horizontal="general" vertical="center" textRotation="0" wrapText="true" indent="0" shrinkToFit="false"/>
      <protection locked="true" hidden="false"/>
    </xf>
    <xf numFmtId="164" fontId="11" fillId="4" borderId="1" xfId="0" applyFont="true" applyBorder="true" applyAlignment="true" applyProtection="true">
      <alignment horizontal="center" vertical="center" textRotation="0" wrapText="true" indent="0" shrinkToFit="false"/>
      <protection locked="false" hidden="false"/>
    </xf>
    <xf numFmtId="172" fontId="10" fillId="6" borderId="0" xfId="0" applyFont="true" applyBorder="false" applyAlignment="true" applyProtection="false">
      <alignment horizontal="right" vertical="center" textRotation="0" wrapText="false" indent="0" shrinkToFit="false"/>
      <protection locked="true" hidden="false"/>
    </xf>
    <xf numFmtId="176" fontId="9" fillId="0" borderId="0" xfId="0" applyFont="true" applyBorder="false" applyAlignment="true" applyProtection="false">
      <alignment horizontal="right" vertical="center" textRotation="0" wrapText="false" indent="0" shrinkToFit="false"/>
      <protection locked="true" hidden="false"/>
    </xf>
    <xf numFmtId="177" fontId="9" fillId="0" borderId="0" xfId="0" applyFont="true" applyBorder="false" applyAlignment="true" applyProtection="false">
      <alignment horizontal="right" vertical="center" textRotation="0" wrapText="false" indent="0" shrinkToFit="false"/>
      <protection locked="true" hidden="false"/>
    </xf>
    <xf numFmtId="164" fontId="27" fillId="3" borderId="0" xfId="0" applyFont="true" applyBorder="false" applyAlignment="true" applyProtection="false">
      <alignment horizontal="center" vertical="center" textRotation="0" wrapText="true" indent="0" shrinkToFit="false"/>
      <protection locked="true" hidden="false"/>
    </xf>
    <xf numFmtId="164" fontId="27" fillId="6" borderId="0" xfId="0" applyFont="true" applyBorder="false" applyAlignment="true" applyProtection="false">
      <alignment horizontal="center" vertical="center" textRotation="0" wrapText="true" indent="0" shrinkToFit="false"/>
      <protection locked="true" hidden="false"/>
    </xf>
    <xf numFmtId="177" fontId="13" fillId="0" borderId="0" xfId="0" applyFont="true" applyBorder="false" applyAlignment="true" applyProtection="false">
      <alignment horizontal="center" vertical="bottom" textRotation="0" wrapText="false" indent="0" shrinkToFit="false"/>
      <protection locked="true" hidden="false"/>
    </xf>
    <xf numFmtId="164" fontId="28" fillId="4" borderId="1" xfId="0" applyFont="true" applyBorder="true" applyAlignment="true" applyProtection="true">
      <alignment horizontal="left" vertical="center" textRotation="0" wrapText="false" indent="0" shrinkToFit="false"/>
      <protection locked="false" hidden="false"/>
    </xf>
    <xf numFmtId="173" fontId="28" fillId="4" borderId="1" xfId="0" applyFont="true" applyBorder="true" applyAlignment="true" applyProtection="true">
      <alignment horizontal="right" vertical="center" textRotation="0" wrapText="false" indent="0" shrinkToFit="false"/>
      <protection locked="false" hidden="false"/>
    </xf>
    <xf numFmtId="164" fontId="28" fillId="4" borderId="1" xfId="0" applyFont="true" applyBorder="true" applyAlignment="true" applyProtection="true">
      <alignment horizontal="center" vertical="center" textRotation="0" wrapText="false" indent="0" shrinkToFit="false"/>
      <protection locked="false" hidden="false"/>
    </xf>
    <xf numFmtId="170" fontId="28" fillId="4" borderId="1" xfId="0" applyFont="true" applyBorder="true" applyAlignment="true" applyProtection="true">
      <alignment horizontal="right" vertical="center" textRotation="0" wrapText="false" indent="0" shrinkToFit="false"/>
      <protection locked="false" hidden="false"/>
    </xf>
    <xf numFmtId="167" fontId="13" fillId="0" borderId="1" xfId="0" applyFont="true" applyBorder="true" applyAlignment="true" applyProtection="false">
      <alignment horizontal="right" vertical="center" textRotation="0" wrapText="false" indent="0" shrinkToFit="false"/>
      <protection locked="true" hidden="false"/>
    </xf>
    <xf numFmtId="172" fontId="13" fillId="0" borderId="1" xfId="0" applyFont="true" applyBorder="true" applyAlignment="true" applyProtection="false">
      <alignment horizontal="right" vertical="center" textRotation="0" wrapText="false" indent="0" shrinkToFit="false"/>
      <protection locked="true" hidden="false"/>
    </xf>
    <xf numFmtId="179" fontId="13" fillId="0" borderId="1" xfId="0" applyFont="true" applyBorder="true" applyAlignment="true" applyProtection="false">
      <alignment horizontal="right" vertical="center" textRotation="0" wrapText="false" indent="0" shrinkToFit="false"/>
      <protection locked="true" hidden="false"/>
    </xf>
    <xf numFmtId="164" fontId="27" fillId="0" borderId="0" xfId="0" applyFont="true" applyBorder="false" applyAlignment="true" applyProtection="false">
      <alignment horizontal="center" vertical="center" textRotation="0" wrapText="true" indent="0" shrinkToFit="false"/>
      <protection locked="true" hidden="false"/>
    </xf>
    <xf numFmtId="180" fontId="11" fillId="4" borderId="1" xfId="0" applyFont="true" applyBorder="true" applyAlignment="true" applyProtection="true">
      <alignment horizontal="center" vertical="center" textRotation="0" wrapText="false" indent="0" shrinkToFit="false"/>
      <protection locked="false" hidden="false"/>
    </xf>
    <xf numFmtId="181" fontId="11" fillId="4" borderId="1" xfId="0" applyFont="true" applyBorder="true" applyAlignment="true" applyProtection="true">
      <alignment horizontal="center" vertical="center" textRotation="0" wrapText="false" indent="0" shrinkToFit="false"/>
      <protection locked="false" hidden="false"/>
    </xf>
    <xf numFmtId="164" fontId="27" fillId="0" borderId="0" xfId="0" applyFont="true" applyBorder="false" applyAlignment="true" applyProtection="false">
      <alignment horizontal="general" vertical="center" textRotation="0" wrapText="true" indent="0" shrinkToFit="false"/>
      <protection locked="true" hidden="false"/>
    </xf>
    <xf numFmtId="182" fontId="9" fillId="0" borderId="0" xfId="0" applyFont="true" applyBorder="false" applyAlignment="true" applyProtection="false">
      <alignment horizontal="right" vertical="center" textRotation="0" wrapText="false" indent="0" shrinkToFit="false"/>
      <protection locked="true" hidden="false"/>
    </xf>
    <xf numFmtId="183" fontId="9" fillId="0" borderId="0" xfId="0" applyFont="true" applyBorder="false" applyAlignment="true" applyProtection="false">
      <alignment horizontal="right" vertical="center" textRotation="0" wrapText="false" indent="0" shrinkToFit="false"/>
      <protection locked="true" hidden="false"/>
    </xf>
    <xf numFmtId="164" fontId="27" fillId="0" borderId="0" xfId="0" applyFont="true" applyBorder="false" applyAlignment="true" applyProtection="false">
      <alignment horizontal="center" vertical="bottom" textRotation="0" wrapText="true" indent="0" shrinkToFit="false"/>
      <protection locked="true" hidden="false"/>
    </xf>
    <xf numFmtId="184" fontId="9" fillId="0" borderId="0" xfId="0" applyFont="true" applyBorder="false" applyAlignment="true" applyProtection="false">
      <alignment horizontal="right" vertical="center" textRotation="0" wrapText="false" indent="0" shrinkToFit="false"/>
      <protection locked="true" hidden="false"/>
    </xf>
    <xf numFmtId="185" fontId="9" fillId="0" borderId="0" xfId="0" applyFont="true" applyBorder="false" applyAlignment="true" applyProtection="false">
      <alignment horizontal="right" vertical="center" textRotation="0" wrapText="false" indent="0" shrinkToFit="false"/>
      <protection locked="true" hidden="false"/>
    </xf>
    <xf numFmtId="184" fontId="10" fillId="0" borderId="0" xfId="0" applyFont="true" applyBorder="false" applyAlignment="true" applyProtection="false">
      <alignment horizontal="right" vertical="center" textRotation="0" wrapText="false" indent="0" shrinkToFit="false"/>
      <protection locked="true" hidden="false"/>
    </xf>
    <xf numFmtId="164" fontId="9" fillId="0" borderId="0" xfId="0" applyFont="true" applyBorder="false" applyAlignment="true" applyProtection="false">
      <alignment horizontal="center" vertical="bottom" textRotation="0" wrapText="false" indent="0" shrinkToFit="false"/>
      <protection locked="true" hidden="false"/>
    </xf>
    <xf numFmtId="168" fontId="9" fillId="0" borderId="0" xfId="0" applyFont="true" applyBorder="false" applyAlignment="true" applyProtection="false">
      <alignment horizontal="right" vertical="center" textRotation="0" wrapText="false" indent="0" shrinkToFit="false"/>
      <protection locked="true" hidden="false"/>
    </xf>
    <xf numFmtId="186" fontId="10" fillId="0" borderId="0" xfId="0" applyFont="true" applyBorder="false" applyAlignment="true" applyProtection="false">
      <alignment horizontal="right" vertical="center" textRotation="0" wrapText="false" indent="0" shrinkToFit="false"/>
      <protection locked="true" hidden="false"/>
    </xf>
    <xf numFmtId="165" fontId="20" fillId="0" borderId="0" xfId="0" applyFont="true" applyBorder="false" applyAlignment="true" applyProtection="false">
      <alignment horizontal="right" vertical="center" textRotation="0" wrapText="false" indent="0" shrinkToFit="false"/>
      <protection locked="true" hidden="false"/>
    </xf>
    <xf numFmtId="186" fontId="9" fillId="0" borderId="0" xfId="0" applyFont="true" applyBorder="false" applyAlignment="true" applyProtection="false">
      <alignment horizontal="right" vertical="center" textRotation="0" wrapText="false" indent="0" shrinkToFit="false"/>
      <protection locked="true" hidden="false"/>
    </xf>
    <xf numFmtId="164" fontId="10" fillId="0" borderId="0" xfId="0" applyFont="true" applyBorder="true" applyAlignment="true" applyProtection="false">
      <alignment horizontal="general" vertical="center" textRotation="0" wrapText="true" indent="0" shrinkToFit="false"/>
      <protection locked="true" hidden="false"/>
    </xf>
    <xf numFmtId="187" fontId="11" fillId="4" borderId="1" xfId="0" applyFont="true" applyBorder="true" applyAlignment="true" applyProtection="true">
      <alignment horizontal="right" vertical="center" textRotation="0" wrapText="false" indent="0" shrinkToFit="false"/>
      <protection locked="false" hidden="false"/>
    </xf>
    <xf numFmtId="164" fontId="13" fillId="0" borderId="0" xfId="0" applyFont="true" applyBorder="false" applyAlignment="true" applyProtection="false">
      <alignment horizontal="center" vertical="center" textRotation="0" wrapText="fals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center" textRotation="0" wrapText="true" indent="0" shrinkToFit="false"/>
      <protection locked="true" hidden="false"/>
    </xf>
    <xf numFmtId="164" fontId="28" fillId="0" borderId="0" xfId="0" applyFont="true" applyBorder="false" applyAlignment="true" applyProtection="false">
      <alignment horizontal="general" vertical="center" textRotation="0" wrapText="true" indent="0" shrinkToFit="false"/>
      <protection locked="true" hidden="false"/>
    </xf>
    <xf numFmtId="164" fontId="29" fillId="0"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font>
      <fill>
        <patternFill>
          <bgColor rgb="FFFCB040"/>
        </patternFill>
      </fill>
    </dxf>
    <dxf>
      <font>
        <name val="Arial"/>
        <charset val="1"/>
        <family val="0"/>
        <b val="1"/>
        <color rgb="FFB00020"/>
      </font>
    </dxf>
    <dxf>
      <fill>
        <patternFill>
          <bgColor rgb="FFFDE2E2"/>
        </patternFill>
      </fill>
    </dxf>
  </dxfs>
  <colors>
    <indexedColors>
      <rgbColor rgb="FF000000"/>
      <rgbColor rgb="FFFFFFFF"/>
      <rgbColor rgb="FFFF0000"/>
      <rgbColor rgb="FF00FF00"/>
      <rgbColor rgb="FF0000FF"/>
      <rgbColor rgb="FFFFFF00"/>
      <rgbColor rgb="FFFF00FF"/>
      <rgbColor rgb="FF00FFFF"/>
      <rgbColor rgb="FFB00020"/>
      <rgbColor rgb="FF008000"/>
      <rgbColor rgb="FF000080"/>
      <rgbColor rgb="FF808000"/>
      <rgbColor rgb="FF800080"/>
      <rgbColor rgb="FF008080"/>
      <rgbColor rgb="FFD0D0D8"/>
      <rgbColor rgb="FF878787"/>
      <rgbColor rgb="FF9999FF"/>
      <rgbColor rgb="FF993366"/>
      <rgbColor rgb="FFFFF1D6"/>
      <rgbColor rgb="FFE7E8FF"/>
      <rgbColor rgb="FF660066"/>
      <rgbColor rgb="FFFF8080"/>
      <rgbColor rgb="FF0066CC"/>
      <rgbColor rgb="FFBEC0FF"/>
      <rgbColor rgb="FF000080"/>
      <rgbColor rgb="FFFF00FF"/>
      <rgbColor rgb="FFFFFF00"/>
      <rgbColor rgb="FF00FFFF"/>
      <rgbColor rgb="FF800080"/>
      <rgbColor rgb="FF800000"/>
      <rgbColor rgb="FF008080"/>
      <rgbColor rgb="FF0000FF"/>
      <rgbColor rgb="FF00CCFF"/>
      <rgbColor rgb="FFF7F5F2"/>
      <rgbColor rgb="FFF9F9F9"/>
      <rgbColor rgb="FFFFFF99"/>
      <rgbColor rgb="FFD9D9D9"/>
      <rgbColor rgb="FFFF99CC"/>
      <rgbColor rgb="FFCC99FF"/>
      <rgbColor rgb="FFFDE2E2"/>
      <rgbColor rgb="FF1770FF"/>
      <rgbColor rgb="FF33CCCC"/>
      <rgbColor rgb="FF99CC00"/>
      <rgbColor rgb="FFFFCC00"/>
      <rgbColor rgb="FFFCB040"/>
      <rgbColor rgb="FFFF6600"/>
      <rgbColor rgb="FF6B6B6B"/>
      <rgbColor rgb="FF969696"/>
      <rgbColor rgb="FF003366"/>
      <rgbColor rgb="FF339966"/>
      <rgbColor rgb="FF003300"/>
      <rgbColor rgb="FF333300"/>
      <rgbColor rgb="FF9A5B00"/>
      <rgbColor rgb="FF993366"/>
      <rgbColor rgb="FF333399"/>
      <rgbColor rgb="FF1F3321"/>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Landed cost per unit by origin</a:t>
            </a:r>
          </a:p>
        </c:rich>
      </c:tx>
      <c:overlay val="0"/>
      <c:spPr>
        <a:noFill/>
        <a:ln w="0">
          <a:noFill/>
        </a:ln>
      </c:spPr>
    </c:title>
    <c:autoTitleDeleted val="0"/>
    <c:plotArea>
      <c:barChart>
        <c:barDir val="col"/>
        <c:grouping val="clustered"/>
        <c:varyColors val="0"/>
        <c:ser>
          <c:idx val="0"/>
          <c:order val="0"/>
          <c:spPr>
            <a:solidFill>
              <a:srgbClr val="1770ff"/>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'Country Compare'!$C$6:$J$6</c:f>
              <c:strCache>
                <c:ptCount val="8"/>
                <c:pt idx="0">
                  <c:v>China</c:v>
                </c:pt>
                <c:pt idx="1">
                  <c:v>Vietnam</c:v>
                </c:pt>
                <c:pt idx="2">
                  <c:v>Malaysia</c:v>
                </c:pt>
                <c:pt idx="3">
                  <c:v>Indonesia</c:v>
                </c:pt>
                <c:pt idx="4">
                  <c:v>India</c:v>
                </c:pt>
                <c:pt idx="5">
                  <c:v>Cambodia</c:v>
                </c:pt>
                <c:pt idx="6">
                  <c:v>Mexico</c:v>
                </c:pt>
                <c:pt idx="7">
                  <c:v>United States (domestic)</c:v>
                </c:pt>
              </c:strCache>
            </c:strRef>
          </c:cat>
          <c:val>
            <c:numRef>
              <c:f>'Country Compare'!$C$28:$J$28</c:f>
              <c:numCache>
                <c:formatCode>\$#,##0.00;"($"#,##0.00\);\-</c:formatCode>
                <c:ptCount val="8"/>
                <c:pt idx="0">
                  <c:v>5.4661063</c:v>
                </c:pt>
                <c:pt idx="1">
                  <c:v>5.6360134</c:v>
                </c:pt>
                <c:pt idx="2">
                  <c:v>5.7246705</c:v>
                </c:pt>
                <c:pt idx="3">
                  <c:v>5.5031277</c:v>
                </c:pt>
                <c:pt idx="4">
                  <c:v>5.447742</c:v>
                </c:pt>
                <c:pt idx="5">
                  <c:v>5.6138991</c:v>
                </c:pt>
                <c:pt idx="6">
                  <c:v>4.9608</c:v>
                </c:pt>
                <c:pt idx="7">
                  <c:v>5.76425</c:v>
                </c:pt>
              </c:numCache>
            </c:numRef>
          </c:val>
        </c:ser>
        <c:gapWidth val="150"/>
        <c:overlap val="0"/>
        <c:axId val="27669268"/>
        <c:axId val="87950616"/>
      </c:barChart>
      <c:catAx>
        <c:axId val="27669268"/>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7950616"/>
        <c:crosses val="autoZero"/>
        <c:auto val="1"/>
        <c:lblAlgn val="ctr"/>
        <c:lblOffset val="100"/>
        <c:noMultiLvlLbl val="0"/>
      </c:catAx>
      <c:valAx>
        <c:axId val="87950616"/>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USD per unit</a:t>
                </a:r>
              </a:p>
            </c:rich>
          </c:tx>
          <c:overlay val="0"/>
          <c:spPr>
            <a:noFill/>
            <a:ln w="0">
              <a:noFill/>
            </a:ln>
          </c:spPr>
        </c:title>
        <c:numFmt formatCode="\$0.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7669268"/>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46</xdr:row>
      <xdr:rowOff>0</xdr:rowOff>
    </xdr:from>
    <xdr:to>
      <xdr:col>7</xdr:col>
      <xdr:colOff>25560</xdr:colOff>
      <xdr:row>61</xdr:row>
      <xdr:rowOff>22320</xdr:rowOff>
    </xdr:to>
    <xdr:graphicFrame>
      <xdr:nvGraphicFramePr>
        <xdr:cNvPr id="0" name="Chart 1"/>
        <xdr:cNvGraphicFramePr/>
      </xdr:nvGraphicFramePr>
      <xdr:xfrm>
        <a:off x="141120" y="8572680"/>
        <a:ext cx="79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10.xml.rels><?xml version="1.0" encoding="UTF-8"?>
<Relationships xmlns="http://schemas.openxmlformats.org/package/2006/relationships"><Relationship Id="rId1" Type="http://schemas.openxmlformats.org/officeDocument/2006/relationships/hyperlink" Target="https://ustr.gov/about/policy-offices/press-office/press-releases/2026/july/ustr-takes-action-forced-labor-section-301-investigations" TargetMode="External"/><Relationship Id="rId2" Type="http://schemas.openxmlformats.org/officeDocument/2006/relationships/hyperlink" Target="https://www.whitehouse.gov/presidential-actions/2026/07/actions-by-the-united-states-in-the-investigations-under-section-301-of-the-trade-act-of-1974-of-the-acts-policies-and-practices-of-60-economies-related-to-the-failure-of-each-economy-to-impose-and/" TargetMode="External"/><Relationship Id="rId3" Type="http://schemas.openxmlformats.org/officeDocument/2006/relationships/hyperlink" Target="https://www.cbp.gov/trade/programs-administration/trade-remedies/ieepa-duty-refunds" TargetMode="External"/><Relationship Id="rId4" Type="http://schemas.openxmlformats.org/officeDocument/2006/relationships/hyperlink" Target="https://www.federalregister.gov/documents/2026/06/24/2026-12670/indefinite-suspension-of-the-de-minimis-exemption-for-merchandise-arriving-through-all-modes-other" TargetMode="External"/><Relationship Id="rId5" Type="http://schemas.openxmlformats.org/officeDocument/2006/relationships/hyperlink" Target="https://www.federalregister.gov/documents/2025/12/01/2025-21671/notice-of-product-exclusion-extensions-chinas-acts-policies-and-practices-related-to-technology" TargetMode="External"/><Relationship Id="rId6" Type="http://schemas.openxmlformats.org/officeDocument/2006/relationships/hyperlink" Target="https://www.whitehouse.gov/wp-content/uploads/2026/09/Terms-of-Reference-for-30-for-30-Framework.pdf" TargetMode="External"/><Relationship Id="rId7" Type="http://schemas.openxmlformats.org/officeDocument/2006/relationships/hyperlink" Target="https://www.sunshinescm.com/news/customs-user-fees-fy2027.html" TargetMode="External"/><Relationship Id="rId8" Type="http://schemas.openxmlformats.org/officeDocument/2006/relationships/hyperlink" Target="https://borderless.us/guides/mpf-changes-october-1-2026" TargetMode="External"/><Relationship Id="rId9" Type="http://schemas.openxmlformats.org/officeDocument/2006/relationships/hyperlink" Target="https://gingercontrol.com/blog/merchandise-processing-fee-guide" TargetMode="External"/><Relationship Id="rId10" Type="http://schemas.openxmlformats.org/officeDocument/2006/relationships/hyperlink" Target="https://malakarconsulting.com/guides/mpf-hmf-customs-fees-explained.html" TargetMode="External"/><Relationship Id="rId11" Type="http://schemas.openxmlformats.org/officeDocument/2006/relationships/hyperlink" Target="https://www.honigman.com/alert-3462" TargetMode="External"/><Relationship Id="rId12" Type="http://schemas.openxmlformats.org/officeDocument/2006/relationships/hyperlink" Target="https://www.ghy.com/trade-compliance/us-adjusts-section-232-tariffs-on-aluminum-steel-and-copper-full-customs-value-now-applies/" TargetMode="External"/><Relationship Id="rId13" Type="http://schemas.openxmlformats.org/officeDocument/2006/relationships/hyperlink" Target="https://www.thompsonhinesmartrade.com/2026/01/president-trump-delays-section-232-tariff-increase-on-wood-furniture-cabinets-and-vanities/" TargetMode="External"/><Relationship Id="rId14" Type="http://schemas.openxmlformats.org/officeDocument/2006/relationships/hyperlink" Target="https://www.ghy.com/trade-compliance/us-tariffs-lumber-upholstered-furniture-cabinets-vanities/" TargetMode="External"/><Relationship Id="rId15" Type="http://schemas.openxmlformats.org/officeDocument/2006/relationships/hyperlink" Target="https://zonos.com/docs/guides/country-guides/united-states/section-338-canada-tariffs" TargetMode="External"/><Relationship Id="rId16" Type="http://schemas.openxmlformats.org/officeDocument/2006/relationships/hyperlink" Target="https://www.everycrsreport.com/reports/R49349.html" TargetMode="External"/><Relationship Id="rId17" Type="http://schemas.openxmlformats.org/officeDocument/2006/relationships/hyperlink" Target="https://www.whitecase.com/insight-alert/usmca-2026-joint-review-united-states-declines-extend-agreement-triggering-annual" TargetMode="External"/><Relationship Id="rId18" Type="http://schemas.openxmlformats.org/officeDocument/2006/relationships/hyperlink" Target="https://www.skadden.com/insights/publications/2026/05/us-trade-court-strikes-down-section-122-tariffs" TargetMode="External"/><Relationship Id="rId19" Type="http://schemas.openxmlformats.org/officeDocument/2006/relationships/hyperlink" Target="https://www.hklaw.com/en/insights/publications/2026/04/cape-has-arrived-navigating-the-next-phase-of-ieepa-duty-refunds" TargetMode="External"/><Relationship Id="rId20" Type="http://schemas.openxmlformats.org/officeDocument/2006/relationships/hyperlink" Target="https://www.drewry.co.uk/supply-chain-advisors/supply-chain-expertise/world-container-index-assessed-by-drewry" TargetMode="External"/><Relationship Id="rId21" Type="http://schemas.openxmlformats.org/officeDocument/2006/relationships/hyperlink" Target="https://www.whitecase.com/insight-alert/ustr-initiates-section-301-investigations-16-us-trade-partners-targeting-industrial" TargetMode="External"/><Relationship Id="rId22" Type="http://schemas.openxmlformats.org/officeDocument/2006/relationships/hyperlink" Target="https://www.thompsonhinesmartrade.com/2026/05/ustr-launches-section-301-investigation-into-vietnams-acts-policies-and-practices-related-to-intellectual-property/" TargetMode="External"/><Relationship Id="rId23" Type="http://schemas.openxmlformats.org/officeDocument/2006/relationships/hyperlink" Target="https://www.govinfo.gov/content/pkg/FR-1999-08-03/html/99-19807.htm" TargetMode="External"/><Relationship Id="rId24" Type="http://schemas.openxmlformats.org/officeDocument/2006/relationships/hyperlink" Target="https://hts.usitc.gov/" TargetMode="External"/><Relationship Id="rId25" Type="http://schemas.openxmlformats.org/officeDocument/2006/relationships/hyperlink" Target="https://www.alvarezandmarsal.com/thought-leadership/uscit-upholds-ieepa-suspension-of-de-minimis-treatment-in-axle-of-dearborn" TargetMode="External"/><Relationship Id="rId26" Type="http://schemas.openxmlformats.org/officeDocument/2006/relationships/hyperlink" Target="https://www.cnn.com/2026/09/28/business/us-china-tariff-cuts-60-billion-intl" TargetMode="External"/><Relationship Id="rId27" Type="http://schemas.openxmlformats.org/officeDocument/2006/relationships/hyperlink" Target="https://www.cbp.gov/sites/default/files/assets/documents/2024-Feb/Summary%20of%20Changes%20from%201991%20Directive%20to%202024%20Public%20Guidance.pdf" TargetMode="External"/><Relationship Id="rId28" Type="http://schemas.openxmlformats.org/officeDocument/2006/relationships/hyperlink" Target="https://www.fennemorelaw.com/new-u-s-tariffs-replace-expiring-section-122-tariffs/" TargetMode="External"/><Relationship Id="rId29" Type="http://schemas.openxmlformats.org/officeDocument/2006/relationships/hyperlink" Target="https://www.thompsonhinesmartrade.com/2026/06/president-trump-modifies-section-232-tariffs-on-aluminum-copper-and-steel-imports/" TargetMode="External"/><Relationship Id="rId30" Type="http://schemas.openxmlformats.org/officeDocument/2006/relationships/hyperlink" Target="https://go-wsi.com/announcements/us-cbp-guidance-on-the-section-301-forced-labor-import-duties"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4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
    <col collapsed="false" customWidth="true" hidden="false" outlineLevel="0" max="3" min="3" style="0" width="30"/>
    <col collapsed="false" customWidth="true" hidden="false" outlineLevel="0" max="4" min="4" style="0" width="80"/>
    <col collapsed="false" customWidth="true" hidden="false" outlineLevel="0" max="5" min="5" style="0" width="4"/>
  </cols>
  <sheetData>
    <row r="1" customFormat="false" ht="15" hidden="false" customHeight="false" outlineLevel="0" collapsed="false">
      <c r="B1" s="1"/>
      <c r="C1" s="1"/>
      <c r="D1" s="1"/>
      <c r="E1" s="1"/>
    </row>
    <row r="2" customFormat="false" ht="15" hidden="false" customHeight="false" outlineLevel="0" collapsed="false">
      <c r="B2" s="1"/>
      <c r="C2" s="2" t="s">
        <v>0</v>
      </c>
      <c r="D2" s="1"/>
      <c r="E2" s="1"/>
    </row>
    <row r="3" customFormat="false" ht="31.5" hidden="false" customHeight="true" outlineLevel="0" collapsed="false">
      <c r="B3" s="1"/>
      <c r="C3" s="3" t="s">
        <v>1</v>
      </c>
      <c r="D3" s="1"/>
      <c r="E3" s="1"/>
    </row>
    <row r="4" customFormat="false" ht="15" hidden="false" customHeight="false" outlineLevel="0" collapsed="false">
      <c r="B4" s="1"/>
      <c r="C4" s="4" t="s">
        <v>2</v>
      </c>
      <c r="D4" s="1"/>
      <c r="E4" s="1"/>
    </row>
    <row r="5" customFormat="false" ht="15" hidden="false" customHeight="false" outlineLevel="0" collapsed="false">
      <c r="B5" s="1"/>
      <c r="C5" s="1"/>
      <c r="D5" s="1"/>
      <c r="E5" s="1"/>
    </row>
    <row r="6" customFormat="false" ht="15" hidden="false" customHeight="false" outlineLevel="0" collapsed="false">
      <c r="B6" s="1"/>
      <c r="C6" s="5" t="str">
        <f aca="false">"Rates last verified: "&amp;TEXT(Verified,"mmmm d, yyyy")</f>
        <v>Rates last verified: September 28, 2026</v>
      </c>
      <c r="D6" s="1"/>
      <c r="E6" s="1"/>
    </row>
    <row r="7" customFormat="false" ht="15" hidden="false" customHeight="false" outlineLevel="0" collapsed="false">
      <c r="B7" s="1"/>
      <c r="C7" s="1"/>
      <c r="D7" s="1"/>
      <c r="E7" s="1"/>
    </row>
    <row r="9" customFormat="false" ht="19.5" hidden="false" customHeight="true" outlineLevel="0" collapsed="false">
      <c r="C9" s="6" t="s">
        <v>3</v>
      </c>
      <c r="D9" s="7"/>
    </row>
    <row r="10" customFormat="false" ht="43.5" hidden="false" customHeight="true" outlineLevel="0" collapsed="false">
      <c r="C10" s="8" t="s">
        <v>4</v>
      </c>
      <c r="D10" s="8"/>
    </row>
    <row r="12" customFormat="false" ht="19.5" hidden="false" customHeight="true" outlineLevel="0" collapsed="false">
      <c r="C12" s="6" t="s">
        <v>5</v>
      </c>
      <c r="D12" s="7"/>
    </row>
    <row r="13" customFormat="false" ht="30" hidden="false" customHeight="true" outlineLevel="0" collapsed="false">
      <c r="C13" s="9" t="s">
        <v>6</v>
      </c>
      <c r="D13" s="10" t="s">
        <v>7</v>
      </c>
    </row>
    <row r="14" customFormat="false" ht="30" hidden="false" customHeight="true" outlineLevel="0" collapsed="false">
      <c r="C14" s="9" t="s">
        <v>8</v>
      </c>
      <c r="D14" s="10" t="s">
        <v>9</v>
      </c>
    </row>
    <row r="15" customFormat="false" ht="30" hidden="false" customHeight="true" outlineLevel="0" collapsed="false">
      <c r="C15" s="9" t="s">
        <v>10</v>
      </c>
      <c r="D15" s="10" t="s">
        <v>11</v>
      </c>
    </row>
    <row r="16" customFormat="false" ht="30" hidden="false" customHeight="true" outlineLevel="0" collapsed="false">
      <c r="C16" s="9" t="s">
        <v>12</v>
      </c>
      <c r="D16" s="10" t="s">
        <v>13</v>
      </c>
    </row>
    <row r="17" customFormat="false" ht="30" hidden="false" customHeight="true" outlineLevel="0" collapsed="false">
      <c r="C17" s="9" t="s">
        <v>14</v>
      </c>
      <c r="D17" s="10" t="s">
        <v>15</v>
      </c>
    </row>
    <row r="19" customFormat="false" ht="19.5" hidden="false" customHeight="true" outlineLevel="0" collapsed="false">
      <c r="C19" s="6" t="s">
        <v>16</v>
      </c>
      <c r="D19" s="7"/>
    </row>
    <row r="20" customFormat="false" ht="30" hidden="false" customHeight="true" outlineLevel="0" collapsed="false">
      <c r="C20" s="11" t="s">
        <v>17</v>
      </c>
      <c r="D20" s="10" t="s">
        <v>18</v>
      </c>
    </row>
    <row r="21" customFormat="false" ht="30" hidden="false" customHeight="true" outlineLevel="0" collapsed="false">
      <c r="C21" s="11" t="s">
        <v>19</v>
      </c>
      <c r="D21" s="10" t="s">
        <v>20</v>
      </c>
    </row>
    <row r="22" customFormat="false" ht="30" hidden="false" customHeight="true" outlineLevel="0" collapsed="false">
      <c r="C22" s="11" t="s">
        <v>21</v>
      </c>
      <c r="D22" s="10" t="s">
        <v>22</v>
      </c>
    </row>
    <row r="23" customFormat="false" ht="30" hidden="false" customHeight="true" outlineLevel="0" collapsed="false">
      <c r="C23" s="11" t="s">
        <v>23</v>
      </c>
      <c r="D23" s="10" t="s">
        <v>24</v>
      </c>
    </row>
    <row r="24" customFormat="false" ht="30" hidden="false" customHeight="true" outlineLevel="0" collapsed="false">
      <c r="C24" s="11" t="s">
        <v>25</v>
      </c>
      <c r="D24" s="10" t="s">
        <v>26</v>
      </c>
    </row>
    <row r="25" customFormat="false" ht="30" hidden="false" customHeight="true" outlineLevel="0" collapsed="false">
      <c r="C25" s="11" t="s">
        <v>27</v>
      </c>
      <c r="D25" s="10" t="s">
        <v>28</v>
      </c>
    </row>
    <row r="26" customFormat="false" ht="30" hidden="false" customHeight="true" outlineLevel="0" collapsed="false">
      <c r="C26" s="11" t="s">
        <v>29</v>
      </c>
      <c r="D26" s="10" t="s">
        <v>30</v>
      </c>
    </row>
    <row r="27" customFormat="false" ht="30" hidden="false" customHeight="true" outlineLevel="0" collapsed="false">
      <c r="C27" s="11" t="s">
        <v>31</v>
      </c>
      <c r="D27" s="10" t="s">
        <v>32</v>
      </c>
    </row>
    <row r="28" customFormat="false" ht="30" hidden="false" customHeight="true" outlineLevel="0" collapsed="false">
      <c r="C28" s="11" t="s">
        <v>33</v>
      </c>
      <c r="D28" s="10" t="s">
        <v>34</v>
      </c>
    </row>
    <row r="30" customFormat="false" ht="19.5" hidden="false" customHeight="true" outlineLevel="0" collapsed="false">
      <c r="C30" s="6" t="s">
        <v>35</v>
      </c>
      <c r="D30" s="7"/>
    </row>
    <row r="31" customFormat="false" ht="15" hidden="false" customHeight="false" outlineLevel="0" collapsed="false">
      <c r="C31" s="12" t="s">
        <v>36</v>
      </c>
      <c r="D31" s="10" t="s">
        <v>37</v>
      </c>
    </row>
    <row r="32" customFormat="false" ht="30" hidden="false" customHeight="true" outlineLevel="0" collapsed="false">
      <c r="C32" s="13" t="s">
        <v>38</v>
      </c>
      <c r="D32" s="10" t="s">
        <v>39</v>
      </c>
    </row>
    <row r="34" customFormat="false" ht="19.5" hidden="false" customHeight="true" outlineLevel="0" collapsed="false">
      <c r="C34" s="6" t="s">
        <v>40</v>
      </c>
      <c r="D34" s="7"/>
    </row>
    <row r="35" customFormat="false" ht="30" hidden="false" customHeight="true" outlineLevel="0" collapsed="false">
      <c r="C35" s="9" t="s">
        <v>41</v>
      </c>
      <c r="D35" s="10" t="s">
        <v>42</v>
      </c>
    </row>
    <row r="36" customFormat="false" ht="30" hidden="false" customHeight="true" outlineLevel="0" collapsed="false">
      <c r="C36" s="9" t="s">
        <v>43</v>
      </c>
      <c r="D36" s="10" t="s">
        <v>44</v>
      </c>
    </row>
    <row r="37" customFormat="false" ht="42" hidden="false" customHeight="true" outlineLevel="0" collapsed="false">
      <c r="C37" s="9" t="s">
        <v>45</v>
      </c>
      <c r="D37" s="10" t="s">
        <v>46</v>
      </c>
    </row>
    <row r="38" customFormat="false" ht="30" hidden="false" customHeight="true" outlineLevel="0" collapsed="false">
      <c r="C38" s="9" t="s">
        <v>47</v>
      </c>
      <c r="D38" s="10" t="s">
        <v>48</v>
      </c>
    </row>
    <row r="39" customFormat="false" ht="30" hidden="false" customHeight="true" outlineLevel="0" collapsed="false">
      <c r="C39" s="9" t="s">
        <v>49</v>
      </c>
      <c r="D39" s="10" t="s">
        <v>50</v>
      </c>
    </row>
    <row r="40" customFormat="false" ht="30" hidden="false" customHeight="true" outlineLevel="0" collapsed="false">
      <c r="C40" s="9" t="s">
        <v>51</v>
      </c>
      <c r="D40" s="10" t="s">
        <v>52</v>
      </c>
    </row>
    <row r="42" customFormat="false" ht="19.5" hidden="false" customHeight="true" outlineLevel="0" collapsed="false">
      <c r="C42" s="6" t="s">
        <v>53</v>
      </c>
      <c r="D42" s="7"/>
    </row>
    <row r="43" customFormat="false" ht="69.75" hidden="false" customHeight="true" outlineLevel="0" collapsed="false">
      <c r="C43" s="14" t="s">
        <v>54</v>
      </c>
      <c r="D43" s="14"/>
    </row>
    <row r="45" customFormat="false" ht="15" hidden="false" customHeight="false" outlineLevel="0" collapsed="false">
      <c r="B45" s="15"/>
      <c r="C45" s="15"/>
      <c r="D45" s="15"/>
      <c r="E45" s="15"/>
    </row>
    <row r="46" customFormat="false" ht="16.15" hidden="false" customHeight="false" outlineLevel="0" collapsed="false">
      <c r="B46" s="15"/>
      <c r="C46" s="16" t="s">
        <v>55</v>
      </c>
      <c r="D46" s="15"/>
      <c r="E46" s="15"/>
    </row>
    <row r="47" customFormat="false" ht="15" hidden="false" customHeight="false" outlineLevel="0" collapsed="false">
      <c r="B47" s="15"/>
      <c r="C47" s="17" t="s">
        <v>56</v>
      </c>
      <c r="D47" s="17"/>
      <c r="E47" s="15"/>
    </row>
    <row r="48" customFormat="false" ht="15" hidden="false" customHeight="false" outlineLevel="0" collapsed="false">
      <c r="B48" s="15"/>
      <c r="C48" s="15"/>
      <c r="D48" s="15"/>
      <c r="E48" s="15"/>
    </row>
  </sheetData>
  <sheetProtection sheet="true" formatColumns="false" formatRows="false"/>
  <mergeCells count="3">
    <mergeCell ref="C10:D10"/>
    <mergeCell ref="C43:D43"/>
    <mergeCell ref="C47:D47"/>
  </mergeCells>
  <printOptions headings="false" gridLines="false" gridLinesSet="true" horizontalCentered="true" verticalCentered="false"/>
  <pageMargins left="0.4" right="0.4"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3" min="3" style="0" width="30"/>
    <col collapsed="false" customWidth="true" hidden="false" outlineLevel="0" max="4" min="4" style="0" width="40"/>
    <col collapsed="false" customWidth="true" hidden="false" outlineLevel="0" max="5" min="5" style="0" width="3"/>
    <col collapsed="false" customWidth="true" hidden="false" outlineLevel="0" max="6" min="6" style="0" width="40"/>
    <col collapsed="false" customWidth="true" hidden="false" outlineLevel="0" max="7" min="7" style="0" width="11"/>
    <col collapsed="false" customWidth="true" hidden="false" outlineLevel="0" max="8" min="8" style="0" width="15"/>
    <col collapsed="false" customWidth="true" hidden="false" outlineLevel="0" max="9" min="9" style="0" width="13"/>
    <col collapsed="false" customWidth="true" hidden="false" outlineLevel="0" max="10" min="10" style="0" width="3"/>
    <col collapsed="false" customWidth="true" hidden="true" outlineLevel="0" max="11" min="11" style="0" width="28"/>
    <col collapsed="false" customWidth="true" hidden="true" outlineLevel="0" max="12" min="12" style="0" width="14"/>
  </cols>
  <sheetData>
    <row r="1" customFormat="false" ht="33.75" hidden="false" customHeight="true" outlineLevel="0" collapsed="false">
      <c r="B1" s="18" t="s">
        <v>57</v>
      </c>
      <c r="C1" s="1"/>
      <c r="D1" s="1"/>
      <c r="E1" s="1"/>
      <c r="F1" s="1"/>
      <c r="G1" s="1"/>
      <c r="H1" s="1"/>
      <c r="I1" s="1"/>
    </row>
    <row r="2" customFormat="false" ht="19.5" hidden="false" customHeight="true" outlineLevel="0" collapsed="false">
      <c r="B2" s="19" t="s">
        <v>58</v>
      </c>
      <c r="C2" s="1"/>
      <c r="D2" s="1"/>
      <c r="E2" s="1"/>
      <c r="F2" s="1"/>
      <c r="G2" s="1"/>
      <c r="H2" s="1"/>
      <c r="I2" s="1"/>
    </row>
    <row r="4" customFormat="false" ht="19.5" hidden="false" customHeight="true" outlineLevel="0" collapsed="false">
      <c r="B4" s="6" t="s">
        <v>59</v>
      </c>
      <c r="C4" s="7"/>
      <c r="D4" s="7"/>
      <c r="F4" s="6" t="s">
        <v>60</v>
      </c>
      <c r="G4" s="7"/>
      <c r="H4" s="7"/>
      <c r="I4" s="7"/>
      <c r="K4" s="20" t="s">
        <v>61</v>
      </c>
    </row>
    <row r="5" customFormat="false" ht="19.5" hidden="false" customHeight="true" outlineLevel="0" collapsed="false">
      <c r="B5" s="10" t="s">
        <v>62</v>
      </c>
      <c r="C5" s="21" t="s">
        <v>63</v>
      </c>
      <c r="D5" s="22" t="s">
        <v>64</v>
      </c>
      <c r="F5" s="23" t="s">
        <v>65</v>
      </c>
      <c r="G5" s="24" t="s">
        <v>66</v>
      </c>
      <c r="H5" s="24" t="s">
        <v>67</v>
      </c>
      <c r="I5" s="24" t="s">
        <v>68</v>
      </c>
      <c r="K5" s="22" t="s">
        <v>69</v>
      </c>
      <c r="L5" s="25" t="str">
        <f aca="false">IFERROR(INDEX(CT_Method,MATCH(in_Origin,CT_Country,0)),"None")</f>
        <v>Additive</v>
      </c>
    </row>
    <row r="6" customFormat="false" ht="30" hidden="false" customHeight="true" outlineLevel="0" collapsed="false">
      <c r="B6" s="10" t="s">
        <v>70</v>
      </c>
      <c r="C6" s="21" t="s">
        <v>71</v>
      </c>
      <c r="D6" s="22" t="s">
        <v>72</v>
      </c>
      <c r="F6" s="10" t="s">
        <v>73</v>
      </c>
      <c r="H6" s="26" t="n">
        <f aca="false">in_Units*in_Price</f>
        <v>14750</v>
      </c>
      <c r="I6" s="27" t="n">
        <f aca="false">IFERROR(H6/in_Units,0)</f>
        <v>2.95</v>
      </c>
      <c r="K6" s="22" t="s">
        <v>74</v>
      </c>
      <c r="L6" s="28" t="n">
        <f aca="false">IFERROR(INDEX(CT_Rate,MATCH(in_Origin,CT_Country,0)),0)</f>
        <v>0.125</v>
      </c>
    </row>
    <row r="7" customFormat="false" ht="30" hidden="false" customHeight="true" outlineLevel="0" collapsed="false">
      <c r="B7" s="10" t="s">
        <v>75</v>
      </c>
      <c r="C7" s="21" t="s">
        <v>76</v>
      </c>
      <c r="D7" s="22" t="s">
        <v>77</v>
      </c>
      <c r="F7" s="10" t="s">
        <v>78</v>
      </c>
      <c r="H7" s="26" t="n">
        <f aca="false">H_Freight</f>
        <v>7838</v>
      </c>
      <c r="I7" s="27" t="n">
        <f aca="false">IFERROR(H7/in_Units,0)</f>
        <v>1.5676</v>
      </c>
      <c r="K7" s="22" t="s">
        <v>79</v>
      </c>
      <c r="L7" s="25" t="str">
        <f aca="false">IFERROR(INDEX(CT_USMCA,MATCH(in_Origin,CT_Country,0)),"No")</f>
        <v>No</v>
      </c>
    </row>
    <row r="8" customFormat="false" ht="30" hidden="false" customHeight="true" outlineLevel="0" collapsed="false">
      <c r="B8" s="10" t="s">
        <v>80</v>
      </c>
      <c r="C8" s="29" t="n">
        <v>46310</v>
      </c>
      <c r="D8" s="22" t="s">
        <v>81</v>
      </c>
      <c r="F8" s="10" t="s">
        <v>82</v>
      </c>
      <c r="H8" s="26" t="n">
        <f aca="false">H6*in_InsPct</f>
        <v>44.25</v>
      </c>
      <c r="I8" s="27" t="n">
        <f aca="false">IFERROR(H8/in_Units,0)</f>
        <v>0.00885</v>
      </c>
      <c r="K8" s="22" t="s">
        <v>83</v>
      </c>
      <c r="L8" s="28" t="n">
        <f aca="false">IFERROR(INDEX(CT_WhatIf,MATCH(in_Origin,CT_Country,0)),0)</f>
        <v>0</v>
      </c>
    </row>
    <row r="9" customFormat="false" ht="19.5" hidden="false" customHeight="true" outlineLevel="0" collapsed="false">
      <c r="B9" s="10" t="s">
        <v>84</v>
      </c>
      <c r="C9" s="30" t="n">
        <v>5000</v>
      </c>
      <c r="D9" s="22"/>
      <c r="F9" s="10" t="s">
        <v>85</v>
      </c>
      <c r="H9" s="26" t="n">
        <f aca="false">IF(in_CIF="Yes",-(H7+H8),0)</f>
        <v>0</v>
      </c>
      <c r="I9" s="27" t="n">
        <f aca="false">IFERROR(H9/in_Units,0)</f>
        <v>0</v>
      </c>
      <c r="K9" s="22" t="s">
        <v>86</v>
      </c>
      <c r="L9" s="28" t="n">
        <f aca="false">IFERROR(IF(in_Date&gt;Excl_Expiry,INDEX(C301_Post,MATCH(in_Ch301,C301_Opt,0)),INDEX(C301_Pre,MATCH(in_Ch301,C301_Opt,0))),0)</f>
        <v>0</v>
      </c>
    </row>
    <row r="10" customFormat="false" ht="19.5" hidden="false" customHeight="true" outlineLevel="0" collapsed="false">
      <c r="B10" s="10" t="s">
        <v>87</v>
      </c>
      <c r="C10" s="31" t="n">
        <v>2.95</v>
      </c>
      <c r="D10" s="22" t="s">
        <v>88</v>
      </c>
      <c r="F10" s="9" t="s">
        <v>89</v>
      </c>
      <c r="H10" s="32" t="n">
        <f aca="false">MAX(0,H6+H9)</f>
        <v>14750</v>
      </c>
      <c r="I10" s="33" t="n">
        <f aca="false">IFERROR(H10/in_Units,0)</f>
        <v>2.95</v>
      </c>
      <c r="K10" s="22" t="s">
        <v>90</v>
      </c>
      <c r="L10" s="28" t="n">
        <f aca="false">IFERROR(IF(in_Date&gt;=Wood_Step,INDEX(S232_2027,MATCH(in_S232,S232_Opt,0)),INDEX(S232_Now,MATCH(in_S232,S232_Opt,0))),0)</f>
        <v>0</v>
      </c>
    </row>
    <row r="11" customFormat="false" ht="30" hidden="false" customHeight="true" outlineLevel="0" collapsed="false">
      <c r="B11" s="10" t="s">
        <v>91</v>
      </c>
      <c r="C11" s="34" t="s">
        <v>92</v>
      </c>
      <c r="D11" s="22" t="s">
        <v>93</v>
      </c>
      <c r="K11" s="22" t="s">
        <v>94</v>
      </c>
      <c r="L11" s="35" t="b">
        <f aca="false">in_Origin="United States (domestic)"</f>
        <v>0</v>
      </c>
    </row>
    <row r="12" customFormat="false" ht="19.5" hidden="false" customHeight="true" outlineLevel="0" collapsed="false">
      <c r="B12" s="10" t="s">
        <v>95</v>
      </c>
      <c r="C12" s="34" t="s">
        <v>96</v>
      </c>
      <c r="D12" s="22" t="s">
        <v>97</v>
      </c>
      <c r="F12" s="11" t="s">
        <v>98</v>
      </c>
      <c r="K12" s="22" t="s">
        <v>99</v>
      </c>
      <c r="L12" s="35" t="b">
        <f aca="false">AND(in_FTA="Yes",H_USMCA="Yes")</f>
        <v>0</v>
      </c>
    </row>
    <row r="13" customFormat="false" ht="15" hidden="false" customHeight="false" outlineLevel="0" collapsed="false">
      <c r="F13" s="10" t="s">
        <v>100</v>
      </c>
      <c r="G13" s="36" t="n">
        <f aca="false">IF(H_IsUS,0,IF(in_FTA="Yes",in_FTARate,in_MFN))</f>
        <v>0</v>
      </c>
      <c r="H13" s="26" t="n">
        <f aca="false">H$10*G13</f>
        <v>0</v>
      </c>
      <c r="I13" s="27" t="n">
        <f aca="false">IFERROR(H13/in_Units,0)</f>
        <v>0</v>
      </c>
      <c r="K13" s="22" t="s">
        <v>101</v>
      </c>
      <c r="L13" s="37" t="n">
        <f aca="false">IF(in_Date&gt;=FY27_Start,MPF_Min_FY27,MPF_Min_FY26)</f>
        <v>34.58</v>
      </c>
    </row>
    <row r="14" customFormat="false" ht="19.5" hidden="false" customHeight="true" outlineLevel="0" collapsed="false">
      <c r="B14" s="6" t="s">
        <v>102</v>
      </c>
      <c r="C14" s="7"/>
      <c r="D14" s="7"/>
      <c r="F14" s="10" t="s">
        <v>43</v>
      </c>
      <c r="G14" s="36" t="n">
        <f aca="false">IF(in_Origin="China",H_Ch301Opt,0)</f>
        <v>0</v>
      </c>
      <c r="H14" s="26" t="n">
        <f aca="false">H$10*G14</f>
        <v>0</v>
      </c>
      <c r="I14" s="27" t="n">
        <f aca="false">IFERROR(H14/in_Units,0)</f>
        <v>0</v>
      </c>
      <c r="K14" s="22" t="s">
        <v>103</v>
      </c>
      <c r="L14" s="37" t="n">
        <f aca="false">IF(in_Date&gt;=FY27_Start,MPF_Max_FY27,MPF_Max_FY26)</f>
        <v>670.86</v>
      </c>
    </row>
    <row r="15" customFormat="false" ht="19.5" hidden="false" customHeight="true" outlineLevel="0" collapsed="false">
      <c r="B15" s="10" t="s">
        <v>104</v>
      </c>
      <c r="C15" s="38" t="n">
        <v>0</v>
      </c>
      <c r="D15" s="22" t="s">
        <v>105</v>
      </c>
      <c r="F15" s="10" t="s">
        <v>106</v>
      </c>
      <c r="G15" s="36" t="n">
        <f aca="false">IF(OR(H_IsUS,G16&gt;0,in_FLExempt="Yes",H_USMCAClaim),0,IF(H_Method="Additive",H_FLRate,IF(H_Method="Cap",MAX(0,H_FLRate-G13),0)))</f>
        <v>0.125</v>
      </c>
      <c r="H15" s="26" t="n">
        <f aca="false">H$10*G15</f>
        <v>1843.75</v>
      </c>
      <c r="I15" s="27" t="n">
        <f aca="false">IFERROR(H15/in_Units,0)</f>
        <v>0.36875</v>
      </c>
      <c r="K15" s="22" t="s">
        <v>107</v>
      </c>
      <c r="L15" s="37" t="n">
        <f aca="false">IF(in_Date&gt;=FY27_Start,MPF_Inf_FY27,MPF_Inf_FY26)</f>
        <v>2.77</v>
      </c>
    </row>
    <row r="16" customFormat="false" ht="19.5" hidden="false" customHeight="true" outlineLevel="0" collapsed="false">
      <c r="B16" s="10" t="s">
        <v>108</v>
      </c>
      <c r="C16" s="34" t="s">
        <v>92</v>
      </c>
      <c r="D16" s="22" t="s">
        <v>109</v>
      </c>
      <c r="F16" s="10" t="s">
        <v>47</v>
      </c>
      <c r="G16" s="36" t="n">
        <f aca="false">IF(H_IsUS,0,H_S232)</f>
        <v>0</v>
      </c>
      <c r="H16" s="26" t="n">
        <f aca="false">H$10*G16</f>
        <v>0</v>
      </c>
      <c r="I16" s="27" t="n">
        <f aca="false">IFERROR(H16/in_Units,0)</f>
        <v>0</v>
      </c>
      <c r="K16" s="22" t="s">
        <v>110</v>
      </c>
      <c r="L16" s="39" t="n">
        <f aca="false">IFERROR(IF(in_Coast="East",INDEX(FR_East,MATCH(in_Container,FR_Cont,0)),INDEX(FR_West,MATCH(in_Container,FR_Cont,0))),0)</f>
        <v>7838</v>
      </c>
    </row>
    <row r="17" customFormat="false" ht="19.5" hidden="false" customHeight="true" outlineLevel="0" collapsed="false">
      <c r="B17" s="10" t="s">
        <v>111</v>
      </c>
      <c r="C17" s="38" t="n">
        <v>0</v>
      </c>
      <c r="D17" s="22" t="s">
        <v>112</v>
      </c>
      <c r="F17" s="10" t="s">
        <v>113</v>
      </c>
      <c r="G17" s="36" t="n">
        <f aca="false">IF(AND(in_Origin="Canada",in_S338="Yes",G16=0),S338_Rate,0)</f>
        <v>0</v>
      </c>
      <c r="H17" s="26" t="n">
        <f aca="false">H$10*G17</f>
        <v>0</v>
      </c>
      <c r="I17" s="27" t="n">
        <f aca="false">IFERROR(H17/in_Units,0)</f>
        <v>0</v>
      </c>
      <c r="K17" s="22" t="s">
        <v>114</v>
      </c>
      <c r="L17" s="39" t="n">
        <f aca="false">IF(ISNUMBER(in_FreightQuote),in_FreightQuote,H_RefFreight*in_NumCont)</f>
        <v>7838</v>
      </c>
    </row>
    <row r="18" customFormat="false" ht="19.5" hidden="false" customHeight="true" outlineLevel="0" collapsed="false">
      <c r="B18" s="10" t="s">
        <v>115</v>
      </c>
      <c r="C18" s="21" t="s">
        <v>116</v>
      </c>
      <c r="D18" s="22" t="s">
        <v>117</v>
      </c>
      <c r="F18" s="10" t="s">
        <v>118</v>
      </c>
      <c r="G18" s="36" t="n">
        <f aca="false">IF(H_IsUS,0,in_ADCVD)</f>
        <v>0</v>
      </c>
      <c r="H18" s="26" t="n">
        <f aca="false">H$10*G18</f>
        <v>0</v>
      </c>
      <c r="I18" s="27" t="n">
        <f aca="false">IFERROR(H18/in_Units,0)</f>
        <v>0</v>
      </c>
      <c r="K18" s="22" t="s">
        <v>119</v>
      </c>
      <c r="L18" s="35" t="b">
        <f aca="false">AND(NOT(ISNUMBER(in_FreightQuote)),OR(NOT(ISNUMBER(H_RefFreight)),H_RefFreight=0))</f>
        <v>0</v>
      </c>
    </row>
    <row r="19" customFormat="false" ht="19.5" hidden="false" customHeight="true" outlineLevel="0" collapsed="false">
      <c r="B19" s="10" t="s">
        <v>120</v>
      </c>
      <c r="C19" s="38" t="n">
        <v>0</v>
      </c>
      <c r="D19" s="22"/>
      <c r="F19" s="10" t="s">
        <v>121</v>
      </c>
      <c r="G19" s="36" t="n">
        <f aca="false">IF(AND(in_WhatIf="Yes",NOT(H_IsUS)),H_WhatIfRate,0)</f>
        <v>0</v>
      </c>
      <c r="H19" s="26" t="n">
        <f aca="false">H$10*G19</f>
        <v>0</v>
      </c>
      <c r="I19" s="27" t="n">
        <f aca="false">IFERROR(H19/in_Units,0)</f>
        <v>0</v>
      </c>
    </row>
    <row r="20" customFormat="false" ht="19.5" hidden="false" customHeight="true" outlineLevel="0" collapsed="false">
      <c r="B20" s="10" t="s">
        <v>122</v>
      </c>
      <c r="C20" s="21" t="s">
        <v>123</v>
      </c>
      <c r="D20" s="22" t="s">
        <v>124</v>
      </c>
      <c r="F20" s="9" t="s">
        <v>125</v>
      </c>
      <c r="G20" s="40" t="n">
        <f aca="false">IFERROR(H20/H10,0)</f>
        <v>0.125</v>
      </c>
      <c r="H20" s="32" t="n">
        <f aca="false">MAX(0,SUM(H13:H19))</f>
        <v>1843.75</v>
      </c>
      <c r="I20" s="33" t="n">
        <f aca="false">IFERROR(H20/in_Units,0)</f>
        <v>0.36875</v>
      </c>
    </row>
    <row r="21" customFormat="false" ht="19.5" hidden="false" customHeight="true" outlineLevel="0" collapsed="false">
      <c r="B21" s="10" t="s">
        <v>126</v>
      </c>
      <c r="C21" s="38" t="n">
        <v>0</v>
      </c>
      <c r="D21" s="22"/>
    </row>
    <row r="22" customFormat="false" ht="30" hidden="false" customHeight="true" outlineLevel="0" collapsed="false">
      <c r="B22" s="10" t="s">
        <v>127</v>
      </c>
      <c r="C22" s="34" t="s">
        <v>92</v>
      </c>
      <c r="D22" s="22" t="s">
        <v>128</v>
      </c>
      <c r="F22" s="11" t="s">
        <v>129</v>
      </c>
    </row>
    <row r="23" customFormat="false" ht="19.5" hidden="false" customHeight="true" outlineLevel="0" collapsed="false">
      <c r="B23" s="10" t="s">
        <v>130</v>
      </c>
      <c r="C23" s="34" t="s">
        <v>92</v>
      </c>
      <c r="D23" s="22" t="s">
        <v>131</v>
      </c>
      <c r="F23" s="10" t="s">
        <v>132</v>
      </c>
      <c r="H23" s="41" t="n">
        <f aca="false">IF(OR(H_IsUS,H_USMCAClaim,H10=0),0,IF(H10&lt;Formal_Thr,H_MPFInf,MIN(MAX(H10*MPF_Rate,H_MPFMin),H_MPFMax)))</f>
        <v>51.094</v>
      </c>
      <c r="I23" s="27" t="n">
        <f aca="false">IFERROR(H23/in_Units,0)</f>
        <v>0.0102188</v>
      </c>
    </row>
    <row r="24" customFormat="false" ht="19.5" hidden="false" customHeight="true" outlineLevel="0" collapsed="false">
      <c r="B24" s="10" t="s">
        <v>133</v>
      </c>
      <c r="C24" s="38" t="n">
        <v>0</v>
      </c>
      <c r="D24" s="22" t="s">
        <v>134</v>
      </c>
      <c r="F24" s="10" t="s">
        <v>135</v>
      </c>
      <c r="H24" s="41" t="n">
        <f aca="false">IF(AND(NOT(H_IsUS),in_Mode="Ocean"),H10*HMF_Rate,0)</f>
        <v>18.4375</v>
      </c>
      <c r="I24" s="27" t="n">
        <f aca="false">IFERROR(H24/in_Units,0)</f>
        <v>0.0036875</v>
      </c>
    </row>
    <row r="25" customFormat="false" ht="19.5" hidden="false" customHeight="true" outlineLevel="0" collapsed="false">
      <c r="B25" s="10" t="s">
        <v>136</v>
      </c>
      <c r="C25" s="38" t="n">
        <v>0</v>
      </c>
      <c r="D25" s="22" t="s">
        <v>137</v>
      </c>
      <c r="F25" s="9" t="s">
        <v>138</v>
      </c>
      <c r="G25" s="40" t="n">
        <f aca="false">IFERROR(H25/H10,0)</f>
        <v>0.129714</v>
      </c>
      <c r="H25" s="32" t="n">
        <f aca="false">H20+H23+H24</f>
        <v>1913.2815</v>
      </c>
      <c r="I25" s="33" t="n">
        <f aca="false">IFERROR(H25/in_Units,0)</f>
        <v>0.3826563</v>
      </c>
    </row>
    <row r="26" customFormat="false" ht="19.5" hidden="false" customHeight="true" outlineLevel="0" collapsed="false">
      <c r="B26" s="10" t="s">
        <v>139</v>
      </c>
      <c r="C26" s="34" t="s">
        <v>92</v>
      </c>
      <c r="D26" s="22" t="s">
        <v>140</v>
      </c>
    </row>
    <row r="27" customFormat="false" ht="15" hidden="false" customHeight="false" outlineLevel="0" collapsed="false">
      <c r="F27" s="11" t="s">
        <v>141</v>
      </c>
    </row>
    <row r="28" customFormat="false" ht="19.5" hidden="false" customHeight="true" outlineLevel="0" collapsed="false">
      <c r="B28" s="6" t="s">
        <v>142</v>
      </c>
      <c r="C28" s="7"/>
      <c r="D28" s="7"/>
      <c r="F28" s="10" t="s">
        <v>143</v>
      </c>
      <c r="H28" s="26" t="n">
        <f aca="false">IF(in_CIF="Yes",0,H7+H8)</f>
        <v>7882.25</v>
      </c>
      <c r="I28" s="27" t="n">
        <f aca="false">IFERROR(H28/in_Units,0)</f>
        <v>1.57645</v>
      </c>
    </row>
    <row r="29" customFormat="false" ht="19.5" hidden="false" customHeight="true" outlineLevel="0" collapsed="false">
      <c r="B29" s="10" t="s">
        <v>144</v>
      </c>
      <c r="C29" s="34" t="s">
        <v>145</v>
      </c>
      <c r="D29" s="22"/>
      <c r="F29" s="10" t="s">
        <v>146</v>
      </c>
      <c r="H29" s="26" t="n">
        <f aca="false">IF(H_IsUS,0,in_Broker+in_Bond+IF(in_Mode="Ocean",in_ISF,0))</f>
        <v>285</v>
      </c>
      <c r="I29" s="27" t="n">
        <f aca="false">IFERROR(H29/in_Units,0)</f>
        <v>0.057</v>
      </c>
    </row>
    <row r="30" customFormat="false" ht="19.5" hidden="false" customHeight="true" outlineLevel="0" collapsed="false">
      <c r="B30" s="10" t="s">
        <v>147</v>
      </c>
      <c r="C30" s="30" t="n">
        <v>1</v>
      </c>
      <c r="D30" s="22" t="s">
        <v>148</v>
      </c>
      <c r="F30" s="10" t="s">
        <v>149</v>
      </c>
      <c r="H30" s="26" t="n">
        <f aca="false">in_Dray+in_Inland+in_Whse</f>
        <v>1300</v>
      </c>
      <c r="I30" s="27" t="n">
        <f aca="false">IFERROR(H30/in_Units,0)</f>
        <v>0.26</v>
      </c>
    </row>
    <row r="31" customFormat="false" ht="19.5" hidden="false" customHeight="true" outlineLevel="0" collapsed="false">
      <c r="B31" s="10" t="s">
        <v>150</v>
      </c>
      <c r="C31" s="34" t="s">
        <v>151</v>
      </c>
      <c r="D31" s="22"/>
      <c r="F31" s="10" t="s">
        <v>152</v>
      </c>
      <c r="H31" s="26" t="n">
        <f aca="false">in_Testing+in_Other</f>
        <v>1200</v>
      </c>
      <c r="I31" s="27" t="n">
        <f aca="false">IFERROR(H31/in_Units,0)</f>
        <v>0.24</v>
      </c>
    </row>
    <row r="32" customFormat="false" ht="19.5" hidden="false" customHeight="true" outlineLevel="0" collapsed="false">
      <c r="B32" s="10" t="s">
        <v>153</v>
      </c>
      <c r="C32" s="42"/>
      <c r="D32" s="22" t="s">
        <v>154</v>
      </c>
    </row>
    <row r="33" customFormat="false" ht="21.75" hidden="false" customHeight="true" outlineLevel="0" collapsed="false">
      <c r="B33" s="10" t="s">
        <v>155</v>
      </c>
      <c r="C33" s="43" t="n">
        <v>0.003</v>
      </c>
      <c r="D33" s="22" t="s">
        <v>156</v>
      </c>
      <c r="F33" s="44" t="s">
        <v>157</v>
      </c>
      <c r="H33" s="45" t="n">
        <f aca="false">H6+H25+SUM(H28:H31)</f>
        <v>27330.5315</v>
      </c>
      <c r="I33" s="46" t="n">
        <f aca="false">IFERROR(H33/in_Units,0)</f>
        <v>5.4661063</v>
      </c>
    </row>
    <row r="34" customFormat="false" ht="27.75" hidden="false" customHeight="true" outlineLevel="0" collapsed="false">
      <c r="B34" s="10" t="s">
        <v>158</v>
      </c>
      <c r="C34" s="42" t="n">
        <v>175</v>
      </c>
      <c r="D34" s="22" t="s">
        <v>159</v>
      </c>
      <c r="F34" s="47" t="s">
        <v>160</v>
      </c>
      <c r="H34" s="48" t="n">
        <f aca="false">IFERROR(H33/in_Units,0)</f>
        <v>5.4661063</v>
      </c>
      <c r="I34" s="48"/>
    </row>
    <row r="35" customFormat="false" ht="19.5" hidden="false" customHeight="true" outlineLevel="0" collapsed="false">
      <c r="B35" s="10" t="s">
        <v>161</v>
      </c>
      <c r="C35" s="42" t="n">
        <v>35</v>
      </c>
      <c r="D35" s="22" t="s">
        <v>162</v>
      </c>
      <c r="F35" s="10" t="s">
        <v>163</v>
      </c>
      <c r="H35" s="36" t="n">
        <f aca="false">IFERROR(H25/H6,0)</f>
        <v>0.129714</v>
      </c>
    </row>
    <row r="36" customFormat="false" ht="30" hidden="false" customHeight="true" outlineLevel="0" collapsed="false">
      <c r="B36" s="10" t="s">
        <v>164</v>
      </c>
      <c r="C36" s="42" t="n">
        <v>75</v>
      </c>
      <c r="D36" s="22" t="s">
        <v>165</v>
      </c>
      <c r="F36" s="10" t="s">
        <v>166</v>
      </c>
      <c r="H36" s="36" t="n">
        <f aca="false">IFERROR(H34/in_Price-1,0)</f>
        <v>0.852917389830508</v>
      </c>
    </row>
    <row r="37" customFormat="false" ht="19.5" hidden="false" customHeight="true" outlineLevel="0" collapsed="false">
      <c r="B37" s="10" t="s">
        <v>167</v>
      </c>
      <c r="C37" s="42" t="n">
        <v>900</v>
      </c>
      <c r="D37" s="22" t="s">
        <v>162</v>
      </c>
    </row>
    <row r="38" customFormat="false" ht="19.5" hidden="false" customHeight="true" outlineLevel="0" collapsed="false">
      <c r="B38" s="10" t="s">
        <v>168</v>
      </c>
      <c r="C38" s="42" t="n">
        <v>0</v>
      </c>
      <c r="D38" s="22"/>
      <c r="F38" s="11" t="s">
        <v>169</v>
      </c>
    </row>
    <row r="39" customFormat="false" ht="19.5" hidden="false" customHeight="true" outlineLevel="0" collapsed="false">
      <c r="B39" s="10" t="s">
        <v>170</v>
      </c>
      <c r="C39" s="42" t="n">
        <v>400</v>
      </c>
      <c r="D39" s="22" t="s">
        <v>162</v>
      </c>
      <c r="F39" s="10" t="s">
        <v>171</v>
      </c>
      <c r="H39" s="49" t="n">
        <f aca="false">IFERROR(H34/(1-in_TargetMargin),0)</f>
        <v>10.9322126</v>
      </c>
    </row>
    <row r="40" customFormat="false" ht="30" hidden="false" customHeight="true" outlineLevel="0" collapsed="false">
      <c r="B40" s="10" t="s">
        <v>172</v>
      </c>
      <c r="C40" s="42" t="n">
        <v>1200</v>
      </c>
      <c r="D40" s="22" t="s">
        <v>173</v>
      </c>
      <c r="F40" s="10" t="s">
        <v>174</v>
      </c>
      <c r="H40" s="41" t="n">
        <f aca="false">IFERROR(H39/(1-in_RetailMargin),0)</f>
        <v>21.8644252</v>
      </c>
    </row>
    <row r="41" customFormat="false" ht="19.5" hidden="false" customHeight="true" outlineLevel="0" collapsed="false">
      <c r="B41" s="10" t="s">
        <v>175</v>
      </c>
      <c r="C41" s="42" t="n">
        <v>0</v>
      </c>
      <c r="D41" s="22"/>
      <c r="F41" s="10" t="s">
        <v>176</v>
      </c>
      <c r="H41" s="41" t="n">
        <f aca="false">in_PlannedPrice-H34</f>
        <v>2.5238937</v>
      </c>
    </row>
    <row r="42" customFormat="false" ht="15" hidden="false" customHeight="false" outlineLevel="0" collapsed="false">
      <c r="F42" s="10" t="s">
        <v>177</v>
      </c>
      <c r="H42" s="40" t="n">
        <f aca="false">IFERROR(H41/in_PlannedPrice,0)</f>
        <v>0.31588156445557</v>
      </c>
    </row>
    <row r="43" customFormat="false" ht="19.5" hidden="false" customHeight="true" outlineLevel="0" collapsed="false">
      <c r="B43" s="6" t="s">
        <v>178</v>
      </c>
      <c r="C43" s="7"/>
      <c r="D43" s="7"/>
      <c r="F43" s="10" t="s">
        <v>179</v>
      </c>
      <c r="H43" s="26" t="n">
        <f aca="false">H41*in_Units</f>
        <v>12619.4685</v>
      </c>
    </row>
    <row r="44" customFormat="false" ht="19.5" hidden="false" customHeight="true" outlineLevel="0" collapsed="false">
      <c r="B44" s="10" t="s">
        <v>180</v>
      </c>
      <c r="C44" s="38" t="n">
        <v>0.5</v>
      </c>
      <c r="D44" s="22" t="s">
        <v>181</v>
      </c>
      <c r="F44" s="10" t="s">
        <v>182</v>
      </c>
      <c r="H44" s="41" t="n">
        <f aca="false">IFERROR(in_PlannedPrice/(1-in_RetailMargin),0)</f>
        <v>15.98</v>
      </c>
    </row>
    <row r="45" customFormat="false" ht="19.5" hidden="false" customHeight="true" outlineLevel="0" collapsed="false">
      <c r="B45" s="10" t="s">
        <v>183</v>
      </c>
      <c r="C45" s="31" t="n">
        <v>7.99</v>
      </c>
      <c r="D45" s="22" t="s">
        <v>184</v>
      </c>
    </row>
    <row r="46" customFormat="false" ht="19.5" hidden="false" customHeight="true" outlineLevel="0" collapsed="false">
      <c r="B46" s="10" t="s">
        <v>185</v>
      </c>
      <c r="C46" s="38" t="n">
        <v>0.5</v>
      </c>
      <c r="D46" s="22" t="s">
        <v>186</v>
      </c>
      <c r="F46" s="11" t="s">
        <v>187</v>
      </c>
    </row>
    <row r="47" customFormat="false" ht="15" hidden="false" customHeight="false" outlineLevel="0" collapsed="false">
      <c r="F47" s="50" t="str">
        <f aca="false">IF(AND(in_Origin="China",ISNUMBER(SEARCH("Excluded",in_Ch301)),in_Date&gt;Excl_Expiry),"China 301 exclusion has expired for this entry date. The underlying list rate is applied.","")</f>
        <v/>
      </c>
      <c r="G47" s="50"/>
      <c r="H47" s="50"/>
      <c r="I47" s="50"/>
    </row>
    <row r="48" customFormat="false" ht="19.5" hidden="false" customHeight="true" outlineLevel="0" collapsed="false">
      <c r="B48" s="6" t="s">
        <v>188</v>
      </c>
      <c r="C48" s="7"/>
      <c r="D48" s="7"/>
      <c r="F48" s="50" t="str">
        <f aca="false">IF(AND(ISNUMBER(SEARCH("Wood:",in_S232)),in_Date&gt;=Wood_Step),"Section 232 wood step-up applies on this entry date (30% upholstered seats, 50% cabinets and vanities).","")</f>
        <v/>
      </c>
      <c r="G48" s="50"/>
      <c r="H48" s="50"/>
      <c r="I48" s="50"/>
    </row>
    <row r="49" customFormat="false" ht="15" hidden="false" customHeight="false" outlineLevel="0" collapsed="false">
      <c r="B49" s="51" t="s">
        <v>189</v>
      </c>
      <c r="C49" s="51" t="s">
        <v>190</v>
      </c>
      <c r="D49" s="51" t="s">
        <v>191</v>
      </c>
      <c r="F49" s="50" t="str">
        <f aca="false">IF(AND(in_FTA="Yes",H_USMCA&lt;&gt;"Yes",NOT(H_IsUS)),"Preferential MFN rate applied. Only USMCA goods from Mexico or Canada also skip the forced labor 301 tariff and MPF.","")</f>
        <v/>
      </c>
      <c r="G49" s="50"/>
      <c r="H49" s="50"/>
      <c r="I49" s="50"/>
    </row>
    <row r="50" customFormat="false" ht="15" hidden="false" customHeight="false" outlineLevel="0" collapsed="false">
      <c r="B50" s="52" t="n">
        <v>0.1</v>
      </c>
      <c r="C50" s="53" t="n">
        <f aca="false">IFERROR(R_LandedUnit/(1-B50),0)</f>
        <v>6.07345144444444</v>
      </c>
      <c r="D50" s="53" t="n">
        <f aca="false">C50-R_LandedUnit</f>
        <v>0.607345144444444</v>
      </c>
      <c r="F50" s="50" t="str">
        <f aca="false">IF(H_FreightMissing,"No reference freight rate for this container. Enter your quote in C32.","")</f>
        <v/>
      </c>
      <c r="G50" s="50"/>
      <c r="H50" s="50"/>
      <c r="I50" s="50"/>
    </row>
    <row r="51" customFormat="false" ht="15" hidden="false" customHeight="false" outlineLevel="0" collapsed="false">
      <c r="B51" s="52" t="n">
        <v>0.15</v>
      </c>
      <c r="C51" s="53" t="n">
        <f aca="false">IFERROR(R_LandedUnit/(1-B51),0)</f>
        <v>6.43071329411765</v>
      </c>
      <c r="D51" s="53" t="n">
        <f aca="false">C51-R_LandedUnit</f>
        <v>0.964606994117648</v>
      </c>
      <c r="F51" s="50" t="str">
        <f aca="false">IF(in_Origin="Canada","Canada: check the Section 338 product lists. Listed goods pay 50% even when USMCA qualifying.","")</f>
        <v/>
      </c>
      <c r="G51" s="50"/>
      <c r="H51" s="50"/>
      <c r="I51" s="50"/>
    </row>
    <row r="52" customFormat="false" ht="15" hidden="false" customHeight="false" outlineLevel="0" collapsed="false">
      <c r="B52" s="52" t="n">
        <v>0.2</v>
      </c>
      <c r="C52" s="53" t="n">
        <f aca="false">IFERROR(R_LandedUnit/(1-B52),0)</f>
        <v>6.832632875</v>
      </c>
      <c r="D52" s="53" t="n">
        <f aca="false">C52-R_LandedUnit</f>
        <v>1.366526575</v>
      </c>
      <c r="F52" s="50" t="str">
        <f aca="false">IF(AND(in_Origin&lt;&gt;"China",in_Ch301&lt;&gt;"Not on an active list",in_Ch301&lt;&gt;"List 4B (suspended, 0%)"),"The China 301 list selection is ignored because origin is not China.","")</f>
        <v/>
      </c>
      <c r="G52" s="50"/>
      <c r="H52" s="50"/>
      <c r="I52" s="50"/>
    </row>
    <row r="53" customFormat="false" ht="15" hidden="false" customHeight="false" outlineLevel="0" collapsed="false">
      <c r="B53" s="52" t="n">
        <v>0.25</v>
      </c>
      <c r="C53" s="53" t="n">
        <f aca="false">IFERROR(R_LandedUnit/(1-B53),0)</f>
        <v>7.28814173333333</v>
      </c>
      <c r="D53" s="53" t="n">
        <f aca="false">C53-R_LandedUnit</f>
        <v>1.82203543333333</v>
      </c>
      <c r="F53" s="50" t="str">
        <f aca="false">IF(in_Origin="Other (enter rate on Landed Cost)","Origin is Other: enter the country tariff rate in C25.","")</f>
        <v/>
      </c>
      <c r="G53" s="50"/>
      <c r="H53" s="50"/>
      <c r="I53" s="50"/>
    </row>
    <row r="54" customFormat="false" ht="15" hidden="false" customHeight="false" outlineLevel="0" collapsed="false">
      <c r="B54" s="52" t="n">
        <v>0.3</v>
      </c>
      <c r="C54" s="53" t="n">
        <f aca="false">IFERROR(R_LandedUnit/(1-B54),0)</f>
        <v>7.80872328571429</v>
      </c>
      <c r="D54" s="53" t="n">
        <f aca="false">C54-R_LandedUnit</f>
        <v>2.34261698571429</v>
      </c>
      <c r="F54" s="50" t="str">
        <f aca="false">IF(AND(H10&gt;0,H10&lt;Formal_Thr,NOT(H_IsUS)),"Customs value is under $2,500, so the informal entry MPF is applied.","")</f>
        <v/>
      </c>
      <c r="G54" s="50"/>
      <c r="H54" s="50"/>
      <c r="I54" s="50"/>
    </row>
    <row r="55" customFormat="false" ht="15" hidden="false" customHeight="false" outlineLevel="0" collapsed="false">
      <c r="B55" s="52" t="n">
        <v>0.35</v>
      </c>
      <c r="C55" s="53" t="n">
        <f aca="false">IFERROR(R_LandedUnit/(1-B55),0)</f>
        <v>8.40939430769231</v>
      </c>
      <c r="D55" s="53" t="n">
        <f aca="false">C55-R_LandedUnit</f>
        <v>2.94328800769231</v>
      </c>
      <c r="F55" s="50" t="str">
        <f aca="false">IF(AND(G16&gt;0,G15=0,H_Method&lt;&gt;"None"),"Section 232 applies, so the forced labor 301 layer is set to zero.","")</f>
        <v/>
      </c>
      <c r="G55" s="50"/>
      <c r="H55" s="50"/>
      <c r="I55" s="50"/>
    </row>
    <row r="56" customFormat="false" ht="15" hidden="false" customHeight="false" outlineLevel="0" collapsed="false">
      <c r="B56" s="52" t="n">
        <v>0.4</v>
      </c>
      <c r="C56" s="53" t="n">
        <f aca="false">IFERROR(R_LandedUnit/(1-B56),0)</f>
        <v>9.11017716666667</v>
      </c>
      <c r="D56" s="53" t="n">
        <f aca="false">C56-R_LandedUnit</f>
        <v>3.64407086666667</v>
      </c>
      <c r="F56" s="54" t="str">
        <f aca="false">IF(COUNTIF(F47:F55,"?*")=0,"No alerts for these inputs.","")</f>
        <v>No alerts for these inputs.</v>
      </c>
      <c r="G56" s="54"/>
      <c r="H56" s="54"/>
      <c r="I56" s="54"/>
    </row>
    <row r="57" customFormat="false" ht="15" hidden="false" customHeight="false" outlineLevel="0" collapsed="false">
      <c r="B57" s="52" t="n">
        <v>0.45</v>
      </c>
      <c r="C57" s="53" t="n">
        <f aca="false">IFERROR(R_LandedUnit/(1-B57),0)</f>
        <v>9.93837509090909</v>
      </c>
      <c r="D57" s="53" t="n">
        <f aca="false">C57-R_LandedUnit</f>
        <v>4.47226879090909</v>
      </c>
    </row>
    <row r="58" customFormat="false" ht="15" hidden="false" customHeight="false" outlineLevel="0" collapsed="false">
      <c r="B58" s="52" t="n">
        <v>0.5</v>
      </c>
      <c r="C58" s="53" t="n">
        <f aca="false">IFERROR(R_LandedUnit/(1-B58),0)</f>
        <v>10.9322126</v>
      </c>
      <c r="D58" s="53" t="n">
        <f aca="false">C58-R_LandedUnit</f>
        <v>5.4661063</v>
      </c>
    </row>
    <row r="59" customFormat="false" ht="15" hidden="false" customHeight="false" outlineLevel="0" collapsed="false">
      <c r="B59" s="52" t="n">
        <v>0.55</v>
      </c>
      <c r="C59" s="53" t="n">
        <f aca="false">IFERROR(R_LandedUnit/(1-B59),0)</f>
        <v>12.1469028888889</v>
      </c>
      <c r="D59" s="53" t="n">
        <f aca="false">C59-R_LandedUnit</f>
        <v>6.68079658888889</v>
      </c>
    </row>
    <row r="60" customFormat="false" ht="15" hidden="false" customHeight="false" outlineLevel="0" collapsed="false">
      <c r="B60" s="52" t="n">
        <v>0.6</v>
      </c>
      <c r="C60" s="53" t="n">
        <f aca="false">IFERROR(R_LandedUnit/(1-B60),0)</f>
        <v>13.66526575</v>
      </c>
      <c r="D60" s="53" t="n">
        <f aca="false">C60-R_LandedUnit</f>
        <v>8.19915945</v>
      </c>
    </row>
    <row r="61" customFormat="false" ht="15" hidden="false" customHeight="false" outlineLevel="0" collapsed="false">
      <c r="B61" s="52" t="n">
        <v>0.65</v>
      </c>
      <c r="C61" s="53" t="n">
        <f aca="false">IFERROR(R_LandedUnit/(1-B61),0)</f>
        <v>15.6174465714286</v>
      </c>
      <c r="D61" s="53" t="n">
        <f aca="false">C61-R_LandedUnit</f>
        <v>10.1513402714286</v>
      </c>
    </row>
    <row r="62" customFormat="false" ht="15" hidden="false" customHeight="false" outlineLevel="0" collapsed="false">
      <c r="B62" s="52" t="n">
        <v>0.7</v>
      </c>
      <c r="C62" s="53" t="n">
        <f aca="false">IFERROR(R_LandedUnit/(1-B62),0)</f>
        <v>18.2203543333333</v>
      </c>
      <c r="D62" s="53" t="n">
        <f aca="false">C62-R_LandedUnit</f>
        <v>12.7542480333333</v>
      </c>
    </row>
    <row r="63" customFormat="false" ht="15" hidden="false" customHeight="false" outlineLevel="0" collapsed="false">
      <c r="B63" s="52" t="n">
        <v>0.75</v>
      </c>
      <c r="C63" s="53" t="n">
        <f aca="false">IFERROR(R_LandedUnit/(1-B63),0)</f>
        <v>21.8644252</v>
      </c>
      <c r="D63" s="53" t="n">
        <f aca="false">C63-R_LandedUnit</f>
        <v>16.3983189</v>
      </c>
    </row>
    <row r="64" customFormat="false" ht="15" hidden="false" customHeight="false" outlineLevel="0" collapsed="false">
      <c r="B64" s="52" t="n">
        <v>0.8</v>
      </c>
      <c r="C64" s="53" t="n">
        <f aca="false">IFERROR(R_LandedUnit/(1-B64),0)</f>
        <v>27.3305315</v>
      </c>
      <c r="D64" s="53" t="n">
        <f aca="false">C64-R_LandedUnit</f>
        <v>21.8644252</v>
      </c>
    </row>
  </sheetData>
  <sheetProtection sheet="true" formatColumns="false" formatRows="false"/>
  <mergeCells count="11">
    <mergeCell ref="H34:I34"/>
    <mergeCell ref="F47:I47"/>
    <mergeCell ref="F48:I48"/>
    <mergeCell ref="F49:I49"/>
    <mergeCell ref="F50:I50"/>
    <mergeCell ref="F51:I51"/>
    <mergeCell ref="F52:I52"/>
    <mergeCell ref="F53:I53"/>
    <mergeCell ref="F54:I54"/>
    <mergeCell ref="F55:I55"/>
    <mergeCell ref="F56:I56"/>
  </mergeCells>
  <dataValidations count="9">
    <dataValidation allowBlank="true" error="Pick a value from the list." errorStyle="stop" errorTitle="Invalid entry" operator="between" prompt="Pick the country of origin." showDropDown="false" showErrorMessage="false" showInputMessage="true" sqref="C7" type="list">
      <formula1>CT_Country</formula1>
      <formula2>0</formula2>
    </dataValidation>
    <dataValidation allowBlank="true" error="Pick a value from the list." errorStyle="stop" errorTitle="Invalid entry" operator="between" showDropDown="false" showErrorMessage="false" showInputMessage="false" sqref="C11 C16 C22:C23 C26" type="list">
      <formula1>L_YesNo</formula1>
      <formula2>0</formula2>
    </dataValidation>
    <dataValidation allowBlank="true" error="Pick a value from the list." errorStyle="stop" errorTitle="Invalid entry" operator="between" showDropDown="false" showErrorMessage="false" showInputMessage="false" sqref="C12" type="list">
      <formula1>L_Mode</formula1>
      <formula2>0</formula2>
    </dataValidation>
    <dataValidation allowBlank="true" error="Pick a value from the list." errorStyle="stop" errorTitle="Invalid entry" operator="between" showDropDown="false" showErrorMessage="false" showInputMessage="false" sqref="C18" type="list">
      <formula1>C301_Opt</formula1>
      <formula2>0</formula2>
    </dataValidation>
    <dataValidation allowBlank="true" error="Pick a value from the list." errorStyle="stop" errorTitle="Invalid entry" operator="between" showDropDown="false" showErrorMessage="false" showInputMessage="false" sqref="C20" type="list">
      <formula1>S232_Opt</formula1>
      <formula2>0</formula2>
    </dataValidation>
    <dataValidation allowBlank="true" error="Pick a value from the list." errorStyle="stop" errorTitle="Invalid entry" operator="between" showDropDown="false" showErrorMessage="false" showInputMessage="false" sqref="C29" type="list">
      <formula1>FR_Cont</formula1>
      <formula2>0</formula2>
    </dataValidation>
    <dataValidation allowBlank="true" error="Pick a value from the list." errorStyle="stop" errorTitle="Invalid entry" operator="between" showDropDown="false" showErrorMessage="false" showInputMessage="false" sqref="C31" type="list">
      <formula1>L_Coast</formula1>
      <formula2>0</formula2>
    </dataValidation>
    <dataValidation allowBlank="true" error="Enter a percentage between 0% and 500%." errorStyle="stop" operator="between" showDropDown="false" showErrorMessage="false" showInputMessage="false" sqref="C15 C17 C19 C21 C24:C25 C33 C44 C46" type="decimal">
      <formula1>0</formula1>
      <formula2>5</formula2>
    </dataValidation>
    <dataValidation allowBlank="true" error="Enter a number of zero or more." errorStyle="stop" operator="greaterThanOrEqual" showDropDown="false" showErrorMessage="false" showInputMessage="false" sqref="C9:C10 C30 C32 C34:C41 C45" type="decimal">
      <formula1>0</formula1>
      <formula2>0</formula2>
    </dataValidation>
  </dataValidations>
  <printOptions headings="false" gridLines="false" gridLinesSet="true" horizontalCentered="true" verticalCentered="false"/>
  <pageMargins left="0.4" right="0.4"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2"/>
    <col collapsed="false" customWidth="true" hidden="false" outlineLevel="0" max="9" min="3" style="0" width="14"/>
    <col collapsed="false" customWidth="true" hidden="false" outlineLevel="0" max="10" min="10" style="0" width="16"/>
  </cols>
  <sheetData>
    <row r="1" customFormat="false" ht="33.75" hidden="false" customHeight="true" outlineLevel="0" collapsed="false">
      <c r="B1" s="18" t="s">
        <v>19</v>
      </c>
      <c r="C1" s="1"/>
      <c r="D1" s="1"/>
      <c r="E1" s="1"/>
      <c r="F1" s="1"/>
      <c r="G1" s="1"/>
      <c r="H1" s="1"/>
      <c r="I1" s="1"/>
      <c r="J1" s="1"/>
    </row>
    <row r="2" customFormat="false" ht="19.5" hidden="false" customHeight="true" outlineLevel="0" collapsed="false">
      <c r="B2" s="19" t="s">
        <v>192</v>
      </c>
      <c r="C2" s="1"/>
      <c r="D2" s="1"/>
      <c r="E2" s="1"/>
      <c r="F2" s="1"/>
      <c r="G2" s="1"/>
      <c r="H2" s="1"/>
      <c r="I2" s="1"/>
      <c r="J2" s="1"/>
    </row>
    <row r="4" customFormat="false" ht="30" hidden="false" customHeight="true" outlineLevel="0" collapsed="false">
      <c r="B4" s="55" t="s">
        <v>193</v>
      </c>
      <c r="C4" s="55"/>
      <c r="D4" s="55"/>
      <c r="E4" s="55"/>
      <c r="F4" s="55"/>
      <c r="G4" s="55"/>
      <c r="H4" s="55"/>
      <c r="I4" s="55"/>
      <c r="J4" s="55"/>
    </row>
    <row r="5" customFormat="false" ht="19.5" hidden="false" customHeight="true" outlineLevel="0" collapsed="false">
      <c r="B5" s="6" t="s">
        <v>194</v>
      </c>
      <c r="C5" s="7"/>
      <c r="D5" s="7"/>
      <c r="E5" s="7"/>
      <c r="F5" s="7"/>
      <c r="G5" s="7"/>
      <c r="H5" s="7"/>
      <c r="I5" s="7"/>
      <c r="J5" s="7"/>
    </row>
    <row r="6" customFormat="false" ht="30" hidden="false" customHeight="true" outlineLevel="0" collapsed="false">
      <c r="B6" s="10" t="s">
        <v>75</v>
      </c>
      <c r="C6" s="56" t="s">
        <v>76</v>
      </c>
      <c r="D6" s="56" t="s">
        <v>195</v>
      </c>
      <c r="E6" s="56" t="s">
        <v>196</v>
      </c>
      <c r="F6" s="56" t="s">
        <v>197</v>
      </c>
      <c r="G6" s="56" t="s">
        <v>198</v>
      </c>
      <c r="H6" s="56" t="s">
        <v>199</v>
      </c>
      <c r="I6" s="56" t="s">
        <v>200</v>
      </c>
      <c r="J6" s="56" t="s">
        <v>201</v>
      </c>
    </row>
    <row r="7" customFormat="false" ht="15" hidden="false" customHeight="false" outlineLevel="0" collapsed="false">
      <c r="B7" s="10" t="s">
        <v>202</v>
      </c>
      <c r="C7" s="31" t="n">
        <v>2.95</v>
      </c>
      <c r="D7" s="31" t="n">
        <v>3.1</v>
      </c>
      <c r="E7" s="31" t="n">
        <v>3.25</v>
      </c>
      <c r="F7" s="31" t="n">
        <v>3.05</v>
      </c>
      <c r="G7" s="31" t="n">
        <v>3</v>
      </c>
      <c r="H7" s="31" t="n">
        <v>3.15</v>
      </c>
      <c r="I7" s="31" t="n">
        <v>3.6</v>
      </c>
      <c r="J7" s="31" t="n">
        <v>4.75</v>
      </c>
    </row>
    <row r="8" customFormat="false" ht="15" hidden="false" customHeight="false" outlineLevel="0" collapsed="false">
      <c r="B8" s="10" t="s">
        <v>95</v>
      </c>
      <c r="C8" s="34" t="s">
        <v>96</v>
      </c>
      <c r="D8" s="34" t="s">
        <v>96</v>
      </c>
      <c r="E8" s="34" t="s">
        <v>96</v>
      </c>
      <c r="F8" s="34" t="s">
        <v>96</v>
      </c>
      <c r="G8" s="34" t="s">
        <v>96</v>
      </c>
      <c r="H8" s="34" t="s">
        <v>96</v>
      </c>
      <c r="I8" s="34" t="s">
        <v>203</v>
      </c>
      <c r="J8" s="34" t="s">
        <v>203</v>
      </c>
    </row>
    <row r="9" customFormat="false" ht="15" hidden="false" customHeight="false" outlineLevel="0" collapsed="false">
      <c r="B9" s="10" t="s">
        <v>204</v>
      </c>
      <c r="C9" s="42" t="n">
        <f aca="false">H_Freight</f>
        <v>7838</v>
      </c>
      <c r="D9" s="42" t="n">
        <f aca="false">H_Freight</f>
        <v>7838</v>
      </c>
      <c r="E9" s="42" t="n">
        <f aca="false">H_Freight</f>
        <v>7838</v>
      </c>
      <c r="F9" s="42" t="n">
        <f aca="false">H_Freight</f>
        <v>7838</v>
      </c>
      <c r="G9" s="42" t="n">
        <f aca="false">H_Freight</f>
        <v>7838</v>
      </c>
      <c r="H9" s="42" t="n">
        <f aca="false">H_Freight</f>
        <v>7838</v>
      </c>
      <c r="I9" s="42" t="n">
        <v>4000</v>
      </c>
      <c r="J9" s="42" t="n">
        <v>2500</v>
      </c>
    </row>
    <row r="10" customFormat="false" ht="15" hidden="false" customHeight="false" outlineLevel="0" collapsed="false">
      <c r="B10" s="10" t="s">
        <v>205</v>
      </c>
      <c r="C10" s="34" t="s">
        <v>92</v>
      </c>
      <c r="D10" s="34" t="s">
        <v>92</v>
      </c>
      <c r="E10" s="34" t="s">
        <v>92</v>
      </c>
      <c r="F10" s="34" t="s">
        <v>92</v>
      </c>
      <c r="G10" s="34" t="s">
        <v>92</v>
      </c>
      <c r="H10" s="34" t="s">
        <v>92</v>
      </c>
      <c r="I10" s="34" t="s">
        <v>206</v>
      </c>
      <c r="J10" s="34" t="s">
        <v>92</v>
      </c>
    </row>
    <row r="11" customFormat="false" ht="15" hidden="false" customHeight="true" outlineLevel="0" collapsed="false">
      <c r="B11" s="55" t="s">
        <v>207</v>
      </c>
      <c r="C11" s="55"/>
      <c r="D11" s="55"/>
      <c r="E11" s="55"/>
      <c r="F11" s="55"/>
      <c r="G11" s="55"/>
      <c r="H11" s="55"/>
      <c r="I11" s="55"/>
      <c r="J11" s="55"/>
    </row>
    <row r="12" customFormat="false" ht="19.5" hidden="false" customHeight="true" outlineLevel="0" collapsed="false">
      <c r="B12" s="6" t="s">
        <v>208</v>
      </c>
      <c r="C12" s="7"/>
      <c r="D12" s="7"/>
      <c r="E12" s="7"/>
      <c r="F12" s="7"/>
      <c r="G12" s="7"/>
      <c r="H12" s="7"/>
      <c r="I12" s="7"/>
      <c r="J12" s="7"/>
    </row>
    <row r="13" customFormat="false" ht="15" hidden="false" customHeight="false" outlineLevel="0" collapsed="false">
      <c r="B13" s="10" t="s">
        <v>209</v>
      </c>
      <c r="C13" s="26" t="n">
        <f aca="false">in_Units*C7</f>
        <v>14750</v>
      </c>
      <c r="D13" s="26" t="n">
        <f aca="false">in_Units*D7</f>
        <v>15500</v>
      </c>
      <c r="E13" s="26" t="n">
        <f aca="false">in_Units*E7</f>
        <v>16250</v>
      </c>
      <c r="F13" s="26" t="n">
        <f aca="false">in_Units*F7</f>
        <v>15250</v>
      </c>
      <c r="G13" s="26" t="n">
        <f aca="false">in_Units*G7</f>
        <v>15000</v>
      </c>
      <c r="H13" s="26" t="n">
        <f aca="false">in_Units*H7</f>
        <v>15750</v>
      </c>
      <c r="I13" s="26" t="n">
        <f aca="false">in_Units*I7</f>
        <v>18000</v>
      </c>
      <c r="J13" s="26" t="n">
        <f aca="false">in_Units*J7</f>
        <v>23750</v>
      </c>
    </row>
    <row r="14" customFormat="false" ht="15" hidden="false" customHeight="false" outlineLevel="0" collapsed="false">
      <c r="B14" s="10" t="s">
        <v>100</v>
      </c>
      <c r="C14" s="36" t="n">
        <f aca="false">IF(C44,0,IF(C10="Yes",in_FTARate,in_MFN))</f>
        <v>0</v>
      </c>
      <c r="D14" s="36" t="n">
        <f aca="false">IF(D44,0,IF(D10="Yes",in_FTARate,in_MFN))</f>
        <v>0</v>
      </c>
      <c r="E14" s="36" t="n">
        <f aca="false">IF(E44,0,IF(E10="Yes",in_FTARate,in_MFN))</f>
        <v>0</v>
      </c>
      <c r="F14" s="36" t="n">
        <f aca="false">IF(F44,0,IF(F10="Yes",in_FTARate,in_MFN))</f>
        <v>0</v>
      </c>
      <c r="G14" s="36" t="n">
        <f aca="false">IF(G44,0,IF(G10="Yes",in_FTARate,in_MFN))</f>
        <v>0</v>
      </c>
      <c r="H14" s="36" t="n">
        <f aca="false">IF(H44,0,IF(H10="Yes",in_FTARate,in_MFN))</f>
        <v>0</v>
      </c>
      <c r="I14" s="36" t="n">
        <f aca="false">IF(I44,0,IF(I10="Yes",in_FTARate,in_MFN))</f>
        <v>0</v>
      </c>
      <c r="J14" s="36" t="n">
        <f aca="false">IF(J44,0,IF(J10="Yes",in_FTARate,in_MFN))</f>
        <v>0</v>
      </c>
    </row>
    <row r="15" customFormat="false" ht="15" hidden="false" customHeight="false" outlineLevel="0" collapsed="false">
      <c r="B15" s="10" t="s">
        <v>43</v>
      </c>
      <c r="C15" s="36" t="n">
        <f aca="false">IF(C6="China",H_Ch301Opt,0)</f>
        <v>0</v>
      </c>
      <c r="D15" s="36" t="n">
        <f aca="false">IF(D6="China",H_Ch301Opt,0)</f>
        <v>0</v>
      </c>
      <c r="E15" s="36" t="n">
        <f aca="false">IF(E6="China",H_Ch301Opt,0)</f>
        <v>0</v>
      </c>
      <c r="F15" s="36" t="n">
        <f aca="false">IF(F6="China",H_Ch301Opt,0)</f>
        <v>0</v>
      </c>
      <c r="G15" s="36" t="n">
        <f aca="false">IF(G6="China",H_Ch301Opt,0)</f>
        <v>0</v>
      </c>
      <c r="H15" s="36" t="n">
        <f aca="false">IF(H6="China",H_Ch301Opt,0)</f>
        <v>0</v>
      </c>
      <c r="I15" s="36" t="n">
        <f aca="false">IF(I6="China",H_Ch301Opt,0)</f>
        <v>0</v>
      </c>
      <c r="J15" s="36" t="n">
        <f aca="false">IF(J6="China",H_Ch301Opt,0)</f>
        <v>0</v>
      </c>
    </row>
    <row r="16" customFormat="false" ht="15" hidden="false" customHeight="false" outlineLevel="0" collapsed="false">
      <c r="B16" s="10" t="s">
        <v>47</v>
      </c>
      <c r="C16" s="36" t="n">
        <f aca="false">IF(C44,0,H_S232)</f>
        <v>0</v>
      </c>
      <c r="D16" s="36" t="n">
        <f aca="false">IF(D44,0,H_S232)</f>
        <v>0</v>
      </c>
      <c r="E16" s="36" t="n">
        <f aca="false">IF(E44,0,H_S232)</f>
        <v>0</v>
      </c>
      <c r="F16" s="36" t="n">
        <f aca="false">IF(F44,0,H_S232)</f>
        <v>0</v>
      </c>
      <c r="G16" s="36" t="n">
        <f aca="false">IF(G44,0,H_S232)</f>
        <v>0</v>
      </c>
      <c r="H16" s="36" t="n">
        <f aca="false">IF(H44,0,H_S232)</f>
        <v>0</v>
      </c>
      <c r="I16" s="36" t="n">
        <f aca="false">IF(I44,0,H_S232)</f>
        <v>0</v>
      </c>
      <c r="J16" s="36" t="n">
        <f aca="false">IF(J44,0,H_S232)</f>
        <v>0</v>
      </c>
    </row>
    <row r="17" customFormat="false" ht="15" hidden="false" customHeight="false" outlineLevel="0" collapsed="false">
      <c r="B17" s="10" t="s">
        <v>45</v>
      </c>
      <c r="C17" s="36" t="n">
        <f aca="false">IF(OR(C44,C16&gt;0,in_FLExempt="Yes",C45),0,IF(C40="Additive",C41,IF(C40="Cap",MAX(0,C41-C14),0)))</f>
        <v>0.125</v>
      </c>
      <c r="D17" s="36" t="n">
        <f aca="false">IF(OR(D44,D16&gt;0,in_FLExempt="Yes",D45),0,IF(D40="Additive",D41,IF(D40="Cap",MAX(0,D41-D14),0)))</f>
        <v>0.125</v>
      </c>
      <c r="E17" s="36" t="n">
        <f aca="false">IF(OR(E44,E16&gt;0,in_FLExempt="Yes",E45),0,IF(E40="Additive",E41,IF(E40="Cap",MAX(0,E41-E14),0)))</f>
        <v>0.1</v>
      </c>
      <c r="F17" s="36" t="n">
        <f aca="false">IF(OR(F44,F16&gt;0,in_FLExempt="Yes",F45),0,IF(F40="Additive",F41,IF(F40="Cap",MAX(0,F41-F14),0)))</f>
        <v>0.1</v>
      </c>
      <c r="G17" s="36" t="n">
        <f aca="false">IF(OR(G44,G16&gt;0,in_FLExempt="Yes",G45),0,IF(G40="Additive",G41,IF(G40="Cap",MAX(0,G41-G14),0)))</f>
        <v>0.1</v>
      </c>
      <c r="H17" s="36" t="n">
        <f aca="false">IF(OR(H44,H16&gt;0,in_FLExempt="Yes",H45),0,IF(H40="Additive",H41,IF(H40="Cap",MAX(0,H41-H14),0)))</f>
        <v>0.1</v>
      </c>
      <c r="I17" s="36" t="n">
        <f aca="false">IF(OR(I44,I16&gt;0,in_FLExempt="Yes",I45),0,IF(I40="Additive",I41,IF(I40="Cap",MAX(0,I41-I14),0)))</f>
        <v>0</v>
      </c>
      <c r="J17" s="36" t="n">
        <f aca="false">IF(OR(J44,J16&gt;0,in_FLExempt="Yes",J45),0,IF(J40="Additive",J41,IF(J40="Cap",MAX(0,J41-J14),0)))</f>
        <v>0</v>
      </c>
    </row>
    <row r="18" customFormat="false" ht="15" hidden="false" customHeight="false" outlineLevel="0" collapsed="false">
      <c r="B18" s="10" t="s">
        <v>210</v>
      </c>
      <c r="C18" s="36" t="n">
        <f aca="false">IF(AND(C6="Canada",in_S338="Yes",C16=0),S338_Rate,0)</f>
        <v>0</v>
      </c>
      <c r="D18" s="36" t="n">
        <f aca="false">IF(AND(D6="Canada",in_S338="Yes",D16=0),S338_Rate,0)</f>
        <v>0</v>
      </c>
      <c r="E18" s="36" t="n">
        <f aca="false">IF(AND(E6="Canada",in_S338="Yes",E16=0),S338_Rate,0)</f>
        <v>0</v>
      </c>
      <c r="F18" s="36" t="n">
        <f aca="false">IF(AND(F6="Canada",in_S338="Yes",F16=0),S338_Rate,0)</f>
        <v>0</v>
      </c>
      <c r="G18" s="36" t="n">
        <f aca="false">IF(AND(G6="Canada",in_S338="Yes",G16=0),S338_Rate,0)</f>
        <v>0</v>
      </c>
      <c r="H18" s="36" t="n">
        <f aca="false">IF(AND(H6="Canada",in_S338="Yes",H16=0),S338_Rate,0)</f>
        <v>0</v>
      </c>
      <c r="I18" s="36" t="n">
        <f aca="false">IF(AND(I6="Canada",in_S338="Yes",I16=0),S338_Rate,0)</f>
        <v>0</v>
      </c>
      <c r="J18" s="36" t="n">
        <f aca="false">IF(AND(J6="Canada",in_S338="Yes",J16=0),S338_Rate,0)</f>
        <v>0</v>
      </c>
    </row>
    <row r="19" customFormat="false" ht="15" hidden="false" customHeight="false" outlineLevel="0" collapsed="false">
      <c r="B19" s="10" t="s">
        <v>121</v>
      </c>
      <c r="C19" s="36" t="n">
        <f aca="false">IF(AND(in_WhatIf="Yes",NOT(C44)),C43,0)</f>
        <v>0</v>
      </c>
      <c r="D19" s="36" t="n">
        <f aca="false">IF(AND(in_WhatIf="Yes",NOT(D44)),D43,0)</f>
        <v>0</v>
      </c>
      <c r="E19" s="36" t="n">
        <f aca="false">IF(AND(in_WhatIf="Yes",NOT(E44)),E43,0)</f>
        <v>0</v>
      </c>
      <c r="F19" s="36" t="n">
        <f aca="false">IF(AND(in_WhatIf="Yes",NOT(F44)),F43,0)</f>
        <v>0</v>
      </c>
      <c r="G19" s="36" t="n">
        <f aca="false">IF(AND(in_WhatIf="Yes",NOT(G44)),G43,0)</f>
        <v>0</v>
      </c>
      <c r="H19" s="36" t="n">
        <f aca="false">IF(AND(in_WhatIf="Yes",NOT(H44)),H43,0)</f>
        <v>0</v>
      </c>
      <c r="I19" s="36" t="n">
        <f aca="false">IF(AND(in_WhatIf="Yes",NOT(I44)),I43,0)</f>
        <v>0</v>
      </c>
      <c r="J19" s="36" t="n">
        <f aca="false">IF(AND(in_WhatIf="Yes",NOT(J44)),J43,0)</f>
        <v>0</v>
      </c>
    </row>
    <row r="20" customFormat="false" ht="15" hidden="false" customHeight="false" outlineLevel="0" collapsed="false">
      <c r="B20" s="9" t="s">
        <v>211</v>
      </c>
      <c r="C20" s="40" t="n">
        <f aca="false">MAX(0,SUM(C14:C19))</f>
        <v>0.125</v>
      </c>
      <c r="D20" s="40" t="n">
        <f aca="false">MAX(0,SUM(D14:D19))</f>
        <v>0.125</v>
      </c>
      <c r="E20" s="40" t="n">
        <f aca="false">MAX(0,SUM(E14:E19))</f>
        <v>0.1</v>
      </c>
      <c r="F20" s="40" t="n">
        <f aca="false">MAX(0,SUM(F14:F19))</f>
        <v>0.1</v>
      </c>
      <c r="G20" s="40" t="n">
        <f aca="false">MAX(0,SUM(G14:G19))</f>
        <v>0.1</v>
      </c>
      <c r="H20" s="40" t="n">
        <f aca="false">MAX(0,SUM(H14:H19))</f>
        <v>0.1</v>
      </c>
      <c r="I20" s="40" t="n">
        <f aca="false">MAX(0,SUM(I14:I19))</f>
        <v>0</v>
      </c>
      <c r="J20" s="40" t="n">
        <f aca="false">MAX(0,SUM(J14:J19))</f>
        <v>0</v>
      </c>
    </row>
    <row r="21" customFormat="false" ht="15" hidden="false" customHeight="false" outlineLevel="0" collapsed="false">
      <c r="B21" s="10" t="s">
        <v>212</v>
      </c>
      <c r="C21" s="26" t="n">
        <f aca="false">C13*C20</f>
        <v>1843.75</v>
      </c>
      <c r="D21" s="26" t="n">
        <f aca="false">D13*D20</f>
        <v>1937.5</v>
      </c>
      <c r="E21" s="26" t="n">
        <f aca="false">E13*E20</f>
        <v>1625</v>
      </c>
      <c r="F21" s="26" t="n">
        <f aca="false">F13*F20</f>
        <v>1525</v>
      </c>
      <c r="G21" s="26" t="n">
        <f aca="false">G13*G20</f>
        <v>1500</v>
      </c>
      <c r="H21" s="26" t="n">
        <f aca="false">H13*H20</f>
        <v>1575</v>
      </c>
      <c r="I21" s="26" t="n">
        <f aca="false">I13*I20</f>
        <v>0</v>
      </c>
      <c r="J21" s="26" t="n">
        <f aca="false">J13*J20</f>
        <v>0</v>
      </c>
    </row>
    <row r="22" customFormat="false" ht="15" hidden="false" customHeight="false" outlineLevel="0" collapsed="false">
      <c r="B22" s="10" t="s">
        <v>213</v>
      </c>
      <c r="C22" s="41" t="n">
        <f aca="false">IF(OR(C44,C45,C13=0),0,IF(C13&lt;Formal_Thr,H_MPFInf,MIN(MAX(C13*MPF_Rate,H_MPFMin),H_MPFMax)))</f>
        <v>51.094</v>
      </c>
      <c r="D22" s="41" t="n">
        <f aca="false">IF(OR(D44,D45,D13=0),0,IF(D13&lt;Formal_Thr,H_MPFInf,MIN(MAX(D13*MPF_Rate,H_MPFMin),H_MPFMax)))</f>
        <v>53.692</v>
      </c>
      <c r="E22" s="41" t="n">
        <f aca="false">IF(OR(E44,E45,E13=0),0,IF(E13&lt;Formal_Thr,H_MPFInf,MIN(MAX(E13*MPF_Rate,H_MPFMin),H_MPFMax)))</f>
        <v>56.29</v>
      </c>
      <c r="F22" s="41" t="n">
        <f aca="false">IF(OR(F44,F45,F13=0),0,IF(F13&lt;Formal_Thr,H_MPFInf,MIN(MAX(F13*MPF_Rate,H_MPFMin),H_MPFMax)))</f>
        <v>52.826</v>
      </c>
      <c r="G22" s="41" t="n">
        <f aca="false">IF(OR(G44,G45,G13=0),0,IF(G13&lt;Formal_Thr,H_MPFInf,MIN(MAX(G13*MPF_Rate,H_MPFMin),H_MPFMax)))</f>
        <v>51.96</v>
      </c>
      <c r="H22" s="41" t="n">
        <f aca="false">IF(OR(H44,H45,H13=0),0,IF(H13&lt;Formal_Thr,H_MPFInf,MIN(MAX(H13*MPF_Rate,H_MPFMin),H_MPFMax)))</f>
        <v>54.558</v>
      </c>
      <c r="I22" s="41" t="n">
        <f aca="false">IF(OR(I44,I45,I13=0),0,IF(I13&lt;Formal_Thr,H_MPFInf,MIN(MAX(I13*MPF_Rate,H_MPFMin),H_MPFMax)))</f>
        <v>0</v>
      </c>
      <c r="J22" s="41" t="n">
        <f aca="false">IF(OR(J44,J45,J13=0),0,IF(J13&lt;Formal_Thr,H_MPFInf,MIN(MAX(J13*MPF_Rate,H_MPFMin),H_MPFMax)))</f>
        <v>0</v>
      </c>
    </row>
    <row r="23" customFormat="false" ht="15" hidden="false" customHeight="false" outlineLevel="0" collapsed="false">
      <c r="B23" s="10" t="s">
        <v>214</v>
      </c>
      <c r="C23" s="41" t="n">
        <f aca="false">IF(AND(NOT(C44),C8="Ocean"),C13*HMF_Rate,0)</f>
        <v>18.4375</v>
      </c>
      <c r="D23" s="41" t="n">
        <f aca="false">IF(AND(NOT(D44),D8="Ocean"),D13*HMF_Rate,0)</f>
        <v>19.375</v>
      </c>
      <c r="E23" s="41" t="n">
        <f aca="false">IF(AND(NOT(E44),E8="Ocean"),E13*HMF_Rate,0)</f>
        <v>20.3125</v>
      </c>
      <c r="F23" s="41" t="n">
        <f aca="false">IF(AND(NOT(F44),F8="Ocean"),F13*HMF_Rate,0)</f>
        <v>19.0625</v>
      </c>
      <c r="G23" s="41" t="n">
        <f aca="false">IF(AND(NOT(G44),G8="Ocean"),G13*HMF_Rate,0)</f>
        <v>18.75</v>
      </c>
      <c r="H23" s="41" t="n">
        <f aca="false">IF(AND(NOT(H44),H8="Ocean"),H13*HMF_Rate,0)</f>
        <v>19.6875</v>
      </c>
      <c r="I23" s="41" t="n">
        <f aca="false">IF(AND(NOT(I44),I8="Ocean"),I13*HMF_Rate,0)</f>
        <v>0</v>
      </c>
      <c r="J23" s="41" t="n">
        <f aca="false">IF(AND(NOT(J44),J8="Ocean"),J13*HMF_Rate,0)</f>
        <v>0</v>
      </c>
    </row>
    <row r="24" customFormat="false" ht="15" hidden="false" customHeight="false" outlineLevel="0" collapsed="false">
      <c r="B24" s="10" t="s">
        <v>215</v>
      </c>
      <c r="C24" s="26" t="n">
        <f aca="false">C9+C13*in_InsPct</f>
        <v>7882.25</v>
      </c>
      <c r="D24" s="26" t="n">
        <f aca="false">D9+D13*in_InsPct</f>
        <v>7884.5</v>
      </c>
      <c r="E24" s="26" t="n">
        <f aca="false">E9+E13*in_InsPct</f>
        <v>7886.75</v>
      </c>
      <c r="F24" s="26" t="n">
        <f aca="false">F9+F13*in_InsPct</f>
        <v>7883.75</v>
      </c>
      <c r="G24" s="26" t="n">
        <f aca="false">G9+G13*in_InsPct</f>
        <v>7883</v>
      </c>
      <c r="H24" s="26" t="n">
        <f aca="false">H9+H13*in_InsPct</f>
        <v>7885.25</v>
      </c>
      <c r="I24" s="26" t="n">
        <f aca="false">I9+I13*in_InsPct</f>
        <v>4054</v>
      </c>
      <c r="J24" s="26" t="n">
        <f aca="false">J9+J13*in_InsPct</f>
        <v>2571.25</v>
      </c>
    </row>
    <row r="25" customFormat="false" ht="15" hidden="false" customHeight="false" outlineLevel="0" collapsed="false">
      <c r="B25" s="10" t="s">
        <v>216</v>
      </c>
      <c r="C25" s="26" t="n">
        <f aca="false">IF(C44,0,in_Broker+in_Bond+IF(C8="Ocean",in_ISF,0))</f>
        <v>285</v>
      </c>
      <c r="D25" s="26" t="n">
        <f aca="false">IF(D44,0,in_Broker+in_Bond+IF(D8="Ocean",in_ISF,0))</f>
        <v>285</v>
      </c>
      <c r="E25" s="26" t="n">
        <f aca="false">IF(E44,0,in_Broker+in_Bond+IF(E8="Ocean",in_ISF,0))</f>
        <v>285</v>
      </c>
      <c r="F25" s="26" t="n">
        <f aca="false">IF(F44,0,in_Broker+in_Bond+IF(F8="Ocean",in_ISF,0))</f>
        <v>285</v>
      </c>
      <c r="G25" s="26" t="n">
        <f aca="false">IF(G44,0,in_Broker+in_Bond+IF(G8="Ocean",in_ISF,0))</f>
        <v>285</v>
      </c>
      <c r="H25" s="26" t="n">
        <f aca="false">IF(H44,0,in_Broker+in_Bond+IF(H8="Ocean",in_ISF,0))</f>
        <v>285</v>
      </c>
      <c r="I25" s="26" t="n">
        <f aca="false">IF(I44,0,in_Broker+in_Bond+IF(I8="Ocean",in_ISF,0))</f>
        <v>250</v>
      </c>
      <c r="J25" s="26" t="n">
        <f aca="false">IF(J44,0,in_Broker+in_Bond+IF(J8="Ocean",in_ISF,0))</f>
        <v>0</v>
      </c>
    </row>
    <row r="26" customFormat="false" ht="15" hidden="false" customHeight="false" outlineLevel="0" collapsed="false">
      <c r="B26" s="10" t="s">
        <v>217</v>
      </c>
      <c r="C26" s="26" t="n">
        <f aca="false">in_Dray+in_Inland+in_Whse+in_Testing+in_Other</f>
        <v>2500</v>
      </c>
      <c r="D26" s="26" t="n">
        <f aca="false">in_Dray+in_Inland+in_Whse+in_Testing+in_Other</f>
        <v>2500</v>
      </c>
      <c r="E26" s="26" t="n">
        <f aca="false">in_Dray+in_Inland+in_Whse+in_Testing+in_Other</f>
        <v>2500</v>
      </c>
      <c r="F26" s="26" t="n">
        <f aca="false">in_Dray+in_Inland+in_Whse+in_Testing+in_Other</f>
        <v>2500</v>
      </c>
      <c r="G26" s="26" t="n">
        <f aca="false">in_Dray+in_Inland+in_Whse+in_Testing+in_Other</f>
        <v>2500</v>
      </c>
      <c r="H26" s="26" t="n">
        <f aca="false">in_Dray+in_Inland+in_Whse+in_Testing+in_Other</f>
        <v>2500</v>
      </c>
      <c r="I26" s="26" t="n">
        <f aca="false">in_Dray+in_Inland+in_Whse+in_Testing+in_Other</f>
        <v>2500</v>
      </c>
      <c r="J26" s="26" t="n">
        <f aca="false">in_Dray+in_Inland+in_Whse+in_Testing+in_Other</f>
        <v>2500</v>
      </c>
    </row>
    <row r="27" customFormat="false" ht="15" hidden="false" customHeight="false" outlineLevel="0" collapsed="false">
      <c r="B27" s="10" t="s">
        <v>218</v>
      </c>
      <c r="C27" s="26" t="n">
        <f aca="false">C13+C21+C22+C23+SUM(C24:C26)</f>
        <v>27330.5315</v>
      </c>
      <c r="D27" s="26" t="n">
        <f aca="false">D13+D21+D22+D23+SUM(D24:D26)</f>
        <v>28180.067</v>
      </c>
      <c r="E27" s="26" t="n">
        <f aca="false">E13+E21+E22+E23+SUM(E24:E26)</f>
        <v>28623.3525</v>
      </c>
      <c r="F27" s="26" t="n">
        <f aca="false">F13+F21+F22+F23+SUM(F24:F26)</f>
        <v>27515.6385</v>
      </c>
      <c r="G27" s="26" t="n">
        <f aca="false">G13+G21+G22+G23+SUM(G24:G26)</f>
        <v>27238.71</v>
      </c>
      <c r="H27" s="26" t="n">
        <f aca="false">H13+H21+H22+H23+SUM(H24:H26)</f>
        <v>28069.4955</v>
      </c>
      <c r="I27" s="26" t="n">
        <f aca="false">I13+I21+I22+I23+SUM(I24:I26)</f>
        <v>24804</v>
      </c>
      <c r="J27" s="26" t="n">
        <f aca="false">J13+J21+J22+J23+SUM(J24:J26)</f>
        <v>28821.25</v>
      </c>
    </row>
    <row r="28" customFormat="false" ht="15" hidden="false" customHeight="false" outlineLevel="0" collapsed="false">
      <c r="B28" s="9" t="s">
        <v>219</v>
      </c>
      <c r="C28" s="57" t="n">
        <f aca="false">IFERROR(C27/in_Units,0)</f>
        <v>5.4661063</v>
      </c>
      <c r="D28" s="57" t="n">
        <f aca="false">IFERROR(D27/in_Units,0)</f>
        <v>5.6360134</v>
      </c>
      <c r="E28" s="57" t="n">
        <f aca="false">IFERROR(E27/in_Units,0)</f>
        <v>5.7246705</v>
      </c>
      <c r="F28" s="57" t="n">
        <f aca="false">IFERROR(F27/in_Units,0)</f>
        <v>5.5031277</v>
      </c>
      <c r="G28" s="57" t="n">
        <f aca="false">IFERROR(G27/in_Units,0)</f>
        <v>5.447742</v>
      </c>
      <c r="H28" s="57" t="n">
        <f aca="false">IFERROR(H27/in_Units,0)</f>
        <v>5.6138991</v>
      </c>
      <c r="I28" s="57" t="n">
        <f aca="false">IFERROR(I27/in_Units,0)</f>
        <v>4.9608</v>
      </c>
      <c r="J28" s="57" t="n">
        <f aca="false">IFERROR(J27/in_Units,0)</f>
        <v>5.76425</v>
      </c>
    </row>
    <row r="29" customFormat="false" ht="15" hidden="false" customHeight="false" outlineLevel="0" collapsed="false">
      <c r="B29" s="10" t="s">
        <v>220</v>
      </c>
      <c r="C29" s="27" t="n">
        <f aca="false">IFERROR((C21+C22+C23)/in_Units,0)</f>
        <v>0.3826563</v>
      </c>
      <c r="D29" s="27" t="n">
        <f aca="false">IFERROR((D21+D22+D23)/in_Units,0)</f>
        <v>0.4021134</v>
      </c>
      <c r="E29" s="27" t="n">
        <f aca="false">IFERROR((E21+E22+E23)/in_Units,0)</f>
        <v>0.3403205</v>
      </c>
      <c r="F29" s="27" t="n">
        <f aca="false">IFERROR((F21+F22+F23)/in_Units,0)</f>
        <v>0.3193777</v>
      </c>
      <c r="G29" s="27" t="n">
        <f aca="false">IFERROR((G21+G22+G23)/in_Units,0)</f>
        <v>0.314142</v>
      </c>
      <c r="H29" s="27" t="n">
        <f aca="false">IFERROR((H21+H22+H23)/in_Units,0)</f>
        <v>0.3298491</v>
      </c>
      <c r="I29" s="27" t="n">
        <f aca="false">IFERROR((I21+I22+I23)/in_Units,0)</f>
        <v>0</v>
      </c>
      <c r="J29" s="27" t="n">
        <f aca="false">IFERROR((J21+J22+J23)/in_Units,0)</f>
        <v>0</v>
      </c>
    </row>
    <row r="30" customFormat="false" ht="15" hidden="false" customHeight="false" outlineLevel="0" collapsed="false">
      <c r="B30" s="10" t="s">
        <v>221</v>
      </c>
      <c r="C30" s="58" t="n">
        <f aca="false">C28-$C$28</f>
        <v>0</v>
      </c>
      <c r="D30" s="58" t="n">
        <f aca="false">D28-$C$28</f>
        <v>0.1699071</v>
      </c>
      <c r="E30" s="58" t="n">
        <f aca="false">E28-$C$28</f>
        <v>0.2585642</v>
      </c>
      <c r="F30" s="58" t="n">
        <f aca="false">F28-$C$28</f>
        <v>0.0370214000000004</v>
      </c>
      <c r="G30" s="58" t="n">
        <f aca="false">G28-$C$28</f>
        <v>-0.0183643</v>
      </c>
      <c r="H30" s="58" t="n">
        <f aca="false">H28-$C$28</f>
        <v>0.1477928</v>
      </c>
      <c r="I30" s="58" t="n">
        <f aca="false">I28-$C$28</f>
        <v>-0.5053063</v>
      </c>
      <c r="J30" s="58" t="n">
        <f aca="false">J28-$C$28</f>
        <v>0.2981437</v>
      </c>
    </row>
    <row r="31" customFormat="false" ht="15" hidden="false" customHeight="false" outlineLevel="0" collapsed="false">
      <c r="B31" s="10" t="s">
        <v>222</v>
      </c>
      <c r="C31" s="59" t="n">
        <f aca="false">RANK(C28,$C$28:$J$28,1)</f>
        <v>3</v>
      </c>
      <c r="D31" s="59" t="n">
        <f aca="false">RANK(D28,$C$28:$J$28,1)</f>
        <v>6</v>
      </c>
      <c r="E31" s="59" t="n">
        <f aca="false">RANK(E28,$C$28:$J$28,1)</f>
        <v>7</v>
      </c>
      <c r="F31" s="59" t="n">
        <f aca="false">RANK(F28,$C$28:$J$28,1)</f>
        <v>4</v>
      </c>
      <c r="G31" s="59" t="n">
        <f aca="false">RANK(G28,$C$28:$J$28,1)</f>
        <v>2</v>
      </c>
      <c r="H31" s="59" t="n">
        <f aca="false">RANK(H28,$C$28:$J$28,1)</f>
        <v>5</v>
      </c>
      <c r="I31" s="59" t="n">
        <f aca="false">RANK(I28,$C$28:$J$28,1)</f>
        <v>1</v>
      </c>
      <c r="J31" s="59" t="n">
        <f aca="false">RANK(J28,$C$28:$J$28,1)</f>
        <v>8</v>
      </c>
    </row>
    <row r="32" customFormat="false" ht="15" hidden="false" customHeight="false" outlineLevel="0" collapsed="false">
      <c r="B32" s="10" t="s">
        <v>223</v>
      </c>
      <c r="C32" s="41" t="n">
        <f aca="false">IFERROR(C7+($C$28-C28)/(1+C20+IF(C44,0,MPF_Rate)+IF(AND(NOT(C44),C8="Ocean"),HMF_Rate,0)+in_InsPct),0)</f>
        <v>2.95</v>
      </c>
      <c r="D32" s="41" t="n">
        <f aca="false">IFERROR(D7+($C$28-D28)/(1+D20+IF(D44,0,MPF_Rate)+IF(AND(NOT(D44),D8="Ocean"),HMF_Rate,0)+in_InsPct),0)</f>
        <v>2.95</v>
      </c>
      <c r="E32" s="41" t="n">
        <f aca="false">IFERROR(E7+($C$28-E28)/(1+E20+IF(E44,0,MPF_Rate)+IF(AND(NOT(E44),E8="Ocean"),HMF_Rate,0)+in_InsPct),0)</f>
        <v>3.01657855728103</v>
      </c>
      <c r="F32" s="41" t="n">
        <f aca="false">IFERROR(F7+($C$28-F28)/(1+F20+IF(F44,0,MPF_Rate)+IF(AND(NOT(F44),F8="Ocean"),HMF_Rate,0)+in_InsPct),0)</f>
        <v>3.01657855728103</v>
      </c>
      <c r="G32" s="41" t="n">
        <f aca="false">IFERROR(G7+($C$28-G28)/(1+G20+IF(G44,0,MPF_Rate)+IF(AND(NOT(G44),G8="Ocean"),HMF_Rate,0)+in_InsPct),0)</f>
        <v>3.01657855728103</v>
      </c>
      <c r="H32" s="41" t="n">
        <f aca="false">IFERROR(H7+($C$28-H28)/(1+H20+IF(H44,0,MPF_Rate)+IF(AND(NOT(H44),H8="Ocean"),HMF_Rate,0)+in_InsPct),0)</f>
        <v>3.01657855728103</v>
      </c>
      <c r="I32" s="41" t="n">
        <f aca="false">IFERROR(I7+($C$28-I28)/(1+I20+IF(I44,0,MPF_Rate)+IF(AND(NOT(I44),I8="Ocean"),HMF_Rate,0)+in_InsPct),0)</f>
        <v>4.10206097783925</v>
      </c>
      <c r="J32" s="41" t="n">
        <f aca="false">IFERROR(J7+($C$28-J28)/(1+J20+IF(J44,0,MPF_Rate)+IF(AND(NOT(J44),J8="Ocean"),HMF_Rate,0)+in_InsPct),0)</f>
        <v>4.4527480558325</v>
      </c>
    </row>
    <row r="33" customFormat="false" ht="15" hidden="false" customHeight="false" outlineLevel="0" collapsed="false">
      <c r="B33" s="10" t="s">
        <v>224</v>
      </c>
      <c r="C33" s="36" t="n">
        <f aca="false">IFERROR((in_PlannedPrice-C28)/in_PlannedPrice,0)</f>
        <v>0.31588156445557</v>
      </c>
      <c r="D33" s="36" t="n">
        <f aca="false">IFERROR((in_PlannedPrice-D28)/in_PlannedPrice,0)</f>
        <v>0.294616595744681</v>
      </c>
      <c r="E33" s="36" t="n">
        <f aca="false">IFERROR((in_PlannedPrice-E28)/in_PlannedPrice,0)</f>
        <v>0.283520588235294</v>
      </c>
      <c r="F33" s="36" t="n">
        <f aca="false">IFERROR((in_PlannedPrice-F28)/in_PlannedPrice,0)</f>
        <v>0.311248097622028</v>
      </c>
      <c r="G33" s="36" t="n">
        <f aca="false">IFERROR((in_PlannedPrice-G28)/in_PlannedPrice,0)</f>
        <v>0.318179974968711</v>
      </c>
      <c r="H33" s="36" t="n">
        <f aca="false">IFERROR((in_PlannedPrice-H28)/in_PlannedPrice,0)</f>
        <v>0.297384342928661</v>
      </c>
      <c r="I33" s="36" t="n">
        <f aca="false">IFERROR((in_PlannedPrice-I28)/in_PlannedPrice,0)</f>
        <v>0.379123904881101</v>
      </c>
      <c r="J33" s="36" t="n">
        <f aca="false">IFERROR((in_PlannedPrice-J28)/in_PlannedPrice,0)</f>
        <v>0.278566958698373</v>
      </c>
    </row>
    <row r="34" customFormat="false" ht="27.75" hidden="false" customHeight="true" outlineLevel="0" collapsed="false">
      <c r="B34" s="55" t="s">
        <v>225</v>
      </c>
      <c r="C34" s="55"/>
      <c r="D34" s="55"/>
      <c r="E34" s="55"/>
      <c r="F34" s="55"/>
      <c r="G34" s="55"/>
      <c r="H34" s="55"/>
      <c r="I34" s="55"/>
      <c r="J34" s="55"/>
    </row>
    <row r="40" customFormat="false" ht="15" hidden="true" customHeight="false" outlineLevel="0" collapsed="false">
      <c r="B40" s="22" t="s">
        <v>226</v>
      </c>
      <c r="C40" s="25" t="str">
        <f aca="false">IFERROR(INDEX(CT_Method,MATCH(C6,CT_Country,0)),"None")</f>
        <v>Additive</v>
      </c>
      <c r="D40" s="25" t="str">
        <f aca="false">IFERROR(INDEX(CT_Method,MATCH(D6,CT_Country,0)),"None")</f>
        <v>Additive</v>
      </c>
      <c r="E40" s="25" t="str">
        <f aca="false">IFERROR(INDEX(CT_Method,MATCH(E6,CT_Country,0)),"None")</f>
        <v>Additive</v>
      </c>
      <c r="F40" s="25" t="str">
        <f aca="false">IFERROR(INDEX(CT_Method,MATCH(F6,CT_Country,0)),"None")</f>
        <v>Additive</v>
      </c>
      <c r="G40" s="25" t="str">
        <f aca="false">IFERROR(INDEX(CT_Method,MATCH(G6,CT_Country,0)),"None")</f>
        <v>Additive</v>
      </c>
      <c r="H40" s="25" t="str">
        <f aca="false">IFERROR(INDEX(CT_Method,MATCH(H6,CT_Country,0)),"None")</f>
        <v>Additive</v>
      </c>
      <c r="I40" s="25" t="str">
        <f aca="false">IFERROR(INDEX(CT_Method,MATCH(I6,CT_Country,0)),"None")</f>
        <v>Additive</v>
      </c>
      <c r="J40" s="25" t="str">
        <f aca="false">IFERROR(INDEX(CT_Method,MATCH(J6,CT_Country,0)),"None")</f>
        <v>None</v>
      </c>
    </row>
    <row r="41" customFormat="false" ht="15" hidden="true" customHeight="false" outlineLevel="0" collapsed="false">
      <c r="B41" s="22" t="s">
        <v>227</v>
      </c>
      <c r="C41" s="28" t="n">
        <f aca="false">IFERROR(INDEX(CT_Rate,MATCH(C6,CT_Country,0)),0)</f>
        <v>0.125</v>
      </c>
      <c r="D41" s="28" t="n">
        <f aca="false">IFERROR(INDEX(CT_Rate,MATCH(D6,CT_Country,0)),0)</f>
        <v>0.125</v>
      </c>
      <c r="E41" s="28" t="n">
        <f aca="false">IFERROR(INDEX(CT_Rate,MATCH(E6,CT_Country,0)),0)</f>
        <v>0.1</v>
      </c>
      <c r="F41" s="28" t="n">
        <f aca="false">IFERROR(INDEX(CT_Rate,MATCH(F6,CT_Country,0)),0)</f>
        <v>0.1</v>
      </c>
      <c r="G41" s="28" t="n">
        <f aca="false">IFERROR(INDEX(CT_Rate,MATCH(G6,CT_Country,0)),0)</f>
        <v>0.1</v>
      </c>
      <c r="H41" s="28" t="n">
        <f aca="false">IFERROR(INDEX(CT_Rate,MATCH(H6,CT_Country,0)),0)</f>
        <v>0.1</v>
      </c>
      <c r="I41" s="28" t="n">
        <f aca="false">IFERROR(INDEX(CT_Rate,MATCH(I6,CT_Country,0)),0)</f>
        <v>0.1</v>
      </c>
      <c r="J41" s="28" t="n">
        <f aca="false">IFERROR(INDEX(CT_Rate,MATCH(J6,CT_Country,0)),0)</f>
        <v>0</v>
      </c>
    </row>
    <row r="42" customFormat="false" ht="15" hidden="true" customHeight="false" outlineLevel="0" collapsed="false">
      <c r="B42" s="22" t="s">
        <v>228</v>
      </c>
      <c r="C42" s="25" t="str">
        <f aca="false">IFERROR(INDEX(CT_USMCA,MATCH(C6,CT_Country,0)),"No")</f>
        <v>No</v>
      </c>
      <c r="D42" s="25" t="str">
        <f aca="false">IFERROR(INDEX(CT_USMCA,MATCH(D6,CT_Country,0)),"No")</f>
        <v>No</v>
      </c>
      <c r="E42" s="25" t="str">
        <f aca="false">IFERROR(INDEX(CT_USMCA,MATCH(E6,CT_Country,0)),"No")</f>
        <v>No</v>
      </c>
      <c r="F42" s="25" t="str">
        <f aca="false">IFERROR(INDEX(CT_USMCA,MATCH(F6,CT_Country,0)),"No")</f>
        <v>No</v>
      </c>
      <c r="G42" s="25" t="str">
        <f aca="false">IFERROR(INDEX(CT_USMCA,MATCH(G6,CT_Country,0)),"No")</f>
        <v>No</v>
      </c>
      <c r="H42" s="25" t="str">
        <f aca="false">IFERROR(INDEX(CT_USMCA,MATCH(H6,CT_Country,0)),"No")</f>
        <v>No</v>
      </c>
      <c r="I42" s="25" t="str">
        <f aca="false">IFERROR(INDEX(CT_USMCA,MATCH(I6,CT_Country,0)),"No")</f>
        <v>Yes</v>
      </c>
      <c r="J42" s="25" t="str">
        <f aca="false">IFERROR(INDEX(CT_USMCA,MATCH(J6,CT_Country,0)),"No")</f>
        <v>No</v>
      </c>
    </row>
    <row r="43" customFormat="false" ht="15" hidden="true" customHeight="false" outlineLevel="0" collapsed="false">
      <c r="B43" s="22" t="s">
        <v>229</v>
      </c>
      <c r="C43" s="28" t="n">
        <f aca="false">IFERROR(INDEX(CT_WhatIf,MATCH(C6,CT_Country,0)),0)</f>
        <v>0</v>
      </c>
      <c r="D43" s="28" t="n">
        <f aca="false">IFERROR(INDEX(CT_WhatIf,MATCH(D6,CT_Country,0)),0)</f>
        <v>0</v>
      </c>
      <c r="E43" s="28" t="n">
        <f aca="false">IFERROR(INDEX(CT_WhatIf,MATCH(E6,CT_Country,0)),0)</f>
        <v>0</v>
      </c>
      <c r="F43" s="28" t="n">
        <f aca="false">IFERROR(INDEX(CT_WhatIf,MATCH(F6,CT_Country,0)),0)</f>
        <v>0</v>
      </c>
      <c r="G43" s="28" t="n">
        <f aca="false">IFERROR(INDEX(CT_WhatIf,MATCH(G6,CT_Country,0)),0)</f>
        <v>0</v>
      </c>
      <c r="H43" s="28" t="n">
        <f aca="false">IFERROR(INDEX(CT_WhatIf,MATCH(H6,CT_Country,0)),0)</f>
        <v>0</v>
      </c>
      <c r="I43" s="28" t="n">
        <f aca="false">IFERROR(INDEX(CT_WhatIf,MATCH(I6,CT_Country,0)),0)</f>
        <v>0</v>
      </c>
      <c r="J43" s="28" t="n">
        <f aca="false">IFERROR(INDEX(CT_WhatIf,MATCH(J6,CT_Country,0)),0)</f>
        <v>0</v>
      </c>
    </row>
    <row r="44" customFormat="false" ht="15" hidden="true" customHeight="false" outlineLevel="0" collapsed="false">
      <c r="B44" s="22" t="s">
        <v>230</v>
      </c>
      <c r="C44" s="35" t="b">
        <f aca="false">C6="United States (domestic)"</f>
        <v>0</v>
      </c>
      <c r="D44" s="35" t="b">
        <f aca="false">D6="United States (domestic)"</f>
        <v>0</v>
      </c>
      <c r="E44" s="35" t="b">
        <f aca="false">E6="United States (domestic)"</f>
        <v>0</v>
      </c>
      <c r="F44" s="35" t="b">
        <f aca="false">F6="United States (domestic)"</f>
        <v>0</v>
      </c>
      <c r="G44" s="35" t="b">
        <f aca="false">G6="United States (domestic)"</f>
        <v>0</v>
      </c>
      <c r="H44" s="35" t="b">
        <f aca="false">H6="United States (domestic)"</f>
        <v>0</v>
      </c>
      <c r="I44" s="35" t="b">
        <f aca="false">I6="United States (domestic)"</f>
        <v>0</v>
      </c>
      <c r="J44" s="35" t="b">
        <f aca="false">J6="United States (domestic)"</f>
        <v>1</v>
      </c>
    </row>
    <row r="45" customFormat="false" ht="15" hidden="true" customHeight="false" outlineLevel="0" collapsed="false">
      <c r="B45" s="22" t="s">
        <v>231</v>
      </c>
      <c r="C45" s="35" t="b">
        <f aca="false">AND(C10="Yes",C42="Yes")</f>
        <v>0</v>
      </c>
      <c r="D45" s="35" t="b">
        <f aca="false">AND(D10="Yes",D42="Yes")</f>
        <v>0</v>
      </c>
      <c r="E45" s="35" t="b">
        <f aca="false">AND(E10="Yes",E42="Yes")</f>
        <v>0</v>
      </c>
      <c r="F45" s="35" t="b">
        <f aca="false">AND(F10="Yes",F42="Yes")</f>
        <v>0</v>
      </c>
      <c r="G45" s="35" t="b">
        <f aca="false">AND(G10="Yes",G42="Yes")</f>
        <v>0</v>
      </c>
      <c r="H45" s="35" t="b">
        <f aca="false">AND(H10="Yes",H42="Yes")</f>
        <v>0</v>
      </c>
      <c r="I45" s="35" t="b">
        <f aca="false">AND(I10="Yes",I42="Yes")</f>
        <v>1</v>
      </c>
      <c r="J45" s="35" t="b">
        <f aca="false">AND(J10="Yes",J42="Yes")</f>
        <v>0</v>
      </c>
    </row>
    <row r="46" customFormat="false" ht="15" hidden="false" customHeight="false" outlineLevel="0" collapsed="false">
      <c r="B46" s="11" t="s">
        <v>232</v>
      </c>
    </row>
  </sheetData>
  <sheetProtection sheet="true" formatColumns="false" formatRows="false"/>
  <mergeCells count="3">
    <mergeCell ref="B4:J4"/>
    <mergeCell ref="B11:J11"/>
    <mergeCell ref="B34:J34"/>
  </mergeCells>
  <conditionalFormatting sqref="C31:J31">
    <cfRule type="expression" priority="2" aboveAverage="0" equalAverage="0" bottom="0" percent="0" rank="0" text="" dxfId="0">
      <formula>C31=1</formula>
    </cfRule>
  </conditionalFormatting>
  <dataValidations count="3">
    <dataValidation allowBlank="true" error="Pick a value from the list." errorStyle="stop" errorTitle="Invalid entry" operator="between" showDropDown="false" showErrorMessage="false" showInputMessage="false" sqref="C6:J6" type="list">
      <formula1>CT_Country</formula1>
      <formula2>0</formula2>
    </dataValidation>
    <dataValidation allowBlank="true" error="Pick a value from the list." errorStyle="stop" errorTitle="Invalid entry" operator="between" showDropDown="false" showErrorMessage="false" showInputMessage="false" sqref="C8:J8" type="list">
      <formula1>L_Mode</formula1>
      <formula2>0</formula2>
    </dataValidation>
    <dataValidation allowBlank="true" error="Pick a value from the list." errorStyle="stop" errorTitle="Invalid entry" operator="between" showDropDown="false" showErrorMessage="false" showInputMessage="false" sqref="C10:J10" type="list">
      <formula1>L_YesNo</formula1>
      <formula2>0</formula2>
    </dataValidation>
  </dataValidations>
  <printOptions headings="false" gridLines="false" gridLinesSet="true" horizontalCentered="true" verticalCentered="false"/>
  <pageMargins left="0.4" right="0.4"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770FF"/>
    <pageSetUpPr fitToPage="true"/>
  </sheetPr>
  <dimension ref="B1:Z6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
    <col collapsed="false" customWidth="true" hidden="false" outlineLevel="0" max="3" min="3" style="0" width="26"/>
    <col collapsed="false" customWidth="true" hidden="false" outlineLevel="0" max="4" min="4" style="0" width="12"/>
    <col collapsed="false" customWidth="true" hidden="false" outlineLevel="0" max="5" min="5" style="0" width="22"/>
    <col collapsed="false" customWidth="true" hidden="false" outlineLevel="0" max="6" min="6" style="0" width="14"/>
    <col collapsed="false" customWidth="true" hidden="false" outlineLevel="0" max="7" min="7" style="0" width="9"/>
    <col collapsed="false" customWidth="true" hidden="false" outlineLevel="0" max="8" min="8" style="0" width="11"/>
    <col collapsed="false" customWidth="true" hidden="false" outlineLevel="0" max="9" min="9" style="0" width="22"/>
    <col collapsed="false" customWidth="true" hidden="false" outlineLevel="0" max="10" min="10" style="0" width="26"/>
    <col collapsed="false" customWidth="true" hidden="false" outlineLevel="0" max="12" min="11" style="0" width="11"/>
    <col collapsed="false" customWidth="true" hidden="false" outlineLevel="0" max="15" min="13" style="0" width="12"/>
    <col collapsed="false" customWidth="true" hidden="false" outlineLevel="0" max="17" min="16" style="0" width="11"/>
    <col collapsed="false" customWidth="true" hidden="false" outlineLevel="0" max="19" min="18" style="0" width="12"/>
    <col collapsed="false" customWidth="true" hidden="false" outlineLevel="0" max="21" min="20" style="0" width="13"/>
    <col collapsed="false" customWidth="true" hidden="false" outlineLevel="0" max="25" min="22" style="0" width="11"/>
  </cols>
  <sheetData>
    <row r="1" customFormat="false" ht="33.75" hidden="false" customHeight="true" outlineLevel="0" collapsed="false">
      <c r="B1" s="18" t="s">
        <v>21</v>
      </c>
      <c r="C1" s="1"/>
      <c r="D1" s="1"/>
      <c r="E1" s="1"/>
      <c r="F1" s="1"/>
      <c r="G1" s="1"/>
      <c r="H1" s="1"/>
      <c r="I1" s="1"/>
      <c r="J1" s="1"/>
      <c r="K1" s="1"/>
      <c r="L1" s="1"/>
      <c r="M1" s="1"/>
      <c r="N1" s="1"/>
      <c r="O1" s="1"/>
      <c r="P1" s="1"/>
      <c r="Q1" s="1"/>
      <c r="R1" s="1"/>
      <c r="S1" s="1"/>
      <c r="T1" s="1"/>
      <c r="U1" s="1"/>
      <c r="V1" s="1"/>
      <c r="W1" s="1"/>
      <c r="X1" s="1"/>
      <c r="Y1" s="1"/>
      <c r="Z1" s="1"/>
    </row>
    <row r="2" customFormat="false" ht="19.5" hidden="false" customHeight="true" outlineLevel="0" collapsed="false">
      <c r="B2" s="19" t="s">
        <v>233</v>
      </c>
      <c r="C2" s="1"/>
      <c r="D2" s="1"/>
      <c r="E2" s="1"/>
      <c r="F2" s="1"/>
      <c r="G2" s="1"/>
      <c r="H2" s="1"/>
      <c r="I2" s="1"/>
      <c r="J2" s="1"/>
      <c r="K2" s="1"/>
      <c r="L2" s="1"/>
      <c r="M2" s="1"/>
      <c r="N2" s="1"/>
      <c r="O2" s="1"/>
      <c r="P2" s="1"/>
      <c r="Q2" s="1"/>
      <c r="R2" s="1"/>
      <c r="S2" s="1"/>
      <c r="T2" s="1"/>
      <c r="U2" s="1"/>
      <c r="V2" s="1"/>
      <c r="W2" s="1"/>
      <c r="X2" s="1"/>
      <c r="Y2" s="1"/>
      <c r="Z2" s="1"/>
    </row>
    <row r="4" customFormat="false" ht="30" hidden="false" customHeight="true" outlineLevel="0" collapsed="false">
      <c r="B4" s="55" t="s">
        <v>234</v>
      </c>
      <c r="C4" s="55"/>
      <c r="D4" s="55"/>
      <c r="E4" s="55"/>
      <c r="F4" s="55"/>
      <c r="G4" s="55"/>
      <c r="H4" s="55"/>
      <c r="I4" s="55"/>
      <c r="J4" s="55"/>
      <c r="K4" s="55"/>
      <c r="L4" s="55"/>
      <c r="M4" s="55"/>
      <c r="N4" s="55"/>
      <c r="O4" s="55"/>
      <c r="P4" s="55"/>
      <c r="Q4" s="55"/>
      <c r="R4" s="55"/>
      <c r="S4" s="55"/>
      <c r="T4" s="55"/>
      <c r="U4" s="55"/>
      <c r="V4" s="55"/>
      <c r="W4" s="55"/>
      <c r="X4" s="55"/>
      <c r="Y4" s="55"/>
    </row>
    <row r="5" customFormat="false" ht="43.5" hidden="false" customHeight="true" outlineLevel="0" collapsed="false">
      <c r="B5" s="60" t="s">
        <v>235</v>
      </c>
      <c r="C5" s="60" t="s">
        <v>236</v>
      </c>
      <c r="D5" s="60" t="s">
        <v>237</v>
      </c>
      <c r="E5" s="60" t="s">
        <v>75</v>
      </c>
      <c r="F5" s="60" t="s">
        <v>238</v>
      </c>
      <c r="G5" s="60" t="s">
        <v>239</v>
      </c>
      <c r="H5" s="60" t="s">
        <v>240</v>
      </c>
      <c r="I5" s="60" t="s">
        <v>241</v>
      </c>
      <c r="J5" s="60" t="s">
        <v>122</v>
      </c>
      <c r="K5" s="60" t="s">
        <v>242</v>
      </c>
      <c r="L5" s="60" t="s">
        <v>243</v>
      </c>
      <c r="M5" s="60" t="s">
        <v>87</v>
      </c>
      <c r="N5" s="60" t="s">
        <v>244</v>
      </c>
      <c r="O5" s="60" t="s">
        <v>245</v>
      </c>
      <c r="P5" s="61" t="s">
        <v>246</v>
      </c>
      <c r="Q5" s="61" t="s">
        <v>211</v>
      </c>
      <c r="R5" s="61" t="s">
        <v>247</v>
      </c>
      <c r="S5" s="61" t="s">
        <v>248</v>
      </c>
      <c r="T5" s="61" t="s">
        <v>249</v>
      </c>
      <c r="U5" s="61" t="s">
        <v>250</v>
      </c>
      <c r="V5" s="61" t="s">
        <v>251</v>
      </c>
      <c r="W5" s="61" t="s">
        <v>252</v>
      </c>
      <c r="X5" s="61" t="s">
        <v>253</v>
      </c>
      <c r="Y5" s="61" t="s">
        <v>254</v>
      </c>
    </row>
    <row r="6" customFormat="false" ht="15" hidden="false" customHeight="false" outlineLevel="0" collapsed="false">
      <c r="B6" s="62" t="n">
        <v>1</v>
      </c>
      <c r="C6" s="63" t="s">
        <v>255</v>
      </c>
      <c r="D6" s="63" t="s">
        <v>256</v>
      </c>
      <c r="E6" s="63" t="s">
        <v>76</v>
      </c>
      <c r="F6" s="63" t="s">
        <v>71</v>
      </c>
      <c r="G6" s="64" t="n">
        <v>0</v>
      </c>
      <c r="H6" s="65" t="s">
        <v>92</v>
      </c>
      <c r="I6" s="63" t="s">
        <v>116</v>
      </c>
      <c r="J6" s="63" t="s">
        <v>123</v>
      </c>
      <c r="K6" s="65" t="s">
        <v>92</v>
      </c>
      <c r="L6" s="65" t="s">
        <v>96</v>
      </c>
      <c r="M6" s="66" t="n">
        <v>2.95</v>
      </c>
      <c r="N6" s="66" t="n">
        <v>0.85</v>
      </c>
      <c r="O6" s="66" t="n">
        <v>7.99</v>
      </c>
      <c r="P6" s="67" t="n">
        <f aca="false">IF(C6="","",IF(OR(IF(E6="United States (domestic)",0,IFERROR(IF(in_Date&gt;=Wood_Step,INDEX(S232_2027,MATCH(J6,S232_Opt,0)),INDEX(S232_Now,MATCH(J6,S232_Opt,0))),0))&gt;0,K6="Yes",AND(H6="Yes",IFERROR(INDEX(CT_USMCA,MATCH(E6,CT_Country,0)),"No")="Yes")),0,IF(IFERROR(INDEX(CT_Method,MATCH(E6,CT_Country,0)),"None")="Additive",IFERROR(INDEX(CT_Rate,MATCH(E6,CT_Country,0)),0),IF(IFERROR(INDEX(CT_Method,MATCH(E6,CT_Country,0)),"None")="Cap",MAX(0,IFERROR(INDEX(CT_Rate,MATCH(E6,CT_Country,0)),0)-IF(E6="United States (domestic)",0,IF(H6="Yes",0,G6))),0))))</f>
        <v>0.125</v>
      </c>
      <c r="Q6" s="67" t="n">
        <f aca="false">IF(C6="","",IF(E6="United States (domestic)",0,IF(H6="Yes",0,G6))+IF(E6="China",IFERROR(IF(in_Date&gt;Excl_Expiry,INDEX(C301_Post,MATCH(I6,C301_Opt,0)),INDEX(C301_Pre,MATCH(I6,C301_Opt,0))),0),0)+IF(E6="United States (domestic)",0,IFERROR(IF(in_Date&gt;=Wood_Step,INDEX(S232_2027,MATCH(J6,S232_Opt,0)),INDEX(S232_Now,MATCH(J6,S232_Opt,0))),0))+P6)</f>
        <v>0.125</v>
      </c>
      <c r="R6" s="68" t="n">
        <f aca="false">IF(C6="","",M6*Q6)</f>
        <v>0.36875</v>
      </c>
      <c r="S6" s="69" t="n">
        <f aca="false">IF(C6="","",IF(E6="United States (domestic)",0,M6*(IF(AND(H6="Yes",IFERROR(INDEX(CT_USMCA,MATCH(E6,CT_Country,0)),"No")="Yes"),0,MPF_Rate)+IF(L6="Ocean",HMF_Rate,0))))</f>
        <v>0.0139063</v>
      </c>
      <c r="T6" s="68" t="n">
        <f aca="false">IF(C6="","",M6+N6)</f>
        <v>3.8</v>
      </c>
      <c r="U6" s="68" t="n">
        <f aca="false">IF(C6="","",T6+R6+S6)</f>
        <v>4.1826563</v>
      </c>
      <c r="V6" s="68" t="n">
        <f aca="false">IF(OR(C6="",O6=""),"",O6-T6)</f>
        <v>4.19</v>
      </c>
      <c r="W6" s="67" t="n">
        <f aca="false">IF(OR(C6="",O6=""),"",IFERROR(V6/O6,0))</f>
        <v>0.524405506883604</v>
      </c>
      <c r="X6" s="68" t="n">
        <f aca="false">IF(OR(C6="",O6=""),"",O6-U6)</f>
        <v>3.8073437</v>
      </c>
      <c r="Y6" s="67" t="n">
        <f aca="false">IF(OR(C6="",O6=""),"",IFERROR(X6/O6,0))</f>
        <v>0.476513604505632</v>
      </c>
    </row>
    <row r="7" customFormat="false" ht="15" hidden="false" customHeight="false" outlineLevel="0" collapsed="false">
      <c r="B7" s="62" t="n">
        <v>2</v>
      </c>
      <c r="C7" s="63" t="s">
        <v>257</v>
      </c>
      <c r="D7" s="63" t="s">
        <v>258</v>
      </c>
      <c r="E7" s="63" t="s">
        <v>195</v>
      </c>
      <c r="F7" s="63" t="s">
        <v>71</v>
      </c>
      <c r="G7" s="64" t="n">
        <v>0</v>
      </c>
      <c r="H7" s="65" t="s">
        <v>92</v>
      </c>
      <c r="I7" s="63" t="s">
        <v>259</v>
      </c>
      <c r="J7" s="63" t="s">
        <v>123</v>
      </c>
      <c r="K7" s="65" t="s">
        <v>92</v>
      </c>
      <c r="L7" s="65" t="s">
        <v>96</v>
      </c>
      <c r="M7" s="66" t="n">
        <v>3.4</v>
      </c>
      <c r="N7" s="66" t="n">
        <v>0.9</v>
      </c>
      <c r="O7" s="66" t="n">
        <v>9.49</v>
      </c>
      <c r="P7" s="67" t="n">
        <f aca="false">IF(C7="","",IF(OR(IF(E7="United States (domestic)",0,IFERROR(IF(in_Date&gt;=Wood_Step,INDEX(S232_2027,MATCH(J7,S232_Opt,0)),INDEX(S232_Now,MATCH(J7,S232_Opt,0))),0))&gt;0,K7="Yes",AND(H7="Yes",IFERROR(INDEX(CT_USMCA,MATCH(E7,CT_Country,0)),"No")="Yes")),0,IF(IFERROR(INDEX(CT_Method,MATCH(E7,CT_Country,0)),"None")="Additive",IFERROR(INDEX(CT_Rate,MATCH(E7,CT_Country,0)),0),IF(IFERROR(INDEX(CT_Method,MATCH(E7,CT_Country,0)),"None")="Cap",MAX(0,IFERROR(INDEX(CT_Rate,MATCH(E7,CT_Country,0)),0)-IF(E7="United States (domestic)",0,IF(H7="Yes",0,G7))),0))))</f>
        <v>0.125</v>
      </c>
      <c r="Q7" s="67" t="n">
        <f aca="false">IF(C7="","",IF(E7="United States (domestic)",0,IF(H7="Yes",0,G7))+IF(E7="China",IFERROR(IF(in_Date&gt;Excl_Expiry,INDEX(C301_Post,MATCH(I7,C301_Opt,0)),INDEX(C301_Pre,MATCH(I7,C301_Opt,0))),0),0)+IF(E7="United States (domestic)",0,IFERROR(IF(in_Date&gt;=Wood_Step,INDEX(S232_2027,MATCH(J7,S232_Opt,0)),INDEX(S232_Now,MATCH(J7,S232_Opt,0))),0))+P7)</f>
        <v>0.125</v>
      </c>
      <c r="R7" s="68" t="n">
        <f aca="false">IF(C7="","",M7*Q7)</f>
        <v>0.425</v>
      </c>
      <c r="S7" s="69" t="n">
        <f aca="false">IF(C7="","",IF(E7="United States (domestic)",0,M7*(IF(AND(H7="Yes",IFERROR(INDEX(CT_USMCA,MATCH(E7,CT_Country,0)),"No")="Yes"),0,MPF_Rate)+IF(L7="Ocean",HMF_Rate,0))))</f>
        <v>0.0160276</v>
      </c>
      <c r="T7" s="68" t="n">
        <f aca="false">IF(C7="","",M7+N7)</f>
        <v>4.3</v>
      </c>
      <c r="U7" s="68" t="n">
        <f aca="false">IF(C7="","",T7+R7+S7)</f>
        <v>4.7410276</v>
      </c>
      <c r="V7" s="68" t="n">
        <f aca="false">IF(OR(C7="",O7=""),"",O7-T7)</f>
        <v>5.19</v>
      </c>
      <c r="W7" s="67" t="n">
        <f aca="false">IF(OR(C7="",O7=""),"",IFERROR(V7/O7,0))</f>
        <v>0.546891464699684</v>
      </c>
      <c r="X7" s="68" t="n">
        <f aca="false">IF(OR(C7="",O7=""),"",O7-U7)</f>
        <v>4.7489724</v>
      </c>
      <c r="Y7" s="67" t="n">
        <f aca="false">IF(OR(C7="",O7=""),"",IFERROR(X7/O7,0))</f>
        <v>0.500418587987355</v>
      </c>
    </row>
    <row r="8" customFormat="false" ht="15" hidden="false" customHeight="false" outlineLevel="0" collapsed="false">
      <c r="B8" s="62" t="n">
        <v>3</v>
      </c>
      <c r="C8" s="63" t="s">
        <v>260</v>
      </c>
      <c r="D8" s="63" t="s">
        <v>261</v>
      </c>
      <c r="E8" s="63" t="s">
        <v>200</v>
      </c>
      <c r="F8" s="63" t="s">
        <v>262</v>
      </c>
      <c r="G8" s="64" t="n">
        <v>0</v>
      </c>
      <c r="H8" s="65" t="s">
        <v>206</v>
      </c>
      <c r="I8" s="63" t="s">
        <v>259</v>
      </c>
      <c r="J8" s="63" t="s">
        <v>263</v>
      </c>
      <c r="K8" s="65" t="s">
        <v>92</v>
      </c>
      <c r="L8" s="65" t="s">
        <v>203</v>
      </c>
      <c r="M8" s="66" t="n">
        <v>28</v>
      </c>
      <c r="N8" s="66" t="n">
        <v>6.5</v>
      </c>
      <c r="O8" s="66" t="n">
        <v>89</v>
      </c>
      <c r="P8" s="67" t="n">
        <f aca="false">IF(C8="","",IF(OR(IF(E8="United States (domestic)",0,IFERROR(IF(in_Date&gt;=Wood_Step,INDEX(S232_2027,MATCH(J8,S232_Opt,0)),INDEX(S232_Now,MATCH(J8,S232_Opt,0))),0))&gt;0,K8="Yes",AND(H8="Yes",IFERROR(INDEX(CT_USMCA,MATCH(E8,CT_Country,0)),"No")="Yes")),0,IF(IFERROR(INDEX(CT_Method,MATCH(E8,CT_Country,0)),"None")="Additive",IFERROR(INDEX(CT_Rate,MATCH(E8,CT_Country,0)),0),IF(IFERROR(INDEX(CT_Method,MATCH(E8,CT_Country,0)),"None")="Cap",MAX(0,IFERROR(INDEX(CT_Rate,MATCH(E8,CT_Country,0)),0)-IF(E8="United States (domestic)",0,IF(H8="Yes",0,G8))),0))))</f>
        <v>0</v>
      </c>
      <c r="Q8" s="67" t="n">
        <f aca="false">IF(C8="","",IF(E8="United States (domestic)",0,IF(H8="Yes",0,G8))+IF(E8="China",IFERROR(IF(in_Date&gt;Excl_Expiry,INDEX(C301_Post,MATCH(I8,C301_Opt,0)),INDEX(C301_Pre,MATCH(I8,C301_Opt,0))),0),0)+IF(E8="United States (domestic)",0,IFERROR(IF(in_Date&gt;=Wood_Step,INDEX(S232_2027,MATCH(J8,S232_Opt,0)),INDEX(S232_Now,MATCH(J8,S232_Opt,0))),0))+P8)</f>
        <v>0.25</v>
      </c>
      <c r="R8" s="68" t="n">
        <f aca="false">IF(C8="","",M8*Q8)</f>
        <v>7</v>
      </c>
      <c r="S8" s="69" t="n">
        <f aca="false">IF(C8="","",IF(E8="United States (domestic)",0,M8*(IF(AND(H8="Yes",IFERROR(INDEX(CT_USMCA,MATCH(E8,CT_Country,0)),"No")="Yes"),0,MPF_Rate)+IF(L8="Ocean",HMF_Rate,0))))</f>
        <v>0</v>
      </c>
      <c r="T8" s="68" t="n">
        <f aca="false">IF(C8="","",M8+N8)</f>
        <v>34.5</v>
      </c>
      <c r="U8" s="68" t="n">
        <f aca="false">IF(C8="","",T8+R8+S8)</f>
        <v>41.5</v>
      </c>
      <c r="V8" s="68" t="n">
        <f aca="false">IF(OR(C8="",O8=""),"",O8-T8)</f>
        <v>54.5</v>
      </c>
      <c r="W8" s="67" t="n">
        <f aca="false">IF(OR(C8="",O8=""),"",IFERROR(V8/O8,0))</f>
        <v>0.612359550561798</v>
      </c>
      <c r="X8" s="68" t="n">
        <f aca="false">IF(OR(C8="",O8=""),"",O8-U8)</f>
        <v>47.5</v>
      </c>
      <c r="Y8" s="67" t="n">
        <f aca="false">IF(OR(C8="",O8=""),"",IFERROR(X8/O8,0))</f>
        <v>0.533707865168539</v>
      </c>
    </row>
    <row r="9" customFormat="false" ht="15" hidden="false" customHeight="false" outlineLevel="0" collapsed="false">
      <c r="B9" s="62" t="n">
        <v>4</v>
      </c>
      <c r="C9" s="63"/>
      <c r="D9" s="63"/>
      <c r="E9" s="63"/>
      <c r="F9" s="63"/>
      <c r="G9" s="64"/>
      <c r="H9" s="65"/>
      <c r="I9" s="63"/>
      <c r="J9" s="63"/>
      <c r="K9" s="65"/>
      <c r="L9" s="65"/>
      <c r="M9" s="66"/>
      <c r="N9" s="66"/>
      <c r="O9" s="66"/>
      <c r="P9" s="67" t="str">
        <f aca="false">IF(C9="","",IF(OR(IF(E9="United States (domestic)",0,IFERROR(IF(in_Date&gt;=Wood_Step,INDEX(S232_2027,MATCH(J9,S232_Opt,0)),INDEX(S232_Now,MATCH(J9,S232_Opt,0))),0))&gt;0,K9="Yes",AND(H9="Yes",IFERROR(INDEX(CT_USMCA,MATCH(E9,CT_Country,0)),"No")="Yes")),0,IF(IFERROR(INDEX(CT_Method,MATCH(E9,CT_Country,0)),"None")="Additive",IFERROR(INDEX(CT_Rate,MATCH(E9,CT_Country,0)),0),IF(IFERROR(INDEX(CT_Method,MATCH(E9,CT_Country,0)),"None")="Cap",MAX(0,IFERROR(INDEX(CT_Rate,MATCH(E9,CT_Country,0)),0)-IF(E9="United States (domestic)",0,IF(H9="Yes",0,G9))),0))))</f>
        <v/>
      </c>
      <c r="Q9" s="67" t="str">
        <f aca="false">IF(C9="","",IF(E9="United States (domestic)",0,IF(H9="Yes",0,G9))+IF(E9="China",IFERROR(IF(in_Date&gt;Excl_Expiry,INDEX(C301_Post,MATCH(I9,C301_Opt,0)),INDEX(C301_Pre,MATCH(I9,C301_Opt,0))),0),0)+IF(E9="United States (domestic)",0,IFERROR(IF(in_Date&gt;=Wood_Step,INDEX(S232_2027,MATCH(J9,S232_Opt,0)),INDEX(S232_Now,MATCH(J9,S232_Opt,0))),0))+P9)</f>
        <v/>
      </c>
      <c r="R9" s="68" t="str">
        <f aca="false">IF(C9="","",M9*Q9)</f>
        <v/>
      </c>
      <c r="S9" s="69" t="str">
        <f aca="false">IF(C9="","",IF(E9="United States (domestic)",0,M9*(IF(AND(H9="Yes",IFERROR(INDEX(CT_USMCA,MATCH(E9,CT_Country,0)),"No")="Yes"),0,MPF_Rate)+IF(L9="Ocean",HMF_Rate,0))))</f>
        <v/>
      </c>
      <c r="T9" s="68" t="str">
        <f aca="false">IF(C9="","",M9+N9)</f>
        <v/>
      </c>
      <c r="U9" s="68" t="str">
        <f aca="false">IF(C9="","",T9+R9+S9)</f>
        <v/>
      </c>
      <c r="V9" s="68" t="str">
        <f aca="false">IF(OR(C9="",O9=""),"",O9-T9)</f>
        <v/>
      </c>
      <c r="W9" s="67" t="str">
        <f aca="false">IF(OR(C9="",O9=""),"",IFERROR(V9/O9,0))</f>
        <v/>
      </c>
      <c r="X9" s="68" t="str">
        <f aca="false">IF(OR(C9="",O9=""),"",O9-U9)</f>
        <v/>
      </c>
      <c r="Y9" s="67" t="str">
        <f aca="false">IF(OR(C9="",O9=""),"",IFERROR(X9/O9,0))</f>
        <v/>
      </c>
    </row>
    <row r="10" customFormat="false" ht="15" hidden="false" customHeight="false" outlineLevel="0" collapsed="false">
      <c r="B10" s="62" t="n">
        <v>5</v>
      </c>
      <c r="C10" s="63"/>
      <c r="D10" s="63"/>
      <c r="E10" s="63"/>
      <c r="F10" s="63"/>
      <c r="G10" s="64"/>
      <c r="H10" s="65"/>
      <c r="I10" s="63"/>
      <c r="J10" s="63"/>
      <c r="K10" s="65"/>
      <c r="L10" s="65"/>
      <c r="M10" s="66"/>
      <c r="N10" s="66"/>
      <c r="O10" s="66"/>
      <c r="P10" s="67" t="str">
        <f aca="false">IF(C10="","",IF(OR(IF(E10="United States (domestic)",0,IFERROR(IF(in_Date&gt;=Wood_Step,INDEX(S232_2027,MATCH(J10,S232_Opt,0)),INDEX(S232_Now,MATCH(J10,S232_Opt,0))),0))&gt;0,K10="Yes",AND(H10="Yes",IFERROR(INDEX(CT_USMCA,MATCH(E10,CT_Country,0)),"No")="Yes")),0,IF(IFERROR(INDEX(CT_Method,MATCH(E10,CT_Country,0)),"None")="Additive",IFERROR(INDEX(CT_Rate,MATCH(E10,CT_Country,0)),0),IF(IFERROR(INDEX(CT_Method,MATCH(E10,CT_Country,0)),"None")="Cap",MAX(0,IFERROR(INDEX(CT_Rate,MATCH(E10,CT_Country,0)),0)-IF(E10="United States (domestic)",0,IF(H10="Yes",0,G10))),0))))</f>
        <v/>
      </c>
      <c r="Q10" s="67" t="str">
        <f aca="false">IF(C10="","",IF(E10="United States (domestic)",0,IF(H10="Yes",0,G10))+IF(E10="China",IFERROR(IF(in_Date&gt;Excl_Expiry,INDEX(C301_Post,MATCH(I10,C301_Opt,0)),INDEX(C301_Pre,MATCH(I10,C301_Opt,0))),0),0)+IF(E10="United States (domestic)",0,IFERROR(IF(in_Date&gt;=Wood_Step,INDEX(S232_2027,MATCH(J10,S232_Opt,0)),INDEX(S232_Now,MATCH(J10,S232_Opt,0))),0))+P10)</f>
        <v/>
      </c>
      <c r="R10" s="68" t="str">
        <f aca="false">IF(C10="","",M10*Q10)</f>
        <v/>
      </c>
      <c r="S10" s="69" t="str">
        <f aca="false">IF(C10="","",IF(E10="United States (domestic)",0,M10*(IF(AND(H10="Yes",IFERROR(INDEX(CT_USMCA,MATCH(E10,CT_Country,0)),"No")="Yes"),0,MPF_Rate)+IF(L10="Ocean",HMF_Rate,0))))</f>
        <v/>
      </c>
      <c r="T10" s="68" t="str">
        <f aca="false">IF(C10="","",M10+N10)</f>
        <v/>
      </c>
      <c r="U10" s="68" t="str">
        <f aca="false">IF(C10="","",T10+R10+S10)</f>
        <v/>
      </c>
      <c r="V10" s="68" t="str">
        <f aca="false">IF(OR(C10="",O10=""),"",O10-T10)</f>
        <v/>
      </c>
      <c r="W10" s="67" t="str">
        <f aca="false">IF(OR(C10="",O10=""),"",IFERROR(V10/O10,0))</f>
        <v/>
      </c>
      <c r="X10" s="68" t="str">
        <f aca="false">IF(OR(C10="",O10=""),"",O10-U10)</f>
        <v/>
      </c>
      <c r="Y10" s="67" t="str">
        <f aca="false">IF(OR(C10="",O10=""),"",IFERROR(X10/O10,0))</f>
        <v/>
      </c>
    </row>
    <row r="11" customFormat="false" ht="15" hidden="false" customHeight="false" outlineLevel="0" collapsed="false">
      <c r="B11" s="62" t="n">
        <v>6</v>
      </c>
      <c r="C11" s="63"/>
      <c r="D11" s="63"/>
      <c r="E11" s="63"/>
      <c r="F11" s="63"/>
      <c r="G11" s="64"/>
      <c r="H11" s="65"/>
      <c r="I11" s="63"/>
      <c r="J11" s="63"/>
      <c r="K11" s="65"/>
      <c r="L11" s="65"/>
      <c r="M11" s="66"/>
      <c r="N11" s="66"/>
      <c r="O11" s="66"/>
      <c r="P11" s="67" t="str">
        <f aca="false">IF(C11="","",IF(OR(IF(E11="United States (domestic)",0,IFERROR(IF(in_Date&gt;=Wood_Step,INDEX(S232_2027,MATCH(J11,S232_Opt,0)),INDEX(S232_Now,MATCH(J11,S232_Opt,0))),0))&gt;0,K11="Yes",AND(H11="Yes",IFERROR(INDEX(CT_USMCA,MATCH(E11,CT_Country,0)),"No")="Yes")),0,IF(IFERROR(INDEX(CT_Method,MATCH(E11,CT_Country,0)),"None")="Additive",IFERROR(INDEX(CT_Rate,MATCH(E11,CT_Country,0)),0),IF(IFERROR(INDEX(CT_Method,MATCH(E11,CT_Country,0)),"None")="Cap",MAX(0,IFERROR(INDEX(CT_Rate,MATCH(E11,CT_Country,0)),0)-IF(E11="United States (domestic)",0,IF(H11="Yes",0,G11))),0))))</f>
        <v/>
      </c>
      <c r="Q11" s="67" t="str">
        <f aca="false">IF(C11="","",IF(E11="United States (domestic)",0,IF(H11="Yes",0,G11))+IF(E11="China",IFERROR(IF(in_Date&gt;Excl_Expiry,INDEX(C301_Post,MATCH(I11,C301_Opt,0)),INDEX(C301_Pre,MATCH(I11,C301_Opt,0))),0),0)+IF(E11="United States (domestic)",0,IFERROR(IF(in_Date&gt;=Wood_Step,INDEX(S232_2027,MATCH(J11,S232_Opt,0)),INDEX(S232_Now,MATCH(J11,S232_Opt,0))),0))+P11)</f>
        <v/>
      </c>
      <c r="R11" s="68" t="str">
        <f aca="false">IF(C11="","",M11*Q11)</f>
        <v/>
      </c>
      <c r="S11" s="69" t="str">
        <f aca="false">IF(C11="","",IF(E11="United States (domestic)",0,M11*(IF(AND(H11="Yes",IFERROR(INDEX(CT_USMCA,MATCH(E11,CT_Country,0)),"No")="Yes"),0,MPF_Rate)+IF(L11="Ocean",HMF_Rate,0))))</f>
        <v/>
      </c>
      <c r="T11" s="68" t="str">
        <f aca="false">IF(C11="","",M11+N11)</f>
        <v/>
      </c>
      <c r="U11" s="68" t="str">
        <f aca="false">IF(C11="","",T11+R11+S11)</f>
        <v/>
      </c>
      <c r="V11" s="68" t="str">
        <f aca="false">IF(OR(C11="",O11=""),"",O11-T11)</f>
        <v/>
      </c>
      <c r="W11" s="67" t="str">
        <f aca="false">IF(OR(C11="",O11=""),"",IFERROR(V11/O11,0))</f>
        <v/>
      </c>
      <c r="X11" s="68" t="str">
        <f aca="false">IF(OR(C11="",O11=""),"",O11-U11)</f>
        <v/>
      </c>
      <c r="Y11" s="67" t="str">
        <f aca="false">IF(OR(C11="",O11=""),"",IFERROR(X11/O11,0))</f>
        <v/>
      </c>
    </row>
    <row r="12" customFormat="false" ht="15" hidden="false" customHeight="false" outlineLevel="0" collapsed="false">
      <c r="B12" s="62" t="n">
        <v>7</v>
      </c>
      <c r="C12" s="63"/>
      <c r="D12" s="63"/>
      <c r="E12" s="63"/>
      <c r="F12" s="63"/>
      <c r="G12" s="64"/>
      <c r="H12" s="65"/>
      <c r="I12" s="63"/>
      <c r="J12" s="63"/>
      <c r="K12" s="65"/>
      <c r="L12" s="65"/>
      <c r="M12" s="66"/>
      <c r="N12" s="66"/>
      <c r="O12" s="66"/>
      <c r="P12" s="67" t="str">
        <f aca="false">IF(C12="","",IF(OR(IF(E12="United States (domestic)",0,IFERROR(IF(in_Date&gt;=Wood_Step,INDEX(S232_2027,MATCH(J12,S232_Opt,0)),INDEX(S232_Now,MATCH(J12,S232_Opt,0))),0))&gt;0,K12="Yes",AND(H12="Yes",IFERROR(INDEX(CT_USMCA,MATCH(E12,CT_Country,0)),"No")="Yes")),0,IF(IFERROR(INDEX(CT_Method,MATCH(E12,CT_Country,0)),"None")="Additive",IFERROR(INDEX(CT_Rate,MATCH(E12,CT_Country,0)),0),IF(IFERROR(INDEX(CT_Method,MATCH(E12,CT_Country,0)),"None")="Cap",MAX(0,IFERROR(INDEX(CT_Rate,MATCH(E12,CT_Country,0)),0)-IF(E12="United States (domestic)",0,IF(H12="Yes",0,G12))),0))))</f>
        <v/>
      </c>
      <c r="Q12" s="67" t="str">
        <f aca="false">IF(C12="","",IF(E12="United States (domestic)",0,IF(H12="Yes",0,G12))+IF(E12="China",IFERROR(IF(in_Date&gt;Excl_Expiry,INDEX(C301_Post,MATCH(I12,C301_Opt,0)),INDEX(C301_Pre,MATCH(I12,C301_Opt,0))),0),0)+IF(E12="United States (domestic)",0,IFERROR(IF(in_Date&gt;=Wood_Step,INDEX(S232_2027,MATCH(J12,S232_Opt,0)),INDEX(S232_Now,MATCH(J12,S232_Opt,0))),0))+P12)</f>
        <v/>
      </c>
      <c r="R12" s="68" t="str">
        <f aca="false">IF(C12="","",M12*Q12)</f>
        <v/>
      </c>
      <c r="S12" s="69" t="str">
        <f aca="false">IF(C12="","",IF(E12="United States (domestic)",0,M12*(IF(AND(H12="Yes",IFERROR(INDEX(CT_USMCA,MATCH(E12,CT_Country,0)),"No")="Yes"),0,MPF_Rate)+IF(L12="Ocean",HMF_Rate,0))))</f>
        <v/>
      </c>
      <c r="T12" s="68" t="str">
        <f aca="false">IF(C12="","",M12+N12)</f>
        <v/>
      </c>
      <c r="U12" s="68" t="str">
        <f aca="false">IF(C12="","",T12+R12+S12)</f>
        <v/>
      </c>
      <c r="V12" s="68" t="str">
        <f aca="false">IF(OR(C12="",O12=""),"",O12-T12)</f>
        <v/>
      </c>
      <c r="W12" s="67" t="str">
        <f aca="false">IF(OR(C12="",O12=""),"",IFERROR(V12/O12,0))</f>
        <v/>
      </c>
      <c r="X12" s="68" t="str">
        <f aca="false">IF(OR(C12="",O12=""),"",O12-U12)</f>
        <v/>
      </c>
      <c r="Y12" s="67" t="str">
        <f aca="false">IF(OR(C12="",O12=""),"",IFERROR(X12/O12,0))</f>
        <v/>
      </c>
    </row>
    <row r="13" customFormat="false" ht="15" hidden="false" customHeight="false" outlineLevel="0" collapsed="false">
      <c r="B13" s="62" t="n">
        <v>8</v>
      </c>
      <c r="C13" s="63"/>
      <c r="D13" s="63"/>
      <c r="E13" s="63"/>
      <c r="F13" s="63"/>
      <c r="G13" s="64"/>
      <c r="H13" s="65"/>
      <c r="I13" s="63"/>
      <c r="J13" s="63"/>
      <c r="K13" s="65"/>
      <c r="L13" s="65"/>
      <c r="M13" s="66"/>
      <c r="N13" s="66"/>
      <c r="O13" s="66"/>
      <c r="P13" s="67" t="str">
        <f aca="false">IF(C13="","",IF(OR(IF(E13="United States (domestic)",0,IFERROR(IF(in_Date&gt;=Wood_Step,INDEX(S232_2027,MATCH(J13,S232_Opt,0)),INDEX(S232_Now,MATCH(J13,S232_Opt,0))),0))&gt;0,K13="Yes",AND(H13="Yes",IFERROR(INDEX(CT_USMCA,MATCH(E13,CT_Country,0)),"No")="Yes")),0,IF(IFERROR(INDEX(CT_Method,MATCH(E13,CT_Country,0)),"None")="Additive",IFERROR(INDEX(CT_Rate,MATCH(E13,CT_Country,0)),0),IF(IFERROR(INDEX(CT_Method,MATCH(E13,CT_Country,0)),"None")="Cap",MAX(0,IFERROR(INDEX(CT_Rate,MATCH(E13,CT_Country,0)),0)-IF(E13="United States (domestic)",0,IF(H13="Yes",0,G13))),0))))</f>
        <v/>
      </c>
      <c r="Q13" s="67" t="str">
        <f aca="false">IF(C13="","",IF(E13="United States (domestic)",0,IF(H13="Yes",0,G13))+IF(E13="China",IFERROR(IF(in_Date&gt;Excl_Expiry,INDEX(C301_Post,MATCH(I13,C301_Opt,0)),INDEX(C301_Pre,MATCH(I13,C301_Opt,0))),0),0)+IF(E13="United States (domestic)",0,IFERROR(IF(in_Date&gt;=Wood_Step,INDEX(S232_2027,MATCH(J13,S232_Opt,0)),INDEX(S232_Now,MATCH(J13,S232_Opt,0))),0))+P13)</f>
        <v/>
      </c>
      <c r="R13" s="68" t="str">
        <f aca="false">IF(C13="","",M13*Q13)</f>
        <v/>
      </c>
      <c r="S13" s="69" t="str">
        <f aca="false">IF(C13="","",IF(E13="United States (domestic)",0,M13*(IF(AND(H13="Yes",IFERROR(INDEX(CT_USMCA,MATCH(E13,CT_Country,0)),"No")="Yes"),0,MPF_Rate)+IF(L13="Ocean",HMF_Rate,0))))</f>
        <v/>
      </c>
      <c r="T13" s="68" t="str">
        <f aca="false">IF(C13="","",M13+N13)</f>
        <v/>
      </c>
      <c r="U13" s="68" t="str">
        <f aca="false">IF(C13="","",T13+R13+S13)</f>
        <v/>
      </c>
      <c r="V13" s="68" t="str">
        <f aca="false">IF(OR(C13="",O13=""),"",O13-T13)</f>
        <v/>
      </c>
      <c r="W13" s="67" t="str">
        <f aca="false">IF(OR(C13="",O13=""),"",IFERROR(V13/O13,0))</f>
        <v/>
      </c>
      <c r="X13" s="68" t="str">
        <f aca="false">IF(OR(C13="",O13=""),"",O13-U13)</f>
        <v/>
      </c>
      <c r="Y13" s="67" t="str">
        <f aca="false">IF(OR(C13="",O13=""),"",IFERROR(X13/O13,0))</f>
        <v/>
      </c>
    </row>
    <row r="14" customFormat="false" ht="15" hidden="false" customHeight="false" outlineLevel="0" collapsed="false">
      <c r="B14" s="62" t="n">
        <v>9</v>
      </c>
      <c r="C14" s="63"/>
      <c r="D14" s="63"/>
      <c r="E14" s="63"/>
      <c r="F14" s="63"/>
      <c r="G14" s="64"/>
      <c r="H14" s="65"/>
      <c r="I14" s="63"/>
      <c r="J14" s="63"/>
      <c r="K14" s="65"/>
      <c r="L14" s="65"/>
      <c r="M14" s="66"/>
      <c r="N14" s="66"/>
      <c r="O14" s="66"/>
      <c r="P14" s="67" t="str">
        <f aca="false">IF(C14="","",IF(OR(IF(E14="United States (domestic)",0,IFERROR(IF(in_Date&gt;=Wood_Step,INDEX(S232_2027,MATCH(J14,S232_Opt,0)),INDEX(S232_Now,MATCH(J14,S232_Opt,0))),0))&gt;0,K14="Yes",AND(H14="Yes",IFERROR(INDEX(CT_USMCA,MATCH(E14,CT_Country,0)),"No")="Yes")),0,IF(IFERROR(INDEX(CT_Method,MATCH(E14,CT_Country,0)),"None")="Additive",IFERROR(INDEX(CT_Rate,MATCH(E14,CT_Country,0)),0),IF(IFERROR(INDEX(CT_Method,MATCH(E14,CT_Country,0)),"None")="Cap",MAX(0,IFERROR(INDEX(CT_Rate,MATCH(E14,CT_Country,0)),0)-IF(E14="United States (domestic)",0,IF(H14="Yes",0,G14))),0))))</f>
        <v/>
      </c>
      <c r="Q14" s="67" t="str">
        <f aca="false">IF(C14="","",IF(E14="United States (domestic)",0,IF(H14="Yes",0,G14))+IF(E14="China",IFERROR(IF(in_Date&gt;Excl_Expiry,INDEX(C301_Post,MATCH(I14,C301_Opt,0)),INDEX(C301_Pre,MATCH(I14,C301_Opt,0))),0),0)+IF(E14="United States (domestic)",0,IFERROR(IF(in_Date&gt;=Wood_Step,INDEX(S232_2027,MATCH(J14,S232_Opt,0)),INDEX(S232_Now,MATCH(J14,S232_Opt,0))),0))+P14)</f>
        <v/>
      </c>
      <c r="R14" s="68" t="str">
        <f aca="false">IF(C14="","",M14*Q14)</f>
        <v/>
      </c>
      <c r="S14" s="69" t="str">
        <f aca="false">IF(C14="","",IF(E14="United States (domestic)",0,M14*(IF(AND(H14="Yes",IFERROR(INDEX(CT_USMCA,MATCH(E14,CT_Country,0)),"No")="Yes"),0,MPF_Rate)+IF(L14="Ocean",HMF_Rate,0))))</f>
        <v/>
      </c>
      <c r="T14" s="68" t="str">
        <f aca="false">IF(C14="","",M14+N14)</f>
        <v/>
      </c>
      <c r="U14" s="68" t="str">
        <f aca="false">IF(C14="","",T14+R14+S14)</f>
        <v/>
      </c>
      <c r="V14" s="68" t="str">
        <f aca="false">IF(OR(C14="",O14=""),"",O14-T14)</f>
        <v/>
      </c>
      <c r="W14" s="67" t="str">
        <f aca="false">IF(OR(C14="",O14=""),"",IFERROR(V14/O14,0))</f>
        <v/>
      </c>
      <c r="X14" s="68" t="str">
        <f aca="false">IF(OR(C14="",O14=""),"",O14-U14)</f>
        <v/>
      </c>
      <c r="Y14" s="67" t="str">
        <f aca="false">IF(OR(C14="",O14=""),"",IFERROR(X14/O14,0))</f>
        <v/>
      </c>
    </row>
    <row r="15" customFormat="false" ht="15" hidden="false" customHeight="false" outlineLevel="0" collapsed="false">
      <c r="B15" s="62" t="n">
        <v>10</v>
      </c>
      <c r="C15" s="63"/>
      <c r="D15" s="63"/>
      <c r="E15" s="63"/>
      <c r="F15" s="63"/>
      <c r="G15" s="64"/>
      <c r="H15" s="65"/>
      <c r="I15" s="63"/>
      <c r="J15" s="63"/>
      <c r="K15" s="65"/>
      <c r="L15" s="65"/>
      <c r="M15" s="66"/>
      <c r="N15" s="66"/>
      <c r="O15" s="66"/>
      <c r="P15" s="67" t="str">
        <f aca="false">IF(C15="","",IF(OR(IF(E15="United States (domestic)",0,IFERROR(IF(in_Date&gt;=Wood_Step,INDEX(S232_2027,MATCH(J15,S232_Opt,0)),INDEX(S232_Now,MATCH(J15,S232_Opt,0))),0))&gt;0,K15="Yes",AND(H15="Yes",IFERROR(INDEX(CT_USMCA,MATCH(E15,CT_Country,0)),"No")="Yes")),0,IF(IFERROR(INDEX(CT_Method,MATCH(E15,CT_Country,0)),"None")="Additive",IFERROR(INDEX(CT_Rate,MATCH(E15,CT_Country,0)),0),IF(IFERROR(INDEX(CT_Method,MATCH(E15,CT_Country,0)),"None")="Cap",MAX(0,IFERROR(INDEX(CT_Rate,MATCH(E15,CT_Country,0)),0)-IF(E15="United States (domestic)",0,IF(H15="Yes",0,G15))),0))))</f>
        <v/>
      </c>
      <c r="Q15" s="67" t="str">
        <f aca="false">IF(C15="","",IF(E15="United States (domestic)",0,IF(H15="Yes",0,G15))+IF(E15="China",IFERROR(IF(in_Date&gt;Excl_Expiry,INDEX(C301_Post,MATCH(I15,C301_Opt,0)),INDEX(C301_Pre,MATCH(I15,C301_Opt,0))),0),0)+IF(E15="United States (domestic)",0,IFERROR(IF(in_Date&gt;=Wood_Step,INDEX(S232_2027,MATCH(J15,S232_Opt,0)),INDEX(S232_Now,MATCH(J15,S232_Opt,0))),0))+P15)</f>
        <v/>
      </c>
      <c r="R15" s="68" t="str">
        <f aca="false">IF(C15="","",M15*Q15)</f>
        <v/>
      </c>
      <c r="S15" s="69" t="str">
        <f aca="false">IF(C15="","",IF(E15="United States (domestic)",0,M15*(IF(AND(H15="Yes",IFERROR(INDEX(CT_USMCA,MATCH(E15,CT_Country,0)),"No")="Yes"),0,MPF_Rate)+IF(L15="Ocean",HMF_Rate,0))))</f>
        <v/>
      </c>
      <c r="T15" s="68" t="str">
        <f aca="false">IF(C15="","",M15+N15)</f>
        <v/>
      </c>
      <c r="U15" s="68" t="str">
        <f aca="false">IF(C15="","",T15+R15+S15)</f>
        <v/>
      </c>
      <c r="V15" s="68" t="str">
        <f aca="false">IF(OR(C15="",O15=""),"",O15-T15)</f>
        <v/>
      </c>
      <c r="W15" s="67" t="str">
        <f aca="false">IF(OR(C15="",O15=""),"",IFERROR(V15/O15,0))</f>
        <v/>
      </c>
      <c r="X15" s="68" t="str">
        <f aca="false">IF(OR(C15="",O15=""),"",O15-U15)</f>
        <v/>
      </c>
      <c r="Y15" s="67" t="str">
        <f aca="false">IF(OR(C15="",O15=""),"",IFERROR(X15/O15,0))</f>
        <v/>
      </c>
    </row>
    <row r="16" customFormat="false" ht="15" hidden="false" customHeight="false" outlineLevel="0" collapsed="false">
      <c r="B16" s="62" t="n">
        <v>11</v>
      </c>
      <c r="C16" s="63"/>
      <c r="D16" s="63"/>
      <c r="E16" s="63"/>
      <c r="F16" s="63"/>
      <c r="G16" s="64"/>
      <c r="H16" s="65"/>
      <c r="I16" s="63"/>
      <c r="J16" s="63"/>
      <c r="K16" s="65"/>
      <c r="L16" s="65"/>
      <c r="M16" s="66"/>
      <c r="N16" s="66"/>
      <c r="O16" s="66"/>
      <c r="P16" s="67" t="str">
        <f aca="false">IF(C16="","",IF(OR(IF(E16="United States (domestic)",0,IFERROR(IF(in_Date&gt;=Wood_Step,INDEX(S232_2027,MATCH(J16,S232_Opt,0)),INDEX(S232_Now,MATCH(J16,S232_Opt,0))),0))&gt;0,K16="Yes",AND(H16="Yes",IFERROR(INDEX(CT_USMCA,MATCH(E16,CT_Country,0)),"No")="Yes")),0,IF(IFERROR(INDEX(CT_Method,MATCH(E16,CT_Country,0)),"None")="Additive",IFERROR(INDEX(CT_Rate,MATCH(E16,CT_Country,0)),0),IF(IFERROR(INDEX(CT_Method,MATCH(E16,CT_Country,0)),"None")="Cap",MAX(0,IFERROR(INDEX(CT_Rate,MATCH(E16,CT_Country,0)),0)-IF(E16="United States (domestic)",0,IF(H16="Yes",0,G16))),0))))</f>
        <v/>
      </c>
      <c r="Q16" s="67" t="str">
        <f aca="false">IF(C16="","",IF(E16="United States (domestic)",0,IF(H16="Yes",0,G16))+IF(E16="China",IFERROR(IF(in_Date&gt;Excl_Expiry,INDEX(C301_Post,MATCH(I16,C301_Opt,0)),INDEX(C301_Pre,MATCH(I16,C301_Opt,0))),0),0)+IF(E16="United States (domestic)",0,IFERROR(IF(in_Date&gt;=Wood_Step,INDEX(S232_2027,MATCH(J16,S232_Opt,0)),INDEX(S232_Now,MATCH(J16,S232_Opt,0))),0))+P16)</f>
        <v/>
      </c>
      <c r="R16" s="68" t="str">
        <f aca="false">IF(C16="","",M16*Q16)</f>
        <v/>
      </c>
      <c r="S16" s="69" t="str">
        <f aca="false">IF(C16="","",IF(E16="United States (domestic)",0,M16*(IF(AND(H16="Yes",IFERROR(INDEX(CT_USMCA,MATCH(E16,CT_Country,0)),"No")="Yes"),0,MPF_Rate)+IF(L16="Ocean",HMF_Rate,0))))</f>
        <v/>
      </c>
      <c r="T16" s="68" t="str">
        <f aca="false">IF(C16="","",M16+N16)</f>
        <v/>
      </c>
      <c r="U16" s="68" t="str">
        <f aca="false">IF(C16="","",T16+R16+S16)</f>
        <v/>
      </c>
      <c r="V16" s="68" t="str">
        <f aca="false">IF(OR(C16="",O16=""),"",O16-T16)</f>
        <v/>
      </c>
      <c r="W16" s="67" t="str">
        <f aca="false">IF(OR(C16="",O16=""),"",IFERROR(V16/O16,0))</f>
        <v/>
      </c>
      <c r="X16" s="68" t="str">
        <f aca="false">IF(OR(C16="",O16=""),"",O16-U16)</f>
        <v/>
      </c>
      <c r="Y16" s="67" t="str">
        <f aca="false">IF(OR(C16="",O16=""),"",IFERROR(X16/O16,0))</f>
        <v/>
      </c>
    </row>
    <row r="17" customFormat="false" ht="15" hidden="false" customHeight="false" outlineLevel="0" collapsed="false">
      <c r="B17" s="62" t="n">
        <v>12</v>
      </c>
      <c r="C17" s="63"/>
      <c r="D17" s="63"/>
      <c r="E17" s="63"/>
      <c r="F17" s="63"/>
      <c r="G17" s="64"/>
      <c r="H17" s="65"/>
      <c r="I17" s="63"/>
      <c r="J17" s="63"/>
      <c r="K17" s="65"/>
      <c r="L17" s="65"/>
      <c r="M17" s="66"/>
      <c r="N17" s="66"/>
      <c r="O17" s="66"/>
      <c r="P17" s="67" t="str">
        <f aca="false">IF(C17="","",IF(OR(IF(E17="United States (domestic)",0,IFERROR(IF(in_Date&gt;=Wood_Step,INDEX(S232_2027,MATCH(J17,S232_Opt,0)),INDEX(S232_Now,MATCH(J17,S232_Opt,0))),0))&gt;0,K17="Yes",AND(H17="Yes",IFERROR(INDEX(CT_USMCA,MATCH(E17,CT_Country,0)),"No")="Yes")),0,IF(IFERROR(INDEX(CT_Method,MATCH(E17,CT_Country,0)),"None")="Additive",IFERROR(INDEX(CT_Rate,MATCH(E17,CT_Country,0)),0),IF(IFERROR(INDEX(CT_Method,MATCH(E17,CT_Country,0)),"None")="Cap",MAX(0,IFERROR(INDEX(CT_Rate,MATCH(E17,CT_Country,0)),0)-IF(E17="United States (domestic)",0,IF(H17="Yes",0,G17))),0))))</f>
        <v/>
      </c>
      <c r="Q17" s="67" t="str">
        <f aca="false">IF(C17="","",IF(E17="United States (domestic)",0,IF(H17="Yes",0,G17))+IF(E17="China",IFERROR(IF(in_Date&gt;Excl_Expiry,INDEX(C301_Post,MATCH(I17,C301_Opt,0)),INDEX(C301_Pre,MATCH(I17,C301_Opt,0))),0),0)+IF(E17="United States (domestic)",0,IFERROR(IF(in_Date&gt;=Wood_Step,INDEX(S232_2027,MATCH(J17,S232_Opt,0)),INDEX(S232_Now,MATCH(J17,S232_Opt,0))),0))+P17)</f>
        <v/>
      </c>
      <c r="R17" s="68" t="str">
        <f aca="false">IF(C17="","",M17*Q17)</f>
        <v/>
      </c>
      <c r="S17" s="69" t="str">
        <f aca="false">IF(C17="","",IF(E17="United States (domestic)",0,M17*(IF(AND(H17="Yes",IFERROR(INDEX(CT_USMCA,MATCH(E17,CT_Country,0)),"No")="Yes"),0,MPF_Rate)+IF(L17="Ocean",HMF_Rate,0))))</f>
        <v/>
      </c>
      <c r="T17" s="68" t="str">
        <f aca="false">IF(C17="","",M17+N17)</f>
        <v/>
      </c>
      <c r="U17" s="68" t="str">
        <f aca="false">IF(C17="","",T17+R17+S17)</f>
        <v/>
      </c>
      <c r="V17" s="68" t="str">
        <f aca="false">IF(OR(C17="",O17=""),"",O17-T17)</f>
        <v/>
      </c>
      <c r="W17" s="67" t="str">
        <f aca="false">IF(OR(C17="",O17=""),"",IFERROR(V17/O17,0))</f>
        <v/>
      </c>
      <c r="X17" s="68" t="str">
        <f aca="false">IF(OR(C17="",O17=""),"",O17-U17)</f>
        <v/>
      </c>
      <c r="Y17" s="67" t="str">
        <f aca="false">IF(OR(C17="",O17=""),"",IFERROR(X17/O17,0))</f>
        <v/>
      </c>
    </row>
    <row r="18" customFormat="false" ht="15" hidden="false" customHeight="false" outlineLevel="0" collapsed="false">
      <c r="B18" s="62" t="n">
        <v>13</v>
      </c>
      <c r="C18" s="63"/>
      <c r="D18" s="63"/>
      <c r="E18" s="63"/>
      <c r="F18" s="63"/>
      <c r="G18" s="64"/>
      <c r="H18" s="65"/>
      <c r="I18" s="63"/>
      <c r="J18" s="63"/>
      <c r="K18" s="65"/>
      <c r="L18" s="65"/>
      <c r="M18" s="66"/>
      <c r="N18" s="66"/>
      <c r="O18" s="66"/>
      <c r="P18" s="67" t="str">
        <f aca="false">IF(C18="","",IF(OR(IF(E18="United States (domestic)",0,IFERROR(IF(in_Date&gt;=Wood_Step,INDEX(S232_2027,MATCH(J18,S232_Opt,0)),INDEX(S232_Now,MATCH(J18,S232_Opt,0))),0))&gt;0,K18="Yes",AND(H18="Yes",IFERROR(INDEX(CT_USMCA,MATCH(E18,CT_Country,0)),"No")="Yes")),0,IF(IFERROR(INDEX(CT_Method,MATCH(E18,CT_Country,0)),"None")="Additive",IFERROR(INDEX(CT_Rate,MATCH(E18,CT_Country,0)),0),IF(IFERROR(INDEX(CT_Method,MATCH(E18,CT_Country,0)),"None")="Cap",MAX(0,IFERROR(INDEX(CT_Rate,MATCH(E18,CT_Country,0)),0)-IF(E18="United States (domestic)",0,IF(H18="Yes",0,G18))),0))))</f>
        <v/>
      </c>
      <c r="Q18" s="67" t="str">
        <f aca="false">IF(C18="","",IF(E18="United States (domestic)",0,IF(H18="Yes",0,G18))+IF(E18="China",IFERROR(IF(in_Date&gt;Excl_Expiry,INDEX(C301_Post,MATCH(I18,C301_Opt,0)),INDEX(C301_Pre,MATCH(I18,C301_Opt,0))),0),0)+IF(E18="United States (domestic)",0,IFERROR(IF(in_Date&gt;=Wood_Step,INDEX(S232_2027,MATCH(J18,S232_Opt,0)),INDEX(S232_Now,MATCH(J18,S232_Opt,0))),0))+P18)</f>
        <v/>
      </c>
      <c r="R18" s="68" t="str">
        <f aca="false">IF(C18="","",M18*Q18)</f>
        <v/>
      </c>
      <c r="S18" s="69" t="str">
        <f aca="false">IF(C18="","",IF(E18="United States (domestic)",0,M18*(IF(AND(H18="Yes",IFERROR(INDEX(CT_USMCA,MATCH(E18,CT_Country,0)),"No")="Yes"),0,MPF_Rate)+IF(L18="Ocean",HMF_Rate,0))))</f>
        <v/>
      </c>
      <c r="T18" s="68" t="str">
        <f aca="false">IF(C18="","",M18+N18)</f>
        <v/>
      </c>
      <c r="U18" s="68" t="str">
        <f aca="false">IF(C18="","",T18+R18+S18)</f>
        <v/>
      </c>
      <c r="V18" s="68" t="str">
        <f aca="false">IF(OR(C18="",O18=""),"",O18-T18)</f>
        <v/>
      </c>
      <c r="W18" s="67" t="str">
        <f aca="false">IF(OR(C18="",O18=""),"",IFERROR(V18/O18,0))</f>
        <v/>
      </c>
      <c r="X18" s="68" t="str">
        <f aca="false">IF(OR(C18="",O18=""),"",O18-U18)</f>
        <v/>
      </c>
      <c r="Y18" s="67" t="str">
        <f aca="false">IF(OR(C18="",O18=""),"",IFERROR(X18/O18,0))</f>
        <v/>
      </c>
    </row>
    <row r="19" customFormat="false" ht="15" hidden="false" customHeight="false" outlineLevel="0" collapsed="false">
      <c r="B19" s="62" t="n">
        <v>14</v>
      </c>
      <c r="C19" s="63"/>
      <c r="D19" s="63"/>
      <c r="E19" s="63"/>
      <c r="F19" s="63"/>
      <c r="G19" s="64"/>
      <c r="H19" s="65"/>
      <c r="I19" s="63"/>
      <c r="J19" s="63"/>
      <c r="K19" s="65"/>
      <c r="L19" s="65"/>
      <c r="M19" s="66"/>
      <c r="N19" s="66"/>
      <c r="O19" s="66"/>
      <c r="P19" s="67" t="str">
        <f aca="false">IF(C19="","",IF(OR(IF(E19="United States (domestic)",0,IFERROR(IF(in_Date&gt;=Wood_Step,INDEX(S232_2027,MATCH(J19,S232_Opt,0)),INDEX(S232_Now,MATCH(J19,S232_Opt,0))),0))&gt;0,K19="Yes",AND(H19="Yes",IFERROR(INDEX(CT_USMCA,MATCH(E19,CT_Country,0)),"No")="Yes")),0,IF(IFERROR(INDEX(CT_Method,MATCH(E19,CT_Country,0)),"None")="Additive",IFERROR(INDEX(CT_Rate,MATCH(E19,CT_Country,0)),0),IF(IFERROR(INDEX(CT_Method,MATCH(E19,CT_Country,0)),"None")="Cap",MAX(0,IFERROR(INDEX(CT_Rate,MATCH(E19,CT_Country,0)),0)-IF(E19="United States (domestic)",0,IF(H19="Yes",0,G19))),0))))</f>
        <v/>
      </c>
      <c r="Q19" s="67" t="str">
        <f aca="false">IF(C19="","",IF(E19="United States (domestic)",0,IF(H19="Yes",0,G19))+IF(E19="China",IFERROR(IF(in_Date&gt;Excl_Expiry,INDEX(C301_Post,MATCH(I19,C301_Opt,0)),INDEX(C301_Pre,MATCH(I19,C301_Opt,0))),0),0)+IF(E19="United States (domestic)",0,IFERROR(IF(in_Date&gt;=Wood_Step,INDEX(S232_2027,MATCH(J19,S232_Opt,0)),INDEX(S232_Now,MATCH(J19,S232_Opt,0))),0))+P19)</f>
        <v/>
      </c>
      <c r="R19" s="68" t="str">
        <f aca="false">IF(C19="","",M19*Q19)</f>
        <v/>
      </c>
      <c r="S19" s="69" t="str">
        <f aca="false">IF(C19="","",IF(E19="United States (domestic)",0,M19*(IF(AND(H19="Yes",IFERROR(INDEX(CT_USMCA,MATCH(E19,CT_Country,0)),"No")="Yes"),0,MPF_Rate)+IF(L19="Ocean",HMF_Rate,0))))</f>
        <v/>
      </c>
      <c r="T19" s="68" t="str">
        <f aca="false">IF(C19="","",M19+N19)</f>
        <v/>
      </c>
      <c r="U19" s="68" t="str">
        <f aca="false">IF(C19="","",T19+R19+S19)</f>
        <v/>
      </c>
      <c r="V19" s="68" t="str">
        <f aca="false">IF(OR(C19="",O19=""),"",O19-T19)</f>
        <v/>
      </c>
      <c r="W19" s="67" t="str">
        <f aca="false">IF(OR(C19="",O19=""),"",IFERROR(V19/O19,0))</f>
        <v/>
      </c>
      <c r="X19" s="68" t="str">
        <f aca="false">IF(OR(C19="",O19=""),"",O19-U19)</f>
        <v/>
      </c>
      <c r="Y19" s="67" t="str">
        <f aca="false">IF(OR(C19="",O19=""),"",IFERROR(X19/O19,0))</f>
        <v/>
      </c>
    </row>
    <row r="20" customFormat="false" ht="15" hidden="false" customHeight="false" outlineLevel="0" collapsed="false">
      <c r="B20" s="62" t="n">
        <v>15</v>
      </c>
      <c r="C20" s="63"/>
      <c r="D20" s="63"/>
      <c r="E20" s="63"/>
      <c r="F20" s="63"/>
      <c r="G20" s="64"/>
      <c r="H20" s="65"/>
      <c r="I20" s="63"/>
      <c r="J20" s="63"/>
      <c r="K20" s="65"/>
      <c r="L20" s="65"/>
      <c r="M20" s="66"/>
      <c r="N20" s="66"/>
      <c r="O20" s="66"/>
      <c r="P20" s="67" t="str">
        <f aca="false">IF(C20="","",IF(OR(IF(E20="United States (domestic)",0,IFERROR(IF(in_Date&gt;=Wood_Step,INDEX(S232_2027,MATCH(J20,S232_Opt,0)),INDEX(S232_Now,MATCH(J20,S232_Opt,0))),0))&gt;0,K20="Yes",AND(H20="Yes",IFERROR(INDEX(CT_USMCA,MATCH(E20,CT_Country,0)),"No")="Yes")),0,IF(IFERROR(INDEX(CT_Method,MATCH(E20,CT_Country,0)),"None")="Additive",IFERROR(INDEX(CT_Rate,MATCH(E20,CT_Country,0)),0),IF(IFERROR(INDEX(CT_Method,MATCH(E20,CT_Country,0)),"None")="Cap",MAX(0,IFERROR(INDEX(CT_Rate,MATCH(E20,CT_Country,0)),0)-IF(E20="United States (domestic)",0,IF(H20="Yes",0,G20))),0))))</f>
        <v/>
      </c>
      <c r="Q20" s="67" t="str">
        <f aca="false">IF(C20="","",IF(E20="United States (domestic)",0,IF(H20="Yes",0,G20))+IF(E20="China",IFERROR(IF(in_Date&gt;Excl_Expiry,INDEX(C301_Post,MATCH(I20,C301_Opt,0)),INDEX(C301_Pre,MATCH(I20,C301_Opt,0))),0),0)+IF(E20="United States (domestic)",0,IFERROR(IF(in_Date&gt;=Wood_Step,INDEX(S232_2027,MATCH(J20,S232_Opt,0)),INDEX(S232_Now,MATCH(J20,S232_Opt,0))),0))+P20)</f>
        <v/>
      </c>
      <c r="R20" s="68" t="str">
        <f aca="false">IF(C20="","",M20*Q20)</f>
        <v/>
      </c>
      <c r="S20" s="69" t="str">
        <f aca="false">IF(C20="","",IF(E20="United States (domestic)",0,M20*(IF(AND(H20="Yes",IFERROR(INDEX(CT_USMCA,MATCH(E20,CT_Country,0)),"No")="Yes"),0,MPF_Rate)+IF(L20="Ocean",HMF_Rate,0))))</f>
        <v/>
      </c>
      <c r="T20" s="68" t="str">
        <f aca="false">IF(C20="","",M20+N20)</f>
        <v/>
      </c>
      <c r="U20" s="68" t="str">
        <f aca="false">IF(C20="","",T20+R20+S20)</f>
        <v/>
      </c>
      <c r="V20" s="68" t="str">
        <f aca="false">IF(OR(C20="",O20=""),"",O20-T20)</f>
        <v/>
      </c>
      <c r="W20" s="67" t="str">
        <f aca="false">IF(OR(C20="",O20=""),"",IFERROR(V20/O20,0))</f>
        <v/>
      </c>
      <c r="X20" s="68" t="str">
        <f aca="false">IF(OR(C20="",O20=""),"",O20-U20)</f>
        <v/>
      </c>
      <c r="Y20" s="67" t="str">
        <f aca="false">IF(OR(C20="",O20=""),"",IFERROR(X20/O20,0))</f>
        <v/>
      </c>
    </row>
    <row r="21" customFormat="false" ht="15" hidden="false" customHeight="false" outlineLevel="0" collapsed="false">
      <c r="B21" s="62" t="n">
        <v>16</v>
      </c>
      <c r="C21" s="63"/>
      <c r="D21" s="63"/>
      <c r="E21" s="63"/>
      <c r="F21" s="63"/>
      <c r="G21" s="64"/>
      <c r="H21" s="65"/>
      <c r="I21" s="63"/>
      <c r="J21" s="63"/>
      <c r="K21" s="65"/>
      <c r="L21" s="65"/>
      <c r="M21" s="66"/>
      <c r="N21" s="66"/>
      <c r="O21" s="66"/>
      <c r="P21" s="67" t="str">
        <f aca="false">IF(C21="","",IF(OR(IF(E21="United States (domestic)",0,IFERROR(IF(in_Date&gt;=Wood_Step,INDEX(S232_2027,MATCH(J21,S232_Opt,0)),INDEX(S232_Now,MATCH(J21,S232_Opt,0))),0))&gt;0,K21="Yes",AND(H21="Yes",IFERROR(INDEX(CT_USMCA,MATCH(E21,CT_Country,0)),"No")="Yes")),0,IF(IFERROR(INDEX(CT_Method,MATCH(E21,CT_Country,0)),"None")="Additive",IFERROR(INDEX(CT_Rate,MATCH(E21,CT_Country,0)),0),IF(IFERROR(INDEX(CT_Method,MATCH(E21,CT_Country,0)),"None")="Cap",MAX(0,IFERROR(INDEX(CT_Rate,MATCH(E21,CT_Country,0)),0)-IF(E21="United States (domestic)",0,IF(H21="Yes",0,G21))),0))))</f>
        <v/>
      </c>
      <c r="Q21" s="67" t="str">
        <f aca="false">IF(C21="","",IF(E21="United States (domestic)",0,IF(H21="Yes",0,G21))+IF(E21="China",IFERROR(IF(in_Date&gt;Excl_Expiry,INDEX(C301_Post,MATCH(I21,C301_Opt,0)),INDEX(C301_Pre,MATCH(I21,C301_Opt,0))),0),0)+IF(E21="United States (domestic)",0,IFERROR(IF(in_Date&gt;=Wood_Step,INDEX(S232_2027,MATCH(J21,S232_Opt,0)),INDEX(S232_Now,MATCH(J21,S232_Opt,0))),0))+P21)</f>
        <v/>
      </c>
      <c r="R21" s="68" t="str">
        <f aca="false">IF(C21="","",M21*Q21)</f>
        <v/>
      </c>
      <c r="S21" s="69" t="str">
        <f aca="false">IF(C21="","",IF(E21="United States (domestic)",0,M21*(IF(AND(H21="Yes",IFERROR(INDEX(CT_USMCA,MATCH(E21,CT_Country,0)),"No")="Yes"),0,MPF_Rate)+IF(L21="Ocean",HMF_Rate,0))))</f>
        <v/>
      </c>
      <c r="T21" s="68" t="str">
        <f aca="false">IF(C21="","",M21+N21)</f>
        <v/>
      </c>
      <c r="U21" s="68" t="str">
        <f aca="false">IF(C21="","",T21+R21+S21)</f>
        <v/>
      </c>
      <c r="V21" s="68" t="str">
        <f aca="false">IF(OR(C21="",O21=""),"",O21-T21)</f>
        <v/>
      </c>
      <c r="W21" s="67" t="str">
        <f aca="false">IF(OR(C21="",O21=""),"",IFERROR(V21/O21,0))</f>
        <v/>
      </c>
      <c r="X21" s="68" t="str">
        <f aca="false">IF(OR(C21="",O21=""),"",O21-U21)</f>
        <v/>
      </c>
      <c r="Y21" s="67" t="str">
        <f aca="false">IF(OR(C21="",O21=""),"",IFERROR(X21/O21,0))</f>
        <v/>
      </c>
    </row>
    <row r="22" customFormat="false" ht="15" hidden="false" customHeight="false" outlineLevel="0" collapsed="false">
      <c r="B22" s="62" t="n">
        <v>17</v>
      </c>
      <c r="C22" s="63"/>
      <c r="D22" s="63"/>
      <c r="E22" s="63"/>
      <c r="F22" s="63"/>
      <c r="G22" s="64"/>
      <c r="H22" s="65"/>
      <c r="I22" s="63"/>
      <c r="J22" s="63"/>
      <c r="K22" s="65"/>
      <c r="L22" s="65"/>
      <c r="M22" s="66"/>
      <c r="N22" s="66"/>
      <c r="O22" s="66"/>
      <c r="P22" s="67" t="str">
        <f aca="false">IF(C22="","",IF(OR(IF(E22="United States (domestic)",0,IFERROR(IF(in_Date&gt;=Wood_Step,INDEX(S232_2027,MATCH(J22,S232_Opt,0)),INDEX(S232_Now,MATCH(J22,S232_Opt,0))),0))&gt;0,K22="Yes",AND(H22="Yes",IFERROR(INDEX(CT_USMCA,MATCH(E22,CT_Country,0)),"No")="Yes")),0,IF(IFERROR(INDEX(CT_Method,MATCH(E22,CT_Country,0)),"None")="Additive",IFERROR(INDEX(CT_Rate,MATCH(E22,CT_Country,0)),0),IF(IFERROR(INDEX(CT_Method,MATCH(E22,CT_Country,0)),"None")="Cap",MAX(0,IFERROR(INDEX(CT_Rate,MATCH(E22,CT_Country,0)),0)-IF(E22="United States (domestic)",0,IF(H22="Yes",0,G22))),0))))</f>
        <v/>
      </c>
      <c r="Q22" s="67" t="str">
        <f aca="false">IF(C22="","",IF(E22="United States (domestic)",0,IF(H22="Yes",0,G22))+IF(E22="China",IFERROR(IF(in_Date&gt;Excl_Expiry,INDEX(C301_Post,MATCH(I22,C301_Opt,0)),INDEX(C301_Pre,MATCH(I22,C301_Opt,0))),0),0)+IF(E22="United States (domestic)",0,IFERROR(IF(in_Date&gt;=Wood_Step,INDEX(S232_2027,MATCH(J22,S232_Opt,0)),INDEX(S232_Now,MATCH(J22,S232_Opt,0))),0))+P22)</f>
        <v/>
      </c>
      <c r="R22" s="68" t="str">
        <f aca="false">IF(C22="","",M22*Q22)</f>
        <v/>
      </c>
      <c r="S22" s="69" t="str">
        <f aca="false">IF(C22="","",IF(E22="United States (domestic)",0,M22*(IF(AND(H22="Yes",IFERROR(INDEX(CT_USMCA,MATCH(E22,CT_Country,0)),"No")="Yes"),0,MPF_Rate)+IF(L22="Ocean",HMF_Rate,0))))</f>
        <v/>
      </c>
      <c r="T22" s="68" t="str">
        <f aca="false">IF(C22="","",M22+N22)</f>
        <v/>
      </c>
      <c r="U22" s="68" t="str">
        <f aca="false">IF(C22="","",T22+R22+S22)</f>
        <v/>
      </c>
      <c r="V22" s="68" t="str">
        <f aca="false">IF(OR(C22="",O22=""),"",O22-T22)</f>
        <v/>
      </c>
      <c r="W22" s="67" t="str">
        <f aca="false">IF(OR(C22="",O22=""),"",IFERROR(V22/O22,0))</f>
        <v/>
      </c>
      <c r="X22" s="68" t="str">
        <f aca="false">IF(OR(C22="",O22=""),"",O22-U22)</f>
        <v/>
      </c>
      <c r="Y22" s="67" t="str">
        <f aca="false">IF(OR(C22="",O22=""),"",IFERROR(X22/O22,0))</f>
        <v/>
      </c>
    </row>
    <row r="23" customFormat="false" ht="15" hidden="false" customHeight="false" outlineLevel="0" collapsed="false">
      <c r="B23" s="62" t="n">
        <v>18</v>
      </c>
      <c r="C23" s="63"/>
      <c r="D23" s="63"/>
      <c r="E23" s="63"/>
      <c r="F23" s="63"/>
      <c r="G23" s="64"/>
      <c r="H23" s="65"/>
      <c r="I23" s="63"/>
      <c r="J23" s="63"/>
      <c r="K23" s="65"/>
      <c r="L23" s="65"/>
      <c r="M23" s="66"/>
      <c r="N23" s="66"/>
      <c r="O23" s="66"/>
      <c r="P23" s="67" t="str">
        <f aca="false">IF(C23="","",IF(OR(IF(E23="United States (domestic)",0,IFERROR(IF(in_Date&gt;=Wood_Step,INDEX(S232_2027,MATCH(J23,S232_Opt,0)),INDEX(S232_Now,MATCH(J23,S232_Opt,0))),0))&gt;0,K23="Yes",AND(H23="Yes",IFERROR(INDEX(CT_USMCA,MATCH(E23,CT_Country,0)),"No")="Yes")),0,IF(IFERROR(INDEX(CT_Method,MATCH(E23,CT_Country,0)),"None")="Additive",IFERROR(INDEX(CT_Rate,MATCH(E23,CT_Country,0)),0),IF(IFERROR(INDEX(CT_Method,MATCH(E23,CT_Country,0)),"None")="Cap",MAX(0,IFERROR(INDEX(CT_Rate,MATCH(E23,CT_Country,0)),0)-IF(E23="United States (domestic)",0,IF(H23="Yes",0,G23))),0))))</f>
        <v/>
      </c>
      <c r="Q23" s="67" t="str">
        <f aca="false">IF(C23="","",IF(E23="United States (domestic)",0,IF(H23="Yes",0,G23))+IF(E23="China",IFERROR(IF(in_Date&gt;Excl_Expiry,INDEX(C301_Post,MATCH(I23,C301_Opt,0)),INDEX(C301_Pre,MATCH(I23,C301_Opt,0))),0),0)+IF(E23="United States (domestic)",0,IFERROR(IF(in_Date&gt;=Wood_Step,INDEX(S232_2027,MATCH(J23,S232_Opt,0)),INDEX(S232_Now,MATCH(J23,S232_Opt,0))),0))+P23)</f>
        <v/>
      </c>
      <c r="R23" s="68" t="str">
        <f aca="false">IF(C23="","",M23*Q23)</f>
        <v/>
      </c>
      <c r="S23" s="69" t="str">
        <f aca="false">IF(C23="","",IF(E23="United States (domestic)",0,M23*(IF(AND(H23="Yes",IFERROR(INDEX(CT_USMCA,MATCH(E23,CT_Country,0)),"No")="Yes"),0,MPF_Rate)+IF(L23="Ocean",HMF_Rate,0))))</f>
        <v/>
      </c>
      <c r="T23" s="68" t="str">
        <f aca="false">IF(C23="","",M23+N23)</f>
        <v/>
      </c>
      <c r="U23" s="68" t="str">
        <f aca="false">IF(C23="","",T23+R23+S23)</f>
        <v/>
      </c>
      <c r="V23" s="68" t="str">
        <f aca="false">IF(OR(C23="",O23=""),"",O23-T23)</f>
        <v/>
      </c>
      <c r="W23" s="67" t="str">
        <f aca="false">IF(OR(C23="",O23=""),"",IFERROR(V23/O23,0))</f>
        <v/>
      </c>
      <c r="X23" s="68" t="str">
        <f aca="false">IF(OR(C23="",O23=""),"",O23-U23)</f>
        <v/>
      </c>
      <c r="Y23" s="67" t="str">
        <f aca="false">IF(OR(C23="",O23=""),"",IFERROR(X23/O23,0))</f>
        <v/>
      </c>
    </row>
    <row r="24" customFormat="false" ht="15" hidden="false" customHeight="false" outlineLevel="0" collapsed="false">
      <c r="B24" s="62" t="n">
        <v>19</v>
      </c>
      <c r="C24" s="63"/>
      <c r="D24" s="63"/>
      <c r="E24" s="63"/>
      <c r="F24" s="63"/>
      <c r="G24" s="64"/>
      <c r="H24" s="65"/>
      <c r="I24" s="63"/>
      <c r="J24" s="63"/>
      <c r="K24" s="65"/>
      <c r="L24" s="65"/>
      <c r="M24" s="66"/>
      <c r="N24" s="66"/>
      <c r="O24" s="66"/>
      <c r="P24" s="67" t="str">
        <f aca="false">IF(C24="","",IF(OR(IF(E24="United States (domestic)",0,IFERROR(IF(in_Date&gt;=Wood_Step,INDEX(S232_2027,MATCH(J24,S232_Opt,0)),INDEX(S232_Now,MATCH(J24,S232_Opt,0))),0))&gt;0,K24="Yes",AND(H24="Yes",IFERROR(INDEX(CT_USMCA,MATCH(E24,CT_Country,0)),"No")="Yes")),0,IF(IFERROR(INDEX(CT_Method,MATCH(E24,CT_Country,0)),"None")="Additive",IFERROR(INDEX(CT_Rate,MATCH(E24,CT_Country,0)),0),IF(IFERROR(INDEX(CT_Method,MATCH(E24,CT_Country,0)),"None")="Cap",MAX(0,IFERROR(INDEX(CT_Rate,MATCH(E24,CT_Country,0)),0)-IF(E24="United States (domestic)",0,IF(H24="Yes",0,G24))),0))))</f>
        <v/>
      </c>
      <c r="Q24" s="67" t="str">
        <f aca="false">IF(C24="","",IF(E24="United States (domestic)",0,IF(H24="Yes",0,G24))+IF(E24="China",IFERROR(IF(in_Date&gt;Excl_Expiry,INDEX(C301_Post,MATCH(I24,C301_Opt,0)),INDEX(C301_Pre,MATCH(I24,C301_Opt,0))),0),0)+IF(E24="United States (domestic)",0,IFERROR(IF(in_Date&gt;=Wood_Step,INDEX(S232_2027,MATCH(J24,S232_Opt,0)),INDEX(S232_Now,MATCH(J24,S232_Opt,0))),0))+P24)</f>
        <v/>
      </c>
      <c r="R24" s="68" t="str">
        <f aca="false">IF(C24="","",M24*Q24)</f>
        <v/>
      </c>
      <c r="S24" s="69" t="str">
        <f aca="false">IF(C24="","",IF(E24="United States (domestic)",0,M24*(IF(AND(H24="Yes",IFERROR(INDEX(CT_USMCA,MATCH(E24,CT_Country,0)),"No")="Yes"),0,MPF_Rate)+IF(L24="Ocean",HMF_Rate,0))))</f>
        <v/>
      </c>
      <c r="T24" s="68" t="str">
        <f aca="false">IF(C24="","",M24+N24)</f>
        <v/>
      </c>
      <c r="U24" s="68" t="str">
        <f aca="false">IF(C24="","",T24+R24+S24)</f>
        <v/>
      </c>
      <c r="V24" s="68" t="str">
        <f aca="false">IF(OR(C24="",O24=""),"",O24-T24)</f>
        <v/>
      </c>
      <c r="W24" s="67" t="str">
        <f aca="false">IF(OR(C24="",O24=""),"",IFERROR(V24/O24,0))</f>
        <v/>
      </c>
      <c r="X24" s="68" t="str">
        <f aca="false">IF(OR(C24="",O24=""),"",O24-U24)</f>
        <v/>
      </c>
      <c r="Y24" s="67" t="str">
        <f aca="false">IF(OR(C24="",O24=""),"",IFERROR(X24/O24,0))</f>
        <v/>
      </c>
    </row>
    <row r="25" customFormat="false" ht="15" hidden="false" customHeight="false" outlineLevel="0" collapsed="false">
      <c r="B25" s="62" t="n">
        <v>20</v>
      </c>
      <c r="C25" s="63"/>
      <c r="D25" s="63"/>
      <c r="E25" s="63"/>
      <c r="F25" s="63"/>
      <c r="G25" s="64"/>
      <c r="H25" s="65"/>
      <c r="I25" s="63"/>
      <c r="J25" s="63"/>
      <c r="K25" s="65"/>
      <c r="L25" s="65"/>
      <c r="M25" s="66"/>
      <c r="N25" s="66"/>
      <c r="O25" s="66"/>
      <c r="P25" s="67" t="str">
        <f aca="false">IF(C25="","",IF(OR(IF(E25="United States (domestic)",0,IFERROR(IF(in_Date&gt;=Wood_Step,INDEX(S232_2027,MATCH(J25,S232_Opt,0)),INDEX(S232_Now,MATCH(J25,S232_Opt,0))),0))&gt;0,K25="Yes",AND(H25="Yes",IFERROR(INDEX(CT_USMCA,MATCH(E25,CT_Country,0)),"No")="Yes")),0,IF(IFERROR(INDEX(CT_Method,MATCH(E25,CT_Country,0)),"None")="Additive",IFERROR(INDEX(CT_Rate,MATCH(E25,CT_Country,0)),0),IF(IFERROR(INDEX(CT_Method,MATCH(E25,CT_Country,0)),"None")="Cap",MAX(0,IFERROR(INDEX(CT_Rate,MATCH(E25,CT_Country,0)),0)-IF(E25="United States (domestic)",0,IF(H25="Yes",0,G25))),0))))</f>
        <v/>
      </c>
      <c r="Q25" s="67" t="str">
        <f aca="false">IF(C25="","",IF(E25="United States (domestic)",0,IF(H25="Yes",0,G25))+IF(E25="China",IFERROR(IF(in_Date&gt;Excl_Expiry,INDEX(C301_Post,MATCH(I25,C301_Opt,0)),INDEX(C301_Pre,MATCH(I25,C301_Opt,0))),0),0)+IF(E25="United States (domestic)",0,IFERROR(IF(in_Date&gt;=Wood_Step,INDEX(S232_2027,MATCH(J25,S232_Opt,0)),INDEX(S232_Now,MATCH(J25,S232_Opt,0))),0))+P25)</f>
        <v/>
      </c>
      <c r="R25" s="68" t="str">
        <f aca="false">IF(C25="","",M25*Q25)</f>
        <v/>
      </c>
      <c r="S25" s="69" t="str">
        <f aca="false">IF(C25="","",IF(E25="United States (domestic)",0,M25*(IF(AND(H25="Yes",IFERROR(INDEX(CT_USMCA,MATCH(E25,CT_Country,0)),"No")="Yes"),0,MPF_Rate)+IF(L25="Ocean",HMF_Rate,0))))</f>
        <v/>
      </c>
      <c r="T25" s="68" t="str">
        <f aca="false">IF(C25="","",M25+N25)</f>
        <v/>
      </c>
      <c r="U25" s="68" t="str">
        <f aca="false">IF(C25="","",T25+R25+S25)</f>
        <v/>
      </c>
      <c r="V25" s="68" t="str">
        <f aca="false">IF(OR(C25="",O25=""),"",O25-T25)</f>
        <v/>
      </c>
      <c r="W25" s="67" t="str">
        <f aca="false">IF(OR(C25="",O25=""),"",IFERROR(V25/O25,0))</f>
        <v/>
      </c>
      <c r="X25" s="68" t="str">
        <f aca="false">IF(OR(C25="",O25=""),"",O25-U25)</f>
        <v/>
      </c>
      <c r="Y25" s="67" t="str">
        <f aca="false">IF(OR(C25="",O25=""),"",IFERROR(X25/O25,0))</f>
        <v/>
      </c>
    </row>
    <row r="26" customFormat="false" ht="15" hidden="false" customHeight="false" outlineLevel="0" collapsed="false">
      <c r="B26" s="62" t="n">
        <v>21</v>
      </c>
      <c r="C26" s="63"/>
      <c r="D26" s="63"/>
      <c r="E26" s="63"/>
      <c r="F26" s="63"/>
      <c r="G26" s="64"/>
      <c r="H26" s="65"/>
      <c r="I26" s="63"/>
      <c r="J26" s="63"/>
      <c r="K26" s="65"/>
      <c r="L26" s="65"/>
      <c r="M26" s="66"/>
      <c r="N26" s="66"/>
      <c r="O26" s="66"/>
      <c r="P26" s="67" t="str">
        <f aca="false">IF(C26="","",IF(OR(IF(E26="United States (domestic)",0,IFERROR(IF(in_Date&gt;=Wood_Step,INDEX(S232_2027,MATCH(J26,S232_Opt,0)),INDEX(S232_Now,MATCH(J26,S232_Opt,0))),0))&gt;0,K26="Yes",AND(H26="Yes",IFERROR(INDEX(CT_USMCA,MATCH(E26,CT_Country,0)),"No")="Yes")),0,IF(IFERROR(INDEX(CT_Method,MATCH(E26,CT_Country,0)),"None")="Additive",IFERROR(INDEX(CT_Rate,MATCH(E26,CT_Country,0)),0),IF(IFERROR(INDEX(CT_Method,MATCH(E26,CT_Country,0)),"None")="Cap",MAX(0,IFERROR(INDEX(CT_Rate,MATCH(E26,CT_Country,0)),0)-IF(E26="United States (domestic)",0,IF(H26="Yes",0,G26))),0))))</f>
        <v/>
      </c>
      <c r="Q26" s="67" t="str">
        <f aca="false">IF(C26="","",IF(E26="United States (domestic)",0,IF(H26="Yes",0,G26))+IF(E26="China",IFERROR(IF(in_Date&gt;Excl_Expiry,INDEX(C301_Post,MATCH(I26,C301_Opt,0)),INDEX(C301_Pre,MATCH(I26,C301_Opt,0))),0),0)+IF(E26="United States (domestic)",0,IFERROR(IF(in_Date&gt;=Wood_Step,INDEX(S232_2027,MATCH(J26,S232_Opt,0)),INDEX(S232_Now,MATCH(J26,S232_Opt,0))),0))+P26)</f>
        <v/>
      </c>
      <c r="R26" s="68" t="str">
        <f aca="false">IF(C26="","",M26*Q26)</f>
        <v/>
      </c>
      <c r="S26" s="69" t="str">
        <f aca="false">IF(C26="","",IF(E26="United States (domestic)",0,M26*(IF(AND(H26="Yes",IFERROR(INDEX(CT_USMCA,MATCH(E26,CT_Country,0)),"No")="Yes"),0,MPF_Rate)+IF(L26="Ocean",HMF_Rate,0))))</f>
        <v/>
      </c>
      <c r="T26" s="68" t="str">
        <f aca="false">IF(C26="","",M26+N26)</f>
        <v/>
      </c>
      <c r="U26" s="68" t="str">
        <f aca="false">IF(C26="","",T26+R26+S26)</f>
        <v/>
      </c>
      <c r="V26" s="68" t="str">
        <f aca="false">IF(OR(C26="",O26=""),"",O26-T26)</f>
        <v/>
      </c>
      <c r="W26" s="67" t="str">
        <f aca="false">IF(OR(C26="",O26=""),"",IFERROR(V26/O26,0))</f>
        <v/>
      </c>
      <c r="X26" s="68" t="str">
        <f aca="false">IF(OR(C26="",O26=""),"",O26-U26)</f>
        <v/>
      </c>
      <c r="Y26" s="67" t="str">
        <f aca="false">IF(OR(C26="",O26=""),"",IFERROR(X26/O26,0))</f>
        <v/>
      </c>
    </row>
    <row r="27" customFormat="false" ht="15" hidden="false" customHeight="false" outlineLevel="0" collapsed="false">
      <c r="B27" s="62" t="n">
        <v>22</v>
      </c>
      <c r="C27" s="63"/>
      <c r="D27" s="63"/>
      <c r="E27" s="63"/>
      <c r="F27" s="63"/>
      <c r="G27" s="64"/>
      <c r="H27" s="65"/>
      <c r="I27" s="63"/>
      <c r="J27" s="63"/>
      <c r="K27" s="65"/>
      <c r="L27" s="65"/>
      <c r="M27" s="66"/>
      <c r="N27" s="66"/>
      <c r="O27" s="66"/>
      <c r="P27" s="67" t="str">
        <f aca="false">IF(C27="","",IF(OR(IF(E27="United States (domestic)",0,IFERROR(IF(in_Date&gt;=Wood_Step,INDEX(S232_2027,MATCH(J27,S232_Opt,0)),INDEX(S232_Now,MATCH(J27,S232_Opt,0))),0))&gt;0,K27="Yes",AND(H27="Yes",IFERROR(INDEX(CT_USMCA,MATCH(E27,CT_Country,0)),"No")="Yes")),0,IF(IFERROR(INDEX(CT_Method,MATCH(E27,CT_Country,0)),"None")="Additive",IFERROR(INDEX(CT_Rate,MATCH(E27,CT_Country,0)),0),IF(IFERROR(INDEX(CT_Method,MATCH(E27,CT_Country,0)),"None")="Cap",MAX(0,IFERROR(INDEX(CT_Rate,MATCH(E27,CT_Country,0)),0)-IF(E27="United States (domestic)",0,IF(H27="Yes",0,G27))),0))))</f>
        <v/>
      </c>
      <c r="Q27" s="67" t="str">
        <f aca="false">IF(C27="","",IF(E27="United States (domestic)",0,IF(H27="Yes",0,G27))+IF(E27="China",IFERROR(IF(in_Date&gt;Excl_Expiry,INDEX(C301_Post,MATCH(I27,C301_Opt,0)),INDEX(C301_Pre,MATCH(I27,C301_Opt,0))),0),0)+IF(E27="United States (domestic)",0,IFERROR(IF(in_Date&gt;=Wood_Step,INDEX(S232_2027,MATCH(J27,S232_Opt,0)),INDEX(S232_Now,MATCH(J27,S232_Opt,0))),0))+P27)</f>
        <v/>
      </c>
      <c r="R27" s="68" t="str">
        <f aca="false">IF(C27="","",M27*Q27)</f>
        <v/>
      </c>
      <c r="S27" s="69" t="str">
        <f aca="false">IF(C27="","",IF(E27="United States (domestic)",0,M27*(IF(AND(H27="Yes",IFERROR(INDEX(CT_USMCA,MATCH(E27,CT_Country,0)),"No")="Yes"),0,MPF_Rate)+IF(L27="Ocean",HMF_Rate,0))))</f>
        <v/>
      </c>
      <c r="T27" s="68" t="str">
        <f aca="false">IF(C27="","",M27+N27)</f>
        <v/>
      </c>
      <c r="U27" s="68" t="str">
        <f aca="false">IF(C27="","",T27+R27+S27)</f>
        <v/>
      </c>
      <c r="V27" s="68" t="str">
        <f aca="false">IF(OR(C27="",O27=""),"",O27-T27)</f>
        <v/>
      </c>
      <c r="W27" s="67" t="str">
        <f aca="false">IF(OR(C27="",O27=""),"",IFERROR(V27/O27,0))</f>
        <v/>
      </c>
      <c r="X27" s="68" t="str">
        <f aca="false">IF(OR(C27="",O27=""),"",O27-U27)</f>
        <v/>
      </c>
      <c r="Y27" s="67" t="str">
        <f aca="false">IF(OR(C27="",O27=""),"",IFERROR(X27/O27,0))</f>
        <v/>
      </c>
    </row>
    <row r="28" customFormat="false" ht="15" hidden="false" customHeight="false" outlineLevel="0" collapsed="false">
      <c r="B28" s="62" t="n">
        <v>23</v>
      </c>
      <c r="C28" s="63"/>
      <c r="D28" s="63"/>
      <c r="E28" s="63"/>
      <c r="F28" s="63"/>
      <c r="G28" s="64"/>
      <c r="H28" s="65"/>
      <c r="I28" s="63"/>
      <c r="J28" s="63"/>
      <c r="K28" s="65"/>
      <c r="L28" s="65"/>
      <c r="M28" s="66"/>
      <c r="N28" s="66"/>
      <c r="O28" s="66"/>
      <c r="P28" s="67" t="str">
        <f aca="false">IF(C28="","",IF(OR(IF(E28="United States (domestic)",0,IFERROR(IF(in_Date&gt;=Wood_Step,INDEX(S232_2027,MATCH(J28,S232_Opt,0)),INDEX(S232_Now,MATCH(J28,S232_Opt,0))),0))&gt;0,K28="Yes",AND(H28="Yes",IFERROR(INDEX(CT_USMCA,MATCH(E28,CT_Country,0)),"No")="Yes")),0,IF(IFERROR(INDEX(CT_Method,MATCH(E28,CT_Country,0)),"None")="Additive",IFERROR(INDEX(CT_Rate,MATCH(E28,CT_Country,0)),0),IF(IFERROR(INDEX(CT_Method,MATCH(E28,CT_Country,0)),"None")="Cap",MAX(0,IFERROR(INDEX(CT_Rate,MATCH(E28,CT_Country,0)),0)-IF(E28="United States (domestic)",0,IF(H28="Yes",0,G28))),0))))</f>
        <v/>
      </c>
      <c r="Q28" s="67" t="str">
        <f aca="false">IF(C28="","",IF(E28="United States (domestic)",0,IF(H28="Yes",0,G28))+IF(E28="China",IFERROR(IF(in_Date&gt;Excl_Expiry,INDEX(C301_Post,MATCH(I28,C301_Opt,0)),INDEX(C301_Pre,MATCH(I28,C301_Opt,0))),0),0)+IF(E28="United States (domestic)",0,IFERROR(IF(in_Date&gt;=Wood_Step,INDEX(S232_2027,MATCH(J28,S232_Opt,0)),INDEX(S232_Now,MATCH(J28,S232_Opt,0))),0))+P28)</f>
        <v/>
      </c>
      <c r="R28" s="68" t="str">
        <f aca="false">IF(C28="","",M28*Q28)</f>
        <v/>
      </c>
      <c r="S28" s="69" t="str">
        <f aca="false">IF(C28="","",IF(E28="United States (domestic)",0,M28*(IF(AND(H28="Yes",IFERROR(INDEX(CT_USMCA,MATCH(E28,CT_Country,0)),"No")="Yes"),0,MPF_Rate)+IF(L28="Ocean",HMF_Rate,0))))</f>
        <v/>
      </c>
      <c r="T28" s="68" t="str">
        <f aca="false">IF(C28="","",M28+N28)</f>
        <v/>
      </c>
      <c r="U28" s="68" t="str">
        <f aca="false">IF(C28="","",T28+R28+S28)</f>
        <v/>
      </c>
      <c r="V28" s="68" t="str">
        <f aca="false">IF(OR(C28="",O28=""),"",O28-T28)</f>
        <v/>
      </c>
      <c r="W28" s="67" t="str">
        <f aca="false">IF(OR(C28="",O28=""),"",IFERROR(V28/O28,0))</f>
        <v/>
      </c>
      <c r="X28" s="68" t="str">
        <f aca="false">IF(OR(C28="",O28=""),"",O28-U28)</f>
        <v/>
      </c>
      <c r="Y28" s="67" t="str">
        <f aca="false">IF(OR(C28="",O28=""),"",IFERROR(X28/O28,0))</f>
        <v/>
      </c>
    </row>
    <row r="29" customFormat="false" ht="15" hidden="false" customHeight="false" outlineLevel="0" collapsed="false">
      <c r="B29" s="62" t="n">
        <v>24</v>
      </c>
      <c r="C29" s="63"/>
      <c r="D29" s="63"/>
      <c r="E29" s="63"/>
      <c r="F29" s="63"/>
      <c r="G29" s="64"/>
      <c r="H29" s="65"/>
      <c r="I29" s="63"/>
      <c r="J29" s="63"/>
      <c r="K29" s="65"/>
      <c r="L29" s="65"/>
      <c r="M29" s="66"/>
      <c r="N29" s="66"/>
      <c r="O29" s="66"/>
      <c r="P29" s="67" t="str">
        <f aca="false">IF(C29="","",IF(OR(IF(E29="United States (domestic)",0,IFERROR(IF(in_Date&gt;=Wood_Step,INDEX(S232_2027,MATCH(J29,S232_Opt,0)),INDEX(S232_Now,MATCH(J29,S232_Opt,0))),0))&gt;0,K29="Yes",AND(H29="Yes",IFERROR(INDEX(CT_USMCA,MATCH(E29,CT_Country,0)),"No")="Yes")),0,IF(IFERROR(INDEX(CT_Method,MATCH(E29,CT_Country,0)),"None")="Additive",IFERROR(INDEX(CT_Rate,MATCH(E29,CT_Country,0)),0),IF(IFERROR(INDEX(CT_Method,MATCH(E29,CT_Country,0)),"None")="Cap",MAX(0,IFERROR(INDEX(CT_Rate,MATCH(E29,CT_Country,0)),0)-IF(E29="United States (domestic)",0,IF(H29="Yes",0,G29))),0))))</f>
        <v/>
      </c>
      <c r="Q29" s="67" t="str">
        <f aca="false">IF(C29="","",IF(E29="United States (domestic)",0,IF(H29="Yes",0,G29))+IF(E29="China",IFERROR(IF(in_Date&gt;Excl_Expiry,INDEX(C301_Post,MATCH(I29,C301_Opt,0)),INDEX(C301_Pre,MATCH(I29,C301_Opt,0))),0),0)+IF(E29="United States (domestic)",0,IFERROR(IF(in_Date&gt;=Wood_Step,INDEX(S232_2027,MATCH(J29,S232_Opt,0)),INDEX(S232_Now,MATCH(J29,S232_Opt,0))),0))+P29)</f>
        <v/>
      </c>
      <c r="R29" s="68" t="str">
        <f aca="false">IF(C29="","",M29*Q29)</f>
        <v/>
      </c>
      <c r="S29" s="69" t="str">
        <f aca="false">IF(C29="","",IF(E29="United States (domestic)",0,M29*(IF(AND(H29="Yes",IFERROR(INDEX(CT_USMCA,MATCH(E29,CT_Country,0)),"No")="Yes"),0,MPF_Rate)+IF(L29="Ocean",HMF_Rate,0))))</f>
        <v/>
      </c>
      <c r="T29" s="68" t="str">
        <f aca="false">IF(C29="","",M29+N29)</f>
        <v/>
      </c>
      <c r="U29" s="68" t="str">
        <f aca="false">IF(C29="","",T29+R29+S29)</f>
        <v/>
      </c>
      <c r="V29" s="68" t="str">
        <f aca="false">IF(OR(C29="",O29=""),"",O29-T29)</f>
        <v/>
      </c>
      <c r="W29" s="67" t="str">
        <f aca="false">IF(OR(C29="",O29=""),"",IFERROR(V29/O29,0))</f>
        <v/>
      </c>
      <c r="X29" s="68" t="str">
        <f aca="false">IF(OR(C29="",O29=""),"",O29-U29)</f>
        <v/>
      </c>
      <c r="Y29" s="67" t="str">
        <f aca="false">IF(OR(C29="",O29=""),"",IFERROR(X29/O29,0))</f>
        <v/>
      </c>
    </row>
    <row r="30" customFormat="false" ht="15" hidden="false" customHeight="false" outlineLevel="0" collapsed="false">
      <c r="B30" s="62" t="n">
        <v>25</v>
      </c>
      <c r="C30" s="63"/>
      <c r="D30" s="63"/>
      <c r="E30" s="63"/>
      <c r="F30" s="63"/>
      <c r="G30" s="64"/>
      <c r="H30" s="65"/>
      <c r="I30" s="63"/>
      <c r="J30" s="63"/>
      <c r="K30" s="65"/>
      <c r="L30" s="65"/>
      <c r="M30" s="66"/>
      <c r="N30" s="66"/>
      <c r="O30" s="66"/>
      <c r="P30" s="67" t="str">
        <f aca="false">IF(C30="","",IF(OR(IF(E30="United States (domestic)",0,IFERROR(IF(in_Date&gt;=Wood_Step,INDEX(S232_2027,MATCH(J30,S232_Opt,0)),INDEX(S232_Now,MATCH(J30,S232_Opt,0))),0))&gt;0,K30="Yes",AND(H30="Yes",IFERROR(INDEX(CT_USMCA,MATCH(E30,CT_Country,0)),"No")="Yes")),0,IF(IFERROR(INDEX(CT_Method,MATCH(E30,CT_Country,0)),"None")="Additive",IFERROR(INDEX(CT_Rate,MATCH(E30,CT_Country,0)),0),IF(IFERROR(INDEX(CT_Method,MATCH(E30,CT_Country,0)),"None")="Cap",MAX(0,IFERROR(INDEX(CT_Rate,MATCH(E30,CT_Country,0)),0)-IF(E30="United States (domestic)",0,IF(H30="Yes",0,G30))),0))))</f>
        <v/>
      </c>
      <c r="Q30" s="67" t="str">
        <f aca="false">IF(C30="","",IF(E30="United States (domestic)",0,IF(H30="Yes",0,G30))+IF(E30="China",IFERROR(IF(in_Date&gt;Excl_Expiry,INDEX(C301_Post,MATCH(I30,C301_Opt,0)),INDEX(C301_Pre,MATCH(I30,C301_Opt,0))),0),0)+IF(E30="United States (domestic)",0,IFERROR(IF(in_Date&gt;=Wood_Step,INDEX(S232_2027,MATCH(J30,S232_Opt,0)),INDEX(S232_Now,MATCH(J30,S232_Opt,0))),0))+P30)</f>
        <v/>
      </c>
      <c r="R30" s="68" t="str">
        <f aca="false">IF(C30="","",M30*Q30)</f>
        <v/>
      </c>
      <c r="S30" s="69" t="str">
        <f aca="false">IF(C30="","",IF(E30="United States (domestic)",0,M30*(IF(AND(H30="Yes",IFERROR(INDEX(CT_USMCA,MATCH(E30,CT_Country,0)),"No")="Yes"),0,MPF_Rate)+IF(L30="Ocean",HMF_Rate,0))))</f>
        <v/>
      </c>
      <c r="T30" s="68" t="str">
        <f aca="false">IF(C30="","",M30+N30)</f>
        <v/>
      </c>
      <c r="U30" s="68" t="str">
        <f aca="false">IF(C30="","",T30+R30+S30)</f>
        <v/>
      </c>
      <c r="V30" s="68" t="str">
        <f aca="false">IF(OR(C30="",O30=""),"",O30-T30)</f>
        <v/>
      </c>
      <c r="W30" s="67" t="str">
        <f aca="false">IF(OR(C30="",O30=""),"",IFERROR(V30/O30,0))</f>
        <v/>
      </c>
      <c r="X30" s="68" t="str">
        <f aca="false">IF(OR(C30="",O30=""),"",O30-U30)</f>
        <v/>
      </c>
      <c r="Y30" s="67" t="str">
        <f aca="false">IF(OR(C30="",O30=""),"",IFERROR(X30/O30,0))</f>
        <v/>
      </c>
    </row>
    <row r="31" customFormat="false" ht="15" hidden="false" customHeight="false" outlineLevel="0" collapsed="false">
      <c r="B31" s="62" t="n">
        <v>26</v>
      </c>
      <c r="C31" s="63"/>
      <c r="D31" s="63"/>
      <c r="E31" s="63"/>
      <c r="F31" s="63"/>
      <c r="G31" s="64"/>
      <c r="H31" s="65"/>
      <c r="I31" s="63"/>
      <c r="J31" s="63"/>
      <c r="K31" s="65"/>
      <c r="L31" s="65"/>
      <c r="M31" s="66"/>
      <c r="N31" s="66"/>
      <c r="O31" s="66"/>
      <c r="P31" s="67" t="str">
        <f aca="false">IF(C31="","",IF(OR(IF(E31="United States (domestic)",0,IFERROR(IF(in_Date&gt;=Wood_Step,INDEX(S232_2027,MATCH(J31,S232_Opt,0)),INDEX(S232_Now,MATCH(J31,S232_Opt,0))),0))&gt;0,K31="Yes",AND(H31="Yes",IFERROR(INDEX(CT_USMCA,MATCH(E31,CT_Country,0)),"No")="Yes")),0,IF(IFERROR(INDEX(CT_Method,MATCH(E31,CT_Country,0)),"None")="Additive",IFERROR(INDEX(CT_Rate,MATCH(E31,CT_Country,0)),0),IF(IFERROR(INDEX(CT_Method,MATCH(E31,CT_Country,0)),"None")="Cap",MAX(0,IFERROR(INDEX(CT_Rate,MATCH(E31,CT_Country,0)),0)-IF(E31="United States (domestic)",0,IF(H31="Yes",0,G31))),0))))</f>
        <v/>
      </c>
      <c r="Q31" s="67" t="str">
        <f aca="false">IF(C31="","",IF(E31="United States (domestic)",0,IF(H31="Yes",0,G31))+IF(E31="China",IFERROR(IF(in_Date&gt;Excl_Expiry,INDEX(C301_Post,MATCH(I31,C301_Opt,0)),INDEX(C301_Pre,MATCH(I31,C301_Opt,0))),0),0)+IF(E31="United States (domestic)",0,IFERROR(IF(in_Date&gt;=Wood_Step,INDEX(S232_2027,MATCH(J31,S232_Opt,0)),INDEX(S232_Now,MATCH(J31,S232_Opt,0))),0))+P31)</f>
        <v/>
      </c>
      <c r="R31" s="68" t="str">
        <f aca="false">IF(C31="","",M31*Q31)</f>
        <v/>
      </c>
      <c r="S31" s="69" t="str">
        <f aca="false">IF(C31="","",IF(E31="United States (domestic)",0,M31*(IF(AND(H31="Yes",IFERROR(INDEX(CT_USMCA,MATCH(E31,CT_Country,0)),"No")="Yes"),0,MPF_Rate)+IF(L31="Ocean",HMF_Rate,0))))</f>
        <v/>
      </c>
      <c r="T31" s="68" t="str">
        <f aca="false">IF(C31="","",M31+N31)</f>
        <v/>
      </c>
      <c r="U31" s="68" t="str">
        <f aca="false">IF(C31="","",T31+R31+S31)</f>
        <v/>
      </c>
      <c r="V31" s="68" t="str">
        <f aca="false">IF(OR(C31="",O31=""),"",O31-T31)</f>
        <v/>
      </c>
      <c r="W31" s="67" t="str">
        <f aca="false">IF(OR(C31="",O31=""),"",IFERROR(V31/O31,0))</f>
        <v/>
      </c>
      <c r="X31" s="68" t="str">
        <f aca="false">IF(OR(C31="",O31=""),"",O31-U31)</f>
        <v/>
      </c>
      <c r="Y31" s="67" t="str">
        <f aca="false">IF(OR(C31="",O31=""),"",IFERROR(X31/O31,0))</f>
        <v/>
      </c>
    </row>
    <row r="32" customFormat="false" ht="15" hidden="false" customHeight="false" outlineLevel="0" collapsed="false">
      <c r="B32" s="62" t="n">
        <v>27</v>
      </c>
      <c r="C32" s="63"/>
      <c r="D32" s="63"/>
      <c r="E32" s="63"/>
      <c r="F32" s="63"/>
      <c r="G32" s="64"/>
      <c r="H32" s="65"/>
      <c r="I32" s="63"/>
      <c r="J32" s="63"/>
      <c r="K32" s="65"/>
      <c r="L32" s="65"/>
      <c r="M32" s="66"/>
      <c r="N32" s="66"/>
      <c r="O32" s="66"/>
      <c r="P32" s="67" t="str">
        <f aca="false">IF(C32="","",IF(OR(IF(E32="United States (domestic)",0,IFERROR(IF(in_Date&gt;=Wood_Step,INDEX(S232_2027,MATCH(J32,S232_Opt,0)),INDEX(S232_Now,MATCH(J32,S232_Opt,0))),0))&gt;0,K32="Yes",AND(H32="Yes",IFERROR(INDEX(CT_USMCA,MATCH(E32,CT_Country,0)),"No")="Yes")),0,IF(IFERROR(INDEX(CT_Method,MATCH(E32,CT_Country,0)),"None")="Additive",IFERROR(INDEX(CT_Rate,MATCH(E32,CT_Country,0)),0),IF(IFERROR(INDEX(CT_Method,MATCH(E32,CT_Country,0)),"None")="Cap",MAX(0,IFERROR(INDEX(CT_Rate,MATCH(E32,CT_Country,0)),0)-IF(E32="United States (domestic)",0,IF(H32="Yes",0,G32))),0))))</f>
        <v/>
      </c>
      <c r="Q32" s="67" t="str">
        <f aca="false">IF(C32="","",IF(E32="United States (domestic)",0,IF(H32="Yes",0,G32))+IF(E32="China",IFERROR(IF(in_Date&gt;Excl_Expiry,INDEX(C301_Post,MATCH(I32,C301_Opt,0)),INDEX(C301_Pre,MATCH(I32,C301_Opt,0))),0),0)+IF(E32="United States (domestic)",0,IFERROR(IF(in_Date&gt;=Wood_Step,INDEX(S232_2027,MATCH(J32,S232_Opt,0)),INDEX(S232_Now,MATCH(J32,S232_Opt,0))),0))+P32)</f>
        <v/>
      </c>
      <c r="R32" s="68" t="str">
        <f aca="false">IF(C32="","",M32*Q32)</f>
        <v/>
      </c>
      <c r="S32" s="69" t="str">
        <f aca="false">IF(C32="","",IF(E32="United States (domestic)",0,M32*(IF(AND(H32="Yes",IFERROR(INDEX(CT_USMCA,MATCH(E32,CT_Country,0)),"No")="Yes"),0,MPF_Rate)+IF(L32="Ocean",HMF_Rate,0))))</f>
        <v/>
      </c>
      <c r="T32" s="68" t="str">
        <f aca="false">IF(C32="","",M32+N32)</f>
        <v/>
      </c>
      <c r="U32" s="68" t="str">
        <f aca="false">IF(C32="","",T32+R32+S32)</f>
        <v/>
      </c>
      <c r="V32" s="68" t="str">
        <f aca="false">IF(OR(C32="",O32=""),"",O32-T32)</f>
        <v/>
      </c>
      <c r="W32" s="67" t="str">
        <f aca="false">IF(OR(C32="",O32=""),"",IFERROR(V32/O32,0))</f>
        <v/>
      </c>
      <c r="X32" s="68" t="str">
        <f aca="false">IF(OR(C32="",O32=""),"",O32-U32)</f>
        <v/>
      </c>
      <c r="Y32" s="67" t="str">
        <f aca="false">IF(OR(C32="",O32=""),"",IFERROR(X32/O32,0))</f>
        <v/>
      </c>
    </row>
    <row r="33" customFormat="false" ht="15" hidden="false" customHeight="false" outlineLevel="0" collapsed="false">
      <c r="B33" s="62" t="n">
        <v>28</v>
      </c>
      <c r="C33" s="63"/>
      <c r="D33" s="63"/>
      <c r="E33" s="63"/>
      <c r="F33" s="63"/>
      <c r="G33" s="64"/>
      <c r="H33" s="65"/>
      <c r="I33" s="63"/>
      <c r="J33" s="63"/>
      <c r="K33" s="65"/>
      <c r="L33" s="65"/>
      <c r="M33" s="66"/>
      <c r="N33" s="66"/>
      <c r="O33" s="66"/>
      <c r="P33" s="67" t="str">
        <f aca="false">IF(C33="","",IF(OR(IF(E33="United States (domestic)",0,IFERROR(IF(in_Date&gt;=Wood_Step,INDEX(S232_2027,MATCH(J33,S232_Opt,0)),INDEX(S232_Now,MATCH(J33,S232_Opt,0))),0))&gt;0,K33="Yes",AND(H33="Yes",IFERROR(INDEX(CT_USMCA,MATCH(E33,CT_Country,0)),"No")="Yes")),0,IF(IFERROR(INDEX(CT_Method,MATCH(E33,CT_Country,0)),"None")="Additive",IFERROR(INDEX(CT_Rate,MATCH(E33,CT_Country,0)),0),IF(IFERROR(INDEX(CT_Method,MATCH(E33,CT_Country,0)),"None")="Cap",MAX(0,IFERROR(INDEX(CT_Rate,MATCH(E33,CT_Country,0)),0)-IF(E33="United States (domestic)",0,IF(H33="Yes",0,G33))),0))))</f>
        <v/>
      </c>
      <c r="Q33" s="67" t="str">
        <f aca="false">IF(C33="","",IF(E33="United States (domestic)",0,IF(H33="Yes",0,G33))+IF(E33="China",IFERROR(IF(in_Date&gt;Excl_Expiry,INDEX(C301_Post,MATCH(I33,C301_Opt,0)),INDEX(C301_Pre,MATCH(I33,C301_Opt,0))),0),0)+IF(E33="United States (domestic)",0,IFERROR(IF(in_Date&gt;=Wood_Step,INDEX(S232_2027,MATCH(J33,S232_Opt,0)),INDEX(S232_Now,MATCH(J33,S232_Opt,0))),0))+P33)</f>
        <v/>
      </c>
      <c r="R33" s="68" t="str">
        <f aca="false">IF(C33="","",M33*Q33)</f>
        <v/>
      </c>
      <c r="S33" s="69" t="str">
        <f aca="false">IF(C33="","",IF(E33="United States (domestic)",0,M33*(IF(AND(H33="Yes",IFERROR(INDEX(CT_USMCA,MATCH(E33,CT_Country,0)),"No")="Yes"),0,MPF_Rate)+IF(L33="Ocean",HMF_Rate,0))))</f>
        <v/>
      </c>
      <c r="T33" s="68" t="str">
        <f aca="false">IF(C33="","",M33+N33)</f>
        <v/>
      </c>
      <c r="U33" s="68" t="str">
        <f aca="false">IF(C33="","",T33+R33+S33)</f>
        <v/>
      </c>
      <c r="V33" s="68" t="str">
        <f aca="false">IF(OR(C33="",O33=""),"",O33-T33)</f>
        <v/>
      </c>
      <c r="W33" s="67" t="str">
        <f aca="false">IF(OR(C33="",O33=""),"",IFERROR(V33/O33,0))</f>
        <v/>
      </c>
      <c r="X33" s="68" t="str">
        <f aca="false">IF(OR(C33="",O33=""),"",O33-U33)</f>
        <v/>
      </c>
      <c r="Y33" s="67" t="str">
        <f aca="false">IF(OR(C33="",O33=""),"",IFERROR(X33/O33,0))</f>
        <v/>
      </c>
    </row>
    <row r="34" customFormat="false" ht="15" hidden="false" customHeight="false" outlineLevel="0" collapsed="false">
      <c r="B34" s="62" t="n">
        <v>29</v>
      </c>
      <c r="C34" s="63"/>
      <c r="D34" s="63"/>
      <c r="E34" s="63"/>
      <c r="F34" s="63"/>
      <c r="G34" s="64"/>
      <c r="H34" s="65"/>
      <c r="I34" s="63"/>
      <c r="J34" s="63"/>
      <c r="K34" s="65"/>
      <c r="L34" s="65"/>
      <c r="M34" s="66"/>
      <c r="N34" s="66"/>
      <c r="O34" s="66"/>
      <c r="P34" s="67" t="str">
        <f aca="false">IF(C34="","",IF(OR(IF(E34="United States (domestic)",0,IFERROR(IF(in_Date&gt;=Wood_Step,INDEX(S232_2027,MATCH(J34,S232_Opt,0)),INDEX(S232_Now,MATCH(J34,S232_Opt,0))),0))&gt;0,K34="Yes",AND(H34="Yes",IFERROR(INDEX(CT_USMCA,MATCH(E34,CT_Country,0)),"No")="Yes")),0,IF(IFERROR(INDEX(CT_Method,MATCH(E34,CT_Country,0)),"None")="Additive",IFERROR(INDEX(CT_Rate,MATCH(E34,CT_Country,0)),0),IF(IFERROR(INDEX(CT_Method,MATCH(E34,CT_Country,0)),"None")="Cap",MAX(0,IFERROR(INDEX(CT_Rate,MATCH(E34,CT_Country,0)),0)-IF(E34="United States (domestic)",0,IF(H34="Yes",0,G34))),0))))</f>
        <v/>
      </c>
      <c r="Q34" s="67" t="str">
        <f aca="false">IF(C34="","",IF(E34="United States (domestic)",0,IF(H34="Yes",0,G34))+IF(E34="China",IFERROR(IF(in_Date&gt;Excl_Expiry,INDEX(C301_Post,MATCH(I34,C301_Opt,0)),INDEX(C301_Pre,MATCH(I34,C301_Opt,0))),0),0)+IF(E34="United States (domestic)",0,IFERROR(IF(in_Date&gt;=Wood_Step,INDEX(S232_2027,MATCH(J34,S232_Opt,0)),INDEX(S232_Now,MATCH(J34,S232_Opt,0))),0))+P34)</f>
        <v/>
      </c>
      <c r="R34" s="68" t="str">
        <f aca="false">IF(C34="","",M34*Q34)</f>
        <v/>
      </c>
      <c r="S34" s="69" t="str">
        <f aca="false">IF(C34="","",IF(E34="United States (domestic)",0,M34*(IF(AND(H34="Yes",IFERROR(INDEX(CT_USMCA,MATCH(E34,CT_Country,0)),"No")="Yes"),0,MPF_Rate)+IF(L34="Ocean",HMF_Rate,0))))</f>
        <v/>
      </c>
      <c r="T34" s="68" t="str">
        <f aca="false">IF(C34="","",M34+N34)</f>
        <v/>
      </c>
      <c r="U34" s="68" t="str">
        <f aca="false">IF(C34="","",T34+R34+S34)</f>
        <v/>
      </c>
      <c r="V34" s="68" t="str">
        <f aca="false">IF(OR(C34="",O34=""),"",O34-T34)</f>
        <v/>
      </c>
      <c r="W34" s="67" t="str">
        <f aca="false">IF(OR(C34="",O34=""),"",IFERROR(V34/O34,0))</f>
        <v/>
      </c>
      <c r="X34" s="68" t="str">
        <f aca="false">IF(OR(C34="",O34=""),"",O34-U34)</f>
        <v/>
      </c>
      <c r="Y34" s="67" t="str">
        <f aca="false">IF(OR(C34="",O34=""),"",IFERROR(X34/O34,0))</f>
        <v/>
      </c>
    </row>
    <row r="35" customFormat="false" ht="15" hidden="false" customHeight="false" outlineLevel="0" collapsed="false">
      <c r="B35" s="62" t="n">
        <v>30</v>
      </c>
      <c r="C35" s="63"/>
      <c r="D35" s="63"/>
      <c r="E35" s="63"/>
      <c r="F35" s="63"/>
      <c r="G35" s="64"/>
      <c r="H35" s="65"/>
      <c r="I35" s="63"/>
      <c r="J35" s="63"/>
      <c r="K35" s="65"/>
      <c r="L35" s="65"/>
      <c r="M35" s="66"/>
      <c r="N35" s="66"/>
      <c r="O35" s="66"/>
      <c r="P35" s="67" t="str">
        <f aca="false">IF(C35="","",IF(OR(IF(E35="United States (domestic)",0,IFERROR(IF(in_Date&gt;=Wood_Step,INDEX(S232_2027,MATCH(J35,S232_Opt,0)),INDEX(S232_Now,MATCH(J35,S232_Opt,0))),0))&gt;0,K35="Yes",AND(H35="Yes",IFERROR(INDEX(CT_USMCA,MATCH(E35,CT_Country,0)),"No")="Yes")),0,IF(IFERROR(INDEX(CT_Method,MATCH(E35,CT_Country,0)),"None")="Additive",IFERROR(INDEX(CT_Rate,MATCH(E35,CT_Country,0)),0),IF(IFERROR(INDEX(CT_Method,MATCH(E35,CT_Country,0)),"None")="Cap",MAX(0,IFERROR(INDEX(CT_Rate,MATCH(E35,CT_Country,0)),0)-IF(E35="United States (domestic)",0,IF(H35="Yes",0,G35))),0))))</f>
        <v/>
      </c>
      <c r="Q35" s="67" t="str">
        <f aca="false">IF(C35="","",IF(E35="United States (domestic)",0,IF(H35="Yes",0,G35))+IF(E35="China",IFERROR(IF(in_Date&gt;Excl_Expiry,INDEX(C301_Post,MATCH(I35,C301_Opt,0)),INDEX(C301_Pre,MATCH(I35,C301_Opt,0))),0),0)+IF(E35="United States (domestic)",0,IFERROR(IF(in_Date&gt;=Wood_Step,INDEX(S232_2027,MATCH(J35,S232_Opt,0)),INDEX(S232_Now,MATCH(J35,S232_Opt,0))),0))+P35)</f>
        <v/>
      </c>
      <c r="R35" s="68" t="str">
        <f aca="false">IF(C35="","",M35*Q35)</f>
        <v/>
      </c>
      <c r="S35" s="69" t="str">
        <f aca="false">IF(C35="","",IF(E35="United States (domestic)",0,M35*(IF(AND(H35="Yes",IFERROR(INDEX(CT_USMCA,MATCH(E35,CT_Country,0)),"No")="Yes"),0,MPF_Rate)+IF(L35="Ocean",HMF_Rate,0))))</f>
        <v/>
      </c>
      <c r="T35" s="68" t="str">
        <f aca="false">IF(C35="","",M35+N35)</f>
        <v/>
      </c>
      <c r="U35" s="68" t="str">
        <f aca="false">IF(C35="","",T35+R35+S35)</f>
        <v/>
      </c>
      <c r="V35" s="68" t="str">
        <f aca="false">IF(OR(C35="",O35=""),"",O35-T35)</f>
        <v/>
      </c>
      <c r="W35" s="67" t="str">
        <f aca="false">IF(OR(C35="",O35=""),"",IFERROR(V35/O35,0))</f>
        <v/>
      </c>
      <c r="X35" s="68" t="str">
        <f aca="false">IF(OR(C35="",O35=""),"",O35-U35)</f>
        <v/>
      </c>
      <c r="Y35" s="67" t="str">
        <f aca="false">IF(OR(C35="",O35=""),"",IFERROR(X35/O35,0))</f>
        <v/>
      </c>
    </row>
    <row r="36" customFormat="false" ht="15" hidden="false" customHeight="false" outlineLevel="0" collapsed="false">
      <c r="B36" s="62" t="n">
        <v>31</v>
      </c>
      <c r="C36" s="63"/>
      <c r="D36" s="63"/>
      <c r="E36" s="63"/>
      <c r="F36" s="63"/>
      <c r="G36" s="64"/>
      <c r="H36" s="65"/>
      <c r="I36" s="63"/>
      <c r="J36" s="63"/>
      <c r="K36" s="65"/>
      <c r="L36" s="65"/>
      <c r="M36" s="66"/>
      <c r="N36" s="66"/>
      <c r="O36" s="66"/>
      <c r="P36" s="67" t="str">
        <f aca="false">IF(C36="","",IF(OR(IF(E36="United States (domestic)",0,IFERROR(IF(in_Date&gt;=Wood_Step,INDEX(S232_2027,MATCH(J36,S232_Opt,0)),INDEX(S232_Now,MATCH(J36,S232_Opt,0))),0))&gt;0,K36="Yes",AND(H36="Yes",IFERROR(INDEX(CT_USMCA,MATCH(E36,CT_Country,0)),"No")="Yes")),0,IF(IFERROR(INDEX(CT_Method,MATCH(E36,CT_Country,0)),"None")="Additive",IFERROR(INDEX(CT_Rate,MATCH(E36,CT_Country,0)),0),IF(IFERROR(INDEX(CT_Method,MATCH(E36,CT_Country,0)),"None")="Cap",MAX(0,IFERROR(INDEX(CT_Rate,MATCH(E36,CT_Country,0)),0)-IF(E36="United States (domestic)",0,IF(H36="Yes",0,G36))),0))))</f>
        <v/>
      </c>
      <c r="Q36" s="67" t="str">
        <f aca="false">IF(C36="","",IF(E36="United States (domestic)",0,IF(H36="Yes",0,G36))+IF(E36="China",IFERROR(IF(in_Date&gt;Excl_Expiry,INDEX(C301_Post,MATCH(I36,C301_Opt,0)),INDEX(C301_Pre,MATCH(I36,C301_Opt,0))),0),0)+IF(E36="United States (domestic)",0,IFERROR(IF(in_Date&gt;=Wood_Step,INDEX(S232_2027,MATCH(J36,S232_Opt,0)),INDEX(S232_Now,MATCH(J36,S232_Opt,0))),0))+P36)</f>
        <v/>
      </c>
      <c r="R36" s="68" t="str">
        <f aca="false">IF(C36="","",M36*Q36)</f>
        <v/>
      </c>
      <c r="S36" s="69" t="str">
        <f aca="false">IF(C36="","",IF(E36="United States (domestic)",0,M36*(IF(AND(H36="Yes",IFERROR(INDEX(CT_USMCA,MATCH(E36,CT_Country,0)),"No")="Yes"),0,MPF_Rate)+IF(L36="Ocean",HMF_Rate,0))))</f>
        <v/>
      </c>
      <c r="T36" s="68" t="str">
        <f aca="false">IF(C36="","",M36+N36)</f>
        <v/>
      </c>
      <c r="U36" s="68" t="str">
        <f aca="false">IF(C36="","",T36+R36+S36)</f>
        <v/>
      </c>
      <c r="V36" s="68" t="str">
        <f aca="false">IF(OR(C36="",O36=""),"",O36-T36)</f>
        <v/>
      </c>
      <c r="W36" s="67" t="str">
        <f aca="false">IF(OR(C36="",O36=""),"",IFERROR(V36/O36,0))</f>
        <v/>
      </c>
      <c r="X36" s="68" t="str">
        <f aca="false">IF(OR(C36="",O36=""),"",O36-U36)</f>
        <v/>
      </c>
      <c r="Y36" s="67" t="str">
        <f aca="false">IF(OR(C36="",O36=""),"",IFERROR(X36/O36,0))</f>
        <v/>
      </c>
    </row>
    <row r="37" customFormat="false" ht="15" hidden="false" customHeight="false" outlineLevel="0" collapsed="false">
      <c r="B37" s="62" t="n">
        <v>32</v>
      </c>
      <c r="C37" s="63"/>
      <c r="D37" s="63"/>
      <c r="E37" s="63"/>
      <c r="F37" s="63"/>
      <c r="G37" s="64"/>
      <c r="H37" s="65"/>
      <c r="I37" s="63"/>
      <c r="J37" s="63"/>
      <c r="K37" s="65"/>
      <c r="L37" s="65"/>
      <c r="M37" s="66"/>
      <c r="N37" s="66"/>
      <c r="O37" s="66"/>
      <c r="P37" s="67" t="str">
        <f aca="false">IF(C37="","",IF(OR(IF(E37="United States (domestic)",0,IFERROR(IF(in_Date&gt;=Wood_Step,INDEX(S232_2027,MATCH(J37,S232_Opt,0)),INDEX(S232_Now,MATCH(J37,S232_Opt,0))),0))&gt;0,K37="Yes",AND(H37="Yes",IFERROR(INDEX(CT_USMCA,MATCH(E37,CT_Country,0)),"No")="Yes")),0,IF(IFERROR(INDEX(CT_Method,MATCH(E37,CT_Country,0)),"None")="Additive",IFERROR(INDEX(CT_Rate,MATCH(E37,CT_Country,0)),0),IF(IFERROR(INDEX(CT_Method,MATCH(E37,CT_Country,0)),"None")="Cap",MAX(0,IFERROR(INDEX(CT_Rate,MATCH(E37,CT_Country,0)),0)-IF(E37="United States (domestic)",0,IF(H37="Yes",0,G37))),0))))</f>
        <v/>
      </c>
      <c r="Q37" s="67" t="str">
        <f aca="false">IF(C37="","",IF(E37="United States (domestic)",0,IF(H37="Yes",0,G37))+IF(E37="China",IFERROR(IF(in_Date&gt;Excl_Expiry,INDEX(C301_Post,MATCH(I37,C301_Opt,0)),INDEX(C301_Pre,MATCH(I37,C301_Opt,0))),0),0)+IF(E37="United States (domestic)",0,IFERROR(IF(in_Date&gt;=Wood_Step,INDEX(S232_2027,MATCH(J37,S232_Opt,0)),INDEX(S232_Now,MATCH(J37,S232_Opt,0))),0))+P37)</f>
        <v/>
      </c>
      <c r="R37" s="68" t="str">
        <f aca="false">IF(C37="","",M37*Q37)</f>
        <v/>
      </c>
      <c r="S37" s="69" t="str">
        <f aca="false">IF(C37="","",IF(E37="United States (domestic)",0,M37*(IF(AND(H37="Yes",IFERROR(INDEX(CT_USMCA,MATCH(E37,CT_Country,0)),"No")="Yes"),0,MPF_Rate)+IF(L37="Ocean",HMF_Rate,0))))</f>
        <v/>
      </c>
      <c r="T37" s="68" t="str">
        <f aca="false">IF(C37="","",M37+N37)</f>
        <v/>
      </c>
      <c r="U37" s="68" t="str">
        <f aca="false">IF(C37="","",T37+R37+S37)</f>
        <v/>
      </c>
      <c r="V37" s="68" t="str">
        <f aca="false">IF(OR(C37="",O37=""),"",O37-T37)</f>
        <v/>
      </c>
      <c r="W37" s="67" t="str">
        <f aca="false">IF(OR(C37="",O37=""),"",IFERROR(V37/O37,0))</f>
        <v/>
      </c>
      <c r="X37" s="68" t="str">
        <f aca="false">IF(OR(C37="",O37=""),"",O37-U37)</f>
        <v/>
      </c>
      <c r="Y37" s="67" t="str">
        <f aca="false">IF(OR(C37="",O37=""),"",IFERROR(X37/O37,0))</f>
        <v/>
      </c>
    </row>
    <row r="38" customFormat="false" ht="15" hidden="false" customHeight="false" outlineLevel="0" collapsed="false">
      <c r="B38" s="62" t="n">
        <v>33</v>
      </c>
      <c r="C38" s="63"/>
      <c r="D38" s="63"/>
      <c r="E38" s="63"/>
      <c r="F38" s="63"/>
      <c r="G38" s="64"/>
      <c r="H38" s="65"/>
      <c r="I38" s="63"/>
      <c r="J38" s="63"/>
      <c r="K38" s="65"/>
      <c r="L38" s="65"/>
      <c r="M38" s="66"/>
      <c r="N38" s="66"/>
      <c r="O38" s="66"/>
      <c r="P38" s="67" t="str">
        <f aca="false">IF(C38="","",IF(OR(IF(E38="United States (domestic)",0,IFERROR(IF(in_Date&gt;=Wood_Step,INDEX(S232_2027,MATCH(J38,S232_Opt,0)),INDEX(S232_Now,MATCH(J38,S232_Opt,0))),0))&gt;0,K38="Yes",AND(H38="Yes",IFERROR(INDEX(CT_USMCA,MATCH(E38,CT_Country,0)),"No")="Yes")),0,IF(IFERROR(INDEX(CT_Method,MATCH(E38,CT_Country,0)),"None")="Additive",IFERROR(INDEX(CT_Rate,MATCH(E38,CT_Country,0)),0),IF(IFERROR(INDEX(CT_Method,MATCH(E38,CT_Country,0)),"None")="Cap",MAX(0,IFERROR(INDEX(CT_Rate,MATCH(E38,CT_Country,0)),0)-IF(E38="United States (domestic)",0,IF(H38="Yes",0,G38))),0))))</f>
        <v/>
      </c>
      <c r="Q38" s="67" t="str">
        <f aca="false">IF(C38="","",IF(E38="United States (domestic)",0,IF(H38="Yes",0,G38))+IF(E38="China",IFERROR(IF(in_Date&gt;Excl_Expiry,INDEX(C301_Post,MATCH(I38,C301_Opt,0)),INDEX(C301_Pre,MATCH(I38,C301_Opt,0))),0),0)+IF(E38="United States (domestic)",0,IFERROR(IF(in_Date&gt;=Wood_Step,INDEX(S232_2027,MATCH(J38,S232_Opt,0)),INDEX(S232_Now,MATCH(J38,S232_Opt,0))),0))+P38)</f>
        <v/>
      </c>
      <c r="R38" s="68" t="str">
        <f aca="false">IF(C38="","",M38*Q38)</f>
        <v/>
      </c>
      <c r="S38" s="69" t="str">
        <f aca="false">IF(C38="","",IF(E38="United States (domestic)",0,M38*(IF(AND(H38="Yes",IFERROR(INDEX(CT_USMCA,MATCH(E38,CT_Country,0)),"No")="Yes"),0,MPF_Rate)+IF(L38="Ocean",HMF_Rate,0))))</f>
        <v/>
      </c>
      <c r="T38" s="68" t="str">
        <f aca="false">IF(C38="","",M38+N38)</f>
        <v/>
      </c>
      <c r="U38" s="68" t="str">
        <f aca="false">IF(C38="","",T38+R38+S38)</f>
        <v/>
      </c>
      <c r="V38" s="68" t="str">
        <f aca="false">IF(OR(C38="",O38=""),"",O38-T38)</f>
        <v/>
      </c>
      <c r="W38" s="67" t="str">
        <f aca="false">IF(OR(C38="",O38=""),"",IFERROR(V38/O38,0))</f>
        <v/>
      </c>
      <c r="X38" s="68" t="str">
        <f aca="false">IF(OR(C38="",O38=""),"",O38-U38)</f>
        <v/>
      </c>
      <c r="Y38" s="67" t="str">
        <f aca="false">IF(OR(C38="",O38=""),"",IFERROR(X38/O38,0))</f>
        <v/>
      </c>
    </row>
    <row r="39" customFormat="false" ht="15" hidden="false" customHeight="false" outlineLevel="0" collapsed="false">
      <c r="B39" s="62" t="n">
        <v>34</v>
      </c>
      <c r="C39" s="63"/>
      <c r="D39" s="63"/>
      <c r="E39" s="63"/>
      <c r="F39" s="63"/>
      <c r="G39" s="64"/>
      <c r="H39" s="65"/>
      <c r="I39" s="63"/>
      <c r="J39" s="63"/>
      <c r="K39" s="65"/>
      <c r="L39" s="65"/>
      <c r="M39" s="66"/>
      <c r="N39" s="66"/>
      <c r="O39" s="66"/>
      <c r="P39" s="67" t="str">
        <f aca="false">IF(C39="","",IF(OR(IF(E39="United States (domestic)",0,IFERROR(IF(in_Date&gt;=Wood_Step,INDEX(S232_2027,MATCH(J39,S232_Opt,0)),INDEX(S232_Now,MATCH(J39,S232_Opt,0))),0))&gt;0,K39="Yes",AND(H39="Yes",IFERROR(INDEX(CT_USMCA,MATCH(E39,CT_Country,0)),"No")="Yes")),0,IF(IFERROR(INDEX(CT_Method,MATCH(E39,CT_Country,0)),"None")="Additive",IFERROR(INDEX(CT_Rate,MATCH(E39,CT_Country,0)),0),IF(IFERROR(INDEX(CT_Method,MATCH(E39,CT_Country,0)),"None")="Cap",MAX(0,IFERROR(INDEX(CT_Rate,MATCH(E39,CT_Country,0)),0)-IF(E39="United States (domestic)",0,IF(H39="Yes",0,G39))),0))))</f>
        <v/>
      </c>
      <c r="Q39" s="67" t="str">
        <f aca="false">IF(C39="","",IF(E39="United States (domestic)",0,IF(H39="Yes",0,G39))+IF(E39="China",IFERROR(IF(in_Date&gt;Excl_Expiry,INDEX(C301_Post,MATCH(I39,C301_Opt,0)),INDEX(C301_Pre,MATCH(I39,C301_Opt,0))),0),0)+IF(E39="United States (domestic)",0,IFERROR(IF(in_Date&gt;=Wood_Step,INDEX(S232_2027,MATCH(J39,S232_Opt,0)),INDEX(S232_Now,MATCH(J39,S232_Opt,0))),0))+P39)</f>
        <v/>
      </c>
      <c r="R39" s="68" t="str">
        <f aca="false">IF(C39="","",M39*Q39)</f>
        <v/>
      </c>
      <c r="S39" s="69" t="str">
        <f aca="false">IF(C39="","",IF(E39="United States (domestic)",0,M39*(IF(AND(H39="Yes",IFERROR(INDEX(CT_USMCA,MATCH(E39,CT_Country,0)),"No")="Yes"),0,MPF_Rate)+IF(L39="Ocean",HMF_Rate,0))))</f>
        <v/>
      </c>
      <c r="T39" s="68" t="str">
        <f aca="false">IF(C39="","",M39+N39)</f>
        <v/>
      </c>
      <c r="U39" s="68" t="str">
        <f aca="false">IF(C39="","",T39+R39+S39)</f>
        <v/>
      </c>
      <c r="V39" s="68" t="str">
        <f aca="false">IF(OR(C39="",O39=""),"",O39-T39)</f>
        <v/>
      </c>
      <c r="W39" s="67" t="str">
        <f aca="false">IF(OR(C39="",O39=""),"",IFERROR(V39/O39,0))</f>
        <v/>
      </c>
      <c r="X39" s="68" t="str">
        <f aca="false">IF(OR(C39="",O39=""),"",O39-U39)</f>
        <v/>
      </c>
      <c r="Y39" s="67" t="str">
        <f aca="false">IF(OR(C39="",O39=""),"",IFERROR(X39/O39,0))</f>
        <v/>
      </c>
    </row>
    <row r="40" customFormat="false" ht="15" hidden="false" customHeight="false" outlineLevel="0" collapsed="false">
      <c r="B40" s="62" t="n">
        <v>35</v>
      </c>
      <c r="C40" s="63"/>
      <c r="D40" s="63"/>
      <c r="E40" s="63"/>
      <c r="F40" s="63"/>
      <c r="G40" s="64"/>
      <c r="H40" s="65"/>
      <c r="I40" s="63"/>
      <c r="J40" s="63"/>
      <c r="K40" s="65"/>
      <c r="L40" s="65"/>
      <c r="M40" s="66"/>
      <c r="N40" s="66"/>
      <c r="O40" s="66"/>
      <c r="P40" s="67" t="str">
        <f aca="false">IF(C40="","",IF(OR(IF(E40="United States (domestic)",0,IFERROR(IF(in_Date&gt;=Wood_Step,INDEX(S232_2027,MATCH(J40,S232_Opt,0)),INDEX(S232_Now,MATCH(J40,S232_Opt,0))),0))&gt;0,K40="Yes",AND(H40="Yes",IFERROR(INDEX(CT_USMCA,MATCH(E40,CT_Country,0)),"No")="Yes")),0,IF(IFERROR(INDEX(CT_Method,MATCH(E40,CT_Country,0)),"None")="Additive",IFERROR(INDEX(CT_Rate,MATCH(E40,CT_Country,0)),0),IF(IFERROR(INDEX(CT_Method,MATCH(E40,CT_Country,0)),"None")="Cap",MAX(0,IFERROR(INDEX(CT_Rate,MATCH(E40,CT_Country,0)),0)-IF(E40="United States (domestic)",0,IF(H40="Yes",0,G40))),0))))</f>
        <v/>
      </c>
      <c r="Q40" s="67" t="str">
        <f aca="false">IF(C40="","",IF(E40="United States (domestic)",0,IF(H40="Yes",0,G40))+IF(E40="China",IFERROR(IF(in_Date&gt;Excl_Expiry,INDEX(C301_Post,MATCH(I40,C301_Opt,0)),INDEX(C301_Pre,MATCH(I40,C301_Opt,0))),0),0)+IF(E40="United States (domestic)",0,IFERROR(IF(in_Date&gt;=Wood_Step,INDEX(S232_2027,MATCH(J40,S232_Opt,0)),INDEX(S232_Now,MATCH(J40,S232_Opt,0))),0))+P40)</f>
        <v/>
      </c>
      <c r="R40" s="68" t="str">
        <f aca="false">IF(C40="","",M40*Q40)</f>
        <v/>
      </c>
      <c r="S40" s="69" t="str">
        <f aca="false">IF(C40="","",IF(E40="United States (domestic)",0,M40*(IF(AND(H40="Yes",IFERROR(INDEX(CT_USMCA,MATCH(E40,CT_Country,0)),"No")="Yes"),0,MPF_Rate)+IF(L40="Ocean",HMF_Rate,0))))</f>
        <v/>
      </c>
      <c r="T40" s="68" t="str">
        <f aca="false">IF(C40="","",M40+N40)</f>
        <v/>
      </c>
      <c r="U40" s="68" t="str">
        <f aca="false">IF(C40="","",T40+R40+S40)</f>
        <v/>
      </c>
      <c r="V40" s="68" t="str">
        <f aca="false">IF(OR(C40="",O40=""),"",O40-T40)</f>
        <v/>
      </c>
      <c r="W40" s="67" t="str">
        <f aca="false">IF(OR(C40="",O40=""),"",IFERROR(V40/O40,0))</f>
        <v/>
      </c>
      <c r="X40" s="68" t="str">
        <f aca="false">IF(OR(C40="",O40=""),"",O40-U40)</f>
        <v/>
      </c>
      <c r="Y40" s="67" t="str">
        <f aca="false">IF(OR(C40="",O40=""),"",IFERROR(X40/O40,0))</f>
        <v/>
      </c>
    </row>
    <row r="41" customFormat="false" ht="15" hidden="false" customHeight="false" outlineLevel="0" collapsed="false">
      <c r="B41" s="62" t="n">
        <v>36</v>
      </c>
      <c r="C41" s="63"/>
      <c r="D41" s="63"/>
      <c r="E41" s="63"/>
      <c r="F41" s="63"/>
      <c r="G41" s="64"/>
      <c r="H41" s="65"/>
      <c r="I41" s="63"/>
      <c r="J41" s="63"/>
      <c r="K41" s="65"/>
      <c r="L41" s="65"/>
      <c r="M41" s="66"/>
      <c r="N41" s="66"/>
      <c r="O41" s="66"/>
      <c r="P41" s="67" t="str">
        <f aca="false">IF(C41="","",IF(OR(IF(E41="United States (domestic)",0,IFERROR(IF(in_Date&gt;=Wood_Step,INDEX(S232_2027,MATCH(J41,S232_Opt,0)),INDEX(S232_Now,MATCH(J41,S232_Opt,0))),0))&gt;0,K41="Yes",AND(H41="Yes",IFERROR(INDEX(CT_USMCA,MATCH(E41,CT_Country,0)),"No")="Yes")),0,IF(IFERROR(INDEX(CT_Method,MATCH(E41,CT_Country,0)),"None")="Additive",IFERROR(INDEX(CT_Rate,MATCH(E41,CT_Country,0)),0),IF(IFERROR(INDEX(CT_Method,MATCH(E41,CT_Country,0)),"None")="Cap",MAX(0,IFERROR(INDEX(CT_Rate,MATCH(E41,CT_Country,0)),0)-IF(E41="United States (domestic)",0,IF(H41="Yes",0,G41))),0))))</f>
        <v/>
      </c>
      <c r="Q41" s="67" t="str">
        <f aca="false">IF(C41="","",IF(E41="United States (domestic)",0,IF(H41="Yes",0,G41))+IF(E41="China",IFERROR(IF(in_Date&gt;Excl_Expiry,INDEX(C301_Post,MATCH(I41,C301_Opt,0)),INDEX(C301_Pre,MATCH(I41,C301_Opt,0))),0),0)+IF(E41="United States (domestic)",0,IFERROR(IF(in_Date&gt;=Wood_Step,INDEX(S232_2027,MATCH(J41,S232_Opt,0)),INDEX(S232_Now,MATCH(J41,S232_Opt,0))),0))+P41)</f>
        <v/>
      </c>
      <c r="R41" s="68" t="str">
        <f aca="false">IF(C41="","",M41*Q41)</f>
        <v/>
      </c>
      <c r="S41" s="69" t="str">
        <f aca="false">IF(C41="","",IF(E41="United States (domestic)",0,M41*(IF(AND(H41="Yes",IFERROR(INDEX(CT_USMCA,MATCH(E41,CT_Country,0)),"No")="Yes"),0,MPF_Rate)+IF(L41="Ocean",HMF_Rate,0))))</f>
        <v/>
      </c>
      <c r="T41" s="68" t="str">
        <f aca="false">IF(C41="","",M41+N41)</f>
        <v/>
      </c>
      <c r="U41" s="68" t="str">
        <f aca="false">IF(C41="","",T41+R41+S41)</f>
        <v/>
      </c>
      <c r="V41" s="68" t="str">
        <f aca="false">IF(OR(C41="",O41=""),"",O41-T41)</f>
        <v/>
      </c>
      <c r="W41" s="67" t="str">
        <f aca="false">IF(OR(C41="",O41=""),"",IFERROR(V41/O41,0))</f>
        <v/>
      </c>
      <c r="X41" s="68" t="str">
        <f aca="false">IF(OR(C41="",O41=""),"",O41-U41)</f>
        <v/>
      </c>
      <c r="Y41" s="67" t="str">
        <f aca="false">IF(OR(C41="",O41=""),"",IFERROR(X41/O41,0))</f>
        <v/>
      </c>
    </row>
    <row r="42" customFormat="false" ht="15" hidden="false" customHeight="false" outlineLevel="0" collapsed="false">
      <c r="B42" s="62" t="n">
        <v>37</v>
      </c>
      <c r="C42" s="63"/>
      <c r="D42" s="63"/>
      <c r="E42" s="63"/>
      <c r="F42" s="63"/>
      <c r="G42" s="64"/>
      <c r="H42" s="65"/>
      <c r="I42" s="63"/>
      <c r="J42" s="63"/>
      <c r="K42" s="65"/>
      <c r="L42" s="65"/>
      <c r="M42" s="66"/>
      <c r="N42" s="66"/>
      <c r="O42" s="66"/>
      <c r="P42" s="67" t="str">
        <f aca="false">IF(C42="","",IF(OR(IF(E42="United States (domestic)",0,IFERROR(IF(in_Date&gt;=Wood_Step,INDEX(S232_2027,MATCH(J42,S232_Opt,0)),INDEX(S232_Now,MATCH(J42,S232_Opt,0))),0))&gt;0,K42="Yes",AND(H42="Yes",IFERROR(INDEX(CT_USMCA,MATCH(E42,CT_Country,0)),"No")="Yes")),0,IF(IFERROR(INDEX(CT_Method,MATCH(E42,CT_Country,0)),"None")="Additive",IFERROR(INDEX(CT_Rate,MATCH(E42,CT_Country,0)),0),IF(IFERROR(INDEX(CT_Method,MATCH(E42,CT_Country,0)),"None")="Cap",MAX(0,IFERROR(INDEX(CT_Rate,MATCH(E42,CT_Country,0)),0)-IF(E42="United States (domestic)",0,IF(H42="Yes",0,G42))),0))))</f>
        <v/>
      </c>
      <c r="Q42" s="67" t="str">
        <f aca="false">IF(C42="","",IF(E42="United States (domestic)",0,IF(H42="Yes",0,G42))+IF(E42="China",IFERROR(IF(in_Date&gt;Excl_Expiry,INDEX(C301_Post,MATCH(I42,C301_Opt,0)),INDEX(C301_Pre,MATCH(I42,C301_Opt,0))),0),0)+IF(E42="United States (domestic)",0,IFERROR(IF(in_Date&gt;=Wood_Step,INDEX(S232_2027,MATCH(J42,S232_Opt,0)),INDEX(S232_Now,MATCH(J42,S232_Opt,0))),0))+P42)</f>
        <v/>
      </c>
      <c r="R42" s="68" t="str">
        <f aca="false">IF(C42="","",M42*Q42)</f>
        <v/>
      </c>
      <c r="S42" s="69" t="str">
        <f aca="false">IF(C42="","",IF(E42="United States (domestic)",0,M42*(IF(AND(H42="Yes",IFERROR(INDEX(CT_USMCA,MATCH(E42,CT_Country,0)),"No")="Yes"),0,MPF_Rate)+IF(L42="Ocean",HMF_Rate,0))))</f>
        <v/>
      </c>
      <c r="T42" s="68" t="str">
        <f aca="false">IF(C42="","",M42+N42)</f>
        <v/>
      </c>
      <c r="U42" s="68" t="str">
        <f aca="false">IF(C42="","",T42+R42+S42)</f>
        <v/>
      </c>
      <c r="V42" s="68" t="str">
        <f aca="false">IF(OR(C42="",O42=""),"",O42-T42)</f>
        <v/>
      </c>
      <c r="W42" s="67" t="str">
        <f aca="false">IF(OR(C42="",O42=""),"",IFERROR(V42/O42,0))</f>
        <v/>
      </c>
      <c r="X42" s="68" t="str">
        <f aca="false">IF(OR(C42="",O42=""),"",O42-U42)</f>
        <v/>
      </c>
      <c r="Y42" s="67" t="str">
        <f aca="false">IF(OR(C42="",O42=""),"",IFERROR(X42/O42,0))</f>
        <v/>
      </c>
    </row>
    <row r="43" customFormat="false" ht="15" hidden="false" customHeight="false" outlineLevel="0" collapsed="false">
      <c r="B43" s="62" t="n">
        <v>38</v>
      </c>
      <c r="C43" s="63"/>
      <c r="D43" s="63"/>
      <c r="E43" s="63"/>
      <c r="F43" s="63"/>
      <c r="G43" s="64"/>
      <c r="H43" s="65"/>
      <c r="I43" s="63"/>
      <c r="J43" s="63"/>
      <c r="K43" s="65"/>
      <c r="L43" s="65"/>
      <c r="M43" s="66"/>
      <c r="N43" s="66"/>
      <c r="O43" s="66"/>
      <c r="P43" s="67" t="str">
        <f aca="false">IF(C43="","",IF(OR(IF(E43="United States (domestic)",0,IFERROR(IF(in_Date&gt;=Wood_Step,INDEX(S232_2027,MATCH(J43,S232_Opt,0)),INDEX(S232_Now,MATCH(J43,S232_Opt,0))),0))&gt;0,K43="Yes",AND(H43="Yes",IFERROR(INDEX(CT_USMCA,MATCH(E43,CT_Country,0)),"No")="Yes")),0,IF(IFERROR(INDEX(CT_Method,MATCH(E43,CT_Country,0)),"None")="Additive",IFERROR(INDEX(CT_Rate,MATCH(E43,CT_Country,0)),0),IF(IFERROR(INDEX(CT_Method,MATCH(E43,CT_Country,0)),"None")="Cap",MAX(0,IFERROR(INDEX(CT_Rate,MATCH(E43,CT_Country,0)),0)-IF(E43="United States (domestic)",0,IF(H43="Yes",0,G43))),0))))</f>
        <v/>
      </c>
      <c r="Q43" s="67" t="str">
        <f aca="false">IF(C43="","",IF(E43="United States (domestic)",0,IF(H43="Yes",0,G43))+IF(E43="China",IFERROR(IF(in_Date&gt;Excl_Expiry,INDEX(C301_Post,MATCH(I43,C301_Opt,0)),INDEX(C301_Pre,MATCH(I43,C301_Opt,0))),0),0)+IF(E43="United States (domestic)",0,IFERROR(IF(in_Date&gt;=Wood_Step,INDEX(S232_2027,MATCH(J43,S232_Opt,0)),INDEX(S232_Now,MATCH(J43,S232_Opt,0))),0))+P43)</f>
        <v/>
      </c>
      <c r="R43" s="68" t="str">
        <f aca="false">IF(C43="","",M43*Q43)</f>
        <v/>
      </c>
      <c r="S43" s="69" t="str">
        <f aca="false">IF(C43="","",IF(E43="United States (domestic)",0,M43*(IF(AND(H43="Yes",IFERROR(INDEX(CT_USMCA,MATCH(E43,CT_Country,0)),"No")="Yes"),0,MPF_Rate)+IF(L43="Ocean",HMF_Rate,0))))</f>
        <v/>
      </c>
      <c r="T43" s="68" t="str">
        <f aca="false">IF(C43="","",M43+N43)</f>
        <v/>
      </c>
      <c r="U43" s="68" t="str">
        <f aca="false">IF(C43="","",T43+R43+S43)</f>
        <v/>
      </c>
      <c r="V43" s="68" t="str">
        <f aca="false">IF(OR(C43="",O43=""),"",O43-T43)</f>
        <v/>
      </c>
      <c r="W43" s="67" t="str">
        <f aca="false">IF(OR(C43="",O43=""),"",IFERROR(V43/O43,0))</f>
        <v/>
      </c>
      <c r="X43" s="68" t="str">
        <f aca="false">IF(OR(C43="",O43=""),"",O43-U43)</f>
        <v/>
      </c>
      <c r="Y43" s="67" t="str">
        <f aca="false">IF(OR(C43="",O43=""),"",IFERROR(X43/O43,0))</f>
        <v/>
      </c>
    </row>
    <row r="44" customFormat="false" ht="15" hidden="false" customHeight="false" outlineLevel="0" collapsed="false">
      <c r="B44" s="62" t="n">
        <v>39</v>
      </c>
      <c r="C44" s="63"/>
      <c r="D44" s="63"/>
      <c r="E44" s="63"/>
      <c r="F44" s="63"/>
      <c r="G44" s="64"/>
      <c r="H44" s="65"/>
      <c r="I44" s="63"/>
      <c r="J44" s="63"/>
      <c r="K44" s="65"/>
      <c r="L44" s="65"/>
      <c r="M44" s="66"/>
      <c r="N44" s="66"/>
      <c r="O44" s="66"/>
      <c r="P44" s="67" t="str">
        <f aca="false">IF(C44="","",IF(OR(IF(E44="United States (domestic)",0,IFERROR(IF(in_Date&gt;=Wood_Step,INDEX(S232_2027,MATCH(J44,S232_Opt,0)),INDEX(S232_Now,MATCH(J44,S232_Opt,0))),0))&gt;0,K44="Yes",AND(H44="Yes",IFERROR(INDEX(CT_USMCA,MATCH(E44,CT_Country,0)),"No")="Yes")),0,IF(IFERROR(INDEX(CT_Method,MATCH(E44,CT_Country,0)),"None")="Additive",IFERROR(INDEX(CT_Rate,MATCH(E44,CT_Country,0)),0),IF(IFERROR(INDEX(CT_Method,MATCH(E44,CT_Country,0)),"None")="Cap",MAX(0,IFERROR(INDEX(CT_Rate,MATCH(E44,CT_Country,0)),0)-IF(E44="United States (domestic)",0,IF(H44="Yes",0,G44))),0))))</f>
        <v/>
      </c>
      <c r="Q44" s="67" t="str">
        <f aca="false">IF(C44="","",IF(E44="United States (domestic)",0,IF(H44="Yes",0,G44))+IF(E44="China",IFERROR(IF(in_Date&gt;Excl_Expiry,INDEX(C301_Post,MATCH(I44,C301_Opt,0)),INDEX(C301_Pre,MATCH(I44,C301_Opt,0))),0),0)+IF(E44="United States (domestic)",0,IFERROR(IF(in_Date&gt;=Wood_Step,INDEX(S232_2027,MATCH(J44,S232_Opt,0)),INDEX(S232_Now,MATCH(J44,S232_Opt,0))),0))+P44)</f>
        <v/>
      </c>
      <c r="R44" s="68" t="str">
        <f aca="false">IF(C44="","",M44*Q44)</f>
        <v/>
      </c>
      <c r="S44" s="69" t="str">
        <f aca="false">IF(C44="","",IF(E44="United States (domestic)",0,M44*(IF(AND(H44="Yes",IFERROR(INDEX(CT_USMCA,MATCH(E44,CT_Country,0)),"No")="Yes"),0,MPF_Rate)+IF(L44="Ocean",HMF_Rate,0))))</f>
        <v/>
      </c>
      <c r="T44" s="68" t="str">
        <f aca="false">IF(C44="","",M44+N44)</f>
        <v/>
      </c>
      <c r="U44" s="68" t="str">
        <f aca="false">IF(C44="","",T44+R44+S44)</f>
        <v/>
      </c>
      <c r="V44" s="68" t="str">
        <f aca="false">IF(OR(C44="",O44=""),"",O44-T44)</f>
        <v/>
      </c>
      <c r="W44" s="67" t="str">
        <f aca="false">IF(OR(C44="",O44=""),"",IFERROR(V44/O44,0))</f>
        <v/>
      </c>
      <c r="X44" s="68" t="str">
        <f aca="false">IF(OR(C44="",O44=""),"",O44-U44)</f>
        <v/>
      </c>
      <c r="Y44" s="67" t="str">
        <f aca="false">IF(OR(C44="",O44=""),"",IFERROR(X44/O44,0))</f>
        <v/>
      </c>
    </row>
    <row r="45" customFormat="false" ht="15" hidden="false" customHeight="false" outlineLevel="0" collapsed="false">
      <c r="B45" s="62" t="n">
        <v>40</v>
      </c>
      <c r="C45" s="63"/>
      <c r="D45" s="63"/>
      <c r="E45" s="63"/>
      <c r="F45" s="63"/>
      <c r="G45" s="64"/>
      <c r="H45" s="65"/>
      <c r="I45" s="63"/>
      <c r="J45" s="63"/>
      <c r="K45" s="65"/>
      <c r="L45" s="65"/>
      <c r="M45" s="66"/>
      <c r="N45" s="66"/>
      <c r="O45" s="66"/>
      <c r="P45" s="67" t="str">
        <f aca="false">IF(C45="","",IF(OR(IF(E45="United States (domestic)",0,IFERROR(IF(in_Date&gt;=Wood_Step,INDEX(S232_2027,MATCH(J45,S232_Opt,0)),INDEX(S232_Now,MATCH(J45,S232_Opt,0))),0))&gt;0,K45="Yes",AND(H45="Yes",IFERROR(INDEX(CT_USMCA,MATCH(E45,CT_Country,0)),"No")="Yes")),0,IF(IFERROR(INDEX(CT_Method,MATCH(E45,CT_Country,0)),"None")="Additive",IFERROR(INDEX(CT_Rate,MATCH(E45,CT_Country,0)),0),IF(IFERROR(INDEX(CT_Method,MATCH(E45,CT_Country,0)),"None")="Cap",MAX(0,IFERROR(INDEX(CT_Rate,MATCH(E45,CT_Country,0)),0)-IF(E45="United States (domestic)",0,IF(H45="Yes",0,G45))),0))))</f>
        <v/>
      </c>
      <c r="Q45" s="67" t="str">
        <f aca="false">IF(C45="","",IF(E45="United States (domestic)",0,IF(H45="Yes",0,G45))+IF(E45="China",IFERROR(IF(in_Date&gt;Excl_Expiry,INDEX(C301_Post,MATCH(I45,C301_Opt,0)),INDEX(C301_Pre,MATCH(I45,C301_Opt,0))),0),0)+IF(E45="United States (domestic)",0,IFERROR(IF(in_Date&gt;=Wood_Step,INDEX(S232_2027,MATCH(J45,S232_Opt,0)),INDEX(S232_Now,MATCH(J45,S232_Opt,0))),0))+P45)</f>
        <v/>
      </c>
      <c r="R45" s="68" t="str">
        <f aca="false">IF(C45="","",M45*Q45)</f>
        <v/>
      </c>
      <c r="S45" s="69" t="str">
        <f aca="false">IF(C45="","",IF(E45="United States (domestic)",0,M45*(IF(AND(H45="Yes",IFERROR(INDEX(CT_USMCA,MATCH(E45,CT_Country,0)),"No")="Yes"),0,MPF_Rate)+IF(L45="Ocean",HMF_Rate,0))))</f>
        <v/>
      </c>
      <c r="T45" s="68" t="str">
        <f aca="false">IF(C45="","",M45+N45)</f>
        <v/>
      </c>
      <c r="U45" s="68" t="str">
        <f aca="false">IF(C45="","",T45+R45+S45)</f>
        <v/>
      </c>
      <c r="V45" s="68" t="str">
        <f aca="false">IF(OR(C45="",O45=""),"",O45-T45)</f>
        <v/>
      </c>
      <c r="W45" s="67" t="str">
        <f aca="false">IF(OR(C45="",O45=""),"",IFERROR(V45/O45,0))</f>
        <v/>
      </c>
      <c r="X45" s="68" t="str">
        <f aca="false">IF(OR(C45="",O45=""),"",O45-U45)</f>
        <v/>
      </c>
      <c r="Y45" s="67" t="str">
        <f aca="false">IF(OR(C45="",O45=""),"",IFERROR(X45/O45,0))</f>
        <v/>
      </c>
    </row>
    <row r="46" customFormat="false" ht="15" hidden="false" customHeight="false" outlineLevel="0" collapsed="false">
      <c r="B46" s="62" t="n">
        <v>41</v>
      </c>
      <c r="C46" s="63"/>
      <c r="D46" s="63"/>
      <c r="E46" s="63"/>
      <c r="F46" s="63"/>
      <c r="G46" s="64"/>
      <c r="H46" s="65"/>
      <c r="I46" s="63"/>
      <c r="J46" s="63"/>
      <c r="K46" s="65"/>
      <c r="L46" s="65"/>
      <c r="M46" s="66"/>
      <c r="N46" s="66"/>
      <c r="O46" s="66"/>
      <c r="P46" s="67" t="str">
        <f aca="false">IF(C46="","",IF(OR(IF(E46="United States (domestic)",0,IFERROR(IF(in_Date&gt;=Wood_Step,INDEX(S232_2027,MATCH(J46,S232_Opt,0)),INDEX(S232_Now,MATCH(J46,S232_Opt,0))),0))&gt;0,K46="Yes",AND(H46="Yes",IFERROR(INDEX(CT_USMCA,MATCH(E46,CT_Country,0)),"No")="Yes")),0,IF(IFERROR(INDEX(CT_Method,MATCH(E46,CT_Country,0)),"None")="Additive",IFERROR(INDEX(CT_Rate,MATCH(E46,CT_Country,0)),0),IF(IFERROR(INDEX(CT_Method,MATCH(E46,CT_Country,0)),"None")="Cap",MAX(0,IFERROR(INDEX(CT_Rate,MATCH(E46,CT_Country,0)),0)-IF(E46="United States (domestic)",0,IF(H46="Yes",0,G46))),0))))</f>
        <v/>
      </c>
      <c r="Q46" s="67" t="str">
        <f aca="false">IF(C46="","",IF(E46="United States (domestic)",0,IF(H46="Yes",0,G46))+IF(E46="China",IFERROR(IF(in_Date&gt;Excl_Expiry,INDEX(C301_Post,MATCH(I46,C301_Opt,0)),INDEX(C301_Pre,MATCH(I46,C301_Opt,0))),0),0)+IF(E46="United States (domestic)",0,IFERROR(IF(in_Date&gt;=Wood_Step,INDEX(S232_2027,MATCH(J46,S232_Opt,0)),INDEX(S232_Now,MATCH(J46,S232_Opt,0))),0))+P46)</f>
        <v/>
      </c>
      <c r="R46" s="68" t="str">
        <f aca="false">IF(C46="","",M46*Q46)</f>
        <v/>
      </c>
      <c r="S46" s="69" t="str">
        <f aca="false">IF(C46="","",IF(E46="United States (domestic)",0,M46*(IF(AND(H46="Yes",IFERROR(INDEX(CT_USMCA,MATCH(E46,CT_Country,0)),"No")="Yes"),0,MPF_Rate)+IF(L46="Ocean",HMF_Rate,0))))</f>
        <v/>
      </c>
      <c r="T46" s="68" t="str">
        <f aca="false">IF(C46="","",M46+N46)</f>
        <v/>
      </c>
      <c r="U46" s="68" t="str">
        <f aca="false">IF(C46="","",T46+R46+S46)</f>
        <v/>
      </c>
      <c r="V46" s="68" t="str">
        <f aca="false">IF(OR(C46="",O46=""),"",O46-T46)</f>
        <v/>
      </c>
      <c r="W46" s="67" t="str">
        <f aca="false">IF(OR(C46="",O46=""),"",IFERROR(V46/O46,0))</f>
        <v/>
      </c>
      <c r="X46" s="68" t="str">
        <f aca="false">IF(OR(C46="",O46=""),"",O46-U46)</f>
        <v/>
      </c>
      <c r="Y46" s="67" t="str">
        <f aca="false">IF(OR(C46="",O46=""),"",IFERROR(X46/O46,0))</f>
        <v/>
      </c>
    </row>
    <row r="47" customFormat="false" ht="15" hidden="false" customHeight="false" outlineLevel="0" collapsed="false">
      <c r="B47" s="62" t="n">
        <v>42</v>
      </c>
      <c r="C47" s="63"/>
      <c r="D47" s="63"/>
      <c r="E47" s="63"/>
      <c r="F47" s="63"/>
      <c r="G47" s="64"/>
      <c r="H47" s="65"/>
      <c r="I47" s="63"/>
      <c r="J47" s="63"/>
      <c r="K47" s="65"/>
      <c r="L47" s="65"/>
      <c r="M47" s="66"/>
      <c r="N47" s="66"/>
      <c r="O47" s="66"/>
      <c r="P47" s="67" t="str">
        <f aca="false">IF(C47="","",IF(OR(IF(E47="United States (domestic)",0,IFERROR(IF(in_Date&gt;=Wood_Step,INDEX(S232_2027,MATCH(J47,S232_Opt,0)),INDEX(S232_Now,MATCH(J47,S232_Opt,0))),0))&gt;0,K47="Yes",AND(H47="Yes",IFERROR(INDEX(CT_USMCA,MATCH(E47,CT_Country,0)),"No")="Yes")),0,IF(IFERROR(INDEX(CT_Method,MATCH(E47,CT_Country,0)),"None")="Additive",IFERROR(INDEX(CT_Rate,MATCH(E47,CT_Country,0)),0),IF(IFERROR(INDEX(CT_Method,MATCH(E47,CT_Country,0)),"None")="Cap",MAX(0,IFERROR(INDEX(CT_Rate,MATCH(E47,CT_Country,0)),0)-IF(E47="United States (domestic)",0,IF(H47="Yes",0,G47))),0))))</f>
        <v/>
      </c>
      <c r="Q47" s="67" t="str">
        <f aca="false">IF(C47="","",IF(E47="United States (domestic)",0,IF(H47="Yes",0,G47))+IF(E47="China",IFERROR(IF(in_Date&gt;Excl_Expiry,INDEX(C301_Post,MATCH(I47,C301_Opt,0)),INDEX(C301_Pre,MATCH(I47,C301_Opt,0))),0),0)+IF(E47="United States (domestic)",0,IFERROR(IF(in_Date&gt;=Wood_Step,INDEX(S232_2027,MATCH(J47,S232_Opt,0)),INDEX(S232_Now,MATCH(J47,S232_Opt,0))),0))+P47)</f>
        <v/>
      </c>
      <c r="R47" s="68" t="str">
        <f aca="false">IF(C47="","",M47*Q47)</f>
        <v/>
      </c>
      <c r="S47" s="69" t="str">
        <f aca="false">IF(C47="","",IF(E47="United States (domestic)",0,M47*(IF(AND(H47="Yes",IFERROR(INDEX(CT_USMCA,MATCH(E47,CT_Country,0)),"No")="Yes"),0,MPF_Rate)+IF(L47="Ocean",HMF_Rate,0))))</f>
        <v/>
      </c>
      <c r="T47" s="68" t="str">
        <f aca="false">IF(C47="","",M47+N47)</f>
        <v/>
      </c>
      <c r="U47" s="68" t="str">
        <f aca="false">IF(C47="","",T47+R47+S47)</f>
        <v/>
      </c>
      <c r="V47" s="68" t="str">
        <f aca="false">IF(OR(C47="",O47=""),"",O47-T47)</f>
        <v/>
      </c>
      <c r="W47" s="67" t="str">
        <f aca="false">IF(OR(C47="",O47=""),"",IFERROR(V47/O47,0))</f>
        <v/>
      </c>
      <c r="X47" s="68" t="str">
        <f aca="false">IF(OR(C47="",O47=""),"",O47-U47)</f>
        <v/>
      </c>
      <c r="Y47" s="67" t="str">
        <f aca="false">IF(OR(C47="",O47=""),"",IFERROR(X47/O47,0))</f>
        <v/>
      </c>
    </row>
    <row r="48" customFormat="false" ht="15" hidden="false" customHeight="false" outlineLevel="0" collapsed="false">
      <c r="B48" s="62" t="n">
        <v>43</v>
      </c>
      <c r="C48" s="63"/>
      <c r="D48" s="63"/>
      <c r="E48" s="63"/>
      <c r="F48" s="63"/>
      <c r="G48" s="64"/>
      <c r="H48" s="65"/>
      <c r="I48" s="63"/>
      <c r="J48" s="63"/>
      <c r="K48" s="65"/>
      <c r="L48" s="65"/>
      <c r="M48" s="66"/>
      <c r="N48" s="66"/>
      <c r="O48" s="66"/>
      <c r="P48" s="67" t="str">
        <f aca="false">IF(C48="","",IF(OR(IF(E48="United States (domestic)",0,IFERROR(IF(in_Date&gt;=Wood_Step,INDEX(S232_2027,MATCH(J48,S232_Opt,0)),INDEX(S232_Now,MATCH(J48,S232_Opt,0))),0))&gt;0,K48="Yes",AND(H48="Yes",IFERROR(INDEX(CT_USMCA,MATCH(E48,CT_Country,0)),"No")="Yes")),0,IF(IFERROR(INDEX(CT_Method,MATCH(E48,CT_Country,0)),"None")="Additive",IFERROR(INDEX(CT_Rate,MATCH(E48,CT_Country,0)),0),IF(IFERROR(INDEX(CT_Method,MATCH(E48,CT_Country,0)),"None")="Cap",MAX(0,IFERROR(INDEX(CT_Rate,MATCH(E48,CT_Country,0)),0)-IF(E48="United States (domestic)",0,IF(H48="Yes",0,G48))),0))))</f>
        <v/>
      </c>
      <c r="Q48" s="67" t="str">
        <f aca="false">IF(C48="","",IF(E48="United States (domestic)",0,IF(H48="Yes",0,G48))+IF(E48="China",IFERROR(IF(in_Date&gt;Excl_Expiry,INDEX(C301_Post,MATCH(I48,C301_Opt,0)),INDEX(C301_Pre,MATCH(I48,C301_Opt,0))),0),0)+IF(E48="United States (domestic)",0,IFERROR(IF(in_Date&gt;=Wood_Step,INDEX(S232_2027,MATCH(J48,S232_Opt,0)),INDEX(S232_Now,MATCH(J48,S232_Opt,0))),0))+P48)</f>
        <v/>
      </c>
      <c r="R48" s="68" t="str">
        <f aca="false">IF(C48="","",M48*Q48)</f>
        <v/>
      </c>
      <c r="S48" s="69" t="str">
        <f aca="false">IF(C48="","",IF(E48="United States (domestic)",0,M48*(IF(AND(H48="Yes",IFERROR(INDEX(CT_USMCA,MATCH(E48,CT_Country,0)),"No")="Yes"),0,MPF_Rate)+IF(L48="Ocean",HMF_Rate,0))))</f>
        <v/>
      </c>
      <c r="T48" s="68" t="str">
        <f aca="false">IF(C48="","",M48+N48)</f>
        <v/>
      </c>
      <c r="U48" s="68" t="str">
        <f aca="false">IF(C48="","",T48+R48+S48)</f>
        <v/>
      </c>
      <c r="V48" s="68" t="str">
        <f aca="false">IF(OR(C48="",O48=""),"",O48-T48)</f>
        <v/>
      </c>
      <c r="W48" s="67" t="str">
        <f aca="false">IF(OR(C48="",O48=""),"",IFERROR(V48/O48,0))</f>
        <v/>
      </c>
      <c r="X48" s="68" t="str">
        <f aca="false">IF(OR(C48="",O48=""),"",O48-U48)</f>
        <v/>
      </c>
      <c r="Y48" s="67" t="str">
        <f aca="false">IF(OR(C48="",O48=""),"",IFERROR(X48/O48,0))</f>
        <v/>
      </c>
    </row>
    <row r="49" customFormat="false" ht="15" hidden="false" customHeight="false" outlineLevel="0" collapsed="false">
      <c r="B49" s="62" t="n">
        <v>44</v>
      </c>
      <c r="C49" s="63"/>
      <c r="D49" s="63"/>
      <c r="E49" s="63"/>
      <c r="F49" s="63"/>
      <c r="G49" s="64"/>
      <c r="H49" s="65"/>
      <c r="I49" s="63"/>
      <c r="J49" s="63"/>
      <c r="K49" s="65"/>
      <c r="L49" s="65"/>
      <c r="M49" s="66"/>
      <c r="N49" s="66"/>
      <c r="O49" s="66"/>
      <c r="P49" s="67" t="str">
        <f aca="false">IF(C49="","",IF(OR(IF(E49="United States (domestic)",0,IFERROR(IF(in_Date&gt;=Wood_Step,INDEX(S232_2027,MATCH(J49,S232_Opt,0)),INDEX(S232_Now,MATCH(J49,S232_Opt,0))),0))&gt;0,K49="Yes",AND(H49="Yes",IFERROR(INDEX(CT_USMCA,MATCH(E49,CT_Country,0)),"No")="Yes")),0,IF(IFERROR(INDEX(CT_Method,MATCH(E49,CT_Country,0)),"None")="Additive",IFERROR(INDEX(CT_Rate,MATCH(E49,CT_Country,0)),0),IF(IFERROR(INDEX(CT_Method,MATCH(E49,CT_Country,0)),"None")="Cap",MAX(0,IFERROR(INDEX(CT_Rate,MATCH(E49,CT_Country,0)),0)-IF(E49="United States (domestic)",0,IF(H49="Yes",0,G49))),0))))</f>
        <v/>
      </c>
      <c r="Q49" s="67" t="str">
        <f aca="false">IF(C49="","",IF(E49="United States (domestic)",0,IF(H49="Yes",0,G49))+IF(E49="China",IFERROR(IF(in_Date&gt;Excl_Expiry,INDEX(C301_Post,MATCH(I49,C301_Opt,0)),INDEX(C301_Pre,MATCH(I49,C301_Opt,0))),0),0)+IF(E49="United States (domestic)",0,IFERROR(IF(in_Date&gt;=Wood_Step,INDEX(S232_2027,MATCH(J49,S232_Opt,0)),INDEX(S232_Now,MATCH(J49,S232_Opt,0))),0))+P49)</f>
        <v/>
      </c>
      <c r="R49" s="68" t="str">
        <f aca="false">IF(C49="","",M49*Q49)</f>
        <v/>
      </c>
      <c r="S49" s="69" t="str">
        <f aca="false">IF(C49="","",IF(E49="United States (domestic)",0,M49*(IF(AND(H49="Yes",IFERROR(INDEX(CT_USMCA,MATCH(E49,CT_Country,0)),"No")="Yes"),0,MPF_Rate)+IF(L49="Ocean",HMF_Rate,0))))</f>
        <v/>
      </c>
      <c r="T49" s="68" t="str">
        <f aca="false">IF(C49="","",M49+N49)</f>
        <v/>
      </c>
      <c r="U49" s="68" t="str">
        <f aca="false">IF(C49="","",T49+R49+S49)</f>
        <v/>
      </c>
      <c r="V49" s="68" t="str">
        <f aca="false">IF(OR(C49="",O49=""),"",O49-T49)</f>
        <v/>
      </c>
      <c r="W49" s="67" t="str">
        <f aca="false">IF(OR(C49="",O49=""),"",IFERROR(V49/O49,0))</f>
        <v/>
      </c>
      <c r="X49" s="68" t="str">
        <f aca="false">IF(OR(C49="",O49=""),"",O49-U49)</f>
        <v/>
      </c>
      <c r="Y49" s="67" t="str">
        <f aca="false">IF(OR(C49="",O49=""),"",IFERROR(X49/O49,0))</f>
        <v/>
      </c>
    </row>
    <row r="50" customFormat="false" ht="15" hidden="false" customHeight="false" outlineLevel="0" collapsed="false">
      <c r="B50" s="62" t="n">
        <v>45</v>
      </c>
      <c r="C50" s="63"/>
      <c r="D50" s="63"/>
      <c r="E50" s="63"/>
      <c r="F50" s="63"/>
      <c r="G50" s="64"/>
      <c r="H50" s="65"/>
      <c r="I50" s="63"/>
      <c r="J50" s="63"/>
      <c r="K50" s="65"/>
      <c r="L50" s="65"/>
      <c r="M50" s="66"/>
      <c r="N50" s="66"/>
      <c r="O50" s="66"/>
      <c r="P50" s="67" t="str">
        <f aca="false">IF(C50="","",IF(OR(IF(E50="United States (domestic)",0,IFERROR(IF(in_Date&gt;=Wood_Step,INDEX(S232_2027,MATCH(J50,S232_Opt,0)),INDEX(S232_Now,MATCH(J50,S232_Opt,0))),0))&gt;0,K50="Yes",AND(H50="Yes",IFERROR(INDEX(CT_USMCA,MATCH(E50,CT_Country,0)),"No")="Yes")),0,IF(IFERROR(INDEX(CT_Method,MATCH(E50,CT_Country,0)),"None")="Additive",IFERROR(INDEX(CT_Rate,MATCH(E50,CT_Country,0)),0),IF(IFERROR(INDEX(CT_Method,MATCH(E50,CT_Country,0)),"None")="Cap",MAX(0,IFERROR(INDEX(CT_Rate,MATCH(E50,CT_Country,0)),0)-IF(E50="United States (domestic)",0,IF(H50="Yes",0,G50))),0))))</f>
        <v/>
      </c>
      <c r="Q50" s="67" t="str">
        <f aca="false">IF(C50="","",IF(E50="United States (domestic)",0,IF(H50="Yes",0,G50))+IF(E50="China",IFERROR(IF(in_Date&gt;Excl_Expiry,INDEX(C301_Post,MATCH(I50,C301_Opt,0)),INDEX(C301_Pre,MATCH(I50,C301_Opt,0))),0),0)+IF(E50="United States (domestic)",0,IFERROR(IF(in_Date&gt;=Wood_Step,INDEX(S232_2027,MATCH(J50,S232_Opt,0)),INDEX(S232_Now,MATCH(J50,S232_Opt,0))),0))+P50)</f>
        <v/>
      </c>
      <c r="R50" s="68" t="str">
        <f aca="false">IF(C50="","",M50*Q50)</f>
        <v/>
      </c>
      <c r="S50" s="69" t="str">
        <f aca="false">IF(C50="","",IF(E50="United States (domestic)",0,M50*(IF(AND(H50="Yes",IFERROR(INDEX(CT_USMCA,MATCH(E50,CT_Country,0)),"No")="Yes"),0,MPF_Rate)+IF(L50="Ocean",HMF_Rate,0))))</f>
        <v/>
      </c>
      <c r="T50" s="68" t="str">
        <f aca="false">IF(C50="","",M50+N50)</f>
        <v/>
      </c>
      <c r="U50" s="68" t="str">
        <f aca="false">IF(C50="","",T50+R50+S50)</f>
        <v/>
      </c>
      <c r="V50" s="68" t="str">
        <f aca="false">IF(OR(C50="",O50=""),"",O50-T50)</f>
        <v/>
      </c>
      <c r="W50" s="67" t="str">
        <f aca="false">IF(OR(C50="",O50=""),"",IFERROR(V50/O50,0))</f>
        <v/>
      </c>
      <c r="X50" s="68" t="str">
        <f aca="false">IF(OR(C50="",O50=""),"",O50-U50)</f>
        <v/>
      </c>
      <c r="Y50" s="67" t="str">
        <f aca="false">IF(OR(C50="",O50=""),"",IFERROR(X50/O50,0))</f>
        <v/>
      </c>
    </row>
    <row r="51" customFormat="false" ht="15" hidden="false" customHeight="false" outlineLevel="0" collapsed="false">
      <c r="B51" s="62" t="n">
        <v>46</v>
      </c>
      <c r="C51" s="63"/>
      <c r="D51" s="63"/>
      <c r="E51" s="63"/>
      <c r="F51" s="63"/>
      <c r="G51" s="64"/>
      <c r="H51" s="65"/>
      <c r="I51" s="63"/>
      <c r="J51" s="63"/>
      <c r="K51" s="65"/>
      <c r="L51" s="65"/>
      <c r="M51" s="66"/>
      <c r="N51" s="66"/>
      <c r="O51" s="66"/>
      <c r="P51" s="67" t="str">
        <f aca="false">IF(C51="","",IF(OR(IF(E51="United States (domestic)",0,IFERROR(IF(in_Date&gt;=Wood_Step,INDEX(S232_2027,MATCH(J51,S232_Opt,0)),INDEX(S232_Now,MATCH(J51,S232_Opt,0))),0))&gt;0,K51="Yes",AND(H51="Yes",IFERROR(INDEX(CT_USMCA,MATCH(E51,CT_Country,0)),"No")="Yes")),0,IF(IFERROR(INDEX(CT_Method,MATCH(E51,CT_Country,0)),"None")="Additive",IFERROR(INDEX(CT_Rate,MATCH(E51,CT_Country,0)),0),IF(IFERROR(INDEX(CT_Method,MATCH(E51,CT_Country,0)),"None")="Cap",MAX(0,IFERROR(INDEX(CT_Rate,MATCH(E51,CT_Country,0)),0)-IF(E51="United States (domestic)",0,IF(H51="Yes",0,G51))),0))))</f>
        <v/>
      </c>
      <c r="Q51" s="67" t="str">
        <f aca="false">IF(C51="","",IF(E51="United States (domestic)",0,IF(H51="Yes",0,G51))+IF(E51="China",IFERROR(IF(in_Date&gt;Excl_Expiry,INDEX(C301_Post,MATCH(I51,C301_Opt,0)),INDEX(C301_Pre,MATCH(I51,C301_Opt,0))),0),0)+IF(E51="United States (domestic)",0,IFERROR(IF(in_Date&gt;=Wood_Step,INDEX(S232_2027,MATCH(J51,S232_Opt,0)),INDEX(S232_Now,MATCH(J51,S232_Opt,0))),0))+P51)</f>
        <v/>
      </c>
      <c r="R51" s="68" t="str">
        <f aca="false">IF(C51="","",M51*Q51)</f>
        <v/>
      </c>
      <c r="S51" s="69" t="str">
        <f aca="false">IF(C51="","",IF(E51="United States (domestic)",0,M51*(IF(AND(H51="Yes",IFERROR(INDEX(CT_USMCA,MATCH(E51,CT_Country,0)),"No")="Yes"),0,MPF_Rate)+IF(L51="Ocean",HMF_Rate,0))))</f>
        <v/>
      </c>
      <c r="T51" s="68" t="str">
        <f aca="false">IF(C51="","",M51+N51)</f>
        <v/>
      </c>
      <c r="U51" s="68" t="str">
        <f aca="false">IF(C51="","",T51+R51+S51)</f>
        <v/>
      </c>
      <c r="V51" s="68" t="str">
        <f aca="false">IF(OR(C51="",O51=""),"",O51-T51)</f>
        <v/>
      </c>
      <c r="W51" s="67" t="str">
        <f aca="false">IF(OR(C51="",O51=""),"",IFERROR(V51/O51,0))</f>
        <v/>
      </c>
      <c r="X51" s="68" t="str">
        <f aca="false">IF(OR(C51="",O51=""),"",O51-U51)</f>
        <v/>
      </c>
      <c r="Y51" s="67" t="str">
        <f aca="false">IF(OR(C51="",O51=""),"",IFERROR(X51/O51,0))</f>
        <v/>
      </c>
    </row>
    <row r="52" customFormat="false" ht="15" hidden="false" customHeight="false" outlineLevel="0" collapsed="false">
      <c r="B52" s="62" t="n">
        <v>47</v>
      </c>
      <c r="C52" s="63"/>
      <c r="D52" s="63"/>
      <c r="E52" s="63"/>
      <c r="F52" s="63"/>
      <c r="G52" s="64"/>
      <c r="H52" s="65"/>
      <c r="I52" s="63"/>
      <c r="J52" s="63"/>
      <c r="K52" s="65"/>
      <c r="L52" s="65"/>
      <c r="M52" s="66"/>
      <c r="N52" s="66"/>
      <c r="O52" s="66"/>
      <c r="P52" s="67" t="str">
        <f aca="false">IF(C52="","",IF(OR(IF(E52="United States (domestic)",0,IFERROR(IF(in_Date&gt;=Wood_Step,INDEX(S232_2027,MATCH(J52,S232_Opt,0)),INDEX(S232_Now,MATCH(J52,S232_Opt,0))),0))&gt;0,K52="Yes",AND(H52="Yes",IFERROR(INDEX(CT_USMCA,MATCH(E52,CT_Country,0)),"No")="Yes")),0,IF(IFERROR(INDEX(CT_Method,MATCH(E52,CT_Country,0)),"None")="Additive",IFERROR(INDEX(CT_Rate,MATCH(E52,CT_Country,0)),0),IF(IFERROR(INDEX(CT_Method,MATCH(E52,CT_Country,0)),"None")="Cap",MAX(0,IFERROR(INDEX(CT_Rate,MATCH(E52,CT_Country,0)),0)-IF(E52="United States (domestic)",0,IF(H52="Yes",0,G52))),0))))</f>
        <v/>
      </c>
      <c r="Q52" s="67" t="str">
        <f aca="false">IF(C52="","",IF(E52="United States (domestic)",0,IF(H52="Yes",0,G52))+IF(E52="China",IFERROR(IF(in_Date&gt;Excl_Expiry,INDEX(C301_Post,MATCH(I52,C301_Opt,0)),INDEX(C301_Pre,MATCH(I52,C301_Opt,0))),0),0)+IF(E52="United States (domestic)",0,IFERROR(IF(in_Date&gt;=Wood_Step,INDEX(S232_2027,MATCH(J52,S232_Opt,0)),INDEX(S232_Now,MATCH(J52,S232_Opt,0))),0))+P52)</f>
        <v/>
      </c>
      <c r="R52" s="68" t="str">
        <f aca="false">IF(C52="","",M52*Q52)</f>
        <v/>
      </c>
      <c r="S52" s="69" t="str">
        <f aca="false">IF(C52="","",IF(E52="United States (domestic)",0,M52*(IF(AND(H52="Yes",IFERROR(INDEX(CT_USMCA,MATCH(E52,CT_Country,0)),"No")="Yes"),0,MPF_Rate)+IF(L52="Ocean",HMF_Rate,0))))</f>
        <v/>
      </c>
      <c r="T52" s="68" t="str">
        <f aca="false">IF(C52="","",M52+N52)</f>
        <v/>
      </c>
      <c r="U52" s="68" t="str">
        <f aca="false">IF(C52="","",T52+R52+S52)</f>
        <v/>
      </c>
      <c r="V52" s="68" t="str">
        <f aca="false">IF(OR(C52="",O52=""),"",O52-T52)</f>
        <v/>
      </c>
      <c r="W52" s="67" t="str">
        <f aca="false">IF(OR(C52="",O52=""),"",IFERROR(V52/O52,0))</f>
        <v/>
      </c>
      <c r="X52" s="68" t="str">
        <f aca="false">IF(OR(C52="",O52=""),"",O52-U52)</f>
        <v/>
      </c>
      <c r="Y52" s="67" t="str">
        <f aca="false">IF(OR(C52="",O52=""),"",IFERROR(X52/O52,0))</f>
        <v/>
      </c>
    </row>
    <row r="53" customFormat="false" ht="15" hidden="false" customHeight="false" outlineLevel="0" collapsed="false">
      <c r="B53" s="62" t="n">
        <v>48</v>
      </c>
      <c r="C53" s="63"/>
      <c r="D53" s="63"/>
      <c r="E53" s="63"/>
      <c r="F53" s="63"/>
      <c r="G53" s="64"/>
      <c r="H53" s="65"/>
      <c r="I53" s="63"/>
      <c r="J53" s="63"/>
      <c r="K53" s="65"/>
      <c r="L53" s="65"/>
      <c r="M53" s="66"/>
      <c r="N53" s="66"/>
      <c r="O53" s="66"/>
      <c r="P53" s="67" t="str">
        <f aca="false">IF(C53="","",IF(OR(IF(E53="United States (domestic)",0,IFERROR(IF(in_Date&gt;=Wood_Step,INDEX(S232_2027,MATCH(J53,S232_Opt,0)),INDEX(S232_Now,MATCH(J53,S232_Opt,0))),0))&gt;0,K53="Yes",AND(H53="Yes",IFERROR(INDEX(CT_USMCA,MATCH(E53,CT_Country,0)),"No")="Yes")),0,IF(IFERROR(INDEX(CT_Method,MATCH(E53,CT_Country,0)),"None")="Additive",IFERROR(INDEX(CT_Rate,MATCH(E53,CT_Country,0)),0),IF(IFERROR(INDEX(CT_Method,MATCH(E53,CT_Country,0)),"None")="Cap",MAX(0,IFERROR(INDEX(CT_Rate,MATCH(E53,CT_Country,0)),0)-IF(E53="United States (domestic)",0,IF(H53="Yes",0,G53))),0))))</f>
        <v/>
      </c>
      <c r="Q53" s="67" t="str">
        <f aca="false">IF(C53="","",IF(E53="United States (domestic)",0,IF(H53="Yes",0,G53))+IF(E53="China",IFERROR(IF(in_Date&gt;Excl_Expiry,INDEX(C301_Post,MATCH(I53,C301_Opt,0)),INDEX(C301_Pre,MATCH(I53,C301_Opt,0))),0),0)+IF(E53="United States (domestic)",0,IFERROR(IF(in_Date&gt;=Wood_Step,INDEX(S232_2027,MATCH(J53,S232_Opt,0)),INDEX(S232_Now,MATCH(J53,S232_Opt,0))),0))+P53)</f>
        <v/>
      </c>
      <c r="R53" s="68" t="str">
        <f aca="false">IF(C53="","",M53*Q53)</f>
        <v/>
      </c>
      <c r="S53" s="69" t="str">
        <f aca="false">IF(C53="","",IF(E53="United States (domestic)",0,M53*(IF(AND(H53="Yes",IFERROR(INDEX(CT_USMCA,MATCH(E53,CT_Country,0)),"No")="Yes"),0,MPF_Rate)+IF(L53="Ocean",HMF_Rate,0))))</f>
        <v/>
      </c>
      <c r="T53" s="68" t="str">
        <f aca="false">IF(C53="","",M53+N53)</f>
        <v/>
      </c>
      <c r="U53" s="68" t="str">
        <f aca="false">IF(C53="","",T53+R53+S53)</f>
        <v/>
      </c>
      <c r="V53" s="68" t="str">
        <f aca="false">IF(OR(C53="",O53=""),"",O53-T53)</f>
        <v/>
      </c>
      <c r="W53" s="67" t="str">
        <f aca="false">IF(OR(C53="",O53=""),"",IFERROR(V53/O53,0))</f>
        <v/>
      </c>
      <c r="X53" s="68" t="str">
        <f aca="false">IF(OR(C53="",O53=""),"",O53-U53)</f>
        <v/>
      </c>
      <c r="Y53" s="67" t="str">
        <f aca="false">IF(OR(C53="",O53=""),"",IFERROR(X53/O53,0))</f>
        <v/>
      </c>
    </row>
    <row r="54" customFormat="false" ht="15" hidden="false" customHeight="false" outlineLevel="0" collapsed="false">
      <c r="B54" s="62" t="n">
        <v>49</v>
      </c>
      <c r="C54" s="63"/>
      <c r="D54" s="63"/>
      <c r="E54" s="63"/>
      <c r="F54" s="63"/>
      <c r="G54" s="64"/>
      <c r="H54" s="65"/>
      <c r="I54" s="63"/>
      <c r="J54" s="63"/>
      <c r="K54" s="65"/>
      <c r="L54" s="65"/>
      <c r="M54" s="66"/>
      <c r="N54" s="66"/>
      <c r="O54" s="66"/>
      <c r="P54" s="67" t="str">
        <f aca="false">IF(C54="","",IF(OR(IF(E54="United States (domestic)",0,IFERROR(IF(in_Date&gt;=Wood_Step,INDEX(S232_2027,MATCH(J54,S232_Opt,0)),INDEX(S232_Now,MATCH(J54,S232_Opt,0))),0))&gt;0,K54="Yes",AND(H54="Yes",IFERROR(INDEX(CT_USMCA,MATCH(E54,CT_Country,0)),"No")="Yes")),0,IF(IFERROR(INDEX(CT_Method,MATCH(E54,CT_Country,0)),"None")="Additive",IFERROR(INDEX(CT_Rate,MATCH(E54,CT_Country,0)),0),IF(IFERROR(INDEX(CT_Method,MATCH(E54,CT_Country,0)),"None")="Cap",MAX(0,IFERROR(INDEX(CT_Rate,MATCH(E54,CT_Country,0)),0)-IF(E54="United States (domestic)",0,IF(H54="Yes",0,G54))),0))))</f>
        <v/>
      </c>
      <c r="Q54" s="67" t="str">
        <f aca="false">IF(C54="","",IF(E54="United States (domestic)",0,IF(H54="Yes",0,G54))+IF(E54="China",IFERROR(IF(in_Date&gt;Excl_Expiry,INDEX(C301_Post,MATCH(I54,C301_Opt,0)),INDEX(C301_Pre,MATCH(I54,C301_Opt,0))),0),0)+IF(E54="United States (domestic)",0,IFERROR(IF(in_Date&gt;=Wood_Step,INDEX(S232_2027,MATCH(J54,S232_Opt,0)),INDEX(S232_Now,MATCH(J54,S232_Opt,0))),0))+P54)</f>
        <v/>
      </c>
      <c r="R54" s="68" t="str">
        <f aca="false">IF(C54="","",M54*Q54)</f>
        <v/>
      </c>
      <c r="S54" s="69" t="str">
        <f aca="false">IF(C54="","",IF(E54="United States (domestic)",0,M54*(IF(AND(H54="Yes",IFERROR(INDEX(CT_USMCA,MATCH(E54,CT_Country,0)),"No")="Yes"),0,MPF_Rate)+IF(L54="Ocean",HMF_Rate,0))))</f>
        <v/>
      </c>
      <c r="T54" s="68" t="str">
        <f aca="false">IF(C54="","",M54+N54)</f>
        <v/>
      </c>
      <c r="U54" s="68" t="str">
        <f aca="false">IF(C54="","",T54+R54+S54)</f>
        <v/>
      </c>
      <c r="V54" s="68" t="str">
        <f aca="false">IF(OR(C54="",O54=""),"",O54-T54)</f>
        <v/>
      </c>
      <c r="W54" s="67" t="str">
        <f aca="false">IF(OR(C54="",O54=""),"",IFERROR(V54/O54,0))</f>
        <v/>
      </c>
      <c r="X54" s="68" t="str">
        <f aca="false">IF(OR(C54="",O54=""),"",O54-U54)</f>
        <v/>
      </c>
      <c r="Y54" s="67" t="str">
        <f aca="false">IF(OR(C54="",O54=""),"",IFERROR(X54/O54,0))</f>
        <v/>
      </c>
    </row>
    <row r="55" customFormat="false" ht="15" hidden="false" customHeight="false" outlineLevel="0" collapsed="false">
      <c r="B55" s="62" t="n">
        <v>50</v>
      </c>
      <c r="C55" s="63"/>
      <c r="D55" s="63"/>
      <c r="E55" s="63"/>
      <c r="F55" s="63"/>
      <c r="G55" s="64"/>
      <c r="H55" s="65"/>
      <c r="I55" s="63"/>
      <c r="J55" s="63"/>
      <c r="K55" s="65"/>
      <c r="L55" s="65"/>
      <c r="M55" s="66"/>
      <c r="N55" s="66"/>
      <c r="O55" s="66"/>
      <c r="P55" s="67" t="str">
        <f aca="false">IF(C55="","",IF(OR(IF(E55="United States (domestic)",0,IFERROR(IF(in_Date&gt;=Wood_Step,INDEX(S232_2027,MATCH(J55,S232_Opt,0)),INDEX(S232_Now,MATCH(J55,S232_Opt,0))),0))&gt;0,K55="Yes",AND(H55="Yes",IFERROR(INDEX(CT_USMCA,MATCH(E55,CT_Country,0)),"No")="Yes")),0,IF(IFERROR(INDEX(CT_Method,MATCH(E55,CT_Country,0)),"None")="Additive",IFERROR(INDEX(CT_Rate,MATCH(E55,CT_Country,0)),0),IF(IFERROR(INDEX(CT_Method,MATCH(E55,CT_Country,0)),"None")="Cap",MAX(0,IFERROR(INDEX(CT_Rate,MATCH(E55,CT_Country,0)),0)-IF(E55="United States (domestic)",0,IF(H55="Yes",0,G55))),0))))</f>
        <v/>
      </c>
      <c r="Q55" s="67" t="str">
        <f aca="false">IF(C55="","",IF(E55="United States (domestic)",0,IF(H55="Yes",0,G55))+IF(E55="China",IFERROR(IF(in_Date&gt;Excl_Expiry,INDEX(C301_Post,MATCH(I55,C301_Opt,0)),INDEX(C301_Pre,MATCH(I55,C301_Opt,0))),0),0)+IF(E55="United States (domestic)",0,IFERROR(IF(in_Date&gt;=Wood_Step,INDEX(S232_2027,MATCH(J55,S232_Opt,0)),INDEX(S232_Now,MATCH(J55,S232_Opt,0))),0))+P55)</f>
        <v/>
      </c>
      <c r="R55" s="68" t="str">
        <f aca="false">IF(C55="","",M55*Q55)</f>
        <v/>
      </c>
      <c r="S55" s="69" t="str">
        <f aca="false">IF(C55="","",IF(E55="United States (domestic)",0,M55*(IF(AND(H55="Yes",IFERROR(INDEX(CT_USMCA,MATCH(E55,CT_Country,0)),"No")="Yes"),0,MPF_Rate)+IF(L55="Ocean",HMF_Rate,0))))</f>
        <v/>
      </c>
      <c r="T55" s="68" t="str">
        <f aca="false">IF(C55="","",M55+N55)</f>
        <v/>
      </c>
      <c r="U55" s="68" t="str">
        <f aca="false">IF(C55="","",T55+R55+S55)</f>
        <v/>
      </c>
      <c r="V55" s="68" t="str">
        <f aca="false">IF(OR(C55="",O55=""),"",O55-T55)</f>
        <v/>
      </c>
      <c r="W55" s="67" t="str">
        <f aca="false">IF(OR(C55="",O55=""),"",IFERROR(V55/O55,0))</f>
        <v/>
      </c>
      <c r="X55" s="68" t="str">
        <f aca="false">IF(OR(C55="",O55=""),"",O55-U55)</f>
        <v/>
      </c>
      <c r="Y55" s="67" t="str">
        <f aca="false">IF(OR(C55="",O55=""),"",IFERROR(X55/O55,0))</f>
        <v/>
      </c>
    </row>
    <row r="56" customFormat="false" ht="15" hidden="false" customHeight="false" outlineLevel="0" collapsed="false">
      <c r="B56" s="62" t="n">
        <v>51</v>
      </c>
      <c r="C56" s="63"/>
      <c r="D56" s="63"/>
      <c r="E56" s="63"/>
      <c r="F56" s="63"/>
      <c r="G56" s="64"/>
      <c r="H56" s="65"/>
      <c r="I56" s="63"/>
      <c r="J56" s="63"/>
      <c r="K56" s="65"/>
      <c r="L56" s="65"/>
      <c r="M56" s="66"/>
      <c r="N56" s="66"/>
      <c r="O56" s="66"/>
      <c r="P56" s="67" t="str">
        <f aca="false">IF(C56="","",IF(OR(IF(E56="United States (domestic)",0,IFERROR(IF(in_Date&gt;=Wood_Step,INDEX(S232_2027,MATCH(J56,S232_Opt,0)),INDEX(S232_Now,MATCH(J56,S232_Opt,0))),0))&gt;0,K56="Yes",AND(H56="Yes",IFERROR(INDEX(CT_USMCA,MATCH(E56,CT_Country,0)),"No")="Yes")),0,IF(IFERROR(INDEX(CT_Method,MATCH(E56,CT_Country,0)),"None")="Additive",IFERROR(INDEX(CT_Rate,MATCH(E56,CT_Country,0)),0),IF(IFERROR(INDEX(CT_Method,MATCH(E56,CT_Country,0)),"None")="Cap",MAX(0,IFERROR(INDEX(CT_Rate,MATCH(E56,CT_Country,0)),0)-IF(E56="United States (domestic)",0,IF(H56="Yes",0,G56))),0))))</f>
        <v/>
      </c>
      <c r="Q56" s="67" t="str">
        <f aca="false">IF(C56="","",IF(E56="United States (domestic)",0,IF(H56="Yes",0,G56))+IF(E56="China",IFERROR(IF(in_Date&gt;Excl_Expiry,INDEX(C301_Post,MATCH(I56,C301_Opt,0)),INDEX(C301_Pre,MATCH(I56,C301_Opt,0))),0),0)+IF(E56="United States (domestic)",0,IFERROR(IF(in_Date&gt;=Wood_Step,INDEX(S232_2027,MATCH(J56,S232_Opt,0)),INDEX(S232_Now,MATCH(J56,S232_Opt,0))),0))+P56)</f>
        <v/>
      </c>
      <c r="R56" s="68" t="str">
        <f aca="false">IF(C56="","",M56*Q56)</f>
        <v/>
      </c>
      <c r="S56" s="69" t="str">
        <f aca="false">IF(C56="","",IF(E56="United States (domestic)",0,M56*(IF(AND(H56="Yes",IFERROR(INDEX(CT_USMCA,MATCH(E56,CT_Country,0)),"No")="Yes"),0,MPF_Rate)+IF(L56="Ocean",HMF_Rate,0))))</f>
        <v/>
      </c>
      <c r="T56" s="68" t="str">
        <f aca="false">IF(C56="","",M56+N56)</f>
        <v/>
      </c>
      <c r="U56" s="68" t="str">
        <f aca="false">IF(C56="","",T56+R56+S56)</f>
        <v/>
      </c>
      <c r="V56" s="68" t="str">
        <f aca="false">IF(OR(C56="",O56=""),"",O56-T56)</f>
        <v/>
      </c>
      <c r="W56" s="67" t="str">
        <f aca="false">IF(OR(C56="",O56=""),"",IFERROR(V56/O56,0))</f>
        <v/>
      </c>
      <c r="X56" s="68" t="str">
        <f aca="false">IF(OR(C56="",O56=""),"",O56-U56)</f>
        <v/>
      </c>
      <c r="Y56" s="67" t="str">
        <f aca="false">IF(OR(C56="",O56=""),"",IFERROR(X56/O56,0))</f>
        <v/>
      </c>
    </row>
    <row r="57" customFormat="false" ht="15" hidden="false" customHeight="false" outlineLevel="0" collapsed="false">
      <c r="B57" s="62" t="n">
        <v>52</v>
      </c>
      <c r="C57" s="63"/>
      <c r="D57" s="63"/>
      <c r="E57" s="63"/>
      <c r="F57" s="63"/>
      <c r="G57" s="64"/>
      <c r="H57" s="65"/>
      <c r="I57" s="63"/>
      <c r="J57" s="63"/>
      <c r="K57" s="65"/>
      <c r="L57" s="65"/>
      <c r="M57" s="66"/>
      <c r="N57" s="66"/>
      <c r="O57" s="66"/>
      <c r="P57" s="67" t="str">
        <f aca="false">IF(C57="","",IF(OR(IF(E57="United States (domestic)",0,IFERROR(IF(in_Date&gt;=Wood_Step,INDEX(S232_2027,MATCH(J57,S232_Opt,0)),INDEX(S232_Now,MATCH(J57,S232_Opt,0))),0))&gt;0,K57="Yes",AND(H57="Yes",IFERROR(INDEX(CT_USMCA,MATCH(E57,CT_Country,0)),"No")="Yes")),0,IF(IFERROR(INDEX(CT_Method,MATCH(E57,CT_Country,0)),"None")="Additive",IFERROR(INDEX(CT_Rate,MATCH(E57,CT_Country,0)),0),IF(IFERROR(INDEX(CT_Method,MATCH(E57,CT_Country,0)),"None")="Cap",MAX(0,IFERROR(INDEX(CT_Rate,MATCH(E57,CT_Country,0)),0)-IF(E57="United States (domestic)",0,IF(H57="Yes",0,G57))),0))))</f>
        <v/>
      </c>
      <c r="Q57" s="67" t="str">
        <f aca="false">IF(C57="","",IF(E57="United States (domestic)",0,IF(H57="Yes",0,G57))+IF(E57="China",IFERROR(IF(in_Date&gt;Excl_Expiry,INDEX(C301_Post,MATCH(I57,C301_Opt,0)),INDEX(C301_Pre,MATCH(I57,C301_Opt,0))),0),0)+IF(E57="United States (domestic)",0,IFERROR(IF(in_Date&gt;=Wood_Step,INDEX(S232_2027,MATCH(J57,S232_Opt,0)),INDEX(S232_Now,MATCH(J57,S232_Opt,0))),0))+P57)</f>
        <v/>
      </c>
      <c r="R57" s="68" t="str">
        <f aca="false">IF(C57="","",M57*Q57)</f>
        <v/>
      </c>
      <c r="S57" s="69" t="str">
        <f aca="false">IF(C57="","",IF(E57="United States (domestic)",0,M57*(IF(AND(H57="Yes",IFERROR(INDEX(CT_USMCA,MATCH(E57,CT_Country,0)),"No")="Yes"),0,MPF_Rate)+IF(L57="Ocean",HMF_Rate,0))))</f>
        <v/>
      </c>
      <c r="T57" s="68" t="str">
        <f aca="false">IF(C57="","",M57+N57)</f>
        <v/>
      </c>
      <c r="U57" s="68" t="str">
        <f aca="false">IF(C57="","",T57+R57+S57)</f>
        <v/>
      </c>
      <c r="V57" s="68" t="str">
        <f aca="false">IF(OR(C57="",O57=""),"",O57-T57)</f>
        <v/>
      </c>
      <c r="W57" s="67" t="str">
        <f aca="false">IF(OR(C57="",O57=""),"",IFERROR(V57/O57,0))</f>
        <v/>
      </c>
      <c r="X57" s="68" t="str">
        <f aca="false">IF(OR(C57="",O57=""),"",O57-U57)</f>
        <v/>
      </c>
      <c r="Y57" s="67" t="str">
        <f aca="false">IF(OR(C57="",O57=""),"",IFERROR(X57/O57,0))</f>
        <v/>
      </c>
    </row>
    <row r="58" customFormat="false" ht="15" hidden="false" customHeight="false" outlineLevel="0" collapsed="false">
      <c r="B58" s="62" t="n">
        <v>53</v>
      </c>
      <c r="C58" s="63"/>
      <c r="D58" s="63"/>
      <c r="E58" s="63"/>
      <c r="F58" s="63"/>
      <c r="G58" s="64"/>
      <c r="H58" s="65"/>
      <c r="I58" s="63"/>
      <c r="J58" s="63"/>
      <c r="K58" s="65"/>
      <c r="L58" s="65"/>
      <c r="M58" s="66"/>
      <c r="N58" s="66"/>
      <c r="O58" s="66"/>
      <c r="P58" s="67" t="str">
        <f aca="false">IF(C58="","",IF(OR(IF(E58="United States (domestic)",0,IFERROR(IF(in_Date&gt;=Wood_Step,INDEX(S232_2027,MATCH(J58,S232_Opt,0)),INDEX(S232_Now,MATCH(J58,S232_Opt,0))),0))&gt;0,K58="Yes",AND(H58="Yes",IFERROR(INDEX(CT_USMCA,MATCH(E58,CT_Country,0)),"No")="Yes")),0,IF(IFERROR(INDEX(CT_Method,MATCH(E58,CT_Country,0)),"None")="Additive",IFERROR(INDEX(CT_Rate,MATCH(E58,CT_Country,0)),0),IF(IFERROR(INDEX(CT_Method,MATCH(E58,CT_Country,0)),"None")="Cap",MAX(0,IFERROR(INDEX(CT_Rate,MATCH(E58,CT_Country,0)),0)-IF(E58="United States (domestic)",0,IF(H58="Yes",0,G58))),0))))</f>
        <v/>
      </c>
      <c r="Q58" s="67" t="str">
        <f aca="false">IF(C58="","",IF(E58="United States (domestic)",0,IF(H58="Yes",0,G58))+IF(E58="China",IFERROR(IF(in_Date&gt;Excl_Expiry,INDEX(C301_Post,MATCH(I58,C301_Opt,0)),INDEX(C301_Pre,MATCH(I58,C301_Opt,0))),0),0)+IF(E58="United States (domestic)",0,IFERROR(IF(in_Date&gt;=Wood_Step,INDEX(S232_2027,MATCH(J58,S232_Opt,0)),INDEX(S232_Now,MATCH(J58,S232_Opt,0))),0))+P58)</f>
        <v/>
      </c>
      <c r="R58" s="68" t="str">
        <f aca="false">IF(C58="","",M58*Q58)</f>
        <v/>
      </c>
      <c r="S58" s="69" t="str">
        <f aca="false">IF(C58="","",IF(E58="United States (domestic)",0,M58*(IF(AND(H58="Yes",IFERROR(INDEX(CT_USMCA,MATCH(E58,CT_Country,0)),"No")="Yes"),0,MPF_Rate)+IF(L58="Ocean",HMF_Rate,0))))</f>
        <v/>
      </c>
      <c r="T58" s="68" t="str">
        <f aca="false">IF(C58="","",M58+N58)</f>
        <v/>
      </c>
      <c r="U58" s="68" t="str">
        <f aca="false">IF(C58="","",T58+R58+S58)</f>
        <v/>
      </c>
      <c r="V58" s="68" t="str">
        <f aca="false">IF(OR(C58="",O58=""),"",O58-T58)</f>
        <v/>
      </c>
      <c r="W58" s="67" t="str">
        <f aca="false">IF(OR(C58="",O58=""),"",IFERROR(V58/O58,0))</f>
        <v/>
      </c>
      <c r="X58" s="68" t="str">
        <f aca="false">IF(OR(C58="",O58=""),"",O58-U58)</f>
        <v/>
      </c>
      <c r="Y58" s="67" t="str">
        <f aca="false">IF(OR(C58="",O58=""),"",IFERROR(X58/O58,0))</f>
        <v/>
      </c>
    </row>
    <row r="59" customFormat="false" ht="15" hidden="false" customHeight="false" outlineLevel="0" collapsed="false">
      <c r="B59" s="62" t="n">
        <v>54</v>
      </c>
      <c r="C59" s="63"/>
      <c r="D59" s="63"/>
      <c r="E59" s="63"/>
      <c r="F59" s="63"/>
      <c r="G59" s="64"/>
      <c r="H59" s="65"/>
      <c r="I59" s="63"/>
      <c r="J59" s="63"/>
      <c r="K59" s="65"/>
      <c r="L59" s="65"/>
      <c r="M59" s="66"/>
      <c r="N59" s="66"/>
      <c r="O59" s="66"/>
      <c r="P59" s="67" t="str">
        <f aca="false">IF(C59="","",IF(OR(IF(E59="United States (domestic)",0,IFERROR(IF(in_Date&gt;=Wood_Step,INDEX(S232_2027,MATCH(J59,S232_Opt,0)),INDEX(S232_Now,MATCH(J59,S232_Opt,0))),0))&gt;0,K59="Yes",AND(H59="Yes",IFERROR(INDEX(CT_USMCA,MATCH(E59,CT_Country,0)),"No")="Yes")),0,IF(IFERROR(INDEX(CT_Method,MATCH(E59,CT_Country,0)),"None")="Additive",IFERROR(INDEX(CT_Rate,MATCH(E59,CT_Country,0)),0),IF(IFERROR(INDEX(CT_Method,MATCH(E59,CT_Country,0)),"None")="Cap",MAX(0,IFERROR(INDEX(CT_Rate,MATCH(E59,CT_Country,0)),0)-IF(E59="United States (domestic)",0,IF(H59="Yes",0,G59))),0))))</f>
        <v/>
      </c>
      <c r="Q59" s="67" t="str">
        <f aca="false">IF(C59="","",IF(E59="United States (domestic)",0,IF(H59="Yes",0,G59))+IF(E59="China",IFERROR(IF(in_Date&gt;Excl_Expiry,INDEX(C301_Post,MATCH(I59,C301_Opt,0)),INDEX(C301_Pre,MATCH(I59,C301_Opt,0))),0),0)+IF(E59="United States (domestic)",0,IFERROR(IF(in_Date&gt;=Wood_Step,INDEX(S232_2027,MATCH(J59,S232_Opt,0)),INDEX(S232_Now,MATCH(J59,S232_Opt,0))),0))+P59)</f>
        <v/>
      </c>
      <c r="R59" s="68" t="str">
        <f aca="false">IF(C59="","",M59*Q59)</f>
        <v/>
      </c>
      <c r="S59" s="69" t="str">
        <f aca="false">IF(C59="","",IF(E59="United States (domestic)",0,M59*(IF(AND(H59="Yes",IFERROR(INDEX(CT_USMCA,MATCH(E59,CT_Country,0)),"No")="Yes"),0,MPF_Rate)+IF(L59="Ocean",HMF_Rate,0))))</f>
        <v/>
      </c>
      <c r="T59" s="68" t="str">
        <f aca="false">IF(C59="","",M59+N59)</f>
        <v/>
      </c>
      <c r="U59" s="68" t="str">
        <f aca="false">IF(C59="","",T59+R59+S59)</f>
        <v/>
      </c>
      <c r="V59" s="68" t="str">
        <f aca="false">IF(OR(C59="",O59=""),"",O59-T59)</f>
        <v/>
      </c>
      <c r="W59" s="67" t="str">
        <f aca="false">IF(OR(C59="",O59=""),"",IFERROR(V59/O59,0))</f>
        <v/>
      </c>
      <c r="X59" s="68" t="str">
        <f aca="false">IF(OR(C59="",O59=""),"",O59-U59)</f>
        <v/>
      </c>
      <c r="Y59" s="67" t="str">
        <f aca="false">IF(OR(C59="",O59=""),"",IFERROR(X59/O59,0))</f>
        <v/>
      </c>
    </row>
    <row r="60" customFormat="false" ht="15" hidden="false" customHeight="false" outlineLevel="0" collapsed="false">
      <c r="B60" s="62" t="n">
        <v>55</v>
      </c>
      <c r="C60" s="63"/>
      <c r="D60" s="63"/>
      <c r="E60" s="63"/>
      <c r="F60" s="63"/>
      <c r="G60" s="64"/>
      <c r="H60" s="65"/>
      <c r="I60" s="63"/>
      <c r="J60" s="63"/>
      <c r="K60" s="65"/>
      <c r="L60" s="65"/>
      <c r="M60" s="66"/>
      <c r="N60" s="66"/>
      <c r="O60" s="66"/>
      <c r="P60" s="67" t="str">
        <f aca="false">IF(C60="","",IF(OR(IF(E60="United States (domestic)",0,IFERROR(IF(in_Date&gt;=Wood_Step,INDEX(S232_2027,MATCH(J60,S232_Opt,0)),INDEX(S232_Now,MATCH(J60,S232_Opt,0))),0))&gt;0,K60="Yes",AND(H60="Yes",IFERROR(INDEX(CT_USMCA,MATCH(E60,CT_Country,0)),"No")="Yes")),0,IF(IFERROR(INDEX(CT_Method,MATCH(E60,CT_Country,0)),"None")="Additive",IFERROR(INDEX(CT_Rate,MATCH(E60,CT_Country,0)),0),IF(IFERROR(INDEX(CT_Method,MATCH(E60,CT_Country,0)),"None")="Cap",MAX(0,IFERROR(INDEX(CT_Rate,MATCH(E60,CT_Country,0)),0)-IF(E60="United States (domestic)",0,IF(H60="Yes",0,G60))),0))))</f>
        <v/>
      </c>
      <c r="Q60" s="67" t="str">
        <f aca="false">IF(C60="","",IF(E60="United States (domestic)",0,IF(H60="Yes",0,G60))+IF(E60="China",IFERROR(IF(in_Date&gt;Excl_Expiry,INDEX(C301_Post,MATCH(I60,C301_Opt,0)),INDEX(C301_Pre,MATCH(I60,C301_Opt,0))),0),0)+IF(E60="United States (domestic)",0,IFERROR(IF(in_Date&gt;=Wood_Step,INDEX(S232_2027,MATCH(J60,S232_Opt,0)),INDEX(S232_Now,MATCH(J60,S232_Opt,0))),0))+P60)</f>
        <v/>
      </c>
      <c r="R60" s="68" t="str">
        <f aca="false">IF(C60="","",M60*Q60)</f>
        <v/>
      </c>
      <c r="S60" s="69" t="str">
        <f aca="false">IF(C60="","",IF(E60="United States (domestic)",0,M60*(IF(AND(H60="Yes",IFERROR(INDEX(CT_USMCA,MATCH(E60,CT_Country,0)),"No")="Yes"),0,MPF_Rate)+IF(L60="Ocean",HMF_Rate,0))))</f>
        <v/>
      </c>
      <c r="T60" s="68" t="str">
        <f aca="false">IF(C60="","",M60+N60)</f>
        <v/>
      </c>
      <c r="U60" s="68" t="str">
        <f aca="false">IF(C60="","",T60+R60+S60)</f>
        <v/>
      </c>
      <c r="V60" s="68" t="str">
        <f aca="false">IF(OR(C60="",O60=""),"",O60-T60)</f>
        <v/>
      </c>
      <c r="W60" s="67" t="str">
        <f aca="false">IF(OR(C60="",O60=""),"",IFERROR(V60/O60,0))</f>
        <v/>
      </c>
      <c r="X60" s="68" t="str">
        <f aca="false">IF(OR(C60="",O60=""),"",O60-U60)</f>
        <v/>
      </c>
      <c r="Y60" s="67" t="str">
        <f aca="false">IF(OR(C60="",O60=""),"",IFERROR(X60/O60,0))</f>
        <v/>
      </c>
    </row>
    <row r="61" customFormat="false" ht="15" hidden="false" customHeight="false" outlineLevel="0" collapsed="false">
      <c r="B61" s="62" t="n">
        <v>56</v>
      </c>
      <c r="C61" s="63"/>
      <c r="D61" s="63"/>
      <c r="E61" s="63"/>
      <c r="F61" s="63"/>
      <c r="G61" s="64"/>
      <c r="H61" s="65"/>
      <c r="I61" s="63"/>
      <c r="J61" s="63"/>
      <c r="K61" s="65"/>
      <c r="L61" s="65"/>
      <c r="M61" s="66"/>
      <c r="N61" s="66"/>
      <c r="O61" s="66"/>
      <c r="P61" s="67" t="str">
        <f aca="false">IF(C61="","",IF(OR(IF(E61="United States (domestic)",0,IFERROR(IF(in_Date&gt;=Wood_Step,INDEX(S232_2027,MATCH(J61,S232_Opt,0)),INDEX(S232_Now,MATCH(J61,S232_Opt,0))),0))&gt;0,K61="Yes",AND(H61="Yes",IFERROR(INDEX(CT_USMCA,MATCH(E61,CT_Country,0)),"No")="Yes")),0,IF(IFERROR(INDEX(CT_Method,MATCH(E61,CT_Country,0)),"None")="Additive",IFERROR(INDEX(CT_Rate,MATCH(E61,CT_Country,0)),0),IF(IFERROR(INDEX(CT_Method,MATCH(E61,CT_Country,0)),"None")="Cap",MAX(0,IFERROR(INDEX(CT_Rate,MATCH(E61,CT_Country,0)),0)-IF(E61="United States (domestic)",0,IF(H61="Yes",0,G61))),0))))</f>
        <v/>
      </c>
      <c r="Q61" s="67" t="str">
        <f aca="false">IF(C61="","",IF(E61="United States (domestic)",0,IF(H61="Yes",0,G61))+IF(E61="China",IFERROR(IF(in_Date&gt;Excl_Expiry,INDEX(C301_Post,MATCH(I61,C301_Opt,0)),INDEX(C301_Pre,MATCH(I61,C301_Opt,0))),0),0)+IF(E61="United States (domestic)",0,IFERROR(IF(in_Date&gt;=Wood_Step,INDEX(S232_2027,MATCH(J61,S232_Opt,0)),INDEX(S232_Now,MATCH(J61,S232_Opt,0))),0))+P61)</f>
        <v/>
      </c>
      <c r="R61" s="68" t="str">
        <f aca="false">IF(C61="","",M61*Q61)</f>
        <v/>
      </c>
      <c r="S61" s="69" t="str">
        <f aca="false">IF(C61="","",IF(E61="United States (domestic)",0,M61*(IF(AND(H61="Yes",IFERROR(INDEX(CT_USMCA,MATCH(E61,CT_Country,0)),"No")="Yes"),0,MPF_Rate)+IF(L61="Ocean",HMF_Rate,0))))</f>
        <v/>
      </c>
      <c r="T61" s="68" t="str">
        <f aca="false">IF(C61="","",M61+N61)</f>
        <v/>
      </c>
      <c r="U61" s="68" t="str">
        <f aca="false">IF(C61="","",T61+R61+S61)</f>
        <v/>
      </c>
      <c r="V61" s="68" t="str">
        <f aca="false">IF(OR(C61="",O61=""),"",O61-T61)</f>
        <v/>
      </c>
      <c r="W61" s="67" t="str">
        <f aca="false">IF(OR(C61="",O61=""),"",IFERROR(V61/O61,0))</f>
        <v/>
      </c>
      <c r="X61" s="68" t="str">
        <f aca="false">IF(OR(C61="",O61=""),"",O61-U61)</f>
        <v/>
      </c>
      <c r="Y61" s="67" t="str">
        <f aca="false">IF(OR(C61="",O61=""),"",IFERROR(X61/O61,0))</f>
        <v/>
      </c>
    </row>
    <row r="62" customFormat="false" ht="15" hidden="false" customHeight="false" outlineLevel="0" collapsed="false">
      <c r="B62" s="62" t="n">
        <v>57</v>
      </c>
      <c r="C62" s="63"/>
      <c r="D62" s="63"/>
      <c r="E62" s="63"/>
      <c r="F62" s="63"/>
      <c r="G62" s="64"/>
      <c r="H62" s="65"/>
      <c r="I62" s="63"/>
      <c r="J62" s="63"/>
      <c r="K62" s="65"/>
      <c r="L62" s="65"/>
      <c r="M62" s="66"/>
      <c r="N62" s="66"/>
      <c r="O62" s="66"/>
      <c r="P62" s="67" t="str">
        <f aca="false">IF(C62="","",IF(OR(IF(E62="United States (domestic)",0,IFERROR(IF(in_Date&gt;=Wood_Step,INDEX(S232_2027,MATCH(J62,S232_Opt,0)),INDEX(S232_Now,MATCH(J62,S232_Opt,0))),0))&gt;0,K62="Yes",AND(H62="Yes",IFERROR(INDEX(CT_USMCA,MATCH(E62,CT_Country,0)),"No")="Yes")),0,IF(IFERROR(INDEX(CT_Method,MATCH(E62,CT_Country,0)),"None")="Additive",IFERROR(INDEX(CT_Rate,MATCH(E62,CT_Country,0)),0),IF(IFERROR(INDEX(CT_Method,MATCH(E62,CT_Country,0)),"None")="Cap",MAX(0,IFERROR(INDEX(CT_Rate,MATCH(E62,CT_Country,0)),0)-IF(E62="United States (domestic)",0,IF(H62="Yes",0,G62))),0))))</f>
        <v/>
      </c>
      <c r="Q62" s="67" t="str">
        <f aca="false">IF(C62="","",IF(E62="United States (domestic)",0,IF(H62="Yes",0,G62))+IF(E62="China",IFERROR(IF(in_Date&gt;Excl_Expiry,INDEX(C301_Post,MATCH(I62,C301_Opt,0)),INDEX(C301_Pre,MATCH(I62,C301_Opt,0))),0),0)+IF(E62="United States (domestic)",0,IFERROR(IF(in_Date&gt;=Wood_Step,INDEX(S232_2027,MATCH(J62,S232_Opt,0)),INDEX(S232_Now,MATCH(J62,S232_Opt,0))),0))+P62)</f>
        <v/>
      </c>
      <c r="R62" s="68" t="str">
        <f aca="false">IF(C62="","",M62*Q62)</f>
        <v/>
      </c>
      <c r="S62" s="69" t="str">
        <f aca="false">IF(C62="","",IF(E62="United States (domestic)",0,M62*(IF(AND(H62="Yes",IFERROR(INDEX(CT_USMCA,MATCH(E62,CT_Country,0)),"No")="Yes"),0,MPF_Rate)+IF(L62="Ocean",HMF_Rate,0))))</f>
        <v/>
      </c>
      <c r="T62" s="68" t="str">
        <f aca="false">IF(C62="","",M62+N62)</f>
        <v/>
      </c>
      <c r="U62" s="68" t="str">
        <f aca="false">IF(C62="","",T62+R62+S62)</f>
        <v/>
      </c>
      <c r="V62" s="68" t="str">
        <f aca="false">IF(OR(C62="",O62=""),"",O62-T62)</f>
        <v/>
      </c>
      <c r="W62" s="67" t="str">
        <f aca="false">IF(OR(C62="",O62=""),"",IFERROR(V62/O62,0))</f>
        <v/>
      </c>
      <c r="X62" s="68" t="str">
        <f aca="false">IF(OR(C62="",O62=""),"",O62-U62)</f>
        <v/>
      </c>
      <c r="Y62" s="67" t="str">
        <f aca="false">IF(OR(C62="",O62=""),"",IFERROR(X62/O62,0))</f>
        <v/>
      </c>
    </row>
    <row r="63" customFormat="false" ht="15" hidden="false" customHeight="false" outlineLevel="0" collapsed="false">
      <c r="B63" s="62" t="n">
        <v>58</v>
      </c>
      <c r="C63" s="63"/>
      <c r="D63" s="63"/>
      <c r="E63" s="63"/>
      <c r="F63" s="63"/>
      <c r="G63" s="64"/>
      <c r="H63" s="65"/>
      <c r="I63" s="63"/>
      <c r="J63" s="63"/>
      <c r="K63" s="65"/>
      <c r="L63" s="65"/>
      <c r="M63" s="66"/>
      <c r="N63" s="66"/>
      <c r="O63" s="66"/>
      <c r="P63" s="67" t="str">
        <f aca="false">IF(C63="","",IF(OR(IF(E63="United States (domestic)",0,IFERROR(IF(in_Date&gt;=Wood_Step,INDEX(S232_2027,MATCH(J63,S232_Opt,0)),INDEX(S232_Now,MATCH(J63,S232_Opt,0))),0))&gt;0,K63="Yes",AND(H63="Yes",IFERROR(INDEX(CT_USMCA,MATCH(E63,CT_Country,0)),"No")="Yes")),0,IF(IFERROR(INDEX(CT_Method,MATCH(E63,CT_Country,0)),"None")="Additive",IFERROR(INDEX(CT_Rate,MATCH(E63,CT_Country,0)),0),IF(IFERROR(INDEX(CT_Method,MATCH(E63,CT_Country,0)),"None")="Cap",MAX(0,IFERROR(INDEX(CT_Rate,MATCH(E63,CT_Country,0)),0)-IF(E63="United States (domestic)",0,IF(H63="Yes",0,G63))),0))))</f>
        <v/>
      </c>
      <c r="Q63" s="67" t="str">
        <f aca="false">IF(C63="","",IF(E63="United States (domestic)",0,IF(H63="Yes",0,G63))+IF(E63="China",IFERROR(IF(in_Date&gt;Excl_Expiry,INDEX(C301_Post,MATCH(I63,C301_Opt,0)),INDEX(C301_Pre,MATCH(I63,C301_Opt,0))),0),0)+IF(E63="United States (domestic)",0,IFERROR(IF(in_Date&gt;=Wood_Step,INDEX(S232_2027,MATCH(J63,S232_Opt,0)),INDEX(S232_Now,MATCH(J63,S232_Opt,0))),0))+P63)</f>
        <v/>
      </c>
      <c r="R63" s="68" t="str">
        <f aca="false">IF(C63="","",M63*Q63)</f>
        <v/>
      </c>
      <c r="S63" s="69" t="str">
        <f aca="false">IF(C63="","",IF(E63="United States (domestic)",0,M63*(IF(AND(H63="Yes",IFERROR(INDEX(CT_USMCA,MATCH(E63,CT_Country,0)),"No")="Yes"),0,MPF_Rate)+IF(L63="Ocean",HMF_Rate,0))))</f>
        <v/>
      </c>
      <c r="T63" s="68" t="str">
        <f aca="false">IF(C63="","",M63+N63)</f>
        <v/>
      </c>
      <c r="U63" s="68" t="str">
        <f aca="false">IF(C63="","",T63+R63+S63)</f>
        <v/>
      </c>
      <c r="V63" s="68" t="str">
        <f aca="false">IF(OR(C63="",O63=""),"",O63-T63)</f>
        <v/>
      </c>
      <c r="W63" s="67" t="str">
        <f aca="false">IF(OR(C63="",O63=""),"",IFERROR(V63/O63,0))</f>
        <v/>
      </c>
      <c r="X63" s="68" t="str">
        <f aca="false">IF(OR(C63="",O63=""),"",O63-U63)</f>
        <v/>
      </c>
      <c r="Y63" s="67" t="str">
        <f aca="false">IF(OR(C63="",O63=""),"",IFERROR(X63/O63,0))</f>
        <v/>
      </c>
    </row>
    <row r="64" customFormat="false" ht="15" hidden="false" customHeight="false" outlineLevel="0" collapsed="false">
      <c r="B64" s="62" t="n">
        <v>59</v>
      </c>
      <c r="C64" s="63"/>
      <c r="D64" s="63"/>
      <c r="E64" s="63"/>
      <c r="F64" s="63"/>
      <c r="G64" s="64"/>
      <c r="H64" s="65"/>
      <c r="I64" s="63"/>
      <c r="J64" s="63"/>
      <c r="K64" s="65"/>
      <c r="L64" s="65"/>
      <c r="M64" s="66"/>
      <c r="N64" s="66"/>
      <c r="O64" s="66"/>
      <c r="P64" s="67" t="str">
        <f aca="false">IF(C64="","",IF(OR(IF(E64="United States (domestic)",0,IFERROR(IF(in_Date&gt;=Wood_Step,INDEX(S232_2027,MATCH(J64,S232_Opt,0)),INDEX(S232_Now,MATCH(J64,S232_Opt,0))),0))&gt;0,K64="Yes",AND(H64="Yes",IFERROR(INDEX(CT_USMCA,MATCH(E64,CT_Country,0)),"No")="Yes")),0,IF(IFERROR(INDEX(CT_Method,MATCH(E64,CT_Country,0)),"None")="Additive",IFERROR(INDEX(CT_Rate,MATCH(E64,CT_Country,0)),0),IF(IFERROR(INDEX(CT_Method,MATCH(E64,CT_Country,0)),"None")="Cap",MAX(0,IFERROR(INDEX(CT_Rate,MATCH(E64,CT_Country,0)),0)-IF(E64="United States (domestic)",0,IF(H64="Yes",0,G64))),0))))</f>
        <v/>
      </c>
      <c r="Q64" s="67" t="str">
        <f aca="false">IF(C64="","",IF(E64="United States (domestic)",0,IF(H64="Yes",0,G64))+IF(E64="China",IFERROR(IF(in_Date&gt;Excl_Expiry,INDEX(C301_Post,MATCH(I64,C301_Opt,0)),INDEX(C301_Pre,MATCH(I64,C301_Opt,0))),0),0)+IF(E64="United States (domestic)",0,IFERROR(IF(in_Date&gt;=Wood_Step,INDEX(S232_2027,MATCH(J64,S232_Opt,0)),INDEX(S232_Now,MATCH(J64,S232_Opt,0))),0))+P64)</f>
        <v/>
      </c>
      <c r="R64" s="68" t="str">
        <f aca="false">IF(C64="","",M64*Q64)</f>
        <v/>
      </c>
      <c r="S64" s="69" t="str">
        <f aca="false">IF(C64="","",IF(E64="United States (domestic)",0,M64*(IF(AND(H64="Yes",IFERROR(INDEX(CT_USMCA,MATCH(E64,CT_Country,0)),"No")="Yes"),0,MPF_Rate)+IF(L64="Ocean",HMF_Rate,0))))</f>
        <v/>
      </c>
      <c r="T64" s="68" t="str">
        <f aca="false">IF(C64="","",M64+N64)</f>
        <v/>
      </c>
      <c r="U64" s="68" t="str">
        <f aca="false">IF(C64="","",T64+R64+S64)</f>
        <v/>
      </c>
      <c r="V64" s="68" t="str">
        <f aca="false">IF(OR(C64="",O64=""),"",O64-T64)</f>
        <v/>
      </c>
      <c r="W64" s="67" t="str">
        <f aca="false">IF(OR(C64="",O64=""),"",IFERROR(V64/O64,0))</f>
        <v/>
      </c>
      <c r="X64" s="68" t="str">
        <f aca="false">IF(OR(C64="",O64=""),"",O64-U64)</f>
        <v/>
      </c>
      <c r="Y64" s="67" t="str">
        <f aca="false">IF(OR(C64="",O64=""),"",IFERROR(X64/O64,0))</f>
        <v/>
      </c>
    </row>
    <row r="65" customFormat="false" ht="15" hidden="false" customHeight="false" outlineLevel="0" collapsed="false">
      <c r="B65" s="62" t="n">
        <v>60</v>
      </c>
      <c r="C65" s="63"/>
      <c r="D65" s="63"/>
      <c r="E65" s="63"/>
      <c r="F65" s="63"/>
      <c r="G65" s="64"/>
      <c r="H65" s="65"/>
      <c r="I65" s="63"/>
      <c r="J65" s="63"/>
      <c r="K65" s="65"/>
      <c r="L65" s="65"/>
      <c r="M65" s="66"/>
      <c r="N65" s="66"/>
      <c r="O65" s="66"/>
      <c r="P65" s="67" t="str">
        <f aca="false">IF(C65="","",IF(OR(IF(E65="United States (domestic)",0,IFERROR(IF(in_Date&gt;=Wood_Step,INDEX(S232_2027,MATCH(J65,S232_Opt,0)),INDEX(S232_Now,MATCH(J65,S232_Opt,0))),0))&gt;0,K65="Yes",AND(H65="Yes",IFERROR(INDEX(CT_USMCA,MATCH(E65,CT_Country,0)),"No")="Yes")),0,IF(IFERROR(INDEX(CT_Method,MATCH(E65,CT_Country,0)),"None")="Additive",IFERROR(INDEX(CT_Rate,MATCH(E65,CT_Country,0)),0),IF(IFERROR(INDEX(CT_Method,MATCH(E65,CT_Country,0)),"None")="Cap",MAX(0,IFERROR(INDEX(CT_Rate,MATCH(E65,CT_Country,0)),0)-IF(E65="United States (domestic)",0,IF(H65="Yes",0,G65))),0))))</f>
        <v/>
      </c>
      <c r="Q65" s="67" t="str">
        <f aca="false">IF(C65="","",IF(E65="United States (domestic)",0,IF(H65="Yes",0,G65))+IF(E65="China",IFERROR(IF(in_Date&gt;Excl_Expiry,INDEX(C301_Post,MATCH(I65,C301_Opt,0)),INDEX(C301_Pre,MATCH(I65,C301_Opt,0))),0),0)+IF(E65="United States (domestic)",0,IFERROR(IF(in_Date&gt;=Wood_Step,INDEX(S232_2027,MATCH(J65,S232_Opt,0)),INDEX(S232_Now,MATCH(J65,S232_Opt,0))),0))+P65)</f>
        <v/>
      </c>
      <c r="R65" s="68" t="str">
        <f aca="false">IF(C65="","",M65*Q65)</f>
        <v/>
      </c>
      <c r="S65" s="69" t="str">
        <f aca="false">IF(C65="","",IF(E65="United States (domestic)",0,M65*(IF(AND(H65="Yes",IFERROR(INDEX(CT_USMCA,MATCH(E65,CT_Country,0)),"No")="Yes"),0,MPF_Rate)+IF(L65="Ocean",HMF_Rate,0))))</f>
        <v/>
      </c>
      <c r="T65" s="68" t="str">
        <f aca="false">IF(C65="","",M65+N65)</f>
        <v/>
      </c>
      <c r="U65" s="68" t="str">
        <f aca="false">IF(C65="","",T65+R65+S65)</f>
        <v/>
      </c>
      <c r="V65" s="68" t="str">
        <f aca="false">IF(OR(C65="",O65=""),"",O65-T65)</f>
        <v/>
      </c>
      <c r="W65" s="67" t="str">
        <f aca="false">IF(OR(C65="",O65=""),"",IFERROR(V65/O65,0))</f>
        <v/>
      </c>
      <c r="X65" s="68" t="str">
        <f aca="false">IF(OR(C65="",O65=""),"",O65-U65)</f>
        <v/>
      </c>
      <c r="Y65" s="67" t="str">
        <f aca="false">IF(OR(C65="",O65=""),"",IFERROR(X65/O65,0))</f>
        <v/>
      </c>
    </row>
    <row r="67" customFormat="false" ht="15" hidden="false" customHeight="true" outlineLevel="0" collapsed="false">
      <c r="B67" s="55" t="s">
        <v>264</v>
      </c>
      <c r="C67" s="55"/>
      <c r="D67" s="55"/>
      <c r="E67" s="55"/>
      <c r="F67" s="55"/>
      <c r="G67" s="55"/>
      <c r="H67" s="55"/>
      <c r="I67" s="55"/>
      <c r="J67" s="55"/>
      <c r="K67" s="55"/>
      <c r="L67" s="55"/>
      <c r="M67" s="55"/>
      <c r="N67" s="55"/>
      <c r="O67" s="55"/>
      <c r="P67" s="55"/>
      <c r="Q67" s="55"/>
      <c r="R67" s="55"/>
      <c r="S67" s="55"/>
      <c r="T67" s="55"/>
      <c r="U67" s="55"/>
      <c r="V67" s="55"/>
      <c r="W67" s="55"/>
      <c r="X67" s="55"/>
      <c r="Y67" s="55"/>
    </row>
  </sheetData>
  <mergeCells count="2">
    <mergeCell ref="B4:Y4"/>
    <mergeCell ref="B67:Y67"/>
  </mergeCells>
  <conditionalFormatting sqref="Y6:Y65">
    <cfRule type="expression" priority="2" aboveAverage="0" equalAverage="0" bottom="0" percent="0" rank="0" text="" dxfId="1">
      <formula>AND(ISNUMBER(Y6),Y6&lt;W6-0.05)</formula>
    </cfRule>
  </conditionalFormatting>
  <dataValidations count="5">
    <dataValidation allowBlank="true" error="Pick a value from the list." errorStyle="stop" errorTitle="Invalid entry" operator="between" showDropDown="false" showErrorMessage="false" showInputMessage="false" sqref="E6:E65" type="list">
      <formula1>CT_Country</formula1>
      <formula2>0</formula2>
    </dataValidation>
    <dataValidation allowBlank="true" error="Pick a value from the list." errorStyle="stop" errorTitle="Invalid entry" operator="between" showDropDown="false" showErrorMessage="false" showInputMessage="false" sqref="H6:H65 K6:K65" type="list">
      <formula1>L_YesNo</formula1>
      <formula2>0</formula2>
    </dataValidation>
    <dataValidation allowBlank="true" error="Pick a value from the list." errorStyle="stop" errorTitle="Invalid entry" operator="between" showDropDown="false" showErrorMessage="false" showInputMessage="false" sqref="I6:I65" type="list">
      <formula1>C301_Opt</formula1>
      <formula2>0</formula2>
    </dataValidation>
    <dataValidation allowBlank="true" error="Pick a value from the list." errorStyle="stop" errorTitle="Invalid entry" operator="between" showDropDown="false" showErrorMessage="false" showInputMessage="false" sqref="J6:J65" type="list">
      <formula1>S232_Opt</formula1>
      <formula2>0</formula2>
    </dataValidation>
    <dataValidation allowBlank="true" error="Pick a value from the list." errorStyle="stop" errorTitle="Invalid entry" operator="between" showDropDown="false" showErrorMessage="false" showInputMessage="false" sqref="L6:L65" type="list">
      <formula1>L_Mode</formula1>
      <formula2>0</formula2>
    </dataValidation>
  </dataValidations>
  <printOptions headings="false" gridLines="false" gridLinesSet="true" horizontalCentered="true" verticalCentered="false"/>
  <pageMargins left="0.4" right="0.4"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8" min="3" style="0" width="16"/>
    <col collapsed="false" customWidth="true" hidden="false" outlineLevel="0" max="9" min="9" style="0" width="4"/>
  </cols>
  <sheetData>
    <row r="1" customFormat="false" ht="33.75" hidden="false" customHeight="true" outlineLevel="0" collapsed="false">
      <c r="B1" s="18" t="s">
        <v>23</v>
      </c>
      <c r="C1" s="1"/>
      <c r="D1" s="1"/>
      <c r="E1" s="1"/>
      <c r="F1" s="1"/>
      <c r="G1" s="1"/>
      <c r="H1" s="1"/>
      <c r="I1" s="1"/>
    </row>
    <row r="2" customFormat="false" ht="19.5" hidden="false" customHeight="true" outlineLevel="0" collapsed="false">
      <c r="B2" s="19" t="s">
        <v>265</v>
      </c>
      <c r="C2" s="1"/>
      <c r="D2" s="1"/>
      <c r="E2" s="1"/>
      <c r="F2" s="1"/>
      <c r="G2" s="1"/>
      <c r="H2" s="1"/>
      <c r="I2" s="1"/>
    </row>
    <row r="4" customFormat="false" ht="19.5" hidden="false" customHeight="true" outlineLevel="0" collapsed="false">
      <c r="B4" s="6" t="s">
        <v>266</v>
      </c>
      <c r="C4" s="7"/>
      <c r="D4" s="7"/>
      <c r="E4" s="7"/>
      <c r="F4" s="7"/>
      <c r="G4" s="7"/>
      <c r="H4" s="7"/>
    </row>
    <row r="5" customFormat="false" ht="15" hidden="false" customHeight="false" outlineLevel="0" collapsed="false">
      <c r="B5" s="10" t="s">
        <v>160</v>
      </c>
      <c r="C5" s="41" t="n">
        <f aca="false">R_LandedUnit</f>
        <v>5.4661063</v>
      </c>
    </row>
    <row r="6" customFormat="false" ht="15" hidden="false" customHeight="false" outlineLevel="0" collapsed="false">
      <c r="B6" s="10" t="s">
        <v>267</v>
      </c>
      <c r="C6" s="27" t="n">
        <f aca="false">IFERROR(R_CV/in_Units,0)</f>
        <v>2.95</v>
      </c>
    </row>
    <row r="7" customFormat="false" ht="15" hidden="false" customHeight="false" outlineLevel="0" collapsed="false">
      <c r="B7" s="10" t="s">
        <v>268</v>
      </c>
      <c r="C7" s="36" t="n">
        <f aca="false">R_DutyRate</f>
        <v>0.125</v>
      </c>
    </row>
    <row r="8" customFormat="false" ht="15" hidden="false" customHeight="false" outlineLevel="0" collapsed="false">
      <c r="B8" s="10" t="s">
        <v>269</v>
      </c>
      <c r="C8" s="27" t="n">
        <f aca="false">IFERROR(R_FreightIns/in_Units,0)</f>
        <v>1.57645</v>
      </c>
    </row>
    <row r="9" customFormat="false" ht="15" hidden="false" customHeight="false" outlineLevel="0" collapsed="false">
      <c r="B9" s="10" t="s">
        <v>270</v>
      </c>
      <c r="C9" s="41" t="n">
        <f aca="false">in_PlannedPrice</f>
        <v>7.99</v>
      </c>
    </row>
    <row r="10" customFormat="false" ht="15" hidden="false" customHeight="false" outlineLevel="0" collapsed="false">
      <c r="B10" s="10" t="s">
        <v>180</v>
      </c>
      <c r="C10" s="36" t="n">
        <f aca="false">in_TargetMargin</f>
        <v>0.5</v>
      </c>
    </row>
    <row r="12" customFormat="false" ht="19.5" hidden="false" customHeight="true" outlineLevel="0" collapsed="false">
      <c r="B12" s="6" t="s">
        <v>271</v>
      </c>
      <c r="C12" s="7"/>
      <c r="D12" s="7"/>
      <c r="E12" s="7"/>
      <c r="F12" s="7"/>
      <c r="G12" s="7"/>
      <c r="H12" s="7"/>
    </row>
    <row r="13" customFormat="false" ht="30" hidden="false" customHeight="true" outlineLevel="0" collapsed="false">
      <c r="B13" s="70" t="s">
        <v>272</v>
      </c>
      <c r="C13" s="70" t="s">
        <v>273</v>
      </c>
      <c r="D13" s="70" t="s">
        <v>274</v>
      </c>
      <c r="E13" s="70" t="s">
        <v>160</v>
      </c>
      <c r="F13" s="70" t="s">
        <v>224</v>
      </c>
      <c r="G13" s="70" t="s">
        <v>275</v>
      </c>
    </row>
    <row r="14" customFormat="false" ht="15" hidden="false" customHeight="false" outlineLevel="0" collapsed="false">
      <c r="B14" s="71" t="n">
        <v>-0.125</v>
      </c>
      <c r="C14" s="36" t="n">
        <f aca="false">MAX(0,B_Rate+B14)</f>
        <v>0</v>
      </c>
      <c r="D14" s="41" t="n">
        <f aca="false">B_CV*C14</f>
        <v>0</v>
      </c>
      <c r="E14" s="49" t="n">
        <f aca="false">B_L+B_CV*(C14-B_Rate)</f>
        <v>5.0973563</v>
      </c>
      <c r="F14" s="36" t="n">
        <f aca="false">IFERROR((B_P-E14)/B_P,0)</f>
        <v>0.362033003754693</v>
      </c>
      <c r="G14" s="41" t="n">
        <f aca="false">IFERROR(E14/(1-B_M),0)</f>
        <v>10.1947126</v>
      </c>
    </row>
    <row r="15" customFormat="false" ht="15" hidden="false" customHeight="false" outlineLevel="0" collapsed="false">
      <c r="B15" s="71" t="n">
        <v>-0.05</v>
      </c>
      <c r="C15" s="36" t="n">
        <f aca="false">MAX(0,B_Rate+B15)</f>
        <v>0.075</v>
      </c>
      <c r="D15" s="41" t="n">
        <f aca="false">B_CV*C15</f>
        <v>0.22125</v>
      </c>
      <c r="E15" s="49" t="n">
        <f aca="false">B_L+B_CV*(C15-B_Rate)</f>
        <v>5.3186063</v>
      </c>
      <c r="F15" s="36" t="n">
        <f aca="false">IFERROR((B_P-E15)/B_P,0)</f>
        <v>0.334342140175219</v>
      </c>
      <c r="G15" s="41" t="n">
        <f aca="false">IFERROR(E15/(1-B_M),0)</f>
        <v>10.6372126</v>
      </c>
    </row>
    <row r="16" customFormat="false" ht="15" hidden="false" customHeight="false" outlineLevel="0" collapsed="false">
      <c r="B16" s="71" t="n">
        <v>0</v>
      </c>
      <c r="C16" s="36" t="n">
        <f aca="false">MAX(0,B_Rate+B16)</f>
        <v>0.125</v>
      </c>
      <c r="D16" s="41" t="n">
        <f aca="false">B_CV*C16</f>
        <v>0.36875</v>
      </c>
      <c r="E16" s="49" t="n">
        <f aca="false">B_L+B_CV*(C16-B_Rate)</f>
        <v>5.4661063</v>
      </c>
      <c r="F16" s="36" t="n">
        <f aca="false">IFERROR((B_P-E16)/B_P,0)</f>
        <v>0.31588156445557</v>
      </c>
      <c r="G16" s="41" t="n">
        <f aca="false">IFERROR(E16/(1-B_M),0)</f>
        <v>10.9322126</v>
      </c>
    </row>
    <row r="17" customFormat="false" ht="15" hidden="false" customHeight="false" outlineLevel="0" collapsed="false">
      <c r="B17" s="71" t="n">
        <v>0.05</v>
      </c>
      <c r="C17" s="36" t="n">
        <f aca="false">MAX(0,B_Rate+B17)</f>
        <v>0.175</v>
      </c>
      <c r="D17" s="41" t="n">
        <f aca="false">B_CV*C17</f>
        <v>0.51625</v>
      </c>
      <c r="E17" s="49" t="n">
        <f aca="false">B_L+B_CV*(C17-B_Rate)</f>
        <v>5.6136063</v>
      </c>
      <c r="F17" s="36" t="n">
        <f aca="false">IFERROR((B_P-E17)/B_P,0)</f>
        <v>0.29742098873592</v>
      </c>
      <c r="G17" s="41" t="n">
        <f aca="false">IFERROR(E17/(1-B_M),0)</f>
        <v>11.2272126</v>
      </c>
    </row>
    <row r="18" customFormat="false" ht="15" hidden="false" customHeight="false" outlineLevel="0" collapsed="false">
      <c r="B18" s="71" t="n">
        <v>0.1</v>
      </c>
      <c r="C18" s="36" t="n">
        <f aca="false">MAX(0,B_Rate+B18)</f>
        <v>0.225</v>
      </c>
      <c r="D18" s="41" t="n">
        <f aca="false">B_CV*C18</f>
        <v>0.66375</v>
      </c>
      <c r="E18" s="49" t="n">
        <f aca="false">B_L+B_CV*(C18-B_Rate)</f>
        <v>5.7611063</v>
      </c>
      <c r="F18" s="36" t="n">
        <f aca="false">IFERROR((B_P-E18)/B_P,0)</f>
        <v>0.27896041301627</v>
      </c>
      <c r="G18" s="41" t="n">
        <f aca="false">IFERROR(E18/(1-B_M),0)</f>
        <v>11.5222126</v>
      </c>
    </row>
    <row r="19" customFormat="false" ht="15" hidden="false" customHeight="false" outlineLevel="0" collapsed="false">
      <c r="B19" s="71" t="n">
        <v>0.15</v>
      </c>
      <c r="C19" s="36" t="n">
        <f aca="false">MAX(0,B_Rate+B19)</f>
        <v>0.275</v>
      </c>
      <c r="D19" s="41" t="n">
        <f aca="false">B_CV*C19</f>
        <v>0.81125</v>
      </c>
      <c r="E19" s="49" t="n">
        <f aca="false">B_L+B_CV*(C19-B_Rate)</f>
        <v>5.9086063</v>
      </c>
      <c r="F19" s="36" t="n">
        <f aca="false">IFERROR((B_P-E19)/B_P,0)</f>
        <v>0.260499837296621</v>
      </c>
      <c r="G19" s="41" t="n">
        <f aca="false">IFERROR(E19/(1-B_M),0)</f>
        <v>11.8172126</v>
      </c>
    </row>
    <row r="20" customFormat="false" ht="15" hidden="false" customHeight="false" outlineLevel="0" collapsed="false">
      <c r="B20" s="71" t="n">
        <v>0.2</v>
      </c>
      <c r="C20" s="36" t="n">
        <f aca="false">MAX(0,B_Rate+B20)</f>
        <v>0.325</v>
      </c>
      <c r="D20" s="41" t="n">
        <f aca="false">B_CV*C20</f>
        <v>0.95875</v>
      </c>
      <c r="E20" s="49" t="n">
        <f aca="false">B_L+B_CV*(C20-B_Rate)</f>
        <v>6.0561063</v>
      </c>
      <c r="F20" s="36" t="n">
        <f aca="false">IFERROR((B_P-E20)/B_P,0)</f>
        <v>0.242039261576971</v>
      </c>
      <c r="G20" s="41" t="n">
        <f aca="false">IFERROR(E20/(1-B_M),0)</f>
        <v>12.1122126</v>
      </c>
    </row>
    <row r="21" customFormat="false" ht="15" hidden="false" customHeight="false" outlineLevel="0" collapsed="false">
      <c r="B21" s="71" t="n">
        <v>0.25</v>
      </c>
      <c r="C21" s="36" t="n">
        <f aca="false">MAX(0,B_Rate+B21)</f>
        <v>0.375</v>
      </c>
      <c r="D21" s="41" t="n">
        <f aca="false">B_CV*C21</f>
        <v>1.10625</v>
      </c>
      <c r="E21" s="49" t="n">
        <f aca="false">B_L+B_CV*(C21-B_Rate)</f>
        <v>6.2036063</v>
      </c>
      <c r="F21" s="36" t="n">
        <f aca="false">IFERROR((B_P-E21)/B_P,0)</f>
        <v>0.223578685857322</v>
      </c>
      <c r="G21" s="41" t="n">
        <f aca="false">IFERROR(E21/(1-B_M),0)</f>
        <v>12.4072126</v>
      </c>
    </row>
    <row r="22" customFormat="false" ht="15" hidden="false" customHeight="false" outlineLevel="0" collapsed="false">
      <c r="B22" s="71" t="n">
        <v>0.3</v>
      </c>
      <c r="C22" s="36" t="n">
        <f aca="false">MAX(0,B_Rate+B22)</f>
        <v>0.425</v>
      </c>
      <c r="D22" s="41" t="n">
        <f aca="false">B_CV*C22</f>
        <v>1.25375</v>
      </c>
      <c r="E22" s="49" t="n">
        <f aca="false">B_L+B_CV*(C22-B_Rate)</f>
        <v>6.3511063</v>
      </c>
      <c r="F22" s="36" t="n">
        <f aca="false">IFERROR((B_P-E22)/B_P,0)</f>
        <v>0.205118110137672</v>
      </c>
      <c r="G22" s="41" t="n">
        <f aca="false">IFERROR(E22/(1-B_M),0)</f>
        <v>12.7022126</v>
      </c>
    </row>
    <row r="23" customFormat="false" ht="15" hidden="false" customHeight="false" outlineLevel="0" collapsed="false">
      <c r="B23" s="71" t="n">
        <v>0.4</v>
      </c>
      <c r="C23" s="36" t="n">
        <f aca="false">MAX(0,B_Rate+B23)</f>
        <v>0.525</v>
      </c>
      <c r="D23" s="41" t="n">
        <f aca="false">B_CV*C23</f>
        <v>1.54875</v>
      </c>
      <c r="E23" s="49" t="n">
        <f aca="false">B_L+B_CV*(C23-B_Rate)</f>
        <v>6.6461063</v>
      </c>
      <c r="F23" s="36" t="n">
        <f aca="false">IFERROR((B_P-E23)/B_P,0)</f>
        <v>0.168196958698373</v>
      </c>
      <c r="G23" s="41" t="n">
        <f aca="false">IFERROR(E23/(1-B_M),0)</f>
        <v>13.2922126</v>
      </c>
    </row>
    <row r="24" customFormat="false" ht="15" hidden="false" customHeight="false" outlineLevel="0" collapsed="false">
      <c r="B24" s="71" t="n">
        <v>0.5</v>
      </c>
      <c r="C24" s="36" t="n">
        <f aca="false">MAX(0,B_Rate+B24)</f>
        <v>0.625</v>
      </c>
      <c r="D24" s="41" t="n">
        <f aca="false">B_CV*C24</f>
        <v>1.84375</v>
      </c>
      <c r="E24" s="49" t="n">
        <f aca="false">B_L+B_CV*(C24-B_Rate)</f>
        <v>6.9411063</v>
      </c>
      <c r="F24" s="36" t="n">
        <f aca="false">IFERROR((B_P-E24)/B_P,0)</f>
        <v>0.131275807259074</v>
      </c>
      <c r="G24" s="41" t="n">
        <f aca="false">IFERROR(E24/(1-B_M),0)</f>
        <v>13.8822126</v>
      </c>
    </row>
    <row r="25" customFormat="false" ht="27.75" hidden="false" customHeight="true" outlineLevel="0" collapsed="false">
      <c r="B25" s="55" t="s">
        <v>276</v>
      </c>
      <c r="C25" s="55"/>
      <c r="D25" s="55"/>
      <c r="E25" s="55"/>
      <c r="F25" s="55"/>
      <c r="G25" s="55"/>
      <c r="H25" s="55"/>
    </row>
    <row r="27" customFormat="false" ht="19.5" hidden="false" customHeight="true" outlineLevel="0" collapsed="false">
      <c r="B27" s="6" t="s">
        <v>277</v>
      </c>
      <c r="C27" s="7"/>
      <c r="D27" s="7"/>
      <c r="E27" s="7"/>
      <c r="F27" s="7"/>
      <c r="G27" s="7"/>
      <c r="H27" s="7"/>
    </row>
    <row r="28" customFormat="false" ht="30" hidden="false" customHeight="true" outlineLevel="0" collapsed="false">
      <c r="B28" s="70" t="s">
        <v>278</v>
      </c>
      <c r="C28" s="70" t="s">
        <v>279</v>
      </c>
      <c r="D28" s="70" t="s">
        <v>160</v>
      </c>
      <c r="E28" s="70" t="s">
        <v>224</v>
      </c>
      <c r="F28" s="70" t="s">
        <v>275</v>
      </c>
    </row>
    <row r="29" customFormat="false" ht="15" hidden="false" customHeight="false" outlineLevel="0" collapsed="false">
      <c r="B29" s="72" t="n">
        <v>-0.5</v>
      </c>
      <c r="C29" s="27" t="n">
        <f aca="false">B_Fr*(1+B29)</f>
        <v>0.788225</v>
      </c>
      <c r="D29" s="49" t="n">
        <f aca="false">B_L+B_Fr*B29</f>
        <v>4.6778813</v>
      </c>
      <c r="E29" s="36" t="n">
        <f aca="false">IFERROR((B_P-D29)/B_P,0)</f>
        <v>0.414533003754693</v>
      </c>
      <c r="F29" s="41" t="n">
        <f aca="false">IFERROR(D29/(1-B_M),0)</f>
        <v>9.3557626</v>
      </c>
    </row>
    <row r="30" customFormat="false" ht="15" hidden="false" customHeight="false" outlineLevel="0" collapsed="false">
      <c r="B30" s="72" t="n">
        <v>-0.25</v>
      </c>
      <c r="C30" s="27" t="n">
        <f aca="false">B_Fr*(1+B30)</f>
        <v>1.1823375</v>
      </c>
      <c r="D30" s="49" t="n">
        <f aca="false">B_L+B_Fr*B30</f>
        <v>5.0719938</v>
      </c>
      <c r="E30" s="36" t="n">
        <f aca="false">IFERROR((B_P-D30)/B_P,0)</f>
        <v>0.365207284105132</v>
      </c>
      <c r="F30" s="41" t="n">
        <f aca="false">IFERROR(D30/(1-B_M),0)</f>
        <v>10.1439876</v>
      </c>
    </row>
    <row r="31" customFormat="false" ht="15" hidden="false" customHeight="false" outlineLevel="0" collapsed="false">
      <c r="B31" s="72" t="n">
        <v>0</v>
      </c>
      <c r="C31" s="27" t="n">
        <f aca="false">B_Fr*(1+B31)</f>
        <v>1.57645</v>
      </c>
      <c r="D31" s="49" t="n">
        <f aca="false">B_L+B_Fr*B31</f>
        <v>5.4661063</v>
      </c>
      <c r="E31" s="36" t="n">
        <f aca="false">IFERROR((B_P-D31)/B_P,0)</f>
        <v>0.31588156445557</v>
      </c>
      <c r="F31" s="41" t="n">
        <f aca="false">IFERROR(D31/(1-B_M),0)</f>
        <v>10.9322126</v>
      </c>
    </row>
    <row r="32" customFormat="false" ht="15" hidden="false" customHeight="false" outlineLevel="0" collapsed="false">
      <c r="B32" s="72" t="n">
        <v>0.25</v>
      </c>
      <c r="C32" s="27" t="n">
        <f aca="false">B_Fr*(1+B32)</f>
        <v>1.9705625</v>
      </c>
      <c r="D32" s="49" t="n">
        <f aca="false">B_L+B_Fr*B32</f>
        <v>5.8602188</v>
      </c>
      <c r="E32" s="36" t="n">
        <f aca="false">IFERROR((B_P-D32)/B_P,0)</f>
        <v>0.266555844806008</v>
      </c>
      <c r="F32" s="41" t="n">
        <f aca="false">IFERROR(D32/(1-B_M),0)</f>
        <v>11.7204376</v>
      </c>
    </row>
    <row r="33" customFormat="false" ht="15" hidden="false" customHeight="false" outlineLevel="0" collapsed="false">
      <c r="B33" s="72" t="n">
        <v>0.5</v>
      </c>
      <c r="C33" s="27" t="n">
        <f aca="false">B_Fr*(1+B33)</f>
        <v>2.364675</v>
      </c>
      <c r="D33" s="49" t="n">
        <f aca="false">B_L+B_Fr*B33</f>
        <v>6.2543313</v>
      </c>
      <c r="E33" s="36" t="n">
        <f aca="false">IFERROR((B_P-D33)/B_P,0)</f>
        <v>0.217230125156446</v>
      </c>
      <c r="F33" s="41" t="n">
        <f aca="false">IFERROR(D33/(1-B_M),0)</f>
        <v>12.5086626</v>
      </c>
    </row>
    <row r="34" customFormat="false" ht="15" hidden="false" customHeight="false" outlineLevel="0" collapsed="false">
      <c r="B34" s="72" t="n">
        <v>1</v>
      </c>
      <c r="C34" s="27" t="n">
        <f aca="false">B_Fr*(1+B34)</f>
        <v>3.1529</v>
      </c>
      <c r="D34" s="49" t="n">
        <f aca="false">B_L+B_Fr*B34</f>
        <v>7.0425563</v>
      </c>
      <c r="E34" s="36" t="n">
        <f aca="false">IFERROR((B_P-D34)/B_P,0)</f>
        <v>0.118578685857322</v>
      </c>
      <c r="F34" s="41" t="n">
        <f aca="false">IFERROR(D34/(1-B_M),0)</f>
        <v>14.0851126</v>
      </c>
    </row>
    <row r="35" customFormat="false" ht="15" hidden="false" customHeight="true" outlineLevel="0" collapsed="false">
      <c r="B35" s="55" t="s">
        <v>280</v>
      </c>
      <c r="C35" s="55"/>
      <c r="D35" s="55"/>
      <c r="E35" s="55"/>
      <c r="F35" s="55"/>
      <c r="G35" s="55"/>
      <c r="H35" s="55"/>
    </row>
    <row r="37" customFormat="false" ht="19.5" hidden="false" customHeight="true" outlineLevel="0" collapsed="false">
      <c r="B37" s="6" t="s">
        <v>281</v>
      </c>
      <c r="C37" s="7"/>
      <c r="D37" s="7"/>
      <c r="E37" s="7"/>
      <c r="F37" s="7"/>
      <c r="G37" s="7"/>
      <c r="H37" s="7"/>
    </row>
    <row r="38" customFormat="false" ht="15" hidden="false" customHeight="false" outlineLevel="0" collapsed="false">
      <c r="B38" s="73" t="s">
        <v>282</v>
      </c>
      <c r="C38" s="72" t="n">
        <v>-0.25</v>
      </c>
      <c r="D38" s="72" t="n">
        <v>0</v>
      </c>
      <c r="E38" s="72" t="n">
        <v>0.25</v>
      </c>
      <c r="F38" s="72" t="n">
        <v>0.5</v>
      </c>
      <c r="G38" s="72" t="n">
        <v>0.75</v>
      </c>
      <c r="H38" s="72" t="n">
        <v>1</v>
      </c>
    </row>
    <row r="39" customFormat="false" ht="15" hidden="false" customHeight="false" outlineLevel="0" collapsed="false">
      <c r="B39" s="71" t="n">
        <v>-0.05</v>
      </c>
      <c r="C39" s="41" t="n">
        <f aca="false">B_L+B_CV*(MAX(0,B_Rate+$B39)-B_Rate)+B_Fr*C$38</f>
        <v>4.9244938</v>
      </c>
      <c r="D39" s="41" t="n">
        <f aca="false">B_L+B_CV*(MAX(0,B_Rate+$B39)-B_Rate)+B_Fr*D$38</f>
        <v>5.3186063</v>
      </c>
      <c r="E39" s="41" t="n">
        <f aca="false">B_L+B_CV*(MAX(0,B_Rate+$B39)-B_Rate)+B_Fr*E$38</f>
        <v>5.7127188</v>
      </c>
      <c r="F39" s="41" t="n">
        <f aca="false">B_L+B_CV*(MAX(0,B_Rate+$B39)-B_Rate)+B_Fr*F$38</f>
        <v>6.1068313</v>
      </c>
      <c r="G39" s="41" t="n">
        <f aca="false">B_L+B_CV*(MAX(0,B_Rate+$B39)-B_Rate)+B_Fr*G$38</f>
        <v>6.5009438</v>
      </c>
      <c r="H39" s="41" t="n">
        <f aca="false">B_L+B_CV*(MAX(0,B_Rate+$B39)-B_Rate)+B_Fr*H$38</f>
        <v>6.8950563</v>
      </c>
    </row>
    <row r="40" customFormat="false" ht="15" hidden="false" customHeight="false" outlineLevel="0" collapsed="false">
      <c r="B40" s="71" t="n">
        <v>0</v>
      </c>
      <c r="C40" s="41" t="n">
        <f aca="false">B_L+B_CV*(MAX(0,B_Rate+$B40)-B_Rate)+B_Fr*C$38</f>
        <v>5.0719938</v>
      </c>
      <c r="D40" s="41" t="n">
        <f aca="false">B_L+B_CV*(MAX(0,B_Rate+$B40)-B_Rate)+B_Fr*D$38</f>
        <v>5.4661063</v>
      </c>
      <c r="E40" s="41" t="n">
        <f aca="false">B_L+B_CV*(MAX(0,B_Rate+$B40)-B_Rate)+B_Fr*E$38</f>
        <v>5.8602188</v>
      </c>
      <c r="F40" s="41" t="n">
        <f aca="false">B_L+B_CV*(MAX(0,B_Rate+$B40)-B_Rate)+B_Fr*F$38</f>
        <v>6.2543313</v>
      </c>
      <c r="G40" s="41" t="n">
        <f aca="false">B_L+B_CV*(MAX(0,B_Rate+$B40)-B_Rate)+B_Fr*G$38</f>
        <v>6.6484438</v>
      </c>
      <c r="H40" s="41" t="n">
        <f aca="false">B_L+B_CV*(MAX(0,B_Rate+$B40)-B_Rate)+B_Fr*H$38</f>
        <v>7.0425563</v>
      </c>
    </row>
    <row r="41" customFormat="false" ht="15" hidden="false" customHeight="false" outlineLevel="0" collapsed="false">
      <c r="B41" s="71" t="n">
        <v>0.05</v>
      </c>
      <c r="C41" s="41" t="n">
        <f aca="false">B_L+B_CV*(MAX(0,B_Rate+$B41)-B_Rate)+B_Fr*C$38</f>
        <v>5.2194938</v>
      </c>
      <c r="D41" s="41" t="n">
        <f aca="false">B_L+B_CV*(MAX(0,B_Rate+$B41)-B_Rate)+B_Fr*D$38</f>
        <v>5.6136063</v>
      </c>
      <c r="E41" s="41" t="n">
        <f aca="false">B_L+B_CV*(MAX(0,B_Rate+$B41)-B_Rate)+B_Fr*E$38</f>
        <v>6.0077188</v>
      </c>
      <c r="F41" s="41" t="n">
        <f aca="false">B_L+B_CV*(MAX(0,B_Rate+$B41)-B_Rate)+B_Fr*F$38</f>
        <v>6.4018313</v>
      </c>
      <c r="G41" s="41" t="n">
        <f aca="false">B_L+B_CV*(MAX(0,B_Rate+$B41)-B_Rate)+B_Fr*G$38</f>
        <v>6.7959438</v>
      </c>
      <c r="H41" s="41" t="n">
        <f aca="false">B_L+B_CV*(MAX(0,B_Rate+$B41)-B_Rate)+B_Fr*H$38</f>
        <v>7.1900563</v>
      </c>
    </row>
    <row r="42" customFormat="false" ht="15" hidden="false" customHeight="false" outlineLevel="0" collapsed="false">
      <c r="B42" s="71" t="n">
        <v>0.1</v>
      </c>
      <c r="C42" s="41" t="n">
        <f aca="false">B_L+B_CV*(MAX(0,B_Rate+$B42)-B_Rate)+B_Fr*C$38</f>
        <v>5.3669938</v>
      </c>
      <c r="D42" s="41" t="n">
        <f aca="false">B_L+B_CV*(MAX(0,B_Rate+$B42)-B_Rate)+B_Fr*D$38</f>
        <v>5.7611063</v>
      </c>
      <c r="E42" s="41" t="n">
        <f aca="false">B_L+B_CV*(MAX(0,B_Rate+$B42)-B_Rate)+B_Fr*E$38</f>
        <v>6.1552188</v>
      </c>
      <c r="F42" s="41" t="n">
        <f aca="false">B_L+B_CV*(MAX(0,B_Rate+$B42)-B_Rate)+B_Fr*F$38</f>
        <v>6.5493313</v>
      </c>
      <c r="G42" s="41" t="n">
        <f aca="false">B_L+B_CV*(MAX(0,B_Rate+$B42)-B_Rate)+B_Fr*G$38</f>
        <v>6.9434438</v>
      </c>
      <c r="H42" s="41" t="n">
        <f aca="false">B_L+B_CV*(MAX(0,B_Rate+$B42)-B_Rate)+B_Fr*H$38</f>
        <v>7.3375563</v>
      </c>
    </row>
    <row r="43" customFormat="false" ht="15" hidden="false" customHeight="false" outlineLevel="0" collapsed="false">
      <c r="B43" s="71" t="n">
        <v>0.2</v>
      </c>
      <c r="C43" s="41" t="n">
        <f aca="false">B_L+B_CV*(MAX(0,B_Rate+$B43)-B_Rate)+B_Fr*C$38</f>
        <v>5.6619938</v>
      </c>
      <c r="D43" s="41" t="n">
        <f aca="false">B_L+B_CV*(MAX(0,B_Rate+$B43)-B_Rate)+B_Fr*D$38</f>
        <v>6.0561063</v>
      </c>
      <c r="E43" s="41" t="n">
        <f aca="false">B_L+B_CV*(MAX(0,B_Rate+$B43)-B_Rate)+B_Fr*E$38</f>
        <v>6.4502188</v>
      </c>
      <c r="F43" s="41" t="n">
        <f aca="false">B_L+B_CV*(MAX(0,B_Rate+$B43)-B_Rate)+B_Fr*F$38</f>
        <v>6.8443313</v>
      </c>
      <c r="G43" s="41" t="n">
        <f aca="false">B_L+B_CV*(MAX(0,B_Rate+$B43)-B_Rate)+B_Fr*G$38</f>
        <v>7.2384438</v>
      </c>
      <c r="H43" s="41" t="n">
        <f aca="false">B_L+B_CV*(MAX(0,B_Rate+$B43)-B_Rate)+B_Fr*H$38</f>
        <v>7.6325563</v>
      </c>
    </row>
    <row r="44" customFormat="false" ht="15" hidden="false" customHeight="false" outlineLevel="0" collapsed="false">
      <c r="B44" s="71" t="n">
        <v>0.3</v>
      </c>
      <c r="C44" s="41" t="n">
        <f aca="false">B_L+B_CV*(MAX(0,B_Rate+$B44)-B_Rate)+B_Fr*C$38</f>
        <v>5.9569938</v>
      </c>
      <c r="D44" s="41" t="n">
        <f aca="false">B_L+B_CV*(MAX(0,B_Rate+$B44)-B_Rate)+B_Fr*D$38</f>
        <v>6.3511063</v>
      </c>
      <c r="E44" s="41" t="n">
        <f aca="false">B_L+B_CV*(MAX(0,B_Rate+$B44)-B_Rate)+B_Fr*E$38</f>
        <v>6.7452188</v>
      </c>
      <c r="F44" s="41" t="n">
        <f aca="false">B_L+B_CV*(MAX(0,B_Rate+$B44)-B_Rate)+B_Fr*F$38</f>
        <v>7.1393313</v>
      </c>
      <c r="G44" s="41" t="n">
        <f aca="false">B_L+B_CV*(MAX(0,B_Rate+$B44)-B_Rate)+B_Fr*G$38</f>
        <v>7.5334438</v>
      </c>
      <c r="H44" s="41" t="n">
        <f aca="false">B_L+B_CV*(MAX(0,B_Rate+$B44)-B_Rate)+B_Fr*H$38</f>
        <v>7.9275563</v>
      </c>
    </row>
    <row r="45" customFormat="false" ht="15" hidden="false" customHeight="false" outlineLevel="0" collapsed="false">
      <c r="B45" s="71" t="n">
        <v>0.5</v>
      </c>
      <c r="C45" s="41" t="n">
        <f aca="false">B_L+B_CV*(MAX(0,B_Rate+$B45)-B_Rate)+B_Fr*C$38</f>
        <v>6.5469938</v>
      </c>
      <c r="D45" s="41" t="n">
        <f aca="false">B_L+B_CV*(MAX(0,B_Rate+$B45)-B_Rate)+B_Fr*D$38</f>
        <v>6.9411063</v>
      </c>
      <c r="E45" s="41" t="n">
        <f aca="false">B_L+B_CV*(MAX(0,B_Rate+$B45)-B_Rate)+B_Fr*E$38</f>
        <v>7.3352188</v>
      </c>
      <c r="F45" s="41" t="n">
        <f aca="false">B_L+B_CV*(MAX(0,B_Rate+$B45)-B_Rate)+B_Fr*F$38</f>
        <v>7.7293313</v>
      </c>
      <c r="G45" s="41" t="n">
        <f aca="false">B_L+B_CV*(MAX(0,B_Rate+$B45)-B_Rate)+B_Fr*G$38</f>
        <v>8.1234438</v>
      </c>
      <c r="H45" s="41" t="n">
        <f aca="false">B_L+B_CV*(MAX(0,B_Rate+$B45)-B_Rate)+B_Fr*H$38</f>
        <v>8.5175563</v>
      </c>
    </row>
    <row r="47" customFormat="false" ht="15" hidden="false" customHeight="true" outlineLevel="0" collapsed="false">
      <c r="B47" s="55" t="s">
        <v>283</v>
      </c>
      <c r="C47" s="55"/>
      <c r="D47" s="55"/>
      <c r="E47" s="55"/>
      <c r="F47" s="55"/>
      <c r="G47" s="55"/>
      <c r="H47" s="55"/>
    </row>
  </sheetData>
  <sheetProtection sheet="true" formatColumns="false" formatRows="false"/>
  <mergeCells count="3">
    <mergeCell ref="B25:H25"/>
    <mergeCell ref="B35:H35"/>
    <mergeCell ref="B47:H47"/>
  </mergeCells>
  <conditionalFormatting sqref="C39:H45">
    <cfRule type="expression" priority="2" aboveAverage="0" equalAverage="0" bottom="0" percent="0" rank="0" text="" dxfId="2">
      <formula>C39&gt;B_P*(1-B_M)</formula>
    </cfRule>
  </conditionalFormatting>
  <printOptions headings="false" gridLines="false" gridLinesSet="true" horizontalCentered="true" verticalCentered="false"/>
  <pageMargins left="0.4" right="0.4"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0"/>
    <col collapsed="false" customWidth="true" hidden="false" outlineLevel="0" max="7" min="3" style="0" width="14"/>
    <col collapsed="false" customWidth="true" hidden="false" outlineLevel="0" max="9" min="8" style="0" width="16"/>
    <col collapsed="false" customWidth="true" hidden="false" outlineLevel="0" max="10" min="10" style="0" width="4"/>
  </cols>
  <sheetData>
    <row r="1" customFormat="false" ht="33.75" hidden="false" customHeight="true" outlineLevel="0" collapsed="false">
      <c r="B1" s="18" t="s">
        <v>284</v>
      </c>
      <c r="C1" s="1"/>
      <c r="D1" s="1"/>
      <c r="E1" s="1"/>
      <c r="F1" s="1"/>
      <c r="G1" s="1"/>
      <c r="H1" s="1"/>
      <c r="I1" s="1"/>
      <c r="J1" s="1"/>
    </row>
    <row r="2" customFormat="false" ht="19.5" hidden="false" customHeight="true" outlineLevel="0" collapsed="false">
      <c r="B2" s="19" t="s">
        <v>285</v>
      </c>
      <c r="C2" s="1"/>
      <c r="D2" s="1"/>
      <c r="E2" s="1"/>
      <c r="F2" s="1"/>
      <c r="G2" s="1"/>
      <c r="H2" s="1"/>
      <c r="I2" s="1"/>
      <c r="J2" s="1"/>
    </row>
    <row r="4" customFormat="false" ht="19.5" hidden="false" customHeight="true" outlineLevel="0" collapsed="false">
      <c r="B4" s="6" t="s">
        <v>286</v>
      </c>
      <c r="C4" s="7"/>
      <c r="D4" s="7"/>
      <c r="E4" s="7"/>
      <c r="F4" s="7"/>
      <c r="G4" s="7"/>
      <c r="H4" s="7"/>
      <c r="I4" s="7"/>
    </row>
    <row r="5" customFormat="false" ht="15" hidden="false" customHeight="false" outlineLevel="0" collapsed="false">
      <c r="B5" s="10" t="s">
        <v>287</v>
      </c>
      <c r="C5" s="30" t="n">
        <v>60</v>
      </c>
    </row>
    <row r="6" customFormat="false" ht="15" hidden="false" customHeight="false" outlineLevel="0" collapsed="false">
      <c r="B6" s="10" t="s">
        <v>288</v>
      </c>
      <c r="C6" s="30" t="n">
        <v>40</v>
      </c>
    </row>
    <row r="7" customFormat="false" ht="15" hidden="false" customHeight="false" outlineLevel="0" collapsed="false">
      <c r="B7" s="10" t="s">
        <v>289</v>
      </c>
      <c r="C7" s="30" t="n">
        <v>40</v>
      </c>
    </row>
    <row r="8" customFormat="false" ht="15" hidden="false" customHeight="false" outlineLevel="0" collapsed="false">
      <c r="B8" s="10" t="s">
        <v>290</v>
      </c>
      <c r="C8" s="30" t="n">
        <v>24</v>
      </c>
    </row>
    <row r="9" customFormat="false" ht="15" hidden="false" customHeight="false" outlineLevel="0" collapsed="false">
      <c r="B9" s="10" t="s">
        <v>291</v>
      </c>
      <c r="C9" s="38" t="n">
        <v>0.85</v>
      </c>
    </row>
    <row r="10" customFormat="false" ht="32.8" hidden="false" customHeight="false" outlineLevel="0" collapsed="false">
      <c r="B10" s="10" t="s">
        <v>292</v>
      </c>
      <c r="C10" s="42" t="n">
        <v>90</v>
      </c>
      <c r="D10" s="22" t="s">
        <v>293</v>
      </c>
    </row>
    <row r="11" customFormat="false" ht="64.15" hidden="false" customHeight="false" outlineLevel="0" collapsed="false">
      <c r="B11" s="10" t="s">
        <v>294</v>
      </c>
      <c r="C11" s="30" t="n">
        <v>15</v>
      </c>
      <c r="D11" s="22" t="s">
        <v>295</v>
      </c>
    </row>
    <row r="12" customFormat="false" ht="15" hidden="false" customHeight="false" outlineLevel="0" collapsed="false">
      <c r="B12" s="10" t="s">
        <v>296</v>
      </c>
      <c r="C12" s="34" t="s">
        <v>145</v>
      </c>
    </row>
    <row r="14" customFormat="false" ht="15" hidden="false" customHeight="false" outlineLevel="0" collapsed="false">
      <c r="B14" s="10" t="s">
        <v>297</v>
      </c>
      <c r="C14" s="74" t="n">
        <f aca="false">CM_L*CM_W*CM_H/1000000</f>
        <v>0.096</v>
      </c>
    </row>
    <row r="15" customFormat="false" ht="15" hidden="false" customHeight="false" outlineLevel="0" collapsed="false">
      <c r="B15" s="10" t="s">
        <v>298</v>
      </c>
      <c r="C15" s="75" t="n">
        <f aca="false">IFERROR(CM_CBM/CM_UPC,0)</f>
        <v>0.004</v>
      </c>
    </row>
    <row r="17" customFormat="false" ht="19.5" hidden="false" customHeight="true" outlineLevel="0" collapsed="false">
      <c r="B17" s="6" t="s">
        <v>299</v>
      </c>
      <c r="C17" s="7"/>
      <c r="D17" s="7"/>
      <c r="E17" s="7"/>
      <c r="F17" s="7"/>
      <c r="G17" s="7"/>
      <c r="H17" s="7"/>
      <c r="I17" s="7"/>
    </row>
    <row r="18" customFormat="false" ht="30" hidden="false" customHeight="true" outlineLevel="0" collapsed="false">
      <c r="B18" s="76" t="s">
        <v>300</v>
      </c>
      <c r="C18" s="76" t="s">
        <v>301</v>
      </c>
      <c r="D18" s="76" t="s">
        <v>302</v>
      </c>
      <c r="E18" s="76" t="s">
        <v>303</v>
      </c>
      <c r="F18" s="76" t="s">
        <v>304</v>
      </c>
      <c r="G18" s="76" t="s">
        <v>305</v>
      </c>
      <c r="H18" s="76" t="s">
        <v>306</v>
      </c>
    </row>
    <row r="19" customFormat="false" ht="15" hidden="false" customHeight="false" outlineLevel="0" collapsed="false">
      <c r="B19" s="10" t="s">
        <v>307</v>
      </c>
      <c r="C19" s="77" t="n">
        <f aca="false">IFERROR(INDEX(FR_CBM,MATCH(B19,FR_Cont,0)),0)</f>
        <v>33</v>
      </c>
      <c r="D19" s="78" t="n">
        <f aca="false">C19*CM_Load</f>
        <v>28.05</v>
      </c>
      <c r="E19" s="77" t="n">
        <f aca="false">IFERROR(INT(D19/CM_CBM),0)</f>
        <v>292</v>
      </c>
      <c r="F19" s="79" t="n">
        <f aca="false">E19*CM_UPC</f>
        <v>7008</v>
      </c>
      <c r="G19" s="42" t="n">
        <f aca="false">IFERROR(IF(in_Coast="East",INDEX(FR_East,MATCH(B19,FR_Cont,0)),INDEX(FR_West,MATCH(B19,FR_Cont,0))),0)</f>
        <v>0</v>
      </c>
      <c r="H19" s="27" t="n">
        <f aca="false">IFERROR(G19/F19,0)</f>
        <v>0</v>
      </c>
    </row>
    <row r="20" customFormat="false" ht="15" hidden="false" customHeight="false" outlineLevel="0" collapsed="false">
      <c r="B20" s="10" t="s">
        <v>145</v>
      </c>
      <c r="C20" s="77" t="n">
        <f aca="false">IFERROR(INDEX(FR_CBM,MATCH(B20,FR_Cont,0)),0)</f>
        <v>67</v>
      </c>
      <c r="D20" s="78" t="n">
        <f aca="false">C20*CM_Load</f>
        <v>56.95</v>
      </c>
      <c r="E20" s="77" t="n">
        <f aca="false">IFERROR(INT(D20/CM_CBM),0)</f>
        <v>593</v>
      </c>
      <c r="F20" s="79" t="n">
        <f aca="false">E20*CM_UPC</f>
        <v>14232</v>
      </c>
      <c r="G20" s="42" t="n">
        <f aca="false">IFERROR(IF(in_Coast="East",INDEX(FR_East,MATCH(B20,FR_Cont,0)),INDEX(FR_West,MATCH(B20,FR_Cont,0))),0)</f>
        <v>7838</v>
      </c>
      <c r="H20" s="27" t="n">
        <f aca="false">IFERROR(G20/F20,0)</f>
        <v>0.550730747611018</v>
      </c>
    </row>
    <row r="21" customFormat="false" ht="15" hidden="false" customHeight="false" outlineLevel="0" collapsed="false">
      <c r="B21" s="10" t="s">
        <v>308</v>
      </c>
      <c r="C21" s="77" t="n">
        <f aca="false">IFERROR(INDEX(FR_CBM,MATCH(B21,FR_Cont,0)),0)</f>
        <v>76</v>
      </c>
      <c r="D21" s="78" t="n">
        <f aca="false">C21*CM_Load</f>
        <v>64.6</v>
      </c>
      <c r="E21" s="77" t="n">
        <f aca="false">IFERROR(INT(D21/CM_CBM),0)</f>
        <v>672</v>
      </c>
      <c r="F21" s="79" t="n">
        <f aca="false">E21*CM_UPC</f>
        <v>16128</v>
      </c>
      <c r="G21" s="42" t="n">
        <f aca="false">IFERROR(IF(in_Coast="East",INDEX(FR_East,MATCH(B21,FR_Cont,0)),INDEX(FR_West,MATCH(B21,FR_Cont,0))),0)</f>
        <v>0</v>
      </c>
      <c r="H21" s="27" t="n">
        <f aca="false">IFERROR(G21/F21,0)</f>
        <v>0</v>
      </c>
    </row>
    <row r="22" customFormat="false" ht="27.75" hidden="false" customHeight="true" outlineLevel="0" collapsed="false">
      <c r="B22" s="55" t="s">
        <v>309</v>
      </c>
      <c r="C22" s="55"/>
      <c r="D22" s="55"/>
      <c r="E22" s="55"/>
      <c r="F22" s="55"/>
      <c r="G22" s="55"/>
      <c r="H22" s="55"/>
      <c r="I22" s="55"/>
    </row>
    <row r="24" customFormat="false" ht="19.5" hidden="false" customHeight="true" outlineLevel="0" collapsed="false">
      <c r="B24" s="6" t="s">
        <v>310</v>
      </c>
      <c r="C24" s="7"/>
      <c r="D24" s="7"/>
      <c r="E24" s="7"/>
      <c r="F24" s="7"/>
      <c r="G24" s="7"/>
      <c r="H24" s="7"/>
      <c r="I24" s="7"/>
    </row>
    <row r="25" customFormat="false" ht="30" hidden="false" customHeight="true" outlineLevel="0" collapsed="false">
      <c r="B25" s="76" t="s">
        <v>311</v>
      </c>
      <c r="C25" s="76" t="s">
        <v>87</v>
      </c>
      <c r="D25" s="76" t="s">
        <v>312</v>
      </c>
      <c r="E25" s="76" t="s">
        <v>313</v>
      </c>
      <c r="F25" s="76" t="s">
        <v>314</v>
      </c>
      <c r="G25" s="76" t="s">
        <v>315</v>
      </c>
      <c r="H25" s="76" t="s">
        <v>316</v>
      </c>
      <c r="I25" s="76" t="s">
        <v>317</v>
      </c>
    </row>
    <row r="26" customFormat="false" ht="15" hidden="false" customHeight="false" outlineLevel="0" collapsed="false">
      <c r="B26" s="30" t="n">
        <v>1000</v>
      </c>
      <c r="C26" s="31" t="n">
        <v>3.4</v>
      </c>
      <c r="D26" s="77" t="n">
        <f aca="false">IFERROR(ROUNDUP(B26/CM_UPC,0),0)</f>
        <v>42</v>
      </c>
      <c r="E26" s="78" t="n">
        <f aca="false">D26*CM_CBM</f>
        <v>4.032</v>
      </c>
      <c r="F26" s="80" t="str">
        <f aca="false">IF(E26&lt;=CM_Cut,"LCL",ROUNDUP(E26/INDEX($D$19:$D$21,MATCH(CM_Pref,$B$19:$B$21,0)),0)&amp;" x "&amp;CM_Pref)</f>
        <v>LCL</v>
      </c>
      <c r="G26" s="26" t="n">
        <f aca="false">IF(E26&lt;=CM_Cut,E26*CM_LCL,ROUNDUP(E26/INDEX($D$19:$D$21,MATCH(CM_Pref,$B$19:$B$21,0)),0)*INDEX($G$19:$G$21,MATCH(CM_Pref,$B$19:$B$21,0)))</f>
        <v>362.88</v>
      </c>
      <c r="H26" s="27" t="n">
        <f aca="false">IFERROR(G26/B26,0)</f>
        <v>0.36288</v>
      </c>
      <c r="I26" s="49" t="n">
        <f aca="false">C26*(1+R_DutyRate+MPF_Rate+IF(in_Mode="Ocean",HMF_Rate,0))+H26</f>
        <v>4.2039076</v>
      </c>
    </row>
    <row r="27" customFormat="false" ht="15" hidden="false" customHeight="false" outlineLevel="0" collapsed="false">
      <c r="B27" s="30" t="n">
        <v>2500</v>
      </c>
      <c r="C27" s="31" t="n">
        <v>3.15</v>
      </c>
      <c r="D27" s="77" t="n">
        <f aca="false">IFERROR(ROUNDUP(B27/CM_UPC,0),0)</f>
        <v>105</v>
      </c>
      <c r="E27" s="78" t="n">
        <f aca="false">D27*CM_CBM</f>
        <v>10.08</v>
      </c>
      <c r="F27" s="80" t="str">
        <f aca="false">IF(E27&lt;=CM_Cut,"LCL",ROUNDUP(E27/INDEX($D$19:$D$21,MATCH(CM_Pref,$B$19:$B$21,0)),0)&amp;" x "&amp;CM_Pref)</f>
        <v>LCL</v>
      </c>
      <c r="G27" s="26" t="n">
        <f aca="false">IF(E27&lt;=CM_Cut,E27*CM_LCL,ROUNDUP(E27/INDEX($D$19:$D$21,MATCH(CM_Pref,$B$19:$B$21,0)),0)*INDEX($G$19:$G$21,MATCH(CM_Pref,$B$19:$B$21,0)))</f>
        <v>907.2</v>
      </c>
      <c r="H27" s="27" t="n">
        <f aca="false">IFERROR(G27/B27,0)</f>
        <v>0.36288</v>
      </c>
      <c r="I27" s="49" t="n">
        <f aca="false">C27*(1+R_DutyRate+MPF_Rate+IF(in_Mode="Ocean",HMF_Rate,0))+H27</f>
        <v>3.9214791</v>
      </c>
    </row>
    <row r="28" customFormat="false" ht="15" hidden="false" customHeight="false" outlineLevel="0" collapsed="false">
      <c r="B28" s="30" t="n">
        <v>5000</v>
      </c>
      <c r="C28" s="31" t="n">
        <v>2.95</v>
      </c>
      <c r="D28" s="77" t="n">
        <f aca="false">IFERROR(ROUNDUP(B28/CM_UPC,0),0)</f>
        <v>209</v>
      </c>
      <c r="E28" s="78" t="n">
        <f aca="false">D28*CM_CBM</f>
        <v>20.064</v>
      </c>
      <c r="F28" s="80" t="str">
        <f aca="false">IF(E28&lt;=CM_Cut,"LCL",ROUNDUP(E28/INDEX($D$19:$D$21,MATCH(CM_Pref,$B$19:$B$21,0)),0)&amp;" x "&amp;CM_Pref)</f>
        <v>1 x 40 FT</v>
      </c>
      <c r="G28" s="26" t="n">
        <f aca="false">IF(E28&lt;=CM_Cut,E28*CM_LCL,ROUNDUP(E28/INDEX($D$19:$D$21,MATCH(CM_Pref,$B$19:$B$21,0)),0)*INDEX($G$19:$G$21,MATCH(CM_Pref,$B$19:$B$21,0)))</f>
        <v>7838</v>
      </c>
      <c r="H28" s="27" t="n">
        <f aca="false">IFERROR(G28/B28,0)</f>
        <v>1.5676</v>
      </c>
      <c r="I28" s="49" t="n">
        <f aca="false">C28*(1+R_DutyRate+MPF_Rate+IF(in_Mode="Ocean",HMF_Rate,0))+H28</f>
        <v>4.9002563</v>
      </c>
    </row>
    <row r="29" customFormat="false" ht="15" hidden="false" customHeight="false" outlineLevel="0" collapsed="false">
      <c r="B29" s="30" t="n">
        <v>10000</v>
      </c>
      <c r="C29" s="31" t="n">
        <v>2.8</v>
      </c>
      <c r="D29" s="77" t="n">
        <f aca="false">IFERROR(ROUNDUP(B29/CM_UPC,0),0)</f>
        <v>417</v>
      </c>
      <c r="E29" s="78" t="n">
        <f aca="false">D29*CM_CBM</f>
        <v>40.032</v>
      </c>
      <c r="F29" s="80" t="str">
        <f aca="false">IF(E29&lt;=CM_Cut,"LCL",ROUNDUP(E29/INDEX($D$19:$D$21,MATCH(CM_Pref,$B$19:$B$21,0)),0)&amp;" x "&amp;CM_Pref)</f>
        <v>1 x 40 FT</v>
      </c>
      <c r="G29" s="26" t="n">
        <f aca="false">IF(E29&lt;=CM_Cut,E29*CM_LCL,ROUNDUP(E29/INDEX($D$19:$D$21,MATCH(CM_Pref,$B$19:$B$21,0)),0)*INDEX($G$19:$G$21,MATCH(CM_Pref,$B$19:$B$21,0)))</f>
        <v>7838</v>
      </c>
      <c r="H29" s="27" t="n">
        <f aca="false">IFERROR(G29/B29,0)</f>
        <v>0.7838</v>
      </c>
      <c r="I29" s="49" t="n">
        <f aca="false">C29*(1+R_DutyRate+MPF_Rate+IF(in_Mode="Ocean",HMF_Rate,0))+H29</f>
        <v>3.9469992</v>
      </c>
    </row>
    <row r="30" customFormat="false" ht="15" hidden="false" customHeight="false" outlineLevel="0" collapsed="false">
      <c r="B30" s="30" t="n">
        <v>20000</v>
      </c>
      <c r="C30" s="31" t="n">
        <v>2.7</v>
      </c>
      <c r="D30" s="77" t="n">
        <f aca="false">IFERROR(ROUNDUP(B30/CM_UPC,0),0)</f>
        <v>834</v>
      </c>
      <c r="E30" s="78" t="n">
        <f aca="false">D30*CM_CBM</f>
        <v>80.064</v>
      </c>
      <c r="F30" s="80" t="str">
        <f aca="false">IF(E30&lt;=CM_Cut,"LCL",ROUNDUP(E30/INDEX($D$19:$D$21,MATCH(CM_Pref,$B$19:$B$21,0)),0)&amp;" x "&amp;CM_Pref)</f>
        <v>2 x 40 FT</v>
      </c>
      <c r="G30" s="26" t="n">
        <f aca="false">IF(E30&lt;=CM_Cut,E30*CM_LCL,ROUNDUP(E30/INDEX($D$19:$D$21,MATCH(CM_Pref,$B$19:$B$21,0)),0)*INDEX($G$19:$G$21,MATCH(CM_Pref,$B$19:$B$21,0)))</f>
        <v>15676</v>
      </c>
      <c r="H30" s="27" t="n">
        <f aca="false">IFERROR(G30/B30,0)</f>
        <v>0.7838</v>
      </c>
      <c r="I30" s="49" t="n">
        <f aca="false">C30*(1+R_DutyRate+MPF_Rate+IF(in_Mode="Ocean",HMF_Rate,0))+H30</f>
        <v>3.8340278</v>
      </c>
    </row>
    <row r="31" customFormat="false" ht="15" hidden="false" customHeight="false" outlineLevel="0" collapsed="false">
      <c r="B31" s="30" t="n">
        <v>40000</v>
      </c>
      <c r="C31" s="31" t="n">
        <v>2.62</v>
      </c>
      <c r="D31" s="77" t="n">
        <f aca="false">IFERROR(ROUNDUP(B31/CM_UPC,0),0)</f>
        <v>1667</v>
      </c>
      <c r="E31" s="78" t="n">
        <f aca="false">D31*CM_CBM</f>
        <v>160.032</v>
      </c>
      <c r="F31" s="80" t="str">
        <f aca="false">IF(E31&lt;=CM_Cut,"LCL",ROUNDUP(E31/INDEX($D$19:$D$21,MATCH(CM_Pref,$B$19:$B$21,0)),0)&amp;" x "&amp;CM_Pref)</f>
        <v>3 x 40 FT</v>
      </c>
      <c r="G31" s="26" t="n">
        <f aca="false">IF(E31&lt;=CM_Cut,E31*CM_LCL,ROUNDUP(E31/INDEX($D$19:$D$21,MATCH(CM_Pref,$B$19:$B$21,0)),0)*INDEX($G$19:$G$21,MATCH(CM_Pref,$B$19:$B$21,0)))</f>
        <v>23514</v>
      </c>
      <c r="H31" s="27" t="n">
        <f aca="false">IFERROR(G31/B31,0)</f>
        <v>0.58785</v>
      </c>
      <c r="I31" s="49" t="n">
        <f aca="false">C31*(1+R_DutyRate+MPF_Rate+IF(in_Mode="Ocean",HMF_Rate,0))+H31</f>
        <v>3.54770068</v>
      </c>
    </row>
    <row r="33" customFormat="false" ht="39.75" hidden="false" customHeight="true" outlineLevel="0" collapsed="false">
      <c r="B33" s="55" t="s">
        <v>318</v>
      </c>
      <c r="C33" s="55"/>
      <c r="D33" s="55"/>
      <c r="E33" s="55"/>
      <c r="F33" s="55"/>
      <c r="G33" s="55"/>
      <c r="H33" s="55"/>
      <c r="I33" s="55"/>
    </row>
  </sheetData>
  <sheetProtection sheet="true" formatColumns="false" formatRows="false"/>
  <mergeCells count="2">
    <mergeCell ref="B22:I22"/>
    <mergeCell ref="B33:I33"/>
  </mergeCells>
  <dataValidations count="1">
    <dataValidation allowBlank="true" error="Pick a value from the list." errorStyle="stop" errorTitle="Invalid entry" operator="between" showDropDown="false" showErrorMessage="false" showInputMessage="false" sqref="C12" type="list">
      <formula1>FR_ContFCL</formula1>
      <formula2>0</formula2>
    </dataValidation>
  </dataValidations>
  <printOptions headings="false" gridLines="false" gridLinesSet="true" horizontalCentered="true" verticalCentered="false"/>
  <pageMargins left="0.4" right="0.4"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0"/>
    <col collapsed="false" customWidth="true" hidden="false" outlineLevel="0" max="6" min="3" style="0" width="16"/>
    <col collapsed="false" customWidth="true" hidden="false" outlineLevel="0" max="7" min="7" style="0" width="30"/>
    <col collapsed="false" customWidth="true" hidden="false" outlineLevel="0" max="8" min="8" style="0" width="4"/>
  </cols>
  <sheetData>
    <row r="1" customFormat="false" ht="33.75" hidden="false" customHeight="true" outlineLevel="0" collapsed="false">
      <c r="B1" s="18" t="s">
        <v>319</v>
      </c>
      <c r="C1" s="1"/>
      <c r="D1" s="1"/>
      <c r="E1" s="1"/>
      <c r="F1" s="1"/>
      <c r="G1" s="1"/>
      <c r="H1" s="1"/>
    </row>
    <row r="2" customFormat="false" ht="19.5" hidden="false" customHeight="true" outlineLevel="0" collapsed="false">
      <c r="B2" s="19" t="s">
        <v>320</v>
      </c>
      <c r="C2" s="1"/>
      <c r="D2" s="1"/>
      <c r="E2" s="1"/>
      <c r="F2" s="1"/>
      <c r="G2" s="1"/>
      <c r="H2" s="1"/>
    </row>
    <row r="4" customFormat="false" ht="19.5" hidden="false" customHeight="true" outlineLevel="0" collapsed="false">
      <c r="B4" s="6" t="s">
        <v>321</v>
      </c>
      <c r="C4" s="7"/>
      <c r="D4" s="7"/>
      <c r="E4" s="7"/>
      <c r="F4" s="7"/>
      <c r="G4" s="7"/>
    </row>
    <row r="5" customFormat="false" ht="15" hidden="false" customHeight="false" outlineLevel="0" collapsed="false">
      <c r="B5" s="10" t="s">
        <v>322</v>
      </c>
      <c r="C5" s="29" t="n">
        <v>46296</v>
      </c>
    </row>
    <row r="6" customFormat="false" ht="22.35" hidden="false" customHeight="false" outlineLevel="0" collapsed="false">
      <c r="B6" s="10" t="s">
        <v>323</v>
      </c>
      <c r="C6" s="38" t="n">
        <v>0.3</v>
      </c>
      <c r="D6" s="22" t="s">
        <v>324</v>
      </c>
    </row>
    <row r="7" customFormat="false" ht="15" hidden="false" customHeight="false" outlineLevel="0" collapsed="false">
      <c r="B7" s="10" t="s">
        <v>325</v>
      </c>
      <c r="C7" s="30" t="n">
        <v>45</v>
      </c>
    </row>
    <row r="8" customFormat="false" ht="23.85" hidden="false" customHeight="false" outlineLevel="0" collapsed="false">
      <c r="B8" s="10" t="s">
        <v>326</v>
      </c>
      <c r="C8" s="30" t="n">
        <v>28</v>
      </c>
    </row>
    <row r="9" customFormat="false" ht="15" hidden="false" customHeight="false" outlineLevel="0" collapsed="false">
      <c r="B9" s="10" t="s">
        <v>327</v>
      </c>
      <c r="C9" s="30" t="n">
        <v>60</v>
      </c>
    </row>
    <row r="11" customFormat="false" ht="19.5" hidden="false" customHeight="true" outlineLevel="0" collapsed="false">
      <c r="B11" s="6" t="s">
        <v>328</v>
      </c>
      <c r="C11" s="7"/>
      <c r="D11" s="7"/>
      <c r="E11" s="7"/>
      <c r="F11" s="7"/>
      <c r="G11" s="7"/>
    </row>
    <row r="12" customFormat="false" ht="15" hidden="false" customHeight="false" outlineLevel="0" collapsed="false">
      <c r="B12" s="73" t="s">
        <v>329</v>
      </c>
      <c r="C12" s="73" t="s">
        <v>330</v>
      </c>
      <c r="D12" s="73" t="s">
        <v>331</v>
      </c>
      <c r="E12" s="73" t="s">
        <v>332</v>
      </c>
      <c r="F12" s="73" t="s">
        <v>333</v>
      </c>
      <c r="G12" s="73" t="s">
        <v>334</v>
      </c>
    </row>
    <row r="13" customFormat="false" ht="27.75" hidden="false" customHeight="true" outlineLevel="0" collapsed="false">
      <c r="B13" s="10" t="s">
        <v>335</v>
      </c>
      <c r="C13" s="81" t="n">
        <f aca="false">CF_PO</f>
        <v>46296</v>
      </c>
      <c r="D13" s="26" t="n">
        <f aca="false">R_Goods*CF_Dep</f>
        <v>4425</v>
      </c>
      <c r="E13" s="26" t="n">
        <v>0</v>
      </c>
      <c r="F13" s="82" t="n">
        <f aca="false">E13-D13</f>
        <v>-4425</v>
      </c>
      <c r="G13" s="22"/>
    </row>
    <row r="14" customFormat="false" ht="27.75" hidden="false" customHeight="true" outlineLevel="0" collapsed="false">
      <c r="B14" s="10" t="s">
        <v>336</v>
      </c>
      <c r="C14" s="81" t="n">
        <f aca="false">CF_PO+CF_Lead</f>
        <v>46341</v>
      </c>
      <c r="D14" s="26" t="n">
        <f aca="false">R_Goods*(1-CF_Dep)</f>
        <v>10325</v>
      </c>
      <c r="E14" s="26" t="n">
        <v>0</v>
      </c>
      <c r="F14" s="82" t="n">
        <f aca="false">F13+E14-D14</f>
        <v>-14750</v>
      </c>
      <c r="G14" s="22"/>
    </row>
    <row r="15" customFormat="false" ht="27.75" hidden="false" customHeight="true" outlineLevel="0" collapsed="false">
      <c r="B15" s="10" t="s">
        <v>337</v>
      </c>
      <c r="C15" s="81" t="n">
        <f aca="false">CF_PO+CF_Lead</f>
        <v>46341</v>
      </c>
      <c r="D15" s="26" t="n">
        <f aca="false">R_FreightIns</f>
        <v>7882.25</v>
      </c>
      <c r="E15" s="26" t="n">
        <v>0</v>
      </c>
      <c r="F15" s="82" t="n">
        <f aca="false">F14+E15-D15</f>
        <v>-22632.25</v>
      </c>
      <c r="G15" s="22" t="s">
        <v>338</v>
      </c>
    </row>
    <row r="16" customFormat="false" ht="27.75" hidden="false" customHeight="true" outlineLevel="0" collapsed="false">
      <c r="B16" s="10" t="s">
        <v>339</v>
      </c>
      <c r="C16" s="81" t="n">
        <f aca="false">CF_PO+CF_Lead+CF_Transit</f>
        <v>46369</v>
      </c>
      <c r="D16" s="26" t="n">
        <f aca="false">R_DutyFees+R_BrokerEtc</f>
        <v>2198.2815</v>
      </c>
      <c r="E16" s="26" t="n">
        <v>0</v>
      </c>
      <c r="F16" s="82" t="n">
        <f aca="false">F15+E16-D16</f>
        <v>-24830.5315</v>
      </c>
      <c r="G16" s="22" t="s">
        <v>340</v>
      </c>
    </row>
    <row r="17" customFormat="false" ht="27.75" hidden="false" customHeight="true" outlineLevel="0" collapsed="false">
      <c r="B17" s="10" t="s">
        <v>341</v>
      </c>
      <c r="C17" s="81" t="n">
        <f aca="false">CF_PO+CF_Lead+CF_Transit</f>
        <v>46369</v>
      </c>
      <c r="D17" s="26" t="n">
        <f aca="false">R_DrayEtc+R_TestEtc</f>
        <v>2500</v>
      </c>
      <c r="E17" s="26" t="n">
        <v>0</v>
      </c>
      <c r="F17" s="82" t="n">
        <f aca="false">F16+E17-D17</f>
        <v>-27330.5315</v>
      </c>
      <c r="G17" s="22"/>
    </row>
    <row r="18" customFormat="false" ht="27.75" hidden="false" customHeight="true" outlineLevel="0" collapsed="false">
      <c r="B18" s="10" t="s">
        <v>342</v>
      </c>
      <c r="C18" s="81" t="n">
        <f aca="false">CF_PO+CF_Lead+CF_Transit+CF_Pay</f>
        <v>46429</v>
      </c>
      <c r="D18" s="26" t="n">
        <v>0</v>
      </c>
      <c r="E18" s="26" t="n">
        <f aca="false">in_Units*in_PlannedPrice</f>
        <v>39950</v>
      </c>
      <c r="F18" s="82" t="n">
        <f aca="false">F17+E18-D18</f>
        <v>12619.4685</v>
      </c>
      <c r="G18" s="22" t="s">
        <v>343</v>
      </c>
    </row>
    <row r="20" customFormat="false" ht="15" hidden="false" customHeight="false" outlineLevel="0" collapsed="false">
      <c r="B20" s="9" t="s">
        <v>344</v>
      </c>
      <c r="C20" s="83" t="n">
        <f aca="false">-MIN(F13:F18)</f>
        <v>27330.5315</v>
      </c>
    </row>
    <row r="21" customFormat="false" ht="15" hidden="false" customHeight="false" outlineLevel="0" collapsed="false">
      <c r="B21" s="10" t="s">
        <v>345</v>
      </c>
      <c r="C21" s="77" t="n">
        <f aca="false">C18-C13</f>
        <v>133</v>
      </c>
    </row>
    <row r="22" customFormat="false" ht="15" hidden="false" customHeight="false" outlineLevel="0" collapsed="false">
      <c r="B22" s="10" t="s">
        <v>346</v>
      </c>
      <c r="C22" s="84" t="n">
        <f aca="false">F18</f>
        <v>12619.4685</v>
      </c>
    </row>
  </sheetData>
  <sheetProtection sheet="true" formatColumns="false" formatRows="false"/>
  <printOptions headings="false" gridLines="false" gridLinesSet="true" horizontalCentered="true" verticalCentered="false"/>
  <pageMargins left="0.4" right="0.4"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9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6" min="3" style="0" width="16"/>
    <col collapsed="false" customWidth="true" hidden="false" outlineLevel="0" max="7" min="7" style="0" width="18"/>
    <col collapsed="false" customWidth="true" hidden="false" outlineLevel="0" max="8" min="8" style="0" width="52"/>
    <col collapsed="false" customWidth="true" hidden="false" outlineLevel="0" max="9" min="9" style="0" width="14"/>
    <col collapsed="false" customWidth="true" hidden="false" outlineLevel="0" max="10" min="10" style="0" width="4"/>
  </cols>
  <sheetData>
    <row r="1" customFormat="false" ht="33.75" hidden="false" customHeight="true" outlineLevel="0" collapsed="false">
      <c r="B1" s="18" t="s">
        <v>29</v>
      </c>
      <c r="C1" s="1"/>
      <c r="D1" s="1"/>
      <c r="E1" s="1"/>
      <c r="F1" s="1"/>
      <c r="G1" s="1"/>
      <c r="H1" s="1"/>
      <c r="I1" s="1"/>
      <c r="J1" s="1"/>
    </row>
    <row r="2" customFormat="false" ht="19.5" hidden="false" customHeight="true" outlineLevel="0" collapsed="false">
      <c r="B2" s="19" t="s">
        <v>347</v>
      </c>
      <c r="C2" s="1"/>
      <c r="D2" s="1"/>
      <c r="E2" s="1"/>
      <c r="F2" s="1"/>
      <c r="G2" s="1"/>
      <c r="H2" s="1"/>
      <c r="I2" s="1"/>
      <c r="J2" s="1"/>
    </row>
    <row r="4" customFormat="false" ht="19.5" hidden="false" customHeight="true" outlineLevel="0" collapsed="false">
      <c r="B4" s="6" t="s">
        <v>348</v>
      </c>
      <c r="C4" s="7"/>
      <c r="D4" s="7"/>
      <c r="E4" s="7"/>
      <c r="F4" s="7"/>
      <c r="G4" s="7"/>
      <c r="H4" s="7"/>
      <c r="I4" s="7"/>
    </row>
    <row r="5" customFormat="false" ht="15" hidden="false" customHeight="true" outlineLevel="0" collapsed="false">
      <c r="B5" s="9" t="s">
        <v>349</v>
      </c>
      <c r="C5" s="9" t="s">
        <v>350</v>
      </c>
      <c r="D5" s="9" t="s">
        <v>351</v>
      </c>
      <c r="E5" s="85" t="s">
        <v>352</v>
      </c>
      <c r="F5" s="85"/>
      <c r="G5" s="85"/>
    </row>
    <row r="6" customFormat="false" ht="15" hidden="false" customHeight="true" outlineLevel="0" collapsed="false">
      <c r="B6" s="10" t="s">
        <v>353</v>
      </c>
      <c r="C6" s="86" t="n">
        <v>0.003464</v>
      </c>
      <c r="D6" s="22" t="s">
        <v>354</v>
      </c>
      <c r="E6" s="55" t="s">
        <v>355</v>
      </c>
      <c r="F6" s="55"/>
      <c r="G6" s="55"/>
    </row>
    <row r="7" customFormat="false" ht="22.35" hidden="false" customHeight="true" outlineLevel="0" collapsed="false">
      <c r="B7" s="10" t="s">
        <v>356</v>
      </c>
      <c r="C7" s="31" t="n">
        <v>33.58</v>
      </c>
      <c r="D7" s="22" t="s">
        <v>357</v>
      </c>
      <c r="E7" s="55" t="s">
        <v>358</v>
      </c>
      <c r="F7" s="55"/>
      <c r="G7" s="55"/>
    </row>
    <row r="8" customFormat="false" ht="22.35" hidden="false" customHeight="true" outlineLevel="0" collapsed="false">
      <c r="B8" s="10" t="s">
        <v>359</v>
      </c>
      <c r="C8" s="31" t="n">
        <v>651.5</v>
      </c>
      <c r="D8" s="22" t="s">
        <v>357</v>
      </c>
      <c r="E8" s="55" t="s">
        <v>358</v>
      </c>
      <c r="F8" s="55"/>
      <c r="G8" s="55"/>
    </row>
    <row r="9" customFormat="false" ht="15" hidden="false" customHeight="true" outlineLevel="0" collapsed="false">
      <c r="B9" s="10" t="s">
        <v>360</v>
      </c>
      <c r="C9" s="31" t="n">
        <v>34.58</v>
      </c>
      <c r="D9" s="22" t="s">
        <v>361</v>
      </c>
      <c r="E9" s="55" t="s">
        <v>355</v>
      </c>
      <c r="F9" s="55"/>
      <c r="G9" s="55"/>
    </row>
    <row r="10" customFormat="false" ht="15" hidden="false" customHeight="true" outlineLevel="0" collapsed="false">
      <c r="B10" s="10" t="s">
        <v>362</v>
      </c>
      <c r="C10" s="31" t="n">
        <v>670.86</v>
      </c>
      <c r="D10" s="22" t="s">
        <v>361</v>
      </c>
      <c r="E10" s="55" t="s">
        <v>355</v>
      </c>
      <c r="F10" s="55"/>
      <c r="G10" s="55"/>
    </row>
    <row r="11" customFormat="false" ht="15" hidden="false" customHeight="true" outlineLevel="0" collapsed="false">
      <c r="B11" s="10" t="s">
        <v>363</v>
      </c>
      <c r="C11" s="29" t="n">
        <v>46296</v>
      </c>
      <c r="D11" s="22"/>
      <c r="E11" s="55" t="s">
        <v>358</v>
      </c>
      <c r="F11" s="55"/>
      <c r="G11" s="55"/>
    </row>
    <row r="12" customFormat="false" ht="22.35" hidden="false" customHeight="true" outlineLevel="0" collapsed="false">
      <c r="B12" s="10" t="s">
        <v>364</v>
      </c>
      <c r="C12" s="31" t="n">
        <v>2.69</v>
      </c>
      <c r="D12" s="22" t="s">
        <v>357</v>
      </c>
      <c r="E12" s="55" t="s">
        <v>365</v>
      </c>
      <c r="F12" s="55"/>
      <c r="G12" s="55"/>
    </row>
    <row r="13" customFormat="false" ht="15" hidden="false" customHeight="true" outlineLevel="0" collapsed="false">
      <c r="B13" s="10" t="s">
        <v>366</v>
      </c>
      <c r="C13" s="31" t="n">
        <v>2.77</v>
      </c>
      <c r="D13" s="22" t="s">
        <v>361</v>
      </c>
      <c r="E13" s="55" t="s">
        <v>367</v>
      </c>
      <c r="F13" s="55"/>
      <c r="G13" s="55"/>
    </row>
    <row r="14" customFormat="false" ht="15" hidden="false" customHeight="true" outlineLevel="0" collapsed="false">
      <c r="B14" s="10" t="s">
        <v>368</v>
      </c>
      <c r="C14" s="42" t="n">
        <v>2500</v>
      </c>
      <c r="D14" s="22"/>
      <c r="E14" s="55" t="s">
        <v>365</v>
      </c>
      <c r="F14" s="55"/>
      <c r="G14" s="55"/>
    </row>
    <row r="15" customFormat="false" ht="15" hidden="false" customHeight="true" outlineLevel="0" collapsed="false">
      <c r="B15" s="10" t="s">
        <v>369</v>
      </c>
      <c r="C15" s="86" t="n">
        <v>0.00125</v>
      </c>
      <c r="D15" s="22"/>
      <c r="E15" s="55" t="s">
        <v>370</v>
      </c>
      <c r="F15" s="55"/>
      <c r="G15" s="55"/>
    </row>
    <row r="16" customFormat="false" ht="15" hidden="false" customHeight="true" outlineLevel="0" collapsed="false">
      <c r="B16" s="10" t="s">
        <v>371</v>
      </c>
      <c r="C16" s="38" t="n">
        <v>0.5</v>
      </c>
      <c r="D16" s="22" t="s">
        <v>372</v>
      </c>
      <c r="E16" s="55" t="s">
        <v>373</v>
      </c>
      <c r="F16" s="55"/>
      <c r="G16" s="55"/>
    </row>
    <row r="17" customFormat="false" ht="15" hidden="false" customHeight="true" outlineLevel="0" collapsed="false">
      <c r="B17" s="10" t="s">
        <v>374</v>
      </c>
      <c r="C17" s="29" t="n">
        <v>46335</v>
      </c>
      <c r="D17" s="22" t="s">
        <v>375</v>
      </c>
      <c r="E17" s="55" t="s">
        <v>376</v>
      </c>
      <c r="F17" s="55"/>
      <c r="G17" s="55"/>
    </row>
    <row r="18" customFormat="false" ht="15" hidden="false" customHeight="true" outlineLevel="0" collapsed="false">
      <c r="B18" s="10" t="s">
        <v>377</v>
      </c>
      <c r="C18" s="29" t="n">
        <v>46388</v>
      </c>
      <c r="D18" s="22"/>
      <c r="E18" s="55" t="s">
        <v>378</v>
      </c>
      <c r="F18" s="55"/>
      <c r="G18" s="55"/>
    </row>
    <row r="19" customFormat="false" ht="15" hidden="false" customHeight="false" outlineLevel="0" collapsed="false">
      <c r="B19" s="10" t="s">
        <v>379</v>
      </c>
      <c r="C19" s="29" t="n">
        <v>46293</v>
      </c>
      <c r="D19" s="22"/>
      <c r="E19" s="55"/>
      <c r="F19" s="55"/>
      <c r="G19" s="55"/>
    </row>
    <row r="21" customFormat="false" ht="19.5" hidden="false" customHeight="true" outlineLevel="0" collapsed="false">
      <c r="B21" s="6" t="s">
        <v>380</v>
      </c>
      <c r="C21" s="7"/>
      <c r="D21" s="7"/>
      <c r="E21" s="7"/>
      <c r="F21" s="7"/>
      <c r="G21" s="7"/>
      <c r="H21" s="7"/>
      <c r="I21" s="7"/>
    </row>
    <row r="22" customFormat="false" ht="30" hidden="false" customHeight="true" outlineLevel="0" collapsed="false">
      <c r="B22" s="9" t="s">
        <v>381</v>
      </c>
      <c r="C22" s="9" t="s">
        <v>382</v>
      </c>
      <c r="D22" s="9" t="s">
        <v>66</v>
      </c>
      <c r="E22" s="9" t="s">
        <v>383</v>
      </c>
      <c r="F22" s="9" t="s">
        <v>121</v>
      </c>
      <c r="G22" s="9" t="s">
        <v>384</v>
      </c>
      <c r="H22" s="9" t="s">
        <v>334</v>
      </c>
      <c r="I22" s="9" t="s">
        <v>385</v>
      </c>
    </row>
    <row r="23" customFormat="false" ht="22.35" hidden="false" customHeight="false" outlineLevel="0" collapsed="false">
      <c r="B23" s="10" t="s">
        <v>76</v>
      </c>
      <c r="C23" s="34" t="s">
        <v>386</v>
      </c>
      <c r="D23" s="38" t="n">
        <v>0.125</v>
      </c>
      <c r="E23" s="34" t="s">
        <v>92</v>
      </c>
      <c r="F23" s="38" t="n">
        <v>0</v>
      </c>
      <c r="G23" s="87" t="s">
        <v>206</v>
      </c>
      <c r="H23" s="22" t="s">
        <v>387</v>
      </c>
      <c r="I23" s="22" t="s">
        <v>388</v>
      </c>
    </row>
    <row r="24" customFormat="false" ht="22.35" hidden="false" customHeight="false" outlineLevel="0" collapsed="false">
      <c r="B24" s="10" t="s">
        <v>195</v>
      </c>
      <c r="C24" s="34" t="s">
        <v>386</v>
      </c>
      <c r="D24" s="38" t="n">
        <v>0.125</v>
      </c>
      <c r="E24" s="34" t="s">
        <v>92</v>
      </c>
      <c r="F24" s="38" t="n">
        <v>0</v>
      </c>
      <c r="G24" s="87" t="s">
        <v>206</v>
      </c>
      <c r="H24" s="22" t="s">
        <v>389</v>
      </c>
      <c r="I24" s="22" t="s">
        <v>390</v>
      </c>
    </row>
    <row r="25" customFormat="false" ht="15" hidden="false" customHeight="false" outlineLevel="0" collapsed="false">
      <c r="B25" s="10" t="s">
        <v>391</v>
      </c>
      <c r="C25" s="34" t="s">
        <v>386</v>
      </c>
      <c r="D25" s="38" t="n">
        <v>0.125</v>
      </c>
      <c r="E25" s="34" t="s">
        <v>92</v>
      </c>
      <c r="F25" s="38" t="n">
        <v>0</v>
      </c>
      <c r="G25" s="87" t="s">
        <v>206</v>
      </c>
      <c r="H25" s="22"/>
      <c r="I25" s="22" t="s">
        <v>392</v>
      </c>
    </row>
    <row r="26" customFormat="false" ht="15" hidden="false" customHeight="false" outlineLevel="0" collapsed="false">
      <c r="B26" s="10" t="s">
        <v>393</v>
      </c>
      <c r="C26" s="34" t="s">
        <v>386</v>
      </c>
      <c r="D26" s="38" t="n">
        <v>0.125</v>
      </c>
      <c r="E26" s="34" t="s">
        <v>92</v>
      </c>
      <c r="F26" s="38" t="n">
        <v>0</v>
      </c>
      <c r="G26" s="87" t="s">
        <v>92</v>
      </c>
      <c r="H26" s="22"/>
      <c r="I26" s="22" t="s">
        <v>392</v>
      </c>
    </row>
    <row r="27" customFormat="false" ht="15" hidden="false" customHeight="false" outlineLevel="0" collapsed="false">
      <c r="B27" s="10" t="s">
        <v>394</v>
      </c>
      <c r="C27" s="34" t="s">
        <v>386</v>
      </c>
      <c r="D27" s="38" t="n">
        <v>0.125</v>
      </c>
      <c r="E27" s="34" t="s">
        <v>92</v>
      </c>
      <c r="F27" s="38" t="n">
        <v>0</v>
      </c>
      <c r="G27" s="87" t="s">
        <v>92</v>
      </c>
      <c r="H27" s="22"/>
      <c r="I27" s="22" t="s">
        <v>392</v>
      </c>
    </row>
    <row r="28" customFormat="false" ht="15" hidden="false" customHeight="false" outlineLevel="0" collapsed="false">
      <c r="B28" s="10" t="s">
        <v>196</v>
      </c>
      <c r="C28" s="34" t="s">
        <v>386</v>
      </c>
      <c r="D28" s="38" t="n">
        <v>0.1</v>
      </c>
      <c r="E28" s="34" t="s">
        <v>92</v>
      </c>
      <c r="F28" s="38" t="n">
        <v>0</v>
      </c>
      <c r="G28" s="87" t="s">
        <v>206</v>
      </c>
      <c r="H28" s="22"/>
      <c r="I28" s="22" t="s">
        <v>392</v>
      </c>
    </row>
    <row r="29" customFormat="false" ht="15" hidden="false" customHeight="false" outlineLevel="0" collapsed="false">
      <c r="B29" s="10" t="s">
        <v>197</v>
      </c>
      <c r="C29" s="34" t="s">
        <v>386</v>
      </c>
      <c r="D29" s="38" t="n">
        <v>0.1</v>
      </c>
      <c r="E29" s="34" t="s">
        <v>92</v>
      </c>
      <c r="F29" s="38" t="n">
        <v>0</v>
      </c>
      <c r="G29" s="87" t="s">
        <v>206</v>
      </c>
      <c r="H29" s="22"/>
      <c r="I29" s="22" t="s">
        <v>392</v>
      </c>
    </row>
    <row r="30" customFormat="false" ht="15" hidden="false" customHeight="false" outlineLevel="0" collapsed="false">
      <c r="B30" s="10" t="s">
        <v>199</v>
      </c>
      <c r="C30" s="34" t="s">
        <v>386</v>
      </c>
      <c r="D30" s="38" t="n">
        <v>0.1</v>
      </c>
      <c r="E30" s="34" t="s">
        <v>92</v>
      </c>
      <c r="F30" s="38" t="n">
        <v>0</v>
      </c>
      <c r="G30" s="87" t="s">
        <v>206</v>
      </c>
      <c r="H30" s="22"/>
      <c r="I30" s="22" t="s">
        <v>392</v>
      </c>
    </row>
    <row r="31" customFormat="false" ht="15" hidden="false" customHeight="false" outlineLevel="0" collapsed="false">
      <c r="B31" s="10" t="s">
        <v>395</v>
      </c>
      <c r="C31" s="34" t="s">
        <v>386</v>
      </c>
      <c r="D31" s="38" t="n">
        <v>0.1</v>
      </c>
      <c r="E31" s="34" t="s">
        <v>92</v>
      </c>
      <c r="F31" s="38" t="n">
        <v>0</v>
      </c>
      <c r="G31" s="87" t="s">
        <v>206</v>
      </c>
      <c r="H31" s="22"/>
      <c r="I31" s="22" t="s">
        <v>392</v>
      </c>
    </row>
    <row r="32" customFormat="false" ht="15" hidden="false" customHeight="false" outlineLevel="0" collapsed="false">
      <c r="B32" s="10" t="s">
        <v>198</v>
      </c>
      <c r="C32" s="34" t="s">
        <v>386</v>
      </c>
      <c r="D32" s="38" t="n">
        <v>0.1</v>
      </c>
      <c r="E32" s="34" t="s">
        <v>92</v>
      </c>
      <c r="F32" s="38" t="n">
        <v>0</v>
      </c>
      <c r="G32" s="87" t="s">
        <v>206</v>
      </c>
      <c r="H32" s="22" t="s">
        <v>396</v>
      </c>
      <c r="I32" s="22" t="s">
        <v>388</v>
      </c>
    </row>
    <row r="33" customFormat="false" ht="15" hidden="false" customHeight="false" outlineLevel="0" collapsed="false">
      <c r="B33" s="10" t="s">
        <v>397</v>
      </c>
      <c r="C33" s="34" t="s">
        <v>386</v>
      </c>
      <c r="D33" s="38" t="n">
        <v>0.1</v>
      </c>
      <c r="E33" s="34" t="s">
        <v>92</v>
      </c>
      <c r="F33" s="38" t="n">
        <v>0</v>
      </c>
      <c r="G33" s="87" t="s">
        <v>92</v>
      </c>
      <c r="H33" s="22"/>
      <c r="I33" s="22" t="s">
        <v>392</v>
      </c>
    </row>
    <row r="34" customFormat="false" ht="15" hidden="false" customHeight="false" outlineLevel="0" collapsed="false">
      <c r="B34" s="10" t="s">
        <v>398</v>
      </c>
      <c r="C34" s="34" t="s">
        <v>386</v>
      </c>
      <c r="D34" s="38" t="n">
        <v>0.1</v>
      </c>
      <c r="E34" s="34" t="s">
        <v>92</v>
      </c>
      <c r="F34" s="38" t="n">
        <v>0</v>
      </c>
      <c r="G34" s="87" t="s">
        <v>92</v>
      </c>
      <c r="H34" s="22"/>
      <c r="I34" s="22" t="s">
        <v>392</v>
      </c>
    </row>
    <row r="35" customFormat="false" ht="22.35" hidden="false" customHeight="false" outlineLevel="0" collapsed="false">
      <c r="B35" s="10" t="s">
        <v>399</v>
      </c>
      <c r="C35" s="34" t="s">
        <v>386</v>
      </c>
      <c r="D35" s="38" t="n">
        <v>0.1</v>
      </c>
      <c r="E35" s="34" t="s">
        <v>92</v>
      </c>
      <c r="F35" s="38" t="n">
        <v>0</v>
      </c>
      <c r="G35" s="87" t="s">
        <v>92</v>
      </c>
      <c r="H35" s="22" t="s">
        <v>400</v>
      </c>
      <c r="I35" s="22" t="s">
        <v>392</v>
      </c>
    </row>
    <row r="36" customFormat="false" ht="15" hidden="false" customHeight="false" outlineLevel="0" collapsed="false">
      <c r="B36" s="10" t="s">
        <v>401</v>
      </c>
      <c r="C36" s="34" t="s">
        <v>386</v>
      </c>
      <c r="D36" s="38" t="n">
        <v>0.1</v>
      </c>
      <c r="E36" s="34" t="s">
        <v>92</v>
      </c>
      <c r="F36" s="38" t="n">
        <v>0</v>
      </c>
      <c r="G36" s="87" t="s">
        <v>92</v>
      </c>
      <c r="H36" s="22" t="s">
        <v>402</v>
      </c>
      <c r="I36" s="22" t="s">
        <v>392</v>
      </c>
    </row>
    <row r="37" customFormat="false" ht="15" hidden="false" customHeight="false" outlineLevel="0" collapsed="false">
      <c r="B37" s="10" t="s">
        <v>403</v>
      </c>
      <c r="C37" s="34" t="s">
        <v>386</v>
      </c>
      <c r="D37" s="38" t="n">
        <v>0.1</v>
      </c>
      <c r="E37" s="34" t="s">
        <v>92</v>
      </c>
      <c r="F37" s="38" t="n">
        <v>0</v>
      </c>
      <c r="G37" s="87" t="s">
        <v>92</v>
      </c>
      <c r="H37" s="22" t="s">
        <v>402</v>
      </c>
      <c r="I37" s="22" t="s">
        <v>392</v>
      </c>
    </row>
    <row r="38" customFormat="false" ht="22.35" hidden="false" customHeight="false" outlineLevel="0" collapsed="false">
      <c r="B38" s="10" t="s">
        <v>200</v>
      </c>
      <c r="C38" s="34" t="s">
        <v>386</v>
      </c>
      <c r="D38" s="38" t="n">
        <v>0.1</v>
      </c>
      <c r="E38" s="34" t="s">
        <v>206</v>
      </c>
      <c r="F38" s="38" t="n">
        <v>0</v>
      </c>
      <c r="G38" s="87" t="s">
        <v>206</v>
      </c>
      <c r="H38" s="22" t="s">
        <v>404</v>
      </c>
      <c r="I38" s="22" t="s">
        <v>405</v>
      </c>
    </row>
    <row r="39" customFormat="false" ht="22.35" hidden="false" customHeight="false" outlineLevel="0" collapsed="false">
      <c r="B39" s="10" t="s">
        <v>406</v>
      </c>
      <c r="C39" s="34" t="s">
        <v>386</v>
      </c>
      <c r="D39" s="38" t="n">
        <v>0.1</v>
      </c>
      <c r="E39" s="34" t="s">
        <v>206</v>
      </c>
      <c r="F39" s="38" t="n">
        <v>0</v>
      </c>
      <c r="G39" s="87" t="s">
        <v>92</v>
      </c>
      <c r="H39" s="22" t="s">
        <v>407</v>
      </c>
      <c r="I39" s="22" t="s">
        <v>408</v>
      </c>
    </row>
    <row r="40" customFormat="false" ht="15" hidden="false" customHeight="false" outlineLevel="0" collapsed="false">
      <c r="B40" s="10" t="s">
        <v>409</v>
      </c>
      <c r="C40" s="34" t="s">
        <v>386</v>
      </c>
      <c r="D40" s="38" t="n">
        <v>0.1</v>
      </c>
      <c r="E40" s="34" t="s">
        <v>92</v>
      </c>
      <c r="F40" s="38" t="n">
        <v>0</v>
      </c>
      <c r="G40" s="87" t="s">
        <v>92</v>
      </c>
      <c r="H40" s="22"/>
      <c r="I40" s="22" t="s">
        <v>392</v>
      </c>
    </row>
    <row r="41" customFormat="false" ht="22.35" hidden="false" customHeight="false" outlineLevel="0" collapsed="false">
      <c r="B41" s="10" t="s">
        <v>410</v>
      </c>
      <c r="C41" s="34" t="s">
        <v>411</v>
      </c>
      <c r="D41" s="38" t="n">
        <v>0.1</v>
      </c>
      <c r="E41" s="34" t="s">
        <v>92</v>
      </c>
      <c r="F41" s="38" t="n">
        <v>0</v>
      </c>
      <c r="G41" s="87" t="s">
        <v>206</v>
      </c>
      <c r="H41" s="22" t="s">
        <v>412</v>
      </c>
      <c r="I41" s="22" t="s">
        <v>388</v>
      </c>
    </row>
    <row r="42" customFormat="false" ht="15" hidden="false" customHeight="false" outlineLevel="0" collapsed="false">
      <c r="B42" s="10" t="s">
        <v>413</v>
      </c>
      <c r="C42" s="34" t="s">
        <v>411</v>
      </c>
      <c r="D42" s="38" t="n">
        <v>0.1</v>
      </c>
      <c r="E42" s="34" t="s">
        <v>92</v>
      </c>
      <c r="F42" s="38" t="n">
        <v>0</v>
      </c>
      <c r="G42" s="87" t="s">
        <v>206</v>
      </c>
      <c r="H42" s="22" t="s">
        <v>414</v>
      </c>
      <c r="I42" s="22" t="s">
        <v>392</v>
      </c>
    </row>
    <row r="43" customFormat="false" ht="15" hidden="false" customHeight="false" outlineLevel="0" collapsed="false">
      <c r="B43" s="10" t="s">
        <v>415</v>
      </c>
      <c r="C43" s="34" t="s">
        <v>411</v>
      </c>
      <c r="D43" s="38" t="n">
        <v>0.125</v>
      </c>
      <c r="E43" s="34" t="s">
        <v>92</v>
      </c>
      <c r="F43" s="38" t="n">
        <v>0</v>
      </c>
      <c r="G43" s="87" t="s">
        <v>206</v>
      </c>
      <c r="H43" s="22" t="s">
        <v>414</v>
      </c>
      <c r="I43" s="22" t="s">
        <v>392</v>
      </c>
    </row>
    <row r="44" customFormat="false" ht="15" hidden="false" customHeight="false" outlineLevel="0" collapsed="false">
      <c r="B44" s="10" t="s">
        <v>416</v>
      </c>
      <c r="C44" s="34" t="s">
        <v>411</v>
      </c>
      <c r="D44" s="38" t="n">
        <v>0.125</v>
      </c>
      <c r="E44" s="34" t="s">
        <v>92</v>
      </c>
      <c r="F44" s="38" t="n">
        <v>0</v>
      </c>
      <c r="G44" s="87" t="s">
        <v>206</v>
      </c>
      <c r="H44" s="22" t="s">
        <v>414</v>
      </c>
      <c r="I44" s="22" t="s">
        <v>392</v>
      </c>
    </row>
    <row r="45" customFormat="false" ht="15" hidden="false" customHeight="false" outlineLevel="0" collapsed="false">
      <c r="B45" s="10" t="s">
        <v>417</v>
      </c>
      <c r="C45" s="34" t="s">
        <v>411</v>
      </c>
      <c r="D45" s="38" t="n">
        <v>0.125</v>
      </c>
      <c r="E45" s="34" t="s">
        <v>92</v>
      </c>
      <c r="F45" s="38" t="n">
        <v>0</v>
      </c>
      <c r="G45" s="87" t="s">
        <v>206</v>
      </c>
      <c r="H45" s="22" t="s">
        <v>414</v>
      </c>
      <c r="I45" s="22" t="s">
        <v>392</v>
      </c>
    </row>
    <row r="46" customFormat="false" ht="15" hidden="false" customHeight="false" outlineLevel="0" collapsed="false">
      <c r="B46" s="10" t="s">
        <v>201</v>
      </c>
      <c r="C46" s="34" t="s">
        <v>418</v>
      </c>
      <c r="D46" s="38" t="n">
        <v>0</v>
      </c>
      <c r="E46" s="34" t="s">
        <v>92</v>
      </c>
      <c r="F46" s="38" t="n">
        <v>0</v>
      </c>
      <c r="G46" s="87" t="s">
        <v>92</v>
      </c>
      <c r="H46" s="22" t="s">
        <v>419</v>
      </c>
      <c r="I46" s="22"/>
    </row>
    <row r="47" customFormat="false" ht="22.35" hidden="false" customHeight="false" outlineLevel="0" collapsed="false">
      <c r="B47" s="10" t="s">
        <v>420</v>
      </c>
      <c r="C47" s="34" t="s">
        <v>386</v>
      </c>
      <c r="D47" s="36" t="n">
        <f aca="false">in_OtherRate</f>
        <v>0</v>
      </c>
      <c r="E47" s="34" t="s">
        <v>92</v>
      </c>
      <c r="F47" s="38" t="n">
        <v>0</v>
      </c>
      <c r="G47" s="87" t="s">
        <v>92</v>
      </c>
      <c r="H47" s="22" t="s">
        <v>421</v>
      </c>
      <c r="I47" s="22" t="s">
        <v>422</v>
      </c>
    </row>
    <row r="48" customFormat="false" ht="39.75" hidden="false" customHeight="true" outlineLevel="0" collapsed="false">
      <c r="B48" s="55" t="s">
        <v>423</v>
      </c>
      <c r="C48" s="55"/>
      <c r="D48" s="55"/>
      <c r="E48" s="55"/>
      <c r="F48" s="55"/>
      <c r="G48" s="55"/>
      <c r="H48" s="55"/>
      <c r="I48" s="55"/>
    </row>
    <row r="49" customFormat="false" ht="27.75" hidden="false" customHeight="true" outlineLevel="0" collapsed="false">
      <c r="B49" s="55" t="s">
        <v>424</v>
      </c>
      <c r="C49" s="55"/>
      <c r="D49" s="55"/>
      <c r="E49" s="55"/>
      <c r="F49" s="55"/>
      <c r="G49" s="55"/>
      <c r="H49" s="55"/>
      <c r="I49" s="55"/>
    </row>
    <row r="51" customFormat="false" ht="19.5" hidden="false" customHeight="true" outlineLevel="0" collapsed="false">
      <c r="B51" s="6" t="s">
        <v>425</v>
      </c>
      <c r="C51" s="7"/>
      <c r="D51" s="7"/>
      <c r="E51" s="7"/>
      <c r="F51" s="7"/>
      <c r="G51" s="7"/>
      <c r="H51" s="7"/>
      <c r="I51" s="7"/>
    </row>
    <row r="52" customFormat="false" ht="30" hidden="false" customHeight="true" outlineLevel="0" collapsed="false">
      <c r="B52" s="9" t="s">
        <v>426</v>
      </c>
      <c r="C52" s="9" t="s">
        <v>427</v>
      </c>
      <c r="D52" s="9" t="s">
        <v>428</v>
      </c>
      <c r="H52" s="9" t="s">
        <v>334</v>
      </c>
    </row>
    <row r="53" customFormat="false" ht="15" hidden="false" customHeight="false" outlineLevel="0" collapsed="false">
      <c r="B53" s="10" t="s">
        <v>259</v>
      </c>
      <c r="C53" s="38" t="n">
        <v>0</v>
      </c>
      <c r="D53" s="38" t="n">
        <v>0</v>
      </c>
      <c r="H53" s="55"/>
      <c r="I53" s="55"/>
    </row>
    <row r="54" customFormat="false" ht="15" hidden="false" customHeight="false" outlineLevel="0" collapsed="false">
      <c r="B54" s="10" t="s">
        <v>429</v>
      </c>
      <c r="C54" s="38" t="n">
        <v>0.25</v>
      </c>
      <c r="D54" s="38" t="n">
        <v>0.25</v>
      </c>
      <c r="H54" s="55"/>
      <c r="I54" s="55"/>
    </row>
    <row r="55" customFormat="false" ht="15" hidden="false" customHeight="false" outlineLevel="0" collapsed="false">
      <c r="B55" s="10" t="s">
        <v>430</v>
      </c>
      <c r="C55" s="38" t="n">
        <v>0.25</v>
      </c>
      <c r="D55" s="38" t="n">
        <v>0.25</v>
      </c>
      <c r="H55" s="55"/>
      <c r="I55" s="55"/>
    </row>
    <row r="56" customFormat="false" ht="15" hidden="false" customHeight="false" outlineLevel="0" collapsed="false">
      <c r="B56" s="10" t="s">
        <v>431</v>
      </c>
      <c r="C56" s="38" t="n">
        <v>0.25</v>
      </c>
      <c r="D56" s="38" t="n">
        <v>0.25</v>
      </c>
      <c r="H56" s="55"/>
      <c r="I56" s="55"/>
    </row>
    <row r="57" customFormat="false" ht="15" hidden="false" customHeight="false" outlineLevel="0" collapsed="false">
      <c r="B57" s="10" t="s">
        <v>432</v>
      </c>
      <c r="C57" s="38" t="n">
        <v>0.075</v>
      </c>
      <c r="D57" s="38" t="n">
        <v>0.075</v>
      </c>
      <c r="H57" s="55"/>
      <c r="I57" s="55"/>
    </row>
    <row r="58" customFormat="false" ht="15" hidden="false" customHeight="true" outlineLevel="0" collapsed="false">
      <c r="B58" s="10" t="s">
        <v>116</v>
      </c>
      <c r="C58" s="38" t="n">
        <v>0</v>
      </c>
      <c r="D58" s="38" t="n">
        <v>0</v>
      </c>
      <c r="H58" s="55" t="s">
        <v>433</v>
      </c>
      <c r="I58" s="55"/>
    </row>
    <row r="59" customFormat="false" ht="15" hidden="false" customHeight="true" outlineLevel="0" collapsed="false">
      <c r="B59" s="10" t="s">
        <v>434</v>
      </c>
      <c r="C59" s="38" t="n">
        <v>0</v>
      </c>
      <c r="D59" s="38" t="n">
        <v>0.25</v>
      </c>
      <c r="H59" s="55" t="s">
        <v>435</v>
      </c>
      <c r="I59" s="55"/>
    </row>
    <row r="60" customFormat="false" ht="15" hidden="false" customHeight="false" outlineLevel="0" collapsed="false">
      <c r="B60" s="10" t="s">
        <v>436</v>
      </c>
      <c r="C60" s="38" t="n">
        <v>0</v>
      </c>
      <c r="D60" s="38" t="n">
        <v>0.075</v>
      </c>
      <c r="H60" s="55"/>
      <c r="I60" s="55"/>
    </row>
    <row r="61" customFormat="false" ht="15" hidden="false" customHeight="true" outlineLevel="0" collapsed="false">
      <c r="B61" s="10" t="s">
        <v>437</v>
      </c>
      <c r="C61" s="36" t="n">
        <f aca="false">in_Ch301Custom</f>
        <v>0</v>
      </c>
      <c r="D61" s="36" t="n">
        <f aca="false">in_Ch301Custom</f>
        <v>0</v>
      </c>
      <c r="H61" s="55" t="s">
        <v>438</v>
      </c>
      <c r="I61" s="55"/>
    </row>
    <row r="64" customFormat="false" ht="19.5" hidden="false" customHeight="true" outlineLevel="0" collapsed="false">
      <c r="B64" s="6" t="s">
        <v>439</v>
      </c>
      <c r="C64" s="7"/>
      <c r="D64" s="7"/>
      <c r="E64" s="7"/>
      <c r="F64" s="7"/>
      <c r="G64" s="7"/>
      <c r="H64" s="7"/>
      <c r="I64" s="7"/>
    </row>
    <row r="65" customFormat="false" ht="30" hidden="false" customHeight="true" outlineLevel="0" collapsed="false">
      <c r="B65" s="9" t="s">
        <v>440</v>
      </c>
      <c r="C65" s="9" t="s">
        <v>441</v>
      </c>
      <c r="D65" s="9" t="s">
        <v>442</v>
      </c>
      <c r="H65" s="9" t="s">
        <v>334</v>
      </c>
    </row>
    <row r="66" customFormat="false" ht="15" hidden="false" customHeight="false" outlineLevel="0" collapsed="false">
      <c r="B66" s="10" t="s">
        <v>123</v>
      </c>
      <c r="C66" s="38" t="n">
        <v>0</v>
      </c>
      <c r="D66" s="38" t="n">
        <v>0</v>
      </c>
      <c r="H66" s="55"/>
      <c r="I66" s="55"/>
    </row>
    <row r="67" customFormat="false" ht="22.35" hidden="false" customHeight="true" outlineLevel="0" collapsed="false">
      <c r="B67" s="10" t="s">
        <v>443</v>
      </c>
      <c r="C67" s="38" t="n">
        <v>0.5</v>
      </c>
      <c r="D67" s="38" t="n">
        <v>0.5</v>
      </c>
      <c r="H67" s="55" t="s">
        <v>444</v>
      </c>
      <c r="I67" s="55"/>
    </row>
    <row r="68" customFormat="false" ht="15" hidden="false" customHeight="true" outlineLevel="0" collapsed="false">
      <c r="B68" s="10" t="s">
        <v>445</v>
      </c>
      <c r="C68" s="38" t="n">
        <v>0.25</v>
      </c>
      <c r="D68" s="38" t="n">
        <v>0.25</v>
      </c>
      <c r="H68" s="55" t="s">
        <v>446</v>
      </c>
      <c r="I68" s="55"/>
    </row>
    <row r="69" customFormat="false" ht="15" hidden="false" customHeight="true" outlineLevel="0" collapsed="false">
      <c r="B69" s="10" t="s">
        <v>447</v>
      </c>
      <c r="C69" s="38" t="n">
        <v>0.15</v>
      </c>
      <c r="D69" s="38" t="n">
        <v>0.15</v>
      </c>
      <c r="H69" s="55" t="s">
        <v>448</v>
      </c>
      <c r="I69" s="55"/>
    </row>
    <row r="70" customFormat="false" ht="15" hidden="false" customHeight="false" outlineLevel="0" collapsed="false">
      <c r="B70" s="10" t="s">
        <v>449</v>
      </c>
      <c r="C70" s="38" t="n">
        <v>0.1</v>
      </c>
      <c r="D70" s="38" t="n">
        <v>0.1</v>
      </c>
      <c r="H70" s="55"/>
      <c r="I70" s="55"/>
    </row>
    <row r="71" customFormat="false" ht="15" hidden="false" customHeight="true" outlineLevel="0" collapsed="false">
      <c r="B71" s="10" t="s">
        <v>263</v>
      </c>
      <c r="C71" s="38" t="n">
        <v>0.25</v>
      </c>
      <c r="D71" s="38" t="n">
        <v>0.3</v>
      </c>
      <c r="H71" s="55" t="s">
        <v>450</v>
      </c>
      <c r="I71" s="55"/>
    </row>
    <row r="72" customFormat="false" ht="15" hidden="false" customHeight="true" outlineLevel="0" collapsed="false">
      <c r="B72" s="10" t="s">
        <v>451</v>
      </c>
      <c r="C72" s="38" t="n">
        <v>0.25</v>
      </c>
      <c r="D72" s="38" t="n">
        <v>0.5</v>
      </c>
      <c r="H72" s="55" t="s">
        <v>452</v>
      </c>
      <c r="I72" s="55"/>
    </row>
    <row r="73" customFormat="false" ht="15" hidden="false" customHeight="false" outlineLevel="0" collapsed="false">
      <c r="B73" s="10" t="s">
        <v>453</v>
      </c>
      <c r="C73" s="38" t="n">
        <v>0.1</v>
      </c>
      <c r="D73" s="38" t="n">
        <v>0.1</v>
      </c>
      <c r="H73" s="55"/>
      <c r="I73" s="55"/>
    </row>
    <row r="74" customFormat="false" ht="15" hidden="false" customHeight="true" outlineLevel="0" collapsed="false">
      <c r="B74" s="10" t="s">
        <v>437</v>
      </c>
      <c r="C74" s="36" t="n">
        <f aca="false">in_S232Custom</f>
        <v>0</v>
      </c>
      <c r="D74" s="36" t="n">
        <f aca="false">in_S232Custom</f>
        <v>0</v>
      </c>
      <c r="H74" s="55" t="s">
        <v>454</v>
      </c>
      <c r="I74" s="55"/>
    </row>
    <row r="77" customFormat="false" ht="19.5" hidden="false" customHeight="true" outlineLevel="0" collapsed="false">
      <c r="B77" s="6" t="s">
        <v>455</v>
      </c>
      <c r="C77" s="7"/>
      <c r="D77" s="7"/>
      <c r="E77" s="7"/>
      <c r="F77" s="7"/>
      <c r="G77" s="7"/>
      <c r="H77" s="7"/>
      <c r="I77" s="7"/>
    </row>
    <row r="78" customFormat="false" ht="30" hidden="false" customHeight="true" outlineLevel="0" collapsed="false">
      <c r="B78" s="9" t="s">
        <v>300</v>
      </c>
      <c r="C78" s="9" t="s">
        <v>456</v>
      </c>
      <c r="D78" s="9" t="s">
        <v>457</v>
      </c>
      <c r="E78" s="9" t="s">
        <v>458</v>
      </c>
      <c r="H78" s="9" t="s">
        <v>334</v>
      </c>
    </row>
    <row r="79" customFormat="false" ht="27.75" hidden="false" customHeight="true" outlineLevel="0" collapsed="false">
      <c r="B79" s="10" t="s">
        <v>307</v>
      </c>
      <c r="C79" s="42"/>
      <c r="D79" s="42"/>
      <c r="E79" s="30" t="n">
        <v>33</v>
      </c>
      <c r="H79" s="55" t="s">
        <v>459</v>
      </c>
      <c r="I79" s="55"/>
    </row>
    <row r="80" customFormat="false" ht="27.75" hidden="false" customHeight="true" outlineLevel="0" collapsed="false">
      <c r="B80" s="10" t="s">
        <v>145</v>
      </c>
      <c r="C80" s="42" t="n">
        <v>7838</v>
      </c>
      <c r="D80" s="42" t="n">
        <v>10373</v>
      </c>
      <c r="E80" s="30" t="n">
        <v>67</v>
      </c>
      <c r="H80" s="55" t="s">
        <v>460</v>
      </c>
      <c r="I80" s="55"/>
    </row>
    <row r="81" customFormat="false" ht="27.75" hidden="false" customHeight="true" outlineLevel="0" collapsed="false">
      <c r="B81" s="10" t="s">
        <v>308</v>
      </c>
      <c r="C81" s="42"/>
      <c r="D81" s="42"/>
      <c r="E81" s="30" t="n">
        <v>76</v>
      </c>
      <c r="H81" s="55" t="s">
        <v>461</v>
      </c>
      <c r="I81" s="55"/>
    </row>
    <row r="82" customFormat="false" ht="27.75" hidden="false" customHeight="true" outlineLevel="0" collapsed="false">
      <c r="B82" s="10" t="s">
        <v>462</v>
      </c>
      <c r="C82" s="42"/>
      <c r="D82" s="42"/>
      <c r="E82" s="30"/>
      <c r="H82" s="55" t="s">
        <v>463</v>
      </c>
      <c r="I82" s="55"/>
    </row>
    <row r="85" customFormat="false" ht="19.5" hidden="false" customHeight="true" outlineLevel="0" collapsed="false">
      <c r="B85" s="6" t="s">
        <v>464</v>
      </c>
      <c r="C85" s="7"/>
      <c r="D85" s="7"/>
      <c r="E85" s="7"/>
      <c r="F85" s="7"/>
      <c r="G85" s="7"/>
      <c r="H85" s="7"/>
      <c r="I85" s="7"/>
    </row>
    <row r="86" customFormat="false" ht="15" hidden="false" customHeight="false" outlineLevel="0" collapsed="false">
      <c r="B86" s="9" t="s">
        <v>465</v>
      </c>
      <c r="C86" s="9" t="s">
        <v>466</v>
      </c>
      <c r="D86" s="9" t="s">
        <v>467</v>
      </c>
      <c r="H86" s="9" t="s">
        <v>468</v>
      </c>
    </row>
    <row r="87" customFormat="false" ht="15" hidden="false" customHeight="true" outlineLevel="0" collapsed="false">
      <c r="B87" s="10" t="s">
        <v>469</v>
      </c>
      <c r="C87" s="10" t="s">
        <v>470</v>
      </c>
      <c r="D87" s="22" t="s">
        <v>471</v>
      </c>
      <c r="H87" s="55" t="s">
        <v>472</v>
      </c>
      <c r="I87" s="55"/>
    </row>
    <row r="88" customFormat="false" ht="15" hidden="false" customHeight="true" outlineLevel="0" collapsed="false">
      <c r="B88" s="10" t="s">
        <v>473</v>
      </c>
      <c r="C88" s="10" t="s">
        <v>470</v>
      </c>
      <c r="D88" s="22" t="s">
        <v>471</v>
      </c>
      <c r="H88" s="55" t="s">
        <v>474</v>
      </c>
      <c r="I88" s="55"/>
    </row>
    <row r="89" customFormat="false" ht="15" hidden="false" customHeight="true" outlineLevel="0" collapsed="false">
      <c r="B89" s="10" t="s">
        <v>475</v>
      </c>
      <c r="C89" s="10" t="s">
        <v>470</v>
      </c>
      <c r="D89" s="22" t="s">
        <v>471</v>
      </c>
      <c r="H89" s="55" t="s">
        <v>476</v>
      </c>
      <c r="I89" s="55"/>
    </row>
    <row r="90" customFormat="false" ht="15" hidden="false" customHeight="true" outlineLevel="0" collapsed="false">
      <c r="B90" s="10" t="s">
        <v>477</v>
      </c>
      <c r="C90" s="10" t="s">
        <v>470</v>
      </c>
      <c r="D90" s="22" t="s">
        <v>471</v>
      </c>
      <c r="H90" s="55" t="s">
        <v>478</v>
      </c>
      <c r="I90" s="55"/>
    </row>
    <row r="91" customFormat="false" ht="27.75" hidden="false" customHeight="true" outlineLevel="0" collapsed="false">
      <c r="B91" s="55" t="s">
        <v>479</v>
      </c>
      <c r="C91" s="55"/>
      <c r="D91" s="55"/>
      <c r="E91" s="55"/>
      <c r="F91" s="55"/>
      <c r="G91" s="55"/>
      <c r="H91" s="55"/>
      <c r="I91" s="55"/>
    </row>
    <row r="94" customFormat="false" ht="19.5" hidden="false" customHeight="true" outlineLevel="0" collapsed="false">
      <c r="B94" s="6" t="s">
        <v>480</v>
      </c>
      <c r="C94" s="7"/>
      <c r="D94" s="7"/>
      <c r="E94" s="7"/>
      <c r="F94" s="7"/>
      <c r="G94" s="7"/>
      <c r="H94" s="7"/>
      <c r="I94" s="7"/>
    </row>
    <row r="95" customFormat="false" ht="15" hidden="false" customHeight="false" outlineLevel="0" collapsed="false">
      <c r="B95" s="9" t="s">
        <v>481</v>
      </c>
      <c r="C95" s="9" t="s">
        <v>243</v>
      </c>
      <c r="D95" s="9" t="s">
        <v>482</v>
      </c>
    </row>
    <row r="96" customFormat="false" ht="15" hidden="false" customHeight="false" outlineLevel="0" collapsed="false">
      <c r="B96" s="10" t="s">
        <v>206</v>
      </c>
      <c r="C96" s="10" t="s">
        <v>96</v>
      </c>
      <c r="D96" s="10" t="s">
        <v>151</v>
      </c>
    </row>
    <row r="97" customFormat="false" ht="15" hidden="false" customHeight="false" outlineLevel="0" collapsed="false">
      <c r="B97" s="10" t="s">
        <v>92</v>
      </c>
      <c r="C97" s="10" t="s">
        <v>483</v>
      </c>
      <c r="D97" s="10" t="s">
        <v>484</v>
      </c>
    </row>
    <row r="98" customFormat="false" ht="15" hidden="false" customHeight="false" outlineLevel="0" collapsed="false">
      <c r="C98" s="10" t="s">
        <v>203</v>
      </c>
    </row>
  </sheetData>
  <sheetProtection sheet="true" formatColumns="false" formatRows="false"/>
  <mergeCells count="44">
    <mergeCell ref="E5:G5"/>
    <mergeCell ref="E6:G6"/>
    <mergeCell ref="E7:G7"/>
    <mergeCell ref="E8:G8"/>
    <mergeCell ref="E9:G9"/>
    <mergeCell ref="E10:G10"/>
    <mergeCell ref="E11:G11"/>
    <mergeCell ref="E12:G12"/>
    <mergeCell ref="E13:G13"/>
    <mergeCell ref="E14:G14"/>
    <mergeCell ref="E15:G15"/>
    <mergeCell ref="E16:G16"/>
    <mergeCell ref="E17:G17"/>
    <mergeCell ref="E18:G18"/>
    <mergeCell ref="E19:G19"/>
    <mergeCell ref="B48:I48"/>
    <mergeCell ref="B49:I49"/>
    <mergeCell ref="H53:I53"/>
    <mergeCell ref="H54:I54"/>
    <mergeCell ref="H55:I55"/>
    <mergeCell ref="H56:I56"/>
    <mergeCell ref="H57:I57"/>
    <mergeCell ref="H58:I58"/>
    <mergeCell ref="H59:I59"/>
    <mergeCell ref="H60:I60"/>
    <mergeCell ref="H61:I61"/>
    <mergeCell ref="H66:I66"/>
    <mergeCell ref="H67:I67"/>
    <mergeCell ref="H68:I68"/>
    <mergeCell ref="H69:I69"/>
    <mergeCell ref="H70:I70"/>
    <mergeCell ref="H71:I71"/>
    <mergeCell ref="H72:I72"/>
    <mergeCell ref="H73:I73"/>
    <mergeCell ref="H74:I74"/>
    <mergeCell ref="H79:I79"/>
    <mergeCell ref="H80:I80"/>
    <mergeCell ref="H81:I81"/>
    <mergeCell ref="H82:I82"/>
    <mergeCell ref="H87:I87"/>
    <mergeCell ref="H88:I88"/>
    <mergeCell ref="H89:I89"/>
    <mergeCell ref="H90:I90"/>
    <mergeCell ref="B91:I91"/>
  </mergeCells>
  <dataValidations count="2">
    <dataValidation allowBlank="true" error="Pick a value from the list." errorStyle="stop" errorTitle="Invalid entry" operator="between" showDropDown="false" showErrorMessage="false" showInputMessage="false" sqref="C23:C47" type="list">
      <formula1>"Additive,Cap,None"</formula1>
      <formula2>0</formula2>
    </dataValidation>
    <dataValidation allowBlank="true" error="Pick a value from the list." errorStyle="stop" errorTitle="Invalid entry" operator="between" showDropDown="false" showErrorMessage="false" showInputMessage="false" sqref="E23:E47" type="list">
      <formula1>"Yes,No"</formula1>
      <formula2>0</formula2>
    </dataValidation>
  </dataValidations>
  <printOptions headings="false" gridLines="false" gridLinesSet="true" horizontalCentered="true" verticalCentered="false"/>
  <pageMargins left="0.4" right="0.4"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CB040"/>
    <pageSetUpPr fitToPage="true"/>
  </sheetPr>
  <dimension ref="B1:G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3" min="3" style="0" width="46"/>
    <col collapsed="false" customWidth="true" hidden="false" outlineLevel="0" max="4" min="4" style="0" width="40"/>
    <col collapsed="false" customWidth="true" hidden="false" outlineLevel="0" max="5" min="5" style="0" width="36"/>
    <col collapsed="false" customWidth="true" hidden="false" outlineLevel="0" max="6" min="6" style="0" width="12"/>
    <col collapsed="false" customWidth="true" hidden="false" outlineLevel="0" max="7" min="7" style="0" width="4"/>
  </cols>
  <sheetData>
    <row r="1" customFormat="false" ht="33.75" hidden="false" customHeight="true" outlineLevel="0" collapsed="false">
      <c r="B1" s="18" t="s">
        <v>31</v>
      </c>
      <c r="C1" s="1"/>
      <c r="D1" s="1"/>
      <c r="E1" s="1"/>
      <c r="F1" s="1"/>
      <c r="G1" s="1"/>
    </row>
    <row r="2" customFormat="false" ht="19.5" hidden="false" customHeight="true" outlineLevel="0" collapsed="false">
      <c r="B2" s="19" t="s">
        <v>485</v>
      </c>
      <c r="C2" s="1"/>
      <c r="D2" s="1"/>
      <c r="E2" s="1"/>
      <c r="F2" s="1"/>
      <c r="G2" s="1"/>
    </row>
    <row r="4" customFormat="false" ht="15" hidden="false" customHeight="false" outlineLevel="0" collapsed="false">
      <c r="B4" s="44" t="s">
        <v>486</v>
      </c>
      <c r="C4" s="44" t="s">
        <v>467</v>
      </c>
      <c r="D4" s="44" t="s">
        <v>487</v>
      </c>
      <c r="E4" s="44" t="s">
        <v>488</v>
      </c>
      <c r="F4" s="44" t="s">
        <v>33</v>
      </c>
    </row>
    <row r="5" customFormat="false" ht="66" hidden="false" customHeight="true" outlineLevel="0" collapsed="false">
      <c r="B5" s="88" t="s">
        <v>489</v>
      </c>
      <c r="C5" s="88" t="s">
        <v>490</v>
      </c>
      <c r="D5" s="88" t="s">
        <v>491</v>
      </c>
      <c r="E5" s="88" t="s">
        <v>492</v>
      </c>
      <c r="F5" s="88" t="s">
        <v>493</v>
      </c>
    </row>
    <row r="6" customFormat="false" ht="66" hidden="false" customHeight="true" outlineLevel="0" collapsed="false">
      <c r="B6" s="88" t="s">
        <v>494</v>
      </c>
      <c r="C6" s="88" t="s">
        <v>495</v>
      </c>
      <c r="D6" s="88" t="s">
        <v>496</v>
      </c>
      <c r="E6" s="88" t="s">
        <v>497</v>
      </c>
      <c r="F6" s="88" t="s">
        <v>498</v>
      </c>
    </row>
    <row r="7" customFormat="false" ht="66" hidden="false" customHeight="true" outlineLevel="0" collapsed="false">
      <c r="B7" s="88" t="s">
        <v>499</v>
      </c>
      <c r="C7" s="88" t="s">
        <v>500</v>
      </c>
      <c r="D7" s="88" t="s">
        <v>501</v>
      </c>
      <c r="E7" s="88" t="s">
        <v>502</v>
      </c>
      <c r="F7" s="88" t="s">
        <v>376</v>
      </c>
    </row>
    <row r="8" customFormat="false" ht="66" hidden="false" customHeight="true" outlineLevel="0" collapsed="false">
      <c r="B8" s="88" t="s">
        <v>503</v>
      </c>
      <c r="C8" s="88" t="s">
        <v>504</v>
      </c>
      <c r="D8" s="88" t="s">
        <v>505</v>
      </c>
      <c r="E8" s="88" t="s">
        <v>506</v>
      </c>
      <c r="F8" s="88" t="s">
        <v>378</v>
      </c>
    </row>
    <row r="9" customFormat="false" ht="66" hidden="false" customHeight="true" outlineLevel="0" collapsed="false">
      <c r="B9" s="88" t="s">
        <v>507</v>
      </c>
      <c r="C9" s="88" t="s">
        <v>508</v>
      </c>
      <c r="D9" s="88" t="s">
        <v>509</v>
      </c>
      <c r="E9" s="88" t="s">
        <v>510</v>
      </c>
      <c r="F9" s="88" t="s">
        <v>511</v>
      </c>
    </row>
    <row r="10" customFormat="false" ht="66" hidden="false" customHeight="true" outlineLevel="0" collapsed="false">
      <c r="B10" s="88" t="s">
        <v>512</v>
      </c>
      <c r="C10" s="88" t="s">
        <v>513</v>
      </c>
      <c r="D10" s="88" t="s">
        <v>514</v>
      </c>
      <c r="E10" s="88" t="s">
        <v>515</v>
      </c>
      <c r="F10" s="88" t="s">
        <v>373</v>
      </c>
    </row>
    <row r="11" customFormat="false" ht="66" hidden="false" customHeight="true" outlineLevel="0" collapsed="false">
      <c r="B11" s="88" t="s">
        <v>516</v>
      </c>
      <c r="C11" s="88" t="s">
        <v>517</v>
      </c>
      <c r="D11" s="88" t="s">
        <v>518</v>
      </c>
      <c r="E11" s="88" t="s">
        <v>519</v>
      </c>
      <c r="F11" s="88" t="s">
        <v>520</v>
      </c>
    </row>
    <row r="12" customFormat="false" ht="66" hidden="false" customHeight="true" outlineLevel="0" collapsed="false">
      <c r="B12" s="88" t="s">
        <v>521</v>
      </c>
      <c r="C12" s="88" t="s">
        <v>522</v>
      </c>
      <c r="D12" s="88" t="s">
        <v>523</v>
      </c>
      <c r="E12" s="88" t="s">
        <v>524</v>
      </c>
      <c r="F12" s="88" t="s">
        <v>525</v>
      </c>
    </row>
    <row r="13" customFormat="false" ht="66" hidden="false" customHeight="true" outlineLevel="0" collapsed="false">
      <c r="B13" s="88" t="s">
        <v>526</v>
      </c>
      <c r="C13" s="88" t="s">
        <v>527</v>
      </c>
      <c r="D13" s="88" t="s">
        <v>528</v>
      </c>
      <c r="E13" s="88" t="s">
        <v>529</v>
      </c>
      <c r="F13" s="88" t="s">
        <v>530</v>
      </c>
    </row>
  </sheetData>
  <printOptions headings="false" gridLines="false" gridLinesSet="true" horizontalCentered="true" verticalCentered="false"/>
  <pageMargins left="0.4" right="0.4"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321"/>
    <pageSetUpPr fitToPage="true"/>
  </sheetPr>
  <dimension ref="B1:F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8"/>
    <col collapsed="false" customWidth="true" hidden="false" outlineLevel="0" max="3" min="3" style="0" width="64"/>
    <col collapsed="false" customWidth="true" hidden="false" outlineLevel="0" max="4" min="4" style="0" width="12"/>
    <col collapsed="false" customWidth="true" hidden="false" outlineLevel="0" max="5" min="5" style="0" width="70"/>
    <col collapsed="false" customWidth="true" hidden="false" outlineLevel="0" max="6" min="6" style="0" width="4"/>
  </cols>
  <sheetData>
    <row r="1" customFormat="false" ht="33.75" hidden="false" customHeight="true" outlineLevel="0" collapsed="false">
      <c r="B1" s="18" t="s">
        <v>531</v>
      </c>
      <c r="C1" s="1"/>
      <c r="D1" s="1"/>
      <c r="E1" s="1"/>
      <c r="F1" s="1"/>
    </row>
    <row r="2" customFormat="false" ht="19.5" hidden="false" customHeight="true" outlineLevel="0" collapsed="false">
      <c r="B2" s="19" t="s">
        <v>532</v>
      </c>
      <c r="C2" s="1"/>
      <c r="D2" s="1"/>
      <c r="E2" s="1"/>
      <c r="F2" s="1"/>
    </row>
    <row r="4" customFormat="false" ht="15" hidden="false" customHeight="false" outlineLevel="0" collapsed="false">
      <c r="B4" s="44" t="s">
        <v>533</v>
      </c>
      <c r="C4" s="44" t="s">
        <v>385</v>
      </c>
      <c r="D4" s="44" t="s">
        <v>534</v>
      </c>
      <c r="E4" s="44" t="s">
        <v>535</v>
      </c>
    </row>
    <row r="5" customFormat="false" ht="30" hidden="false" customHeight="true" outlineLevel="0" collapsed="false">
      <c r="B5" s="9" t="s">
        <v>422</v>
      </c>
      <c r="C5" s="89" t="s">
        <v>536</v>
      </c>
      <c r="D5" s="90" t="s">
        <v>537</v>
      </c>
      <c r="E5" s="91" t="s">
        <v>538</v>
      </c>
    </row>
    <row r="6" customFormat="false" ht="30" hidden="false" customHeight="true" outlineLevel="0" collapsed="false">
      <c r="B6" s="9" t="s">
        <v>539</v>
      </c>
      <c r="C6" s="89" t="s">
        <v>540</v>
      </c>
      <c r="D6" s="90" t="s">
        <v>537</v>
      </c>
      <c r="E6" s="91" t="s">
        <v>541</v>
      </c>
    </row>
    <row r="7" customFormat="false" ht="30" hidden="false" customHeight="true" outlineLevel="0" collapsed="false">
      <c r="B7" s="9" t="s">
        <v>542</v>
      </c>
      <c r="C7" s="89" t="s">
        <v>543</v>
      </c>
      <c r="D7" s="90" t="s">
        <v>537</v>
      </c>
      <c r="E7" s="91" t="s">
        <v>544</v>
      </c>
    </row>
    <row r="8" customFormat="false" ht="30" hidden="false" customHeight="true" outlineLevel="0" collapsed="false">
      <c r="B8" s="9" t="s">
        <v>545</v>
      </c>
      <c r="C8" s="89" t="s">
        <v>546</v>
      </c>
      <c r="D8" s="90" t="s">
        <v>537</v>
      </c>
      <c r="E8" s="91" t="s">
        <v>547</v>
      </c>
    </row>
    <row r="9" customFormat="false" ht="30" hidden="false" customHeight="true" outlineLevel="0" collapsed="false">
      <c r="B9" s="9" t="s">
        <v>376</v>
      </c>
      <c r="C9" s="89" t="s">
        <v>548</v>
      </c>
      <c r="D9" s="90" t="s">
        <v>537</v>
      </c>
      <c r="E9" s="91" t="s">
        <v>549</v>
      </c>
    </row>
    <row r="10" customFormat="false" ht="30" hidden="false" customHeight="true" outlineLevel="0" collapsed="false">
      <c r="B10" s="9" t="s">
        <v>550</v>
      </c>
      <c r="C10" s="89" t="s">
        <v>551</v>
      </c>
      <c r="D10" s="90" t="s">
        <v>537</v>
      </c>
      <c r="E10" s="91" t="s">
        <v>552</v>
      </c>
    </row>
    <row r="11" customFormat="false" ht="30" hidden="false" customHeight="true" outlineLevel="0" collapsed="false">
      <c r="B11" s="9" t="s">
        <v>358</v>
      </c>
      <c r="C11" s="89" t="s">
        <v>553</v>
      </c>
      <c r="D11" s="22" t="s">
        <v>554</v>
      </c>
      <c r="E11" s="91" t="s">
        <v>555</v>
      </c>
    </row>
    <row r="12" customFormat="false" ht="30" hidden="false" customHeight="true" outlineLevel="0" collapsed="false">
      <c r="B12" s="9" t="s">
        <v>367</v>
      </c>
      <c r="C12" s="89" t="s">
        <v>556</v>
      </c>
      <c r="D12" s="22" t="s">
        <v>554</v>
      </c>
      <c r="E12" s="91" t="s">
        <v>557</v>
      </c>
    </row>
    <row r="13" customFormat="false" ht="30" hidden="false" customHeight="true" outlineLevel="0" collapsed="false">
      <c r="B13" s="9" t="s">
        <v>365</v>
      </c>
      <c r="C13" s="89" t="s">
        <v>558</v>
      </c>
      <c r="D13" s="22" t="s">
        <v>554</v>
      </c>
      <c r="E13" s="91" t="s">
        <v>559</v>
      </c>
    </row>
    <row r="14" customFormat="false" ht="30" hidden="false" customHeight="true" outlineLevel="0" collapsed="false">
      <c r="B14" s="9" t="s">
        <v>370</v>
      </c>
      <c r="C14" s="89" t="s">
        <v>560</v>
      </c>
      <c r="D14" s="22" t="s">
        <v>554</v>
      </c>
      <c r="E14" s="91" t="s">
        <v>561</v>
      </c>
    </row>
    <row r="15" customFormat="false" ht="30" hidden="false" customHeight="true" outlineLevel="0" collapsed="false">
      <c r="B15" s="9" t="s">
        <v>562</v>
      </c>
      <c r="C15" s="89" t="s">
        <v>563</v>
      </c>
      <c r="D15" s="22" t="s">
        <v>554</v>
      </c>
      <c r="E15" s="91" t="s">
        <v>564</v>
      </c>
    </row>
    <row r="16" customFormat="false" ht="30" hidden="false" customHeight="true" outlineLevel="0" collapsed="false">
      <c r="B16" s="9" t="s">
        <v>565</v>
      </c>
      <c r="C16" s="89" t="s">
        <v>566</v>
      </c>
      <c r="D16" s="22" t="s">
        <v>554</v>
      </c>
      <c r="E16" s="91" t="s">
        <v>567</v>
      </c>
    </row>
    <row r="17" customFormat="false" ht="30" hidden="false" customHeight="true" outlineLevel="0" collapsed="false">
      <c r="B17" s="9" t="s">
        <v>568</v>
      </c>
      <c r="C17" s="89" t="s">
        <v>569</v>
      </c>
      <c r="D17" s="22" t="s">
        <v>554</v>
      </c>
      <c r="E17" s="91" t="s">
        <v>570</v>
      </c>
    </row>
    <row r="18" customFormat="false" ht="30" hidden="false" customHeight="true" outlineLevel="0" collapsed="false">
      <c r="B18" s="9" t="s">
        <v>571</v>
      </c>
      <c r="C18" s="89" t="s">
        <v>572</v>
      </c>
      <c r="D18" s="22" t="s">
        <v>554</v>
      </c>
      <c r="E18" s="91" t="s">
        <v>573</v>
      </c>
    </row>
    <row r="19" customFormat="false" ht="30" hidden="false" customHeight="true" outlineLevel="0" collapsed="false">
      <c r="B19" s="9" t="s">
        <v>574</v>
      </c>
      <c r="C19" s="89" t="s">
        <v>575</v>
      </c>
      <c r="D19" s="22" t="s">
        <v>554</v>
      </c>
      <c r="E19" s="91" t="s">
        <v>576</v>
      </c>
    </row>
    <row r="20" customFormat="false" ht="30" hidden="false" customHeight="true" outlineLevel="0" collapsed="false">
      <c r="B20" s="9" t="s">
        <v>577</v>
      </c>
      <c r="C20" s="89" t="s">
        <v>578</v>
      </c>
      <c r="D20" s="22" t="s">
        <v>554</v>
      </c>
      <c r="E20" s="91" t="s">
        <v>579</v>
      </c>
    </row>
    <row r="21" customFormat="false" ht="30" hidden="false" customHeight="true" outlineLevel="0" collapsed="false">
      <c r="B21" s="9" t="s">
        <v>520</v>
      </c>
      <c r="C21" s="89" t="s">
        <v>580</v>
      </c>
      <c r="D21" s="22" t="s">
        <v>554</v>
      </c>
      <c r="E21" s="91" t="s">
        <v>581</v>
      </c>
    </row>
    <row r="22" customFormat="false" ht="30" hidden="false" customHeight="true" outlineLevel="0" collapsed="false">
      <c r="B22" s="9" t="s">
        <v>525</v>
      </c>
      <c r="C22" s="89" t="s">
        <v>582</v>
      </c>
      <c r="D22" s="22" t="s">
        <v>554</v>
      </c>
      <c r="E22" s="91" t="s">
        <v>583</v>
      </c>
    </row>
    <row r="23" customFormat="false" ht="30" hidden="false" customHeight="true" outlineLevel="0" collapsed="false">
      <c r="B23" s="9" t="s">
        <v>584</v>
      </c>
      <c r="C23" s="89" t="s">
        <v>585</v>
      </c>
      <c r="D23" s="22" t="s">
        <v>554</v>
      </c>
      <c r="E23" s="91" t="s">
        <v>586</v>
      </c>
    </row>
    <row r="24" customFormat="false" ht="30" hidden="false" customHeight="true" outlineLevel="0" collapsed="false">
      <c r="B24" s="9" t="s">
        <v>587</v>
      </c>
      <c r="C24" s="89" t="s">
        <v>588</v>
      </c>
      <c r="D24" s="22" t="s">
        <v>554</v>
      </c>
      <c r="E24" s="91" t="s">
        <v>589</v>
      </c>
    </row>
    <row r="25" customFormat="false" ht="30" hidden="false" customHeight="true" outlineLevel="0" collapsed="false">
      <c r="B25" s="9" t="s">
        <v>493</v>
      </c>
      <c r="C25" s="89" t="s">
        <v>590</v>
      </c>
      <c r="D25" s="22" t="s">
        <v>554</v>
      </c>
      <c r="E25" s="91" t="s">
        <v>591</v>
      </c>
    </row>
    <row r="26" customFormat="false" ht="30" hidden="false" customHeight="true" outlineLevel="0" collapsed="false">
      <c r="B26" s="9" t="s">
        <v>511</v>
      </c>
      <c r="C26" s="89" t="s">
        <v>592</v>
      </c>
      <c r="D26" s="22" t="s">
        <v>554</v>
      </c>
      <c r="E26" s="91" t="s">
        <v>593</v>
      </c>
    </row>
    <row r="27" customFormat="false" ht="30" hidden="false" customHeight="true" outlineLevel="0" collapsed="false">
      <c r="B27" s="9" t="s">
        <v>594</v>
      </c>
      <c r="C27" s="89" t="s">
        <v>595</v>
      </c>
      <c r="D27" s="90" t="s">
        <v>537</v>
      </c>
      <c r="E27" s="91" t="s">
        <v>596</v>
      </c>
    </row>
    <row r="28" customFormat="false" ht="30" hidden="false" customHeight="true" outlineLevel="0" collapsed="false">
      <c r="B28" s="9" t="s">
        <v>597</v>
      </c>
      <c r="C28" s="89" t="s">
        <v>598</v>
      </c>
      <c r="D28" s="90" t="s">
        <v>537</v>
      </c>
      <c r="E28" s="91" t="s">
        <v>599</v>
      </c>
    </row>
    <row r="29" customFormat="false" ht="30" hidden="false" customHeight="true" outlineLevel="0" collapsed="false">
      <c r="B29" s="9" t="s">
        <v>600</v>
      </c>
      <c r="C29" s="89" t="s">
        <v>601</v>
      </c>
      <c r="D29" s="22" t="s">
        <v>554</v>
      </c>
      <c r="E29" s="91" t="s">
        <v>602</v>
      </c>
    </row>
    <row r="30" customFormat="false" ht="30" hidden="false" customHeight="true" outlineLevel="0" collapsed="false">
      <c r="B30" s="9" t="s">
        <v>603</v>
      </c>
      <c r="C30" s="89" t="s">
        <v>604</v>
      </c>
      <c r="D30" s="22" t="s">
        <v>554</v>
      </c>
      <c r="E30" s="91" t="s">
        <v>605</v>
      </c>
    </row>
    <row r="31" customFormat="false" ht="30" hidden="false" customHeight="true" outlineLevel="0" collapsed="false">
      <c r="B31" s="9" t="s">
        <v>606</v>
      </c>
      <c r="C31" s="89" t="s">
        <v>607</v>
      </c>
      <c r="D31" s="90" t="s">
        <v>537</v>
      </c>
      <c r="E31" s="91" t="s">
        <v>608</v>
      </c>
    </row>
    <row r="32" customFormat="false" ht="30" hidden="false" customHeight="true" outlineLevel="0" collapsed="false">
      <c r="B32" s="9" t="s">
        <v>609</v>
      </c>
      <c r="C32" s="89" t="s">
        <v>610</v>
      </c>
      <c r="D32" s="22" t="s">
        <v>554</v>
      </c>
      <c r="E32" s="91" t="s">
        <v>611</v>
      </c>
    </row>
    <row r="33" customFormat="false" ht="30" hidden="false" customHeight="true" outlineLevel="0" collapsed="false">
      <c r="B33" s="9" t="s">
        <v>612</v>
      </c>
      <c r="C33" s="89" t="s">
        <v>613</v>
      </c>
      <c r="D33" s="22" t="s">
        <v>554</v>
      </c>
      <c r="E33" s="91" t="s">
        <v>614</v>
      </c>
    </row>
    <row r="34" customFormat="false" ht="30" hidden="false" customHeight="true" outlineLevel="0" collapsed="false">
      <c r="B34" s="9" t="s">
        <v>615</v>
      </c>
      <c r="C34" s="89" t="s">
        <v>616</v>
      </c>
      <c r="D34" s="22" t="s">
        <v>554</v>
      </c>
      <c r="E34" s="91" t="s">
        <v>617</v>
      </c>
    </row>
    <row r="36" customFormat="false" ht="19.5" hidden="false" customHeight="true" outlineLevel="0" collapsed="false">
      <c r="B36" s="6" t="s">
        <v>618</v>
      </c>
      <c r="C36" s="7"/>
      <c r="D36" s="7"/>
      <c r="E36" s="7"/>
    </row>
    <row r="37" customFormat="false" ht="54" hidden="false" customHeight="true" outlineLevel="0" collapsed="false">
      <c r="B37" s="89" t="s">
        <v>619</v>
      </c>
      <c r="C37" s="14" t="s">
        <v>620</v>
      </c>
      <c r="D37" s="14"/>
      <c r="E37" s="14"/>
    </row>
    <row r="39" customFormat="false" ht="19.5" hidden="false" customHeight="true" outlineLevel="0" collapsed="false">
      <c r="B39" s="6" t="s">
        <v>53</v>
      </c>
      <c r="C39" s="7"/>
      <c r="D39" s="7"/>
      <c r="E39" s="7"/>
    </row>
    <row r="40" customFormat="false" ht="69.75" hidden="false" customHeight="true" outlineLevel="0" collapsed="false">
      <c r="B40" s="14" t="s">
        <v>54</v>
      </c>
      <c r="C40" s="14"/>
      <c r="D40" s="14"/>
      <c r="E40" s="14"/>
    </row>
  </sheetData>
  <mergeCells count="2">
    <mergeCell ref="C37:E37"/>
    <mergeCell ref="B40:E40"/>
  </mergeCells>
  <hyperlinks>
    <hyperlink ref="E5" r:id="rId1" display="https://ustr.gov/about/policy-offices/press-office/press-releases/2026/july/ustr-takes-action-forced-labor-section-301-investigations"/>
    <hyperlink ref="E6" r:id="rId2" display="https://www.whitehouse.gov/presidential-actions/2026/07/actions-by-the-united-states-in-the-investigations-under-section-301-of-the-trade-act-of-1974-of-the-acts-policies-and-practices-of-60-economies-related-to-the-failure-of-each-economy-to-impose-and/"/>
    <hyperlink ref="E7" r:id="rId3" display="https://www.cbp.gov/trade/programs-administration/trade-remedies/ieepa-duty-refunds"/>
    <hyperlink ref="E8" r:id="rId4" display="https://www.federalregister.gov/documents/2026/06/24/2026-12670/indefinite-suspension-of-the-de-minimis-exemption-for-merchandise-arriving-through-all-modes-other"/>
    <hyperlink ref="E9" r:id="rId5" display="https://www.federalregister.gov/documents/2025/12/01/2025-21671/notice-of-product-exclusion-extensions-chinas-acts-policies-and-practices-related-to-technology"/>
    <hyperlink ref="E10" r:id="rId6" display="https://www.whitehouse.gov/wp-content/uploads/2026/09/Terms-of-Reference-for-30-for-30-Framework.pdf"/>
    <hyperlink ref="E11" r:id="rId7" display="https://www.sunshinescm.com/news/customs-user-fees-fy2027.html"/>
    <hyperlink ref="E12" r:id="rId8" display="https://borderless.us/guides/mpf-changes-october-1-2026"/>
    <hyperlink ref="E13" r:id="rId9" display="https://gingercontrol.com/blog/merchandise-processing-fee-guide"/>
    <hyperlink ref="E14" r:id="rId10" display="https://malakarconsulting.com/guides/mpf-hmf-customs-fees-explained.html"/>
    <hyperlink ref="E15" r:id="rId11" display="https://www.honigman.com/alert-3462"/>
    <hyperlink ref="E16" r:id="rId12" display="https://www.ghy.com/trade-compliance/us-adjusts-section-232-tariffs-on-aluminum-steel-and-copper-full-customs-value-now-applies/"/>
    <hyperlink ref="E17" r:id="rId13" display="https://www.thompsonhinesmartrade.com/2026/01/president-trump-delays-section-232-tariff-increase-on-wood-furniture-cabinets-and-vanities/"/>
    <hyperlink ref="E18" r:id="rId14" display="https://www.ghy.com/trade-compliance/us-tariffs-lumber-upholstered-furniture-cabinets-vanities/"/>
    <hyperlink ref="E19" r:id="rId15" display="https://zonos.com/docs/guides/country-guides/united-states/section-338-canada-tariffs"/>
    <hyperlink ref="E20" r:id="rId16" display="https://www.everycrsreport.com/reports/R49349.html"/>
    <hyperlink ref="E21" r:id="rId17" display="https://www.whitecase.com/insight-alert/usmca-2026-joint-review-united-states-declines-extend-agreement-triggering-annual"/>
    <hyperlink ref="E22" r:id="rId18" display="https://www.skadden.com/insights/publications/2026/05/us-trade-court-strikes-down-section-122-tariffs"/>
    <hyperlink ref="E23" r:id="rId19" display="https://www.hklaw.com/en/insights/publications/2026/04/cape-has-arrived-navigating-the-next-phase-of-ieepa-duty-refunds"/>
    <hyperlink ref="E24" r:id="rId20" display="https://www.drewry.co.uk/supply-chain-advisors/supply-chain-expertise/world-container-index-assessed-by-drewry"/>
    <hyperlink ref="E25" r:id="rId21" display="https://www.whitecase.com/insight-alert/ustr-initiates-section-301-investigations-16-us-trade-partners-targeting-industrial"/>
    <hyperlink ref="E26" r:id="rId22" display="https://www.thompsonhinesmartrade.com/2026/05/ustr-launches-section-301-investigation-into-vietnams-acts-policies-and-practices-related-to-intellectual-property/"/>
    <hyperlink ref="E27" r:id="rId23" display="https://www.govinfo.gov/content/pkg/FR-1999-08-03/html/99-19807.htm"/>
    <hyperlink ref="E28" r:id="rId24" display="https://hts.usitc.gov/"/>
    <hyperlink ref="E29" r:id="rId25" display="https://www.alvarezandmarsal.com/thought-leadership/uscit-upholds-ieepa-suspension-of-de-minimis-treatment-in-axle-of-dearborn"/>
    <hyperlink ref="E30" r:id="rId26" display="https://www.cnn.com/2026/09/28/business/us-china-tariff-cuts-60-billion-intl"/>
    <hyperlink ref="E31" r:id="rId27" display="https://www.cbp.gov/sites/default/files/assets/documents/2024-Feb/Summary%20of%20Changes%20from%201991%20Directive%20to%202024%20Public%20Guidance.pdf"/>
    <hyperlink ref="E32" r:id="rId28" display="https://www.fennemorelaw.com/new-u-s-tariffs-replace-expiring-section-122-tariffs/"/>
    <hyperlink ref="E33" r:id="rId29" display="https://www.thompsonhinesmartrade.com/2026/06/president-trump-modifies-section-232-tariffs-on-aluminum-copper-and-steel-imports/"/>
    <hyperlink ref="E34" r:id="rId30" display="https://go-wsi.com/announcements/us-cbp-guidance-on-the-section-301-forced-labor-import-duties"/>
  </hyperlinks>
  <printOptions headings="false" gridLines="false" gridLinesSet="true" horizontalCentered="true" verticalCentered="false"/>
  <pageMargins left="0.4" right="0.4"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2026-09-28T19:26:12Z</dcterms:created>
  <dc:creator>openpyxl</dc:creator>
  <dc:description/>
  <dc:language>en-US</dc:language>
  <cp:lastModifiedBy/>
  <dcterms:modified xsi:type="dcterms:W3CDTF">2026-09-28T19:26:14Z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