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  <sheet state="visible" name="2025" sheetId="2" r:id="rId5"/>
  </sheets>
  <definedNames/>
  <calcPr/>
</workbook>
</file>

<file path=xl/sharedStrings.xml><?xml version="1.0" encoding="utf-8"?>
<sst xmlns="http://schemas.openxmlformats.org/spreadsheetml/2006/main" count="235" uniqueCount="48">
  <si>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</si>
  <si>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</si>
  <si>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</si>
  <si>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</si>
  <si>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</si>
  <si>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</si>
  <si>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</si>
  <si>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</si>
  <si>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</si>
  <si>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</si>
  <si>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</si>
  <si>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</si>
  <si>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</si>
  <si>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</si>
  <si>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</si>
  <si>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</si>
  <si>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Disputes &amp; Chargebacks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</si>
  <si>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</si>
  <si>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</si>
  <si>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</si>
  <si>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</si>
  <si>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</si>
  <si>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</si>
  <si>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-</t>
  </si>
  <si>
    <t>Google</t>
  </si>
  <si>
    <t>Facebook</t>
  </si>
  <si>
    <t>Snapchat</t>
  </si>
  <si>
    <t>Pinterest</t>
  </si>
  <si>
    <t>Processing Fees (Paypal, Stripe, ClearPay, Shopify Payments)</t>
  </si>
  <si>
    <t>Content Costs - Canva &amp; Adobe Creative Cloud</t>
  </si>
  <si>
    <t>Shopify / Shopify Plus</t>
  </si>
  <si>
    <t>Shopify Plus App Fees</t>
  </si>
  <si>
    <t>Klaviyo</t>
  </si>
  <si>
    <t>TripleWhale</t>
  </si>
  <si>
    <t>Virtual Assistant(s)</t>
  </si>
  <si>
    <t>Email Agency - Gorgias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</si>
  <si>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</si>
  <si>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</si>
  <si>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</si>
  <si>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</si>
  <si>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</si>
  <si>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</si>
  <si>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</si>
  <si>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>Processing Fees (Paypal, Stripe, ClearPay,Shopify)</t>
  </si>
  <si>
    <t>Content Creator</t>
  </si>
  <si>
    <t>Shopify Plus</t>
  </si>
  <si>
    <t>N/A</t>
  </si>
  <si>
    <t>CS Helpdesk - Gorgias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</si>
</sst>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#,##0.0"/>
  </numFmts>
  <fonts count="6">
    <font>
      <sz val="10.0"/>
      <color rgb="FF000000"/>
      <name val="Arial"/>
      <scheme val="minor"/>
    </font>
    <font>
      <color theme="1"/>
      <name val="Calibri"/>
    </font>
    <font>
      <color theme="1"/>
      <name val="Montserrat"/>
    </font>
    <font>
      <b/>
      <color rgb="FFFFFFFF"/>
      <name val="Montserrat"/>
    </font>
    <font>
      <color rgb="FF303030"/>
      <name val="Montserrat"/>
    </font>
    <font>
      <b/>
      <color theme="1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vertical="bottom"/>
    </xf>
    <xf borderId="0" fillId="0" fontId="2" numFmtId="3" xfId="0" applyAlignment="1" applyFont="1" applyNumberFormat="1">
      <alignment horizontal="right" vertical="bottom"/>
    </xf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2" fontId="3" numFmtId="3" xfId="0" applyAlignment="1" applyFill="1" applyFont="1" applyNumberFormat="1">
      <alignment vertical="bottom"/>
    </xf>
    <xf borderId="0" fillId="2" fontId="3" numFmtId="3" xfId="0" applyAlignment="1" applyFont="1" applyNumberFormat="1">
      <alignment horizontal="right" vertical="bottom"/>
    </xf>
    <xf borderId="0" fillId="0" fontId="2" numFmtId="3" xfId="0" applyAlignment="1" applyFont="1" applyNumberFormat="1">
      <alignment vertical="bottom"/>
    </xf>
    <xf borderId="0" fillId="3" fontId="2" numFmtId="3" xfId="0" applyAlignment="1" applyFill="1" applyFont="1" applyNumberFormat="1">
      <alignment horizontal="right" vertical="bottom"/>
    </xf>
    <xf borderId="0" fillId="4" fontId="4" numFmtId="3" xfId="0" applyAlignment="1" applyFill="1" applyFont="1" applyNumberFormat="1">
      <alignment horizontal="right" vertical="bottom"/>
    </xf>
    <xf borderId="0" fillId="3" fontId="4" numFmtId="3" xfId="0" applyAlignment="1" applyFont="1" applyNumberFormat="1">
      <alignment horizontal="right" vertical="bottom"/>
    </xf>
    <xf borderId="0" fillId="5" fontId="2" numFmtId="3" xfId="0" applyAlignment="1" applyFill="1" applyFont="1" applyNumberFormat="1">
      <alignment horizontal="right" vertical="bottom"/>
    </xf>
    <xf borderId="0" fillId="5" fontId="5" numFmtId="3" xfId="0" applyAlignment="1" applyFont="1" applyNumberFormat="1">
      <alignment vertical="bottom"/>
    </xf>
    <xf borderId="0" fillId="6" fontId="5" numFmtId="3" xfId="0" applyAlignment="1" applyFill="1" applyFont="1" applyNumberFormat="1">
      <alignment horizontal="right" vertical="bottom"/>
    </xf>
    <xf borderId="0" fillId="3" fontId="2" numFmtId="3" xfId="0" applyAlignment="1" applyFont="1" applyNumberFormat="1">
      <alignment vertical="bottom"/>
    </xf>
    <xf borderId="0" fillId="5" fontId="5" numFmtId="3" xfId="0" applyAlignment="1" applyFont="1" applyNumberFormat="1">
      <alignment horizontal="right" vertical="bottom"/>
    </xf>
    <xf borderId="0" fillId="3" fontId="2" numFmtId="3" xfId="0" applyAlignment="1" applyFont="1" applyNumberFormat="1">
      <alignment readingOrder="0" vertical="bottom"/>
    </xf>
    <xf borderId="0" fillId="3" fontId="1" numFmtId="3" xfId="0" applyAlignment="1" applyFont="1" applyNumberFormat="1">
      <alignment vertical="bottom"/>
    </xf>
    <xf borderId="0" fillId="3" fontId="2" numFmtId="165" xfId="0" applyAlignment="1" applyFont="1" applyNumberFormat="1">
      <alignment vertical="bottom"/>
    </xf>
    <xf borderId="0" fillId="0" fontId="2" numFmtId="4" xfId="0" applyAlignment="1" applyFont="1" applyNumberFormat="1">
      <alignment horizontal="right" vertical="bottom"/>
    </xf>
    <xf borderId="0" fillId="0" fontId="2" numFmtId="165" xfId="0" applyAlignment="1" applyFont="1" applyNumberFormat="1">
      <alignment horizontal="right" vertical="bottom"/>
    </xf>
    <xf borderId="0" fillId="0" fontId="1" numFmtId="10" xfId="0" applyAlignment="1" applyFont="1" applyNumberFormat="1">
      <alignment vertical="bottom"/>
    </xf>
    <xf borderId="0" fillId="4" fontId="1" numFmtId="3" xfId="0" applyAlignment="1" applyFont="1" applyNumberFormat="1">
      <alignment vertical="bottom"/>
    </xf>
    <xf borderId="1" fillId="0" fontId="2" numFmtId="3" xfId="0" applyAlignment="1" applyBorder="1" applyFont="1" applyNumberFormat="1">
      <alignment horizontal="right" vertical="bottom"/>
    </xf>
    <xf borderId="0" fillId="3" fontId="2" numFmtId="165" xfId="0" applyAlignment="1" applyFont="1" applyNumberFormat="1">
      <alignment horizontal="right" vertical="bottom"/>
    </xf>
    <xf borderId="0" fillId="0" fontId="2" numFmtId="3" xfId="0" applyAlignment="1" applyFont="1" applyNumberFormat="1">
      <alignment horizontal="center" vertical="bottom"/>
    </xf>
    <xf borderId="0" fillId="3" fontId="2" numFmtId="0" xfId="0" applyAlignment="1" applyFont="1">
      <alignment vertical="bottom"/>
    </xf>
    <xf borderId="0" fillId="3" fontId="2" numFmtId="4" xfId="0" applyAlignment="1" applyFont="1" applyNumberFormat="1">
      <alignment horizontal="right" vertical="bottom"/>
    </xf>
    <xf borderId="0" fillId="0" fontId="1" numFmtId="4" xfId="0" applyAlignment="1" applyFont="1" applyNumberFormat="1">
      <alignment vertical="bottom"/>
    </xf>
    <xf borderId="0" fillId="3" fontId="1" numFmtId="4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88"/>
  </cols>
  <sheetData>
    <row r="1">
      <c r="A1" s="1"/>
      <c r="B1" s="1"/>
      <c r="C1" s="1"/>
      <c r="D1" s="2">
        <v>2.0</v>
      </c>
      <c r="E1" s="2">
        <v>3.0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4"/>
      <c r="B3" s="5">
        <v>2024.0</v>
      </c>
      <c r="C3" s="5">
        <v>2024.0</v>
      </c>
      <c r="D3" s="5">
        <v>2024.0</v>
      </c>
      <c r="E3" s="5">
        <v>2024.0</v>
      </c>
      <c r="F3" s="5">
        <v>2024.0</v>
      </c>
      <c r="G3" s="5">
        <v>2024.0</v>
      </c>
      <c r="H3" s="5">
        <v>2024.0</v>
      </c>
      <c r="I3" s="5">
        <v>2024.0</v>
      </c>
      <c r="J3" s="5">
        <v>2024.0</v>
      </c>
      <c r="K3" s="5">
        <v>2024.0</v>
      </c>
      <c r="L3" s="5">
        <v>2024.0</v>
      </c>
      <c r="M3" s="5">
        <v>2024.0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7" t="s">
        <v>13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8" t="s">
        <v>14</v>
      </c>
      <c r="B5" s="2">
        <v>90821.40731999998</v>
      </c>
      <c r="C5" s="9">
        <v>59867.630677999994</v>
      </c>
      <c r="D5" s="2">
        <v>40120.19231</v>
      </c>
      <c r="E5" s="9">
        <v>26087.052959999997</v>
      </c>
      <c r="F5" s="9">
        <v>21180.458679</v>
      </c>
      <c r="G5" s="10">
        <v>18702.54381</v>
      </c>
      <c r="H5" s="10">
        <v>11697.0282</v>
      </c>
      <c r="I5" s="11">
        <v>20494.35949</v>
      </c>
      <c r="J5" s="9">
        <v>29804.404383</v>
      </c>
      <c r="K5" s="10">
        <v>40416.05139</v>
      </c>
      <c r="L5" s="10">
        <v>59949.091956000004</v>
      </c>
      <c r="M5" s="10">
        <v>63731.408458</v>
      </c>
      <c r="N5" s="12">
        <f t="shared" ref="N5:N8" si="1">SUM(B5:M5)</f>
        <v>482871.6296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8" t="s">
        <v>15</v>
      </c>
      <c r="B6" s="2">
        <v>2674.411308</v>
      </c>
      <c r="C6" s="9">
        <v>2408.7948549999996</v>
      </c>
      <c r="D6" s="2">
        <v>791.023457</v>
      </c>
      <c r="E6" s="9">
        <v>350.24247</v>
      </c>
      <c r="F6" s="2">
        <v>0.0</v>
      </c>
      <c r="G6" s="9">
        <v>70.384073</v>
      </c>
      <c r="H6" s="10">
        <v>702.2258099999999</v>
      </c>
      <c r="I6" s="10">
        <v>195.769412</v>
      </c>
      <c r="J6" s="11">
        <v>370.05579</v>
      </c>
      <c r="K6" s="9">
        <v>128.724882</v>
      </c>
      <c r="L6" s="10">
        <v>459.808752</v>
      </c>
      <c r="M6" s="10">
        <v>704.284224</v>
      </c>
      <c r="N6" s="12">
        <f t="shared" si="1"/>
        <v>8855.725033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8" t="s">
        <v>16</v>
      </c>
      <c r="B7" s="2">
        <v>192.01788</v>
      </c>
      <c r="C7" s="2">
        <v>1725.4324929999998</v>
      </c>
      <c r="D7" s="2">
        <v>665.8340929999999</v>
      </c>
      <c r="E7" s="2">
        <v>118.01934</v>
      </c>
      <c r="F7" s="2">
        <v>181.909615</v>
      </c>
      <c r="G7" s="2">
        <v>79.863495</v>
      </c>
      <c r="H7" s="2">
        <v>0.0</v>
      </c>
      <c r="I7" s="2">
        <v>253.508572</v>
      </c>
      <c r="J7" s="2">
        <v>1073.624526</v>
      </c>
      <c r="K7" s="2">
        <v>0.0</v>
      </c>
      <c r="L7" s="2">
        <v>564.4447180000001</v>
      </c>
      <c r="M7" s="2">
        <v>0.0</v>
      </c>
      <c r="N7" s="12">
        <f t="shared" si="1"/>
        <v>4854.654732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3" t="s">
        <v>17</v>
      </c>
      <c r="B8" s="14">
        <f t="shared" ref="B8:M8" si="2">B5-B6-B7</f>
        <v>87954.97813</v>
      </c>
      <c r="C8" s="14">
        <f t="shared" si="2"/>
        <v>55733.40333</v>
      </c>
      <c r="D8" s="14">
        <f t="shared" si="2"/>
        <v>38663.33476</v>
      </c>
      <c r="E8" s="14">
        <f t="shared" si="2"/>
        <v>25618.79115</v>
      </c>
      <c r="F8" s="14">
        <f t="shared" si="2"/>
        <v>20998.54906</v>
      </c>
      <c r="G8" s="14">
        <f t="shared" si="2"/>
        <v>18552.29624</v>
      </c>
      <c r="H8" s="14">
        <f t="shared" si="2"/>
        <v>10994.80239</v>
      </c>
      <c r="I8" s="14">
        <f t="shared" si="2"/>
        <v>20045.08151</v>
      </c>
      <c r="J8" s="14">
        <f t="shared" si="2"/>
        <v>28360.72407</v>
      </c>
      <c r="K8" s="14">
        <f t="shared" si="2"/>
        <v>40287.32651</v>
      </c>
      <c r="L8" s="14">
        <f t="shared" si="2"/>
        <v>58924.83849</v>
      </c>
      <c r="M8" s="14">
        <f t="shared" si="2"/>
        <v>63027.12423</v>
      </c>
      <c r="N8" s="14">
        <f t="shared" si="1"/>
        <v>469161.2499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4"/>
      <c r="B10" s="5">
        <v>2024.0</v>
      </c>
      <c r="C10" s="5">
        <v>2024.0</v>
      </c>
      <c r="D10" s="5">
        <v>2024.0</v>
      </c>
      <c r="E10" s="5">
        <v>2024.0</v>
      </c>
      <c r="F10" s="5">
        <v>2024.0</v>
      </c>
      <c r="G10" s="5">
        <v>2024.0</v>
      </c>
      <c r="H10" s="5">
        <v>2024.0</v>
      </c>
      <c r="I10" s="5">
        <v>2024.0</v>
      </c>
      <c r="J10" s="5">
        <v>2024.0</v>
      </c>
      <c r="K10" s="5">
        <v>2024.0</v>
      </c>
      <c r="L10" s="5">
        <v>2024.0</v>
      </c>
      <c r="M10" s="5">
        <v>2024.0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6" t="s">
        <v>18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7" t="s">
        <v>13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5" t="s">
        <v>19</v>
      </c>
      <c r="B12" s="9">
        <v>19117.9437001471</v>
      </c>
      <c r="C12" s="9">
        <v>11474.795669371</v>
      </c>
      <c r="D12" s="9">
        <v>8211.26837752898</v>
      </c>
      <c r="E12" s="9">
        <v>6415.09525697543</v>
      </c>
      <c r="F12" s="9">
        <v>4450.06406129097</v>
      </c>
      <c r="G12" s="9">
        <v>3296.00585554397</v>
      </c>
      <c r="H12" s="2">
        <v>2181.39845164533</v>
      </c>
      <c r="I12" s="9">
        <v>4132.58205840176</v>
      </c>
      <c r="J12" s="9">
        <v>5844.48530130337</v>
      </c>
      <c r="K12" s="9">
        <v>7498.45200705856</v>
      </c>
      <c r="L12" s="2">
        <v>10765.3774726979</v>
      </c>
      <c r="M12" s="2">
        <v>11310.7550321685</v>
      </c>
      <c r="N12" s="12">
        <f t="shared" ref="N12:N13" si="4">SUM(B12:M12)</f>
        <v>94698.22324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3" t="s">
        <v>20</v>
      </c>
      <c r="B13" s="16">
        <f t="shared" ref="B13:M13" si="3">MINUS(B8,B12)</f>
        <v>68837.03443</v>
      </c>
      <c r="C13" s="16">
        <f t="shared" si="3"/>
        <v>44258.60766</v>
      </c>
      <c r="D13" s="16">
        <f t="shared" si="3"/>
        <v>30452.06638</v>
      </c>
      <c r="E13" s="16">
        <f t="shared" si="3"/>
        <v>19203.69589</v>
      </c>
      <c r="F13" s="16">
        <f t="shared" si="3"/>
        <v>16548.485</v>
      </c>
      <c r="G13" s="16">
        <f t="shared" si="3"/>
        <v>15256.29039</v>
      </c>
      <c r="H13" s="16">
        <f t="shared" si="3"/>
        <v>8813.403938</v>
      </c>
      <c r="I13" s="16">
        <f t="shared" si="3"/>
        <v>15912.49945</v>
      </c>
      <c r="J13" s="16">
        <f t="shared" si="3"/>
        <v>22516.23877</v>
      </c>
      <c r="K13" s="16">
        <f t="shared" si="3"/>
        <v>32788.8745</v>
      </c>
      <c r="L13" s="16">
        <f t="shared" si="3"/>
        <v>48159.46101</v>
      </c>
      <c r="M13" s="16">
        <f t="shared" si="3"/>
        <v>51716.3692</v>
      </c>
      <c r="N13" s="16">
        <f t="shared" si="4"/>
        <v>374463.0266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4"/>
      <c r="B15" s="5">
        <v>2024.0</v>
      </c>
      <c r="C15" s="5">
        <v>2024.0</v>
      </c>
      <c r="D15" s="5">
        <v>2024.0</v>
      </c>
      <c r="E15" s="5">
        <v>2024.0</v>
      </c>
      <c r="F15" s="5">
        <v>2024.0</v>
      </c>
      <c r="G15" s="5">
        <v>2024.0</v>
      </c>
      <c r="H15" s="5">
        <v>2024.0</v>
      </c>
      <c r="I15" s="5">
        <v>2024.0</v>
      </c>
      <c r="J15" s="5">
        <v>2024.0</v>
      </c>
      <c r="K15" s="5">
        <v>2024.0</v>
      </c>
      <c r="L15" s="5">
        <v>2024.0</v>
      </c>
      <c r="M15" s="5">
        <v>2024.0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6" t="s">
        <v>21</v>
      </c>
      <c r="B16" s="6" t="s">
        <v>1</v>
      </c>
      <c r="C16" s="6" t="s">
        <v>2</v>
      </c>
      <c r="D16" s="6" t="s">
        <v>3</v>
      </c>
      <c r="E16" s="6" t="s">
        <v>4</v>
      </c>
      <c r="F16" s="6" t="s">
        <v>5</v>
      </c>
      <c r="G16" s="6" t="s">
        <v>6</v>
      </c>
      <c r="H16" s="6" t="s">
        <v>7</v>
      </c>
      <c r="I16" s="6" t="s">
        <v>8</v>
      </c>
      <c r="J16" s="6" t="s">
        <v>9</v>
      </c>
      <c r="K16" s="6" t="s">
        <v>10</v>
      </c>
      <c r="L16" s="6" t="s">
        <v>11</v>
      </c>
      <c r="M16" s="6" t="s">
        <v>12</v>
      </c>
      <c r="N16" s="7" t="s">
        <v>13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5" t="s">
        <v>22</v>
      </c>
      <c r="B17" s="2" t="s">
        <v>23</v>
      </c>
      <c r="C17" s="2" t="s">
        <v>23</v>
      </c>
      <c r="D17" s="2" t="s">
        <v>23</v>
      </c>
      <c r="E17" s="2" t="s">
        <v>23</v>
      </c>
      <c r="F17" s="2" t="s">
        <v>23</v>
      </c>
      <c r="G17" s="2" t="s">
        <v>23</v>
      </c>
      <c r="H17" s="2" t="s">
        <v>23</v>
      </c>
      <c r="I17" s="2" t="s">
        <v>23</v>
      </c>
      <c r="J17" s="2" t="s">
        <v>23</v>
      </c>
      <c r="K17" s="2" t="s">
        <v>23</v>
      </c>
      <c r="L17" s="2" t="s">
        <v>23</v>
      </c>
      <c r="M17" s="2" t="s">
        <v>23</v>
      </c>
      <c r="N17" s="12">
        <f t="shared" ref="N17:N29" si="5">SUM(B17:M17)</f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5" t="s">
        <v>24</v>
      </c>
      <c r="B18" s="2">
        <v>10277.620416</v>
      </c>
      <c r="C18" s="2">
        <v>5090.92455</v>
      </c>
      <c r="D18" s="2">
        <v>4112.658671</v>
      </c>
      <c r="E18" s="2">
        <v>843.4241999999999</v>
      </c>
      <c r="F18" s="2">
        <v>1039.26688</v>
      </c>
      <c r="G18" s="2">
        <v>1771.368507</v>
      </c>
      <c r="H18" s="2">
        <v>3515.87808</v>
      </c>
      <c r="I18" s="2">
        <v>2108.566804</v>
      </c>
      <c r="J18" s="2">
        <v>4342.411008</v>
      </c>
      <c r="K18" s="9">
        <v>2590.687726</v>
      </c>
      <c r="L18" s="2">
        <v>4376.843032</v>
      </c>
      <c r="M18" s="2">
        <v>10872.515518</v>
      </c>
      <c r="N18" s="12">
        <f t="shared" si="5"/>
        <v>50942.16539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5" t="s">
        <v>25</v>
      </c>
      <c r="B19" s="2">
        <v>29822.21</v>
      </c>
      <c r="C19" s="2">
        <v>22651.95</v>
      </c>
      <c r="D19" s="2">
        <v>17136.49</v>
      </c>
      <c r="E19" s="2">
        <v>13336.45</v>
      </c>
      <c r="F19" s="2">
        <v>12018.91</v>
      </c>
      <c r="G19" s="2">
        <v>10183.26</v>
      </c>
      <c r="H19" s="2">
        <v>5297.36</v>
      </c>
      <c r="I19" s="2">
        <v>5505.0</v>
      </c>
      <c r="J19" s="2">
        <v>6793.67</v>
      </c>
      <c r="K19" s="9">
        <v>12530.87</v>
      </c>
      <c r="L19" s="2">
        <v>11944.3</v>
      </c>
      <c r="M19" s="2">
        <v>14262.0</v>
      </c>
      <c r="N19" s="12">
        <f t="shared" si="5"/>
        <v>161482.47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5" t="s">
        <v>26</v>
      </c>
      <c r="B20" s="2" t="s">
        <v>23</v>
      </c>
      <c r="C20" s="2" t="s">
        <v>23</v>
      </c>
      <c r="D20" s="2" t="s">
        <v>23</v>
      </c>
      <c r="E20" s="2" t="s">
        <v>23</v>
      </c>
      <c r="F20" s="2" t="s">
        <v>23</v>
      </c>
      <c r="G20" s="2" t="s">
        <v>23</v>
      </c>
      <c r="H20" s="2" t="s">
        <v>23</v>
      </c>
      <c r="I20" s="2" t="s">
        <v>23</v>
      </c>
      <c r="J20" s="2" t="s">
        <v>23</v>
      </c>
      <c r="K20" s="2" t="s">
        <v>23</v>
      </c>
      <c r="L20" s="2" t="s">
        <v>23</v>
      </c>
      <c r="M20" s="2" t="s">
        <v>23</v>
      </c>
      <c r="N20" s="12">
        <f t="shared" si="5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5" t="s">
        <v>27</v>
      </c>
      <c r="B21" s="2" t="s">
        <v>23</v>
      </c>
      <c r="C21" s="2" t="s">
        <v>23</v>
      </c>
      <c r="D21" s="2" t="s">
        <v>23</v>
      </c>
      <c r="E21" s="2" t="s">
        <v>23</v>
      </c>
      <c r="F21" s="2" t="s">
        <v>23</v>
      </c>
      <c r="G21" s="2" t="s">
        <v>23</v>
      </c>
      <c r="H21" s="2" t="s">
        <v>23</v>
      </c>
      <c r="I21" s="2">
        <v>2848.5472179999997</v>
      </c>
      <c r="J21" s="2">
        <v>2147.804334</v>
      </c>
      <c r="K21" s="2">
        <v>2983.3723259999997</v>
      </c>
      <c r="L21" s="2">
        <v>2130.528078</v>
      </c>
      <c r="M21" s="2">
        <v>185.298938</v>
      </c>
      <c r="N21" s="12">
        <f t="shared" si="5"/>
        <v>10295.55089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7" t="s">
        <v>28</v>
      </c>
      <c r="B22" s="9">
        <f>990.4+1044.79</f>
        <v>2035.19</v>
      </c>
      <c r="C22" s="9">
        <f>640.42+682.47</f>
        <v>1322.89</v>
      </c>
      <c r="D22" s="9">
        <f>380.16+468.48</f>
        <v>848.64</v>
      </c>
      <c r="E22" s="9">
        <f>307.49+360.95</f>
        <v>668.44</v>
      </c>
      <c r="F22" s="9">
        <f>277.56+293.57</f>
        <v>571.13</v>
      </c>
      <c r="G22" s="9">
        <f>164.85+243.31</f>
        <v>408.16</v>
      </c>
      <c r="H22" s="9">
        <f>85.55+150.72</f>
        <v>236.27</v>
      </c>
      <c r="I22" s="9">
        <f>258.05+156.34</f>
        <v>414.39</v>
      </c>
      <c r="J22" s="9">
        <f>338.43+242.87</f>
        <v>581.3</v>
      </c>
      <c r="K22" s="9">
        <f>368.18+370.72</f>
        <v>738.9</v>
      </c>
      <c r="L22" s="9">
        <f>562.61+518.65</f>
        <v>1081.26</v>
      </c>
      <c r="M22" s="9">
        <f>443.62+712.3</f>
        <v>1155.92</v>
      </c>
      <c r="N22" s="12">
        <f t="shared" si="5"/>
        <v>10062.49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>
      <c r="A23" s="15" t="s">
        <v>29</v>
      </c>
      <c r="B23" s="2">
        <v>8.783333333333333</v>
      </c>
      <c r="C23" s="2">
        <v>8.783333333333333</v>
      </c>
      <c r="D23" s="2">
        <v>8.783333333333333</v>
      </c>
      <c r="E23" s="2">
        <v>8.783333333333333</v>
      </c>
      <c r="F23" s="2">
        <v>8.783333333333333</v>
      </c>
      <c r="G23" s="2">
        <v>7.514285714285714</v>
      </c>
      <c r="H23" s="2">
        <v>7.514285714285714</v>
      </c>
      <c r="I23" s="2">
        <v>7.514285714285714</v>
      </c>
      <c r="J23" s="2">
        <v>7.514285714285714</v>
      </c>
      <c r="K23" s="2">
        <v>7.514285714285714</v>
      </c>
      <c r="L23" s="2">
        <v>7.514285714285714</v>
      </c>
      <c r="M23" s="2">
        <v>7.514285714285714</v>
      </c>
      <c r="N23" s="12">
        <f t="shared" si="5"/>
        <v>96.51666667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9" t="s">
        <v>30</v>
      </c>
      <c r="B24" s="20">
        <v>92.0</v>
      </c>
      <c r="C24" s="2">
        <v>92.0</v>
      </c>
      <c r="D24" s="2">
        <v>92.0</v>
      </c>
      <c r="E24" s="2">
        <v>105.0</v>
      </c>
      <c r="F24" s="2">
        <v>328.57</v>
      </c>
      <c r="G24" s="2">
        <v>328.57</v>
      </c>
      <c r="H24" s="2">
        <v>328.57</v>
      </c>
      <c r="I24" s="2">
        <v>328.57</v>
      </c>
      <c r="J24" s="2">
        <v>328.57</v>
      </c>
      <c r="K24" s="2">
        <v>328.57</v>
      </c>
      <c r="L24" s="2">
        <v>328.57</v>
      </c>
      <c r="M24" s="2">
        <v>328.57</v>
      </c>
      <c r="N24" s="12">
        <f t="shared" si="5"/>
        <v>3009.56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5" t="s">
        <v>31</v>
      </c>
      <c r="B25" s="2">
        <v>740.42</v>
      </c>
      <c r="C25" s="2">
        <v>549.11</v>
      </c>
      <c r="D25" s="2">
        <v>423.96999999999997</v>
      </c>
      <c r="E25" s="2">
        <v>366.22</v>
      </c>
      <c r="F25" s="2">
        <v>612.64</v>
      </c>
      <c r="G25" s="2">
        <v>194.27</v>
      </c>
      <c r="H25" s="2">
        <v>122.89</v>
      </c>
      <c r="I25" s="2">
        <v>812.22</v>
      </c>
      <c r="J25" s="2">
        <v>313.62</v>
      </c>
      <c r="K25" s="2">
        <v>187.81</v>
      </c>
      <c r="L25" s="2">
        <v>122.41</v>
      </c>
      <c r="M25" s="11">
        <v>164.9</v>
      </c>
      <c r="N25" s="12">
        <f t="shared" si="5"/>
        <v>4610.48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5" t="s">
        <v>32</v>
      </c>
      <c r="B26" s="2">
        <v>410.0</v>
      </c>
      <c r="C26" s="2">
        <v>410.0</v>
      </c>
      <c r="D26" s="2">
        <v>410.0</v>
      </c>
      <c r="E26" s="2">
        <v>395.0</v>
      </c>
      <c r="F26" s="2">
        <v>395.0</v>
      </c>
      <c r="G26" s="2">
        <v>395.0</v>
      </c>
      <c r="H26" s="2">
        <v>395.0</v>
      </c>
      <c r="I26" s="2">
        <v>395.0</v>
      </c>
      <c r="J26" s="2">
        <v>395.0</v>
      </c>
      <c r="K26" s="9">
        <v>420.0</v>
      </c>
      <c r="L26" s="2">
        <v>640.0</v>
      </c>
      <c r="M26" s="2">
        <v>330.0</v>
      </c>
      <c r="N26" s="12">
        <f t="shared" si="5"/>
        <v>4990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5" t="s">
        <v>33</v>
      </c>
      <c r="B27" s="2">
        <v>56.525</v>
      </c>
      <c r="C27" s="2">
        <v>56.525</v>
      </c>
      <c r="D27" s="2">
        <v>83.88333333333334</v>
      </c>
      <c r="E27" s="2">
        <v>83.88333333333334</v>
      </c>
      <c r="F27" s="2">
        <v>83.88333333333334</v>
      </c>
      <c r="G27" s="21">
        <v>77.52</v>
      </c>
      <c r="H27" s="21">
        <v>79.89999999999999</v>
      </c>
      <c r="I27" s="21">
        <v>79.89999999999999</v>
      </c>
      <c r="J27" s="21">
        <v>79.89999999999999</v>
      </c>
      <c r="K27" s="21">
        <v>79.89999999999999</v>
      </c>
      <c r="L27" s="21">
        <v>79.89999999999999</v>
      </c>
      <c r="M27" s="21">
        <v>79.89999999999999</v>
      </c>
      <c r="N27" s="12">
        <f t="shared" si="5"/>
        <v>921.62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5" t="s">
        <v>34</v>
      </c>
      <c r="B28" s="2">
        <v>91.66666666666667</v>
      </c>
      <c r="C28" s="2">
        <v>91.66666666666667</v>
      </c>
      <c r="D28" s="2">
        <v>91.66666666666667</v>
      </c>
      <c r="E28" s="2">
        <v>91.66666666666667</v>
      </c>
      <c r="F28" s="2">
        <v>91.66666666666667</v>
      </c>
      <c r="G28" s="2">
        <v>78.57142857142857</v>
      </c>
      <c r="H28" s="2">
        <v>78.57142857142857</v>
      </c>
      <c r="I28" s="2">
        <v>78.57142857142857</v>
      </c>
      <c r="J28" s="2">
        <v>78.57142857142857</v>
      </c>
      <c r="K28" s="2">
        <v>78.57142857142857</v>
      </c>
      <c r="L28" s="2">
        <v>78.57142857142857</v>
      </c>
      <c r="M28" s="2">
        <v>78.57142857142857</v>
      </c>
      <c r="N28" s="12">
        <f t="shared" si="5"/>
        <v>1008.333333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5" t="s">
        <v>35</v>
      </c>
      <c r="B29" s="2">
        <v>0.0</v>
      </c>
      <c r="C29" s="2">
        <v>0.0</v>
      </c>
      <c r="D29" s="2">
        <v>60.0</v>
      </c>
      <c r="E29" s="2">
        <v>60.0</v>
      </c>
      <c r="F29" s="2">
        <v>60.0</v>
      </c>
      <c r="G29" s="2">
        <v>51.42857142857143</v>
      </c>
      <c r="H29" s="2">
        <v>51.42857142857143</v>
      </c>
      <c r="I29" s="2">
        <v>51.42857142857143</v>
      </c>
      <c r="J29" s="2">
        <v>51.42857142857143</v>
      </c>
      <c r="K29" s="2">
        <v>51.42857142857143</v>
      </c>
      <c r="L29" s="2">
        <v>51.42857142857143</v>
      </c>
      <c r="M29" s="2">
        <v>51.42857142857143</v>
      </c>
      <c r="N29" s="12">
        <f t="shared" si="5"/>
        <v>540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3" t="s">
        <v>36</v>
      </c>
      <c r="B31" s="16">
        <f t="shared" ref="B31:M31" si="6">SUM(B17:B29)</f>
        <v>43534.41542</v>
      </c>
      <c r="C31" s="16">
        <f t="shared" si="6"/>
        <v>30273.84955</v>
      </c>
      <c r="D31" s="16">
        <f t="shared" si="6"/>
        <v>23268.092</v>
      </c>
      <c r="E31" s="16">
        <f t="shared" si="6"/>
        <v>15958.86753</v>
      </c>
      <c r="F31" s="16">
        <f t="shared" si="6"/>
        <v>15209.85021</v>
      </c>
      <c r="G31" s="16">
        <f t="shared" si="6"/>
        <v>13495.66279</v>
      </c>
      <c r="H31" s="16">
        <f t="shared" si="6"/>
        <v>10113.38237</v>
      </c>
      <c r="I31" s="16">
        <f t="shared" si="6"/>
        <v>12629.70831</v>
      </c>
      <c r="J31" s="16">
        <f t="shared" si="6"/>
        <v>15119.78963</v>
      </c>
      <c r="K31" s="16">
        <f t="shared" si="6"/>
        <v>19997.62434</v>
      </c>
      <c r="L31" s="16">
        <f t="shared" si="6"/>
        <v>20841.3254</v>
      </c>
      <c r="M31" s="16">
        <f t="shared" si="6"/>
        <v>27516.61874</v>
      </c>
      <c r="N31" s="16">
        <f>SUM(B31:M31)</f>
        <v>247959.1863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8"/>
      <c r="F32" s="18"/>
      <c r="G32" s="18"/>
      <c r="H32" s="18"/>
      <c r="I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6" t="s">
        <v>37</v>
      </c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6" t="s">
        <v>7</v>
      </c>
      <c r="I33" s="6" t="s">
        <v>8</v>
      </c>
      <c r="J33" s="6" t="s">
        <v>9</v>
      </c>
      <c r="K33" s="6" t="s">
        <v>10</v>
      </c>
      <c r="L33" s="6" t="s">
        <v>11</v>
      </c>
      <c r="M33" s="6" t="s">
        <v>12</v>
      </c>
      <c r="N33" s="7" t="s">
        <v>38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3" t="s">
        <v>39</v>
      </c>
      <c r="B34" s="16">
        <f t="shared" ref="B34:M34" si="7">MINUS(B13,B31)</f>
        <v>25302.61902</v>
      </c>
      <c r="C34" s="16">
        <f t="shared" si="7"/>
        <v>13984.75811</v>
      </c>
      <c r="D34" s="16">
        <f t="shared" si="7"/>
        <v>7183.974378</v>
      </c>
      <c r="E34" s="16">
        <f t="shared" si="7"/>
        <v>3244.82836</v>
      </c>
      <c r="F34" s="16">
        <f t="shared" si="7"/>
        <v>1338.634789</v>
      </c>
      <c r="G34" s="16">
        <f t="shared" si="7"/>
        <v>1760.627594</v>
      </c>
      <c r="H34" s="16">
        <f t="shared" si="7"/>
        <v>-1299.978427</v>
      </c>
      <c r="I34" s="16">
        <f t="shared" si="7"/>
        <v>3282.79114</v>
      </c>
      <c r="J34" s="16">
        <f t="shared" si="7"/>
        <v>7396.449138</v>
      </c>
      <c r="K34" s="16">
        <f t="shared" si="7"/>
        <v>12791.25016</v>
      </c>
      <c r="L34" s="16">
        <f t="shared" si="7"/>
        <v>27318.13562</v>
      </c>
      <c r="M34" s="16">
        <f t="shared" si="7"/>
        <v>24199.75046</v>
      </c>
      <c r="N34" s="16">
        <f>SUM(B34:M34)</f>
        <v>126503.8403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6" t="s">
        <v>40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8" t="s">
        <v>25</v>
      </c>
      <c r="B38" s="2">
        <f>SUM(N19)</f>
        <v>161482.47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8" t="s">
        <v>41</v>
      </c>
      <c r="B39" s="2">
        <f>SUM(N18)</f>
        <v>50942.16539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8" t="s">
        <v>42</v>
      </c>
      <c r="B40" s="2">
        <f>sum(N17)</f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8" t="s">
        <v>26</v>
      </c>
      <c r="B41" s="2">
        <f>SUM(N20)</f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8" t="s">
        <v>27</v>
      </c>
      <c r="B42" s="2">
        <f>sum(N21)</f>
        <v>10295.55089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8"/>
      <c r="B51" s="1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8"/>
      <c r="B52" s="1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">
    <mergeCell ref="A37:B3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3.88"/>
  </cols>
  <sheetData>
    <row r="1">
      <c r="A1" s="1"/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4"/>
      <c r="B2" s="5">
        <v>2025.0</v>
      </c>
      <c r="C2" s="5">
        <v>2025.0</v>
      </c>
      <c r="D2" s="5">
        <v>2025.0</v>
      </c>
      <c r="E2" s="5">
        <v>2025.0</v>
      </c>
      <c r="F2" s="5">
        <v>2025.0</v>
      </c>
      <c r="G2" s="5">
        <v>2025.0</v>
      </c>
      <c r="H2" s="5">
        <v>2025.0</v>
      </c>
      <c r="I2" s="5">
        <v>2025.0</v>
      </c>
      <c r="J2" s="5">
        <v>2025.0</v>
      </c>
      <c r="K2" s="5">
        <v>2025.0</v>
      </c>
      <c r="L2" s="5">
        <v>2025.0</v>
      </c>
      <c r="M2" s="5">
        <v>2025.0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7" t="s">
        <v>13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8" t="s">
        <v>14</v>
      </c>
      <c r="B4" s="2">
        <v>42263.659658</v>
      </c>
      <c r="C4" s="9">
        <v>25798.18591</v>
      </c>
      <c r="D4" s="2">
        <v>21128.847153</v>
      </c>
      <c r="E4" s="9">
        <v>15423.708504</v>
      </c>
      <c r="F4" s="9">
        <v>16923.648404</v>
      </c>
      <c r="G4" s="10">
        <v>11105.42</v>
      </c>
      <c r="H4" s="10">
        <v>16832.5</v>
      </c>
      <c r="I4" s="11">
        <v>23855.61</v>
      </c>
      <c r="J4" s="9">
        <v>31747.72</v>
      </c>
      <c r="K4" s="10">
        <v>34482.13</v>
      </c>
      <c r="L4" s="23"/>
      <c r="M4" s="23"/>
      <c r="N4" s="12">
        <f t="shared" ref="N4:N7" si="1">SUM(B4:M4)</f>
        <v>239561.4296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8" t="s">
        <v>15</v>
      </c>
      <c r="B5" s="24">
        <v>203.35491</v>
      </c>
      <c r="C5" s="24">
        <v>971.4172270000001</v>
      </c>
      <c r="D5" s="24">
        <v>354.05076900000006</v>
      </c>
      <c r="E5" s="24">
        <v>922.1041759999999</v>
      </c>
      <c r="F5" s="24">
        <v>838.3771760000001</v>
      </c>
      <c r="G5" s="9">
        <v>114.48</v>
      </c>
      <c r="H5" s="10">
        <v>854.9</v>
      </c>
      <c r="I5" s="10">
        <v>138.27</v>
      </c>
      <c r="J5" s="11">
        <v>439.04</v>
      </c>
      <c r="K5" s="9">
        <v>698.57</v>
      </c>
      <c r="L5" s="23"/>
      <c r="M5" s="23"/>
      <c r="N5" s="12">
        <f t="shared" si="1"/>
        <v>5534.564258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8" t="s">
        <v>16</v>
      </c>
      <c r="B6" s="2">
        <v>532.96</v>
      </c>
      <c r="C6" s="2">
        <v>892.04</v>
      </c>
      <c r="D6" s="2">
        <v>128.07</v>
      </c>
      <c r="E6" s="2">
        <v>0.0</v>
      </c>
      <c r="F6" s="2">
        <v>0.0</v>
      </c>
      <c r="G6" s="2">
        <v>0.0</v>
      </c>
      <c r="H6" s="2">
        <v>203.49</v>
      </c>
      <c r="I6" s="2">
        <v>0.0</v>
      </c>
      <c r="J6" s="2">
        <v>0.0</v>
      </c>
      <c r="K6" s="2">
        <v>0.0</v>
      </c>
      <c r="L6" s="1"/>
      <c r="M6" s="1"/>
      <c r="N6" s="12">
        <f t="shared" si="1"/>
        <v>1756.56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3" t="s">
        <v>17</v>
      </c>
      <c r="B7" s="14">
        <f t="shared" ref="B7:M7" si="2">B4-B5-B6</f>
        <v>41527.34475</v>
      </c>
      <c r="C7" s="14">
        <f t="shared" si="2"/>
        <v>23934.72868</v>
      </c>
      <c r="D7" s="14">
        <f t="shared" si="2"/>
        <v>20646.72638</v>
      </c>
      <c r="E7" s="14">
        <f t="shared" si="2"/>
        <v>14501.60433</v>
      </c>
      <c r="F7" s="14">
        <f t="shared" si="2"/>
        <v>16085.27123</v>
      </c>
      <c r="G7" s="14">
        <f t="shared" si="2"/>
        <v>10990.94</v>
      </c>
      <c r="H7" s="14">
        <f t="shared" si="2"/>
        <v>15774.11</v>
      </c>
      <c r="I7" s="14">
        <f t="shared" si="2"/>
        <v>23717.34</v>
      </c>
      <c r="J7" s="14">
        <f t="shared" si="2"/>
        <v>31308.68</v>
      </c>
      <c r="K7" s="14">
        <f t="shared" si="2"/>
        <v>33783.56</v>
      </c>
      <c r="L7" s="14">
        <f t="shared" si="2"/>
        <v>0</v>
      </c>
      <c r="M7" s="14">
        <f t="shared" si="2"/>
        <v>0</v>
      </c>
      <c r="N7" s="14">
        <f t="shared" si="1"/>
        <v>232270.3054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4"/>
      <c r="B9" s="5">
        <v>2025.0</v>
      </c>
      <c r="C9" s="5">
        <v>2025.0</v>
      </c>
      <c r="D9" s="5">
        <v>2025.0</v>
      </c>
      <c r="E9" s="5">
        <v>2025.0</v>
      </c>
      <c r="F9" s="5">
        <v>2025.0</v>
      </c>
      <c r="G9" s="5">
        <v>2025.0</v>
      </c>
      <c r="H9" s="5">
        <v>2025.0</v>
      </c>
      <c r="I9" s="5">
        <v>2025.0</v>
      </c>
      <c r="J9" s="5">
        <v>2025.0</v>
      </c>
      <c r="K9" s="5">
        <v>2025.0</v>
      </c>
      <c r="L9" s="5">
        <v>2025.0</v>
      </c>
      <c r="M9" s="5">
        <v>2025.0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6" t="s">
        <v>18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7" t="s">
        <v>13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5" t="s">
        <v>19</v>
      </c>
      <c r="B11" s="25">
        <v>8472.394512</v>
      </c>
      <c r="C11" s="25">
        <v>4930.225090000003</v>
      </c>
      <c r="D11" s="25">
        <v>4834.793955</v>
      </c>
      <c r="E11" s="25">
        <v>2930.56</v>
      </c>
      <c r="F11" s="25">
        <v>2930.56</v>
      </c>
      <c r="G11" s="9">
        <v>2184.3</v>
      </c>
      <c r="H11" s="2">
        <v>3311.7</v>
      </c>
      <c r="I11" s="9">
        <v>4693.4</v>
      </c>
      <c r="J11" s="9">
        <v>6245.8</v>
      </c>
      <c r="K11" s="9">
        <v>6982.49</v>
      </c>
      <c r="L11" s="1"/>
      <c r="M11" s="1"/>
      <c r="N11" s="12">
        <f t="shared" ref="N11:N12" si="4">SUM(B11:M11)</f>
        <v>47516.22356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3" t="s">
        <v>20</v>
      </c>
      <c r="B12" s="16">
        <f t="shared" ref="B12:M12" si="3">MINUS(B7,B11)</f>
        <v>33054.95024</v>
      </c>
      <c r="C12" s="16">
        <f t="shared" si="3"/>
        <v>19004.50359</v>
      </c>
      <c r="D12" s="16">
        <f t="shared" si="3"/>
        <v>15811.93243</v>
      </c>
      <c r="E12" s="16">
        <f t="shared" si="3"/>
        <v>11571.04433</v>
      </c>
      <c r="F12" s="16">
        <f t="shared" si="3"/>
        <v>13154.71123</v>
      </c>
      <c r="G12" s="16">
        <f t="shared" si="3"/>
        <v>8806.64</v>
      </c>
      <c r="H12" s="16">
        <f t="shared" si="3"/>
        <v>12462.41</v>
      </c>
      <c r="I12" s="16">
        <f t="shared" si="3"/>
        <v>19023.94</v>
      </c>
      <c r="J12" s="16">
        <f t="shared" si="3"/>
        <v>25062.88</v>
      </c>
      <c r="K12" s="16">
        <f t="shared" si="3"/>
        <v>26801.07</v>
      </c>
      <c r="L12" s="16">
        <f t="shared" si="3"/>
        <v>0</v>
      </c>
      <c r="M12" s="16">
        <f t="shared" si="3"/>
        <v>0</v>
      </c>
      <c r="N12" s="16">
        <f t="shared" si="4"/>
        <v>184754.0818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4"/>
      <c r="B14" s="5">
        <v>2025.0</v>
      </c>
      <c r="C14" s="5">
        <v>2025.0</v>
      </c>
      <c r="D14" s="5">
        <v>2025.0</v>
      </c>
      <c r="E14" s="5">
        <v>2025.0</v>
      </c>
      <c r="F14" s="5">
        <v>2025.0</v>
      </c>
      <c r="G14" s="5">
        <v>2025.0</v>
      </c>
      <c r="H14" s="5">
        <v>2025.0</v>
      </c>
      <c r="I14" s="5">
        <v>2025.0</v>
      </c>
      <c r="J14" s="5">
        <v>2025.0</v>
      </c>
      <c r="K14" s="5">
        <v>2025.0</v>
      </c>
      <c r="L14" s="5">
        <v>2025.0</v>
      </c>
      <c r="M14" s="5">
        <v>2025.0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6" t="s">
        <v>21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7" t="s">
        <v>13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5" t="s">
        <v>22</v>
      </c>
      <c r="B16" s="26" t="s">
        <v>23</v>
      </c>
      <c r="C16" s="26" t="s">
        <v>23</v>
      </c>
      <c r="D16" s="26" t="s">
        <v>23</v>
      </c>
      <c r="E16" s="26" t="s">
        <v>23</v>
      </c>
      <c r="F16" s="26" t="s">
        <v>23</v>
      </c>
      <c r="G16" s="26" t="s">
        <v>23</v>
      </c>
      <c r="H16" s="26" t="s">
        <v>23</v>
      </c>
      <c r="I16" s="26" t="s">
        <v>23</v>
      </c>
      <c r="J16" s="26" t="s">
        <v>23</v>
      </c>
      <c r="K16" s="26" t="s">
        <v>23</v>
      </c>
      <c r="L16" s="26" t="s">
        <v>23</v>
      </c>
      <c r="M16" s="26" t="s">
        <v>23</v>
      </c>
      <c r="N16" s="12">
        <f t="shared" ref="N16:N29" si="5">SUM(B16:M16)</f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5" t="s">
        <v>24</v>
      </c>
      <c r="B17" s="2">
        <v>5439.396468000001</v>
      </c>
      <c r="C17" s="2">
        <v>3088.221321</v>
      </c>
      <c r="D17" s="2">
        <v>3155.1724520000002</v>
      </c>
      <c r="E17" s="2">
        <v>3757.5015679999997</v>
      </c>
      <c r="F17" s="2">
        <v>5982.154047999999</v>
      </c>
      <c r="G17" s="2">
        <v>5722.2</v>
      </c>
      <c r="H17" s="2">
        <v>6388.02</v>
      </c>
      <c r="I17" s="2">
        <v>8528.0</v>
      </c>
      <c r="J17" s="2">
        <v>7611.0</v>
      </c>
      <c r="K17" s="9">
        <v>7123.49</v>
      </c>
      <c r="L17" s="1"/>
      <c r="M17" s="1"/>
      <c r="N17" s="12">
        <f t="shared" si="5"/>
        <v>56795.15586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5" t="s">
        <v>25</v>
      </c>
      <c r="B18" s="2">
        <v>10787.39</v>
      </c>
      <c r="C18" s="2">
        <v>5360.84</v>
      </c>
      <c r="D18" s="2">
        <v>2815.01</v>
      </c>
      <c r="E18" s="2">
        <v>3049.21</v>
      </c>
      <c r="F18" s="2">
        <v>2462.97</v>
      </c>
      <c r="G18" s="2">
        <v>1475.56</v>
      </c>
      <c r="H18" s="2">
        <v>907.55</v>
      </c>
      <c r="I18" s="2">
        <v>887.41</v>
      </c>
      <c r="J18" s="2">
        <v>1319.99</v>
      </c>
      <c r="K18" s="9">
        <v>3542.04</v>
      </c>
      <c r="L18" s="1"/>
      <c r="M18" s="1"/>
      <c r="N18" s="12">
        <f t="shared" si="5"/>
        <v>32607.97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5" t="s">
        <v>26</v>
      </c>
      <c r="B19" s="26" t="s">
        <v>23</v>
      </c>
      <c r="C19" s="26" t="s">
        <v>23</v>
      </c>
      <c r="D19" s="26" t="s">
        <v>23</v>
      </c>
      <c r="E19" s="26" t="s">
        <v>23</v>
      </c>
      <c r="F19" s="26" t="s">
        <v>23</v>
      </c>
      <c r="G19" s="26" t="s">
        <v>23</v>
      </c>
      <c r="H19" s="26" t="s">
        <v>23</v>
      </c>
      <c r="I19" s="26" t="s">
        <v>23</v>
      </c>
      <c r="J19" s="26" t="s">
        <v>23</v>
      </c>
      <c r="K19" s="26" t="s">
        <v>23</v>
      </c>
      <c r="L19" s="26" t="s">
        <v>23</v>
      </c>
      <c r="M19" s="26" t="s">
        <v>23</v>
      </c>
      <c r="N19" s="12">
        <f t="shared" si="5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5" t="s">
        <v>27</v>
      </c>
      <c r="B20" s="2">
        <v>1302.12</v>
      </c>
      <c r="C20" s="2">
        <v>1888.15</v>
      </c>
      <c r="D20" s="26" t="s">
        <v>23</v>
      </c>
      <c r="E20" s="26" t="s">
        <v>23</v>
      </c>
      <c r="F20" s="26" t="s">
        <v>23</v>
      </c>
      <c r="G20" s="26" t="s">
        <v>23</v>
      </c>
      <c r="H20" s="26" t="s">
        <v>23</v>
      </c>
      <c r="I20" s="26" t="s">
        <v>23</v>
      </c>
      <c r="J20" s="26" t="s">
        <v>23</v>
      </c>
      <c r="K20" s="26" t="s">
        <v>23</v>
      </c>
      <c r="L20" s="26" t="s">
        <v>23</v>
      </c>
      <c r="M20" s="26" t="s">
        <v>23</v>
      </c>
      <c r="N20" s="12">
        <f t="shared" si="5"/>
        <v>3190.27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7" t="s">
        <v>43</v>
      </c>
      <c r="B21" s="2">
        <f>54.54+325.98+562.92+(229*0.3)</f>
        <v>1012.14</v>
      </c>
      <c r="C21" s="2">
        <f>38.04+188.93+390.44+(148*0.3)</f>
        <v>661.81</v>
      </c>
      <c r="D21" s="2">
        <f>8.58+116.3+332.42+(107*0.3)</f>
        <v>489.4</v>
      </c>
      <c r="E21" s="2">
        <f>80+191.71+(100*0.3)</f>
        <v>301.71</v>
      </c>
      <c r="F21" s="2">
        <f>5.76+214.64+180.4+(100*0.3)</f>
        <v>430.8</v>
      </c>
      <c r="G21" s="2">
        <f>29.94+1.9+246.89+(105*0.3)</f>
        <v>310.23</v>
      </c>
      <c r="H21" s="9">
        <f>18.51+25.63+333.64+(111*0.3)</f>
        <v>411.08</v>
      </c>
      <c r="I21" s="9">
        <f>25.89+87.5+428.37+(171*0.3)</f>
        <v>593.06</v>
      </c>
      <c r="J21" s="9">
        <f>41.5+90.54+801.05+(178*0.3)</f>
        <v>986.49</v>
      </c>
      <c r="K21" s="9">
        <f>783.51+(218*0.3)</f>
        <v>848.91</v>
      </c>
      <c r="L21" s="1"/>
      <c r="M21" s="1"/>
      <c r="N21" s="12">
        <f t="shared" si="5"/>
        <v>6045.63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7" t="s">
        <v>29</v>
      </c>
      <c r="B22" s="28">
        <f t="shared" ref="B22:G22" si="6">37.3/7</f>
        <v>5.328571429</v>
      </c>
      <c r="C22" s="28">
        <f t="shared" si="6"/>
        <v>5.328571429</v>
      </c>
      <c r="D22" s="28">
        <f t="shared" si="6"/>
        <v>5.328571429</v>
      </c>
      <c r="E22" s="28">
        <f t="shared" si="6"/>
        <v>5.328571429</v>
      </c>
      <c r="F22" s="28">
        <f t="shared" si="6"/>
        <v>5.328571429</v>
      </c>
      <c r="G22" s="28">
        <f t="shared" si="6"/>
        <v>5.328571429</v>
      </c>
      <c r="H22" s="20">
        <v>5.33</v>
      </c>
      <c r="I22" s="20">
        <v>5.33</v>
      </c>
      <c r="J22" s="20">
        <v>5.33</v>
      </c>
      <c r="K22" s="20">
        <v>5.33</v>
      </c>
      <c r="L22" s="29"/>
      <c r="M22" s="30"/>
      <c r="N22" s="12">
        <f t="shared" si="5"/>
        <v>53.29142857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27" t="s">
        <v>44</v>
      </c>
      <c r="B23" s="28">
        <f t="shared" ref="B23:G23" si="7">900/7</f>
        <v>128.5714286</v>
      </c>
      <c r="C23" s="28">
        <f t="shared" si="7"/>
        <v>128.5714286</v>
      </c>
      <c r="D23" s="28">
        <f t="shared" si="7"/>
        <v>128.5714286</v>
      </c>
      <c r="E23" s="28">
        <f t="shared" si="7"/>
        <v>128.5714286</v>
      </c>
      <c r="F23" s="28">
        <f t="shared" si="7"/>
        <v>128.5714286</v>
      </c>
      <c r="G23" s="28">
        <f t="shared" si="7"/>
        <v>128.5714286</v>
      </c>
      <c r="H23" s="20">
        <v>128.57</v>
      </c>
      <c r="I23" s="20">
        <v>128.57</v>
      </c>
      <c r="J23" s="20">
        <v>128.57</v>
      </c>
      <c r="K23" s="20">
        <v>128.57</v>
      </c>
      <c r="L23" s="29"/>
      <c r="M23" s="30"/>
      <c r="N23" s="12">
        <f t="shared" si="5"/>
        <v>1285.708571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5" t="s">
        <v>45</v>
      </c>
      <c r="B24" s="2">
        <f>2300/7</f>
        <v>328.5714286</v>
      </c>
      <c r="C24" s="2">
        <v>328.58</v>
      </c>
      <c r="D24" s="2">
        <v>328.58</v>
      </c>
      <c r="E24" s="2">
        <v>328.58</v>
      </c>
      <c r="F24" s="2">
        <v>328.58</v>
      </c>
      <c r="G24" s="2">
        <v>328.58</v>
      </c>
      <c r="H24" s="20">
        <v>105.0</v>
      </c>
      <c r="I24" s="20">
        <v>361.77</v>
      </c>
      <c r="J24" s="20">
        <v>410.19</v>
      </c>
      <c r="K24" s="20">
        <v>377.78</v>
      </c>
      <c r="L24" s="29"/>
      <c r="M24" s="29"/>
      <c r="N24" s="12">
        <f t="shared" si="5"/>
        <v>3226.211429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5" t="s">
        <v>31</v>
      </c>
      <c r="B25" s="2">
        <v>483.91</v>
      </c>
      <c r="C25" s="20">
        <v>386.27</v>
      </c>
      <c r="D25" s="20">
        <v>369.88</v>
      </c>
      <c r="E25" s="20">
        <v>459.46</v>
      </c>
      <c r="F25" s="2">
        <v>419.45</v>
      </c>
      <c r="G25" s="2">
        <v>171.2</v>
      </c>
      <c r="H25" s="20">
        <v>107.89</v>
      </c>
      <c r="I25" s="20" t="s">
        <v>46</v>
      </c>
      <c r="J25" s="20" t="s">
        <v>46</v>
      </c>
      <c r="K25" s="20" t="s">
        <v>46</v>
      </c>
      <c r="L25" s="29"/>
      <c r="M25" s="29"/>
      <c r="N25" s="12">
        <f t="shared" si="5"/>
        <v>2398.06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5" t="s">
        <v>32</v>
      </c>
      <c r="B26" s="2">
        <v>150.0</v>
      </c>
      <c r="C26" s="2">
        <v>150.0</v>
      </c>
      <c r="D26" s="2">
        <v>187.5</v>
      </c>
      <c r="E26" s="2">
        <v>187.5</v>
      </c>
      <c r="F26" s="2">
        <v>187.5</v>
      </c>
      <c r="G26" s="2">
        <v>187.5</v>
      </c>
      <c r="H26" s="2">
        <v>187.5</v>
      </c>
      <c r="I26" s="2">
        <v>187.5</v>
      </c>
      <c r="J26" s="2">
        <v>187.5</v>
      </c>
      <c r="K26" s="2">
        <v>187.5</v>
      </c>
      <c r="L26" s="29"/>
      <c r="M26" s="29"/>
      <c r="N26" s="12">
        <f t="shared" si="5"/>
        <v>1800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5" t="s">
        <v>33</v>
      </c>
      <c r="B27" s="2">
        <f t="shared" ref="B27:F27" si="8">559.3/7</f>
        <v>79.9</v>
      </c>
      <c r="C27" s="2">
        <f t="shared" si="8"/>
        <v>79.9</v>
      </c>
      <c r="D27" s="2">
        <f t="shared" si="8"/>
        <v>79.9</v>
      </c>
      <c r="E27" s="2">
        <f t="shared" si="8"/>
        <v>79.9</v>
      </c>
      <c r="F27" s="2">
        <f t="shared" si="8"/>
        <v>79.9</v>
      </c>
      <c r="G27" s="2">
        <f t="shared" ref="G27:K27" si="9">419.3/7</f>
        <v>59.9</v>
      </c>
      <c r="H27" s="2">
        <f t="shared" si="9"/>
        <v>59.9</v>
      </c>
      <c r="I27" s="2">
        <f t="shared" si="9"/>
        <v>59.9</v>
      </c>
      <c r="J27" s="2">
        <f t="shared" si="9"/>
        <v>59.9</v>
      </c>
      <c r="K27" s="2">
        <f t="shared" si="9"/>
        <v>59.9</v>
      </c>
      <c r="L27" s="29"/>
      <c r="M27" s="29"/>
      <c r="N27" s="12">
        <f t="shared" si="5"/>
        <v>699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5" t="s">
        <v>34</v>
      </c>
      <c r="B28" s="2">
        <f t="shared" ref="B28:G28" si="10">800/7</f>
        <v>114.2857143</v>
      </c>
      <c r="C28" s="2">
        <f t="shared" si="10"/>
        <v>114.2857143</v>
      </c>
      <c r="D28" s="2">
        <f t="shared" si="10"/>
        <v>114.2857143</v>
      </c>
      <c r="E28" s="2">
        <f t="shared" si="10"/>
        <v>114.2857143</v>
      </c>
      <c r="F28" s="2">
        <f t="shared" si="10"/>
        <v>114.2857143</v>
      </c>
      <c r="G28" s="2">
        <f t="shared" si="10"/>
        <v>114.2857143</v>
      </c>
      <c r="H28" s="2">
        <v>114.0</v>
      </c>
      <c r="I28" s="2">
        <v>114.0</v>
      </c>
      <c r="J28" s="2">
        <v>114.0</v>
      </c>
      <c r="K28" s="2">
        <v>114.0</v>
      </c>
      <c r="L28" s="29"/>
      <c r="M28" s="29"/>
      <c r="N28" s="12">
        <f t="shared" si="5"/>
        <v>1141.714286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27" t="s">
        <v>47</v>
      </c>
      <c r="B29" s="2">
        <f t="shared" ref="B29:G29" si="11">360/7</f>
        <v>51.42857143</v>
      </c>
      <c r="C29" s="2">
        <f t="shared" si="11"/>
        <v>51.42857143</v>
      </c>
      <c r="D29" s="2">
        <f t="shared" si="11"/>
        <v>51.42857143</v>
      </c>
      <c r="E29" s="2">
        <f t="shared" si="11"/>
        <v>51.42857143</v>
      </c>
      <c r="F29" s="2">
        <f t="shared" si="11"/>
        <v>51.42857143</v>
      </c>
      <c r="G29" s="2">
        <f t="shared" si="11"/>
        <v>51.42857143</v>
      </c>
      <c r="H29" s="2">
        <v>51.0</v>
      </c>
      <c r="I29" s="2">
        <v>51.0</v>
      </c>
      <c r="J29" s="2">
        <v>51.0</v>
      </c>
      <c r="K29" s="2">
        <v>51.0</v>
      </c>
      <c r="L29" s="29"/>
      <c r="M29" s="29"/>
      <c r="N29" s="12">
        <f t="shared" si="5"/>
        <v>512.5714286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3" t="s">
        <v>36</v>
      </c>
      <c r="B31" s="16">
        <f t="shared" ref="B31:M31" si="12">SUM(B16:B29)</f>
        <v>19883.04218</v>
      </c>
      <c r="C31" s="16">
        <f t="shared" si="12"/>
        <v>12243.38561</v>
      </c>
      <c r="D31" s="16">
        <f t="shared" si="12"/>
        <v>7725.056738</v>
      </c>
      <c r="E31" s="16">
        <f t="shared" si="12"/>
        <v>8463.475854</v>
      </c>
      <c r="F31" s="16">
        <f t="shared" si="12"/>
        <v>10190.96833</v>
      </c>
      <c r="G31" s="16">
        <f t="shared" si="12"/>
        <v>8554.784286</v>
      </c>
      <c r="H31" s="16">
        <f t="shared" si="12"/>
        <v>8465.84</v>
      </c>
      <c r="I31" s="16">
        <f t="shared" si="12"/>
        <v>10916.54</v>
      </c>
      <c r="J31" s="16">
        <f t="shared" si="12"/>
        <v>10873.97</v>
      </c>
      <c r="K31" s="16">
        <f t="shared" si="12"/>
        <v>12438.52</v>
      </c>
      <c r="L31" s="16">
        <f t="shared" si="12"/>
        <v>0</v>
      </c>
      <c r="M31" s="16">
        <f t="shared" si="12"/>
        <v>0</v>
      </c>
      <c r="N31" s="16">
        <f>SUM(B31:M31)</f>
        <v>109755.583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8"/>
      <c r="F32" s="18"/>
      <c r="G32" s="18"/>
      <c r="H32" s="18"/>
      <c r="I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6" t="s">
        <v>37</v>
      </c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6" t="s">
        <v>7</v>
      </c>
      <c r="I33" s="6" t="s">
        <v>8</v>
      </c>
      <c r="J33" s="6" t="s">
        <v>9</v>
      </c>
      <c r="K33" s="6" t="s">
        <v>10</v>
      </c>
      <c r="L33" s="6" t="s">
        <v>11</v>
      </c>
      <c r="M33" s="6" t="s">
        <v>12</v>
      </c>
      <c r="N33" s="7" t="s">
        <v>38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3" t="s">
        <v>39</v>
      </c>
      <c r="B34" s="16">
        <f t="shared" ref="B34:M34" si="13">MINUS(B12,B31)</f>
        <v>13171.90805</v>
      </c>
      <c r="C34" s="16">
        <f t="shared" si="13"/>
        <v>6761.117986</v>
      </c>
      <c r="D34" s="16">
        <f t="shared" si="13"/>
        <v>8086.875691</v>
      </c>
      <c r="E34" s="16">
        <f t="shared" si="13"/>
        <v>3107.568474</v>
      </c>
      <c r="F34" s="16">
        <f t="shared" si="13"/>
        <v>2963.742894</v>
      </c>
      <c r="G34" s="16">
        <f t="shared" si="13"/>
        <v>251.8557143</v>
      </c>
      <c r="H34" s="16">
        <f t="shared" si="13"/>
        <v>3996.57</v>
      </c>
      <c r="I34" s="16">
        <f t="shared" si="13"/>
        <v>8107.4</v>
      </c>
      <c r="J34" s="16">
        <f t="shared" si="13"/>
        <v>14188.91</v>
      </c>
      <c r="K34" s="16">
        <f t="shared" si="13"/>
        <v>14362.55</v>
      </c>
      <c r="L34" s="16">
        <f t="shared" si="13"/>
        <v>0</v>
      </c>
      <c r="M34" s="16">
        <f t="shared" si="13"/>
        <v>0</v>
      </c>
      <c r="N34" s="16">
        <f>SUM(B34:M34)</f>
        <v>74998.49881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31"/>
      <c r="C35" s="31"/>
      <c r="D35" s="31"/>
      <c r="E35" s="31"/>
      <c r="F35" s="3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6" t="s">
        <v>40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8" t="s">
        <v>25</v>
      </c>
      <c r="B38" s="2">
        <f>SUM(N18)</f>
        <v>32607.97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8" t="s">
        <v>41</v>
      </c>
      <c r="B39" s="2">
        <f>SUM(N17)</f>
        <v>56795.15586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8" t="s">
        <v>42</v>
      </c>
      <c r="B40" s="2">
        <f>sum(N16)</f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8" t="s">
        <v>26</v>
      </c>
      <c r="B41" s="2">
        <f>SUM(N19)</f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8" t="s">
        <v>27</v>
      </c>
      <c r="B42" s="2">
        <f>sum(N20)</f>
        <v>3190.27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8"/>
      <c r="B51" s="1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8"/>
      <c r="B52" s="1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">
    <mergeCell ref="A37:B37"/>
  </mergeCells>
  <drawing r:id="rId1"/>
</worksheet>
</file>