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ballodigital-my.sharepoint.com/personal/patrick_bohndorf_newgen_ag/Documents/"/>
    </mc:Choice>
  </mc:AlternateContent>
  <xr:revisionPtr revIDLastSave="0" documentId="8_{607CA7CD-8BD5-4550-8B8E-297D7B41FC42}" xr6:coauthVersionLast="47" xr6:coauthVersionMax="47" xr10:uidLastSave="{00000000-0000-0000-0000-000000000000}"/>
  <bookViews>
    <workbookView xWindow="-29400" yWindow="660" windowWidth="29400" windowHeight="18460" tabRatio="500" firstSheet="4" activeTab="4" xr2:uid="{00000000-000D-0000-FFFF-FFFF00000000}"/>
  </bookViews>
  <sheets>
    <sheet name="Dashboard" sheetId="1" r:id="rId1"/>
    <sheet name="Mitarbeiter" sheetId="2" r:id="rId2"/>
    <sheet name="Mandate" sheetId="3" r:id="rId3"/>
    <sheet name="Auslastung" sheetId="4" r:id="rId4"/>
    <sheet name="Burn-Down" sheetId="5" r:id="rId5"/>
  </sheets>
  <definedNames>
    <definedName name="MitarbeiterListe">OFFSET(Mitarbeiter!$B$6,0,0,MAX(COUNTA(Mitarbeiter!$B$6:$B$25),1),1)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9" i="5" l="1"/>
  <c r="D7" i="5"/>
  <c r="I29" i="4"/>
  <c r="K28" i="4"/>
  <c r="L8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F6" i="4"/>
  <c r="E6" i="4"/>
  <c r="D6" i="4"/>
  <c r="C6" i="4"/>
  <c r="V5" i="4"/>
  <c r="U5" i="4"/>
  <c r="U46" i="4" s="1"/>
  <c r="T5" i="4"/>
  <c r="S5" i="4"/>
  <c r="S34" i="4" s="1"/>
  <c r="R5" i="4"/>
  <c r="Q5" i="4"/>
  <c r="P5" i="4"/>
  <c r="O5" i="4"/>
  <c r="N5" i="4"/>
  <c r="M5" i="4"/>
  <c r="L5" i="4"/>
  <c r="K5" i="4"/>
  <c r="K55" i="4" s="1"/>
  <c r="J5" i="4"/>
  <c r="J7" i="4" s="1"/>
  <c r="I5" i="4"/>
  <c r="I20" i="4" s="1"/>
  <c r="H5" i="4"/>
  <c r="G5" i="4"/>
  <c r="F5" i="4"/>
  <c r="E5" i="4"/>
  <c r="D5" i="4"/>
  <c r="C5" i="4"/>
  <c r="H51" i="3"/>
  <c r="E51" i="3"/>
  <c r="N50" i="3"/>
  <c r="O50" i="3" s="1"/>
  <c r="L50" i="3"/>
  <c r="J50" i="3"/>
  <c r="I50" i="3"/>
  <c r="K50" i="3" s="1"/>
  <c r="N49" i="3"/>
  <c r="O49" i="3" s="1"/>
  <c r="L49" i="3"/>
  <c r="K49" i="3"/>
  <c r="J49" i="3"/>
  <c r="I49" i="3"/>
  <c r="N48" i="3"/>
  <c r="O48" i="3" s="1"/>
  <c r="L48" i="3"/>
  <c r="K48" i="3"/>
  <c r="J48" i="3"/>
  <c r="I48" i="3"/>
  <c r="N47" i="3"/>
  <c r="O47" i="3" s="1"/>
  <c r="L47" i="3"/>
  <c r="J47" i="3"/>
  <c r="I47" i="3"/>
  <c r="K47" i="3" s="1"/>
  <c r="N46" i="3"/>
  <c r="O46" i="3" s="1"/>
  <c r="L46" i="3"/>
  <c r="J46" i="3"/>
  <c r="I46" i="3"/>
  <c r="K46" i="3" s="1"/>
  <c r="N45" i="3"/>
  <c r="O45" i="3" s="1"/>
  <c r="L45" i="3"/>
  <c r="J45" i="3"/>
  <c r="I45" i="3"/>
  <c r="K45" i="3" s="1"/>
  <c r="N44" i="3"/>
  <c r="O44" i="3" s="1"/>
  <c r="L44" i="3"/>
  <c r="K44" i="3"/>
  <c r="J44" i="3"/>
  <c r="I44" i="3"/>
  <c r="N43" i="3"/>
  <c r="O43" i="3" s="1"/>
  <c r="L43" i="3"/>
  <c r="K43" i="3"/>
  <c r="J43" i="3"/>
  <c r="I43" i="3"/>
  <c r="N42" i="3"/>
  <c r="O42" i="3" s="1"/>
  <c r="L42" i="3"/>
  <c r="J42" i="3"/>
  <c r="I42" i="3"/>
  <c r="K42" i="3" s="1"/>
  <c r="N41" i="3"/>
  <c r="O41" i="3" s="1"/>
  <c r="L41" i="3"/>
  <c r="J41" i="3"/>
  <c r="I41" i="3"/>
  <c r="K41" i="3" s="1"/>
  <c r="N40" i="3"/>
  <c r="O40" i="3" s="1"/>
  <c r="L40" i="3"/>
  <c r="J40" i="3"/>
  <c r="I40" i="3"/>
  <c r="K40" i="3" s="1"/>
  <c r="N39" i="3"/>
  <c r="O39" i="3" s="1"/>
  <c r="L39" i="3"/>
  <c r="K39" i="3"/>
  <c r="J39" i="3"/>
  <c r="I39" i="3"/>
  <c r="N38" i="3"/>
  <c r="O38" i="3" s="1"/>
  <c r="L38" i="3"/>
  <c r="K38" i="3"/>
  <c r="J38" i="3"/>
  <c r="I38" i="3"/>
  <c r="N37" i="3"/>
  <c r="O37" i="3" s="1"/>
  <c r="L37" i="3"/>
  <c r="J37" i="3"/>
  <c r="I37" i="3"/>
  <c r="K37" i="3" s="1"/>
  <c r="N36" i="3"/>
  <c r="O36" i="3" s="1"/>
  <c r="L36" i="3"/>
  <c r="J36" i="3"/>
  <c r="I36" i="3"/>
  <c r="K36" i="3" s="1"/>
  <c r="N35" i="3"/>
  <c r="O35" i="3" s="1"/>
  <c r="L35" i="3"/>
  <c r="J35" i="3"/>
  <c r="I35" i="3"/>
  <c r="K35" i="3" s="1"/>
  <c r="N34" i="3"/>
  <c r="O34" i="3" s="1"/>
  <c r="L34" i="3"/>
  <c r="K34" i="3"/>
  <c r="J34" i="3"/>
  <c r="I34" i="3"/>
  <c r="N33" i="3"/>
  <c r="O33" i="3" s="1"/>
  <c r="L33" i="3"/>
  <c r="K33" i="3"/>
  <c r="J33" i="3"/>
  <c r="I33" i="3"/>
  <c r="N32" i="3"/>
  <c r="O32" i="3" s="1"/>
  <c r="L32" i="3"/>
  <c r="J32" i="3"/>
  <c r="I32" i="3"/>
  <c r="K32" i="3" s="1"/>
  <c r="N31" i="3"/>
  <c r="O31" i="3" s="1"/>
  <c r="L31" i="3"/>
  <c r="J31" i="3"/>
  <c r="I31" i="3"/>
  <c r="K31" i="3" s="1"/>
  <c r="N30" i="3"/>
  <c r="O30" i="3" s="1"/>
  <c r="L30" i="3"/>
  <c r="J30" i="3"/>
  <c r="I30" i="3"/>
  <c r="K30" i="3" s="1"/>
  <c r="N29" i="3"/>
  <c r="O29" i="3" s="1"/>
  <c r="L29" i="3"/>
  <c r="K29" i="3"/>
  <c r="J29" i="3"/>
  <c r="I29" i="3"/>
  <c r="N28" i="3"/>
  <c r="O28" i="3" s="1"/>
  <c r="L28" i="3"/>
  <c r="K28" i="3"/>
  <c r="J28" i="3"/>
  <c r="I28" i="3"/>
  <c r="N27" i="3"/>
  <c r="O27" i="3" s="1"/>
  <c r="L27" i="3"/>
  <c r="J27" i="3"/>
  <c r="I27" i="3"/>
  <c r="K27" i="3" s="1"/>
  <c r="N26" i="3"/>
  <c r="O26" i="3" s="1"/>
  <c r="L26" i="3"/>
  <c r="J26" i="3"/>
  <c r="I26" i="3"/>
  <c r="K26" i="3" s="1"/>
  <c r="N25" i="3"/>
  <c r="O25" i="3" s="1"/>
  <c r="L25" i="3"/>
  <c r="J25" i="3"/>
  <c r="I25" i="3"/>
  <c r="K25" i="3" s="1"/>
  <c r="N24" i="3"/>
  <c r="O24" i="3" s="1"/>
  <c r="L24" i="3"/>
  <c r="K24" i="3"/>
  <c r="J24" i="3"/>
  <c r="I24" i="3"/>
  <c r="N23" i="3"/>
  <c r="O23" i="3" s="1"/>
  <c r="L23" i="3"/>
  <c r="K23" i="3"/>
  <c r="J23" i="3"/>
  <c r="I23" i="3"/>
  <c r="N22" i="3"/>
  <c r="O22" i="3" s="1"/>
  <c r="L22" i="3"/>
  <c r="J22" i="3"/>
  <c r="I22" i="3"/>
  <c r="K22" i="3" s="1"/>
  <c r="N21" i="3"/>
  <c r="O21" i="3" s="1"/>
  <c r="L21" i="3"/>
  <c r="J21" i="3"/>
  <c r="I21" i="3"/>
  <c r="K21" i="3" s="1"/>
  <c r="N20" i="3"/>
  <c r="O20" i="3" s="1"/>
  <c r="L20" i="3"/>
  <c r="J20" i="3"/>
  <c r="I20" i="3"/>
  <c r="K20" i="3" s="1"/>
  <c r="N19" i="3"/>
  <c r="O19" i="3" s="1"/>
  <c r="L19" i="3"/>
  <c r="K19" i="3"/>
  <c r="J19" i="3"/>
  <c r="I19" i="3"/>
  <c r="N18" i="3"/>
  <c r="O18" i="3" s="1"/>
  <c r="L18" i="3"/>
  <c r="K18" i="3"/>
  <c r="J18" i="3"/>
  <c r="I18" i="3"/>
  <c r="N17" i="3"/>
  <c r="O17" i="3" s="1"/>
  <c r="L17" i="3"/>
  <c r="J17" i="3"/>
  <c r="I17" i="3"/>
  <c r="K17" i="3" s="1"/>
  <c r="N16" i="3"/>
  <c r="O16" i="3" s="1"/>
  <c r="L16" i="3"/>
  <c r="J16" i="3"/>
  <c r="I16" i="3"/>
  <c r="K16" i="3" s="1"/>
  <c r="N15" i="3"/>
  <c r="O15" i="3" s="1"/>
  <c r="L15" i="3"/>
  <c r="J15" i="3"/>
  <c r="I15" i="3"/>
  <c r="K15" i="3" s="1"/>
  <c r="N14" i="3"/>
  <c r="O14" i="3" s="1"/>
  <c r="L14" i="3"/>
  <c r="K14" i="3"/>
  <c r="J14" i="3"/>
  <c r="I14" i="3"/>
  <c r="N13" i="3"/>
  <c r="O13" i="3" s="1"/>
  <c r="L13" i="3"/>
  <c r="K13" i="3"/>
  <c r="J13" i="3"/>
  <c r="I13" i="3"/>
  <c r="N12" i="3"/>
  <c r="O12" i="3" s="1"/>
  <c r="L12" i="3"/>
  <c r="J12" i="3"/>
  <c r="I12" i="3"/>
  <c r="K12" i="3" s="1"/>
  <c r="N11" i="3"/>
  <c r="O11" i="3" s="1"/>
  <c r="L11" i="3"/>
  <c r="U8" i="4" s="1"/>
  <c r="J11" i="3"/>
  <c r="I11" i="3"/>
  <c r="K11" i="3" s="1"/>
  <c r="N10" i="3"/>
  <c r="O10" i="3" s="1"/>
  <c r="L10" i="3"/>
  <c r="J10" i="3"/>
  <c r="I10" i="3"/>
  <c r="K10" i="3" s="1"/>
  <c r="N9" i="3"/>
  <c r="O9" i="3" s="1"/>
  <c r="L9" i="3"/>
  <c r="G26" i="4" s="1"/>
  <c r="K9" i="3"/>
  <c r="J9" i="3"/>
  <c r="I9" i="3"/>
  <c r="N8" i="3"/>
  <c r="O8" i="3" s="1"/>
  <c r="L8" i="3"/>
  <c r="K8" i="3"/>
  <c r="J8" i="3"/>
  <c r="I8" i="3"/>
  <c r="N7" i="3"/>
  <c r="O7" i="3" s="1"/>
  <c r="L7" i="3"/>
  <c r="J7" i="3"/>
  <c r="I7" i="3"/>
  <c r="K7" i="3" s="1"/>
  <c r="N6" i="3"/>
  <c r="O6" i="3" s="1"/>
  <c r="L6" i="3"/>
  <c r="H56" i="4" s="1"/>
  <c r="J6" i="3"/>
  <c r="H9" i="1" s="1"/>
  <c r="I6" i="3"/>
  <c r="K6" i="3" s="1"/>
  <c r="D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J9" i="1"/>
  <c r="F9" i="1"/>
  <c r="D9" i="1"/>
  <c r="B9" i="1"/>
  <c r="E26" i="2" l="1"/>
  <c r="D13" i="1"/>
  <c r="D63" i="5"/>
  <c r="F63" i="5" s="1"/>
  <c r="D57" i="5"/>
  <c r="F57" i="5" s="1"/>
  <c r="D59" i="5"/>
  <c r="F59" i="5" s="1"/>
  <c r="D54" i="5"/>
  <c r="F54" i="5" s="1"/>
  <c r="D55" i="5"/>
  <c r="F55" i="5" s="1"/>
  <c r="D60" i="5"/>
  <c r="F60" i="5" s="1"/>
  <c r="D50" i="5"/>
  <c r="F50" i="5" s="1"/>
  <c r="D56" i="5"/>
  <c r="F56" i="5" s="1"/>
  <c r="D61" i="5"/>
  <c r="F61" i="5" s="1"/>
  <c r="D62" i="5"/>
  <c r="F62" i="5" s="1"/>
  <c r="D52" i="5"/>
  <c r="F52" i="5" s="1"/>
  <c r="D51" i="5"/>
  <c r="F51" i="5" s="1"/>
  <c r="D53" i="5"/>
  <c r="F53" i="5" s="1"/>
  <c r="D58" i="5"/>
  <c r="F58" i="5" s="1"/>
  <c r="T53" i="4"/>
  <c r="T56" i="4"/>
  <c r="T46" i="4"/>
  <c r="T36" i="4"/>
  <c r="T50" i="4"/>
  <c r="T40" i="4"/>
  <c r="T48" i="4"/>
  <c r="T42" i="4"/>
  <c r="T34" i="4"/>
  <c r="T28" i="4"/>
  <c r="T58" i="4"/>
  <c r="T43" i="4"/>
  <c r="T31" i="4"/>
  <c r="T29" i="4"/>
  <c r="T27" i="4"/>
  <c r="T16" i="4"/>
  <c r="T54" i="4"/>
  <c r="T52" i="4"/>
  <c r="T47" i="4"/>
  <c r="T33" i="4"/>
  <c r="T30" i="4"/>
  <c r="T26" i="4"/>
  <c r="T19" i="4"/>
  <c r="T55" i="4"/>
  <c r="T51" i="4"/>
  <c r="T25" i="4"/>
  <c r="T24" i="4"/>
  <c r="T12" i="4"/>
  <c r="T44" i="4"/>
  <c r="T15" i="4"/>
  <c r="T7" i="4"/>
  <c r="T21" i="4"/>
  <c r="T20" i="4"/>
  <c r="T39" i="4"/>
  <c r="T32" i="4"/>
  <c r="T18" i="4"/>
  <c r="T23" i="4"/>
  <c r="T13" i="4"/>
  <c r="T38" i="4"/>
  <c r="T37" i="4"/>
  <c r="T49" i="4"/>
  <c r="T45" i="4"/>
  <c r="T14" i="4"/>
  <c r="T35" i="4"/>
  <c r="T41" i="4"/>
  <c r="J8" i="4"/>
  <c r="M13" i="4"/>
  <c r="N15" i="4"/>
  <c r="M24" i="4"/>
  <c r="V27" i="4"/>
  <c r="P31" i="4"/>
  <c r="V35" i="4"/>
  <c r="M44" i="4"/>
  <c r="M36" i="4"/>
  <c r="O13" i="4"/>
  <c r="J18" i="4"/>
  <c r="L21" i="4"/>
  <c r="F32" i="4"/>
  <c r="U45" i="4"/>
  <c r="J51" i="3"/>
  <c r="L52" i="4"/>
  <c r="L42" i="4"/>
  <c r="L32" i="4"/>
  <c r="L56" i="4"/>
  <c r="L46" i="4"/>
  <c r="L50" i="4"/>
  <c r="L44" i="4"/>
  <c r="L24" i="4"/>
  <c r="L57" i="4"/>
  <c r="L51" i="4"/>
  <c r="L55" i="4"/>
  <c r="L30" i="4"/>
  <c r="L49" i="4"/>
  <c r="L45" i="4"/>
  <c r="L37" i="4"/>
  <c r="L34" i="4"/>
  <c r="L31" i="4"/>
  <c r="L23" i="4"/>
  <c r="L12" i="4"/>
  <c r="L22" i="4"/>
  <c r="L15" i="4"/>
  <c r="L48" i="4"/>
  <c r="L41" i="4"/>
  <c r="L18" i="4"/>
  <c r="L39" i="4"/>
  <c r="L36" i="4"/>
  <c r="L35" i="4"/>
  <c r="L17" i="4"/>
  <c r="L11" i="4"/>
  <c r="L10" i="4"/>
  <c r="L16" i="4"/>
  <c r="L29" i="4"/>
  <c r="L53" i="4"/>
  <c r="L27" i="4"/>
  <c r="L25" i="4"/>
  <c r="L14" i="4"/>
  <c r="L19" i="4"/>
  <c r="L58" i="4"/>
  <c r="L47" i="4"/>
  <c r="L38" i="4"/>
  <c r="L33" i="4"/>
  <c r="L26" i="4"/>
  <c r="L7" i="4"/>
  <c r="L40" i="4"/>
  <c r="L28" i="4"/>
  <c r="V52" i="4"/>
  <c r="V42" i="4"/>
  <c r="V32" i="4"/>
  <c r="V56" i="4"/>
  <c r="V46" i="4"/>
  <c r="V49" i="4"/>
  <c r="V31" i="4"/>
  <c r="V24" i="4"/>
  <c r="V54" i="4"/>
  <c r="V50" i="4"/>
  <c r="V44" i="4"/>
  <c r="V30" i="4"/>
  <c r="V48" i="4"/>
  <c r="V55" i="4"/>
  <c r="V51" i="4"/>
  <c r="V47" i="4"/>
  <c r="V40" i="4"/>
  <c r="V36" i="4"/>
  <c r="V33" i="4"/>
  <c r="V25" i="4"/>
  <c r="V12" i="4"/>
  <c r="V57" i="4"/>
  <c r="V53" i="4"/>
  <c r="V43" i="4"/>
  <c r="V23" i="4"/>
  <c r="V15" i="4"/>
  <c r="V22" i="4"/>
  <c r="V18" i="4"/>
  <c r="V16" i="4"/>
  <c r="V58" i="4"/>
  <c r="V26" i="4"/>
  <c r="V39" i="4"/>
  <c r="V38" i="4"/>
  <c r="V37" i="4"/>
  <c r="V28" i="4"/>
  <c r="V21" i="4"/>
  <c r="V13" i="4"/>
  <c r="V45" i="4"/>
  <c r="V14" i="4"/>
  <c r="V34" i="4"/>
  <c r="V17" i="4"/>
  <c r="V11" i="4"/>
  <c r="V9" i="4"/>
  <c r="V8" i="4"/>
  <c r="V29" i="4"/>
  <c r="V41" i="4"/>
  <c r="T8" i="4"/>
  <c r="I10" i="4"/>
  <c r="P18" i="4"/>
  <c r="R21" i="4"/>
  <c r="D25" i="4"/>
  <c r="N28" i="4"/>
  <c r="K32" i="4"/>
  <c r="Q36" i="4"/>
  <c r="J47" i="4"/>
  <c r="I51" i="3"/>
  <c r="U11" i="4"/>
  <c r="M8" i="4"/>
  <c r="D16" i="4"/>
  <c r="C19" i="4"/>
  <c r="E22" i="4"/>
  <c r="O25" i="4"/>
  <c r="I37" i="4"/>
  <c r="K48" i="4"/>
  <c r="K33" i="4"/>
  <c r="P37" i="4"/>
  <c r="R49" i="4"/>
  <c r="J53" i="4"/>
  <c r="J56" i="4"/>
  <c r="J46" i="4"/>
  <c r="J36" i="4"/>
  <c r="J50" i="4"/>
  <c r="J40" i="4"/>
  <c r="J43" i="4"/>
  <c r="J33" i="4"/>
  <c r="J32" i="4"/>
  <c r="J28" i="4"/>
  <c r="J54" i="4"/>
  <c r="J44" i="4"/>
  <c r="J48" i="4"/>
  <c r="J42" i="4"/>
  <c r="J49" i="4"/>
  <c r="J39" i="4"/>
  <c r="J26" i="4"/>
  <c r="J16" i="4"/>
  <c r="J45" i="4"/>
  <c r="J31" i="4"/>
  <c r="J25" i="4"/>
  <c r="J24" i="4"/>
  <c r="J19" i="4"/>
  <c r="J37" i="4"/>
  <c r="J34" i="4"/>
  <c r="J23" i="4"/>
  <c r="J12" i="4"/>
  <c r="J58" i="4"/>
  <c r="J55" i="4"/>
  <c r="J41" i="4"/>
  <c r="J21" i="4"/>
  <c r="J13" i="4"/>
  <c r="J14" i="4"/>
  <c r="J22" i="4"/>
  <c r="J35" i="4"/>
  <c r="J30" i="4"/>
  <c r="J27" i="4"/>
  <c r="J51" i="4"/>
  <c r="J29" i="4"/>
  <c r="J38" i="4"/>
  <c r="J15" i="4"/>
  <c r="J11" i="4"/>
  <c r="J10" i="4"/>
  <c r="J9" i="4"/>
  <c r="J52" i="4"/>
  <c r="J20" i="4"/>
  <c r="J57" i="4"/>
  <c r="T11" i="4"/>
  <c r="K10" i="4"/>
  <c r="I22" i="4"/>
  <c r="M7" i="4"/>
  <c r="R14" i="4"/>
  <c r="U29" i="4"/>
  <c r="K38" i="4"/>
  <c r="I51" i="4"/>
  <c r="D31" i="4"/>
  <c r="F19" i="4"/>
  <c r="P19" i="4"/>
  <c r="T22" i="4"/>
  <c r="V10" i="4"/>
  <c r="M26" i="4"/>
  <c r="D34" i="4"/>
  <c r="O39" i="4"/>
  <c r="Q52" i="4"/>
  <c r="C46" i="4"/>
  <c r="I12" i="4"/>
  <c r="H13" i="1"/>
  <c r="F13" i="1"/>
  <c r="B13" i="1"/>
  <c r="N47" i="4"/>
  <c r="H14" i="4"/>
  <c r="R25" i="4"/>
  <c r="H9" i="4"/>
  <c r="T10" i="4"/>
  <c r="O16" i="4"/>
  <c r="F47" i="4"/>
  <c r="I9" i="4"/>
  <c r="C23" i="4"/>
  <c r="D46" i="5"/>
  <c r="F46" i="5" s="1"/>
  <c r="D41" i="5"/>
  <c r="F41" i="5" s="1"/>
  <c r="D36" i="5"/>
  <c r="F36" i="5" s="1"/>
  <c r="D31" i="5"/>
  <c r="F31" i="5" s="1"/>
  <c r="D26" i="5"/>
  <c r="F26" i="5" s="1"/>
  <c r="D21" i="5"/>
  <c r="F21" i="5" s="1"/>
  <c r="D16" i="5"/>
  <c r="F16" i="5" s="1"/>
  <c r="D48" i="5"/>
  <c r="D43" i="5"/>
  <c r="D38" i="5"/>
  <c r="F38" i="5" s="1"/>
  <c r="D33" i="5"/>
  <c r="F33" i="5" s="1"/>
  <c r="D28" i="5"/>
  <c r="F28" i="5" s="1"/>
  <c r="D23" i="5"/>
  <c r="F23" i="5" s="1"/>
  <c r="D18" i="5"/>
  <c r="F18" i="5" s="1"/>
  <c r="D13" i="5"/>
  <c r="F13" i="5" s="1"/>
  <c r="D47" i="5"/>
  <c r="F47" i="5" s="1"/>
  <c r="D39" i="5"/>
  <c r="F39" i="5" s="1"/>
  <c r="D30" i="5"/>
  <c r="D22" i="5"/>
  <c r="F22" i="5" s="1"/>
  <c r="D14" i="5"/>
  <c r="F14" i="5" s="1"/>
  <c r="D19" i="5"/>
  <c r="F19" i="5" s="1"/>
  <c r="D45" i="5"/>
  <c r="F45" i="5" s="1"/>
  <c r="D32" i="5"/>
  <c r="F32" i="5" s="1"/>
  <c r="D17" i="5"/>
  <c r="F17" i="5" s="1"/>
  <c r="D37" i="5"/>
  <c r="F37" i="5" s="1"/>
  <c r="D44" i="5"/>
  <c r="F44" i="5" s="1"/>
  <c r="D35" i="5"/>
  <c r="F35" i="5" s="1"/>
  <c r="D49" i="5"/>
  <c r="F49" i="5" s="1"/>
  <c r="D27" i="5"/>
  <c r="F27" i="5" s="1"/>
  <c r="D40" i="5"/>
  <c r="F40" i="5" s="1"/>
  <c r="D25" i="5"/>
  <c r="F25" i="5" s="1"/>
  <c r="D12" i="5"/>
  <c r="F12" i="5" s="1"/>
  <c r="D34" i="5"/>
  <c r="F34" i="5" s="1"/>
  <c r="D20" i="5"/>
  <c r="F20" i="5" s="1"/>
  <c r="D29" i="5"/>
  <c r="F29" i="5" s="1"/>
  <c r="D15" i="5"/>
  <c r="F15" i="5" s="1"/>
  <c r="D42" i="5"/>
  <c r="F42" i="5" s="1"/>
  <c r="D24" i="5"/>
  <c r="F24" i="5" s="1"/>
  <c r="G52" i="4"/>
  <c r="Q42" i="4"/>
  <c r="V7" i="4"/>
  <c r="L9" i="4"/>
  <c r="H11" i="4"/>
  <c r="U14" i="4"/>
  <c r="D17" i="4"/>
  <c r="N23" i="4"/>
  <c r="O30" i="4"/>
  <c r="O40" i="4"/>
  <c r="L54" i="4"/>
  <c r="K12" i="4"/>
  <c r="O56" i="4"/>
  <c r="P57" i="4"/>
  <c r="S14" i="4"/>
  <c r="V19" i="4"/>
  <c r="R24" i="4"/>
  <c r="I11" i="4"/>
  <c r="H15" i="4"/>
  <c r="J17" i="4"/>
  <c r="L20" i="4"/>
  <c r="R23" i="4"/>
  <c r="E27" i="4"/>
  <c r="R30" i="4"/>
  <c r="D35" i="4"/>
  <c r="G10" i="4"/>
  <c r="C14" i="4"/>
  <c r="K7" i="4"/>
  <c r="S10" i="4"/>
  <c r="N16" i="4"/>
  <c r="E42" i="4"/>
  <c r="N12" i="4"/>
  <c r="C61" i="5"/>
  <c r="C56" i="5"/>
  <c r="C51" i="5"/>
  <c r="C46" i="5"/>
  <c r="C41" i="5"/>
  <c r="C36" i="5"/>
  <c r="C31" i="5"/>
  <c r="C26" i="5"/>
  <c r="C21" i="5"/>
  <c r="C16" i="5"/>
  <c r="C59" i="5"/>
  <c r="E59" i="5" s="1"/>
  <c r="C54" i="5"/>
  <c r="E54" i="5" s="1"/>
  <c r="C49" i="5"/>
  <c r="E49" i="5" s="1"/>
  <c r="C44" i="5"/>
  <c r="E44" i="5" s="1"/>
  <c r="C39" i="5"/>
  <c r="E39" i="5" s="1"/>
  <c r="C34" i="5"/>
  <c r="E34" i="5" s="1"/>
  <c r="C29" i="5"/>
  <c r="E29" i="5" s="1"/>
  <c r="C24" i="5"/>
  <c r="E24" i="5" s="1"/>
  <c r="C19" i="5"/>
  <c r="E19" i="5" s="1"/>
  <c r="C14" i="5"/>
  <c r="E14" i="5" s="1"/>
  <c r="C43" i="5"/>
  <c r="C35" i="5"/>
  <c r="E35" i="5" s="1"/>
  <c r="C27" i="5"/>
  <c r="E27" i="5" s="1"/>
  <c r="C18" i="5"/>
  <c r="C63" i="5"/>
  <c r="C60" i="5"/>
  <c r="E60" i="5" s="1"/>
  <c r="C57" i="5"/>
  <c r="E57" i="5" s="1"/>
  <c r="C47" i="5"/>
  <c r="E47" i="5" s="1"/>
  <c r="C38" i="5"/>
  <c r="C30" i="5"/>
  <c r="E30" i="5" s="1"/>
  <c r="C22" i="5"/>
  <c r="E22" i="5" s="1"/>
  <c r="C13" i="5"/>
  <c r="C58" i="5"/>
  <c r="C55" i="5"/>
  <c r="E55" i="5" s="1"/>
  <c r="C52" i="5"/>
  <c r="E52" i="5" s="1"/>
  <c r="C48" i="5"/>
  <c r="C40" i="5"/>
  <c r="E40" i="5" s="1"/>
  <c r="C32" i="5"/>
  <c r="E32" i="5" s="1"/>
  <c r="C23" i="5"/>
  <c r="E23" i="5" s="1"/>
  <c r="C15" i="5"/>
  <c r="E15" i="5" s="1"/>
  <c r="C25" i="5"/>
  <c r="E25" i="5" s="1"/>
  <c r="C12" i="5"/>
  <c r="E12" i="5" s="1"/>
  <c r="C45" i="5"/>
  <c r="E45" i="5" s="1"/>
  <c r="C17" i="5"/>
  <c r="E17" i="5" s="1"/>
  <c r="C50" i="5"/>
  <c r="E50" i="5" s="1"/>
  <c r="C62" i="5"/>
  <c r="E62" i="5" s="1"/>
  <c r="C53" i="5"/>
  <c r="C42" i="5"/>
  <c r="E42" i="5" s="1"/>
  <c r="C33" i="5"/>
  <c r="C20" i="5"/>
  <c r="E20" i="5" s="1"/>
  <c r="G50" i="4"/>
  <c r="G25" i="4"/>
  <c r="H21" i="4"/>
  <c r="Q15" i="4"/>
  <c r="Q12" i="4"/>
  <c r="P7" i="4"/>
  <c r="Q32" i="4"/>
  <c r="E30" i="4"/>
  <c r="P28" i="4"/>
  <c r="O24" i="4"/>
  <c r="G21" i="4"/>
  <c r="F16" i="4"/>
  <c r="O8" i="4"/>
  <c r="G19" i="4"/>
  <c r="E16" i="4"/>
  <c r="O12" i="4"/>
  <c r="N7" i="4"/>
  <c r="C37" i="5"/>
  <c r="E37" i="5" s="1"/>
  <c r="R8" i="4"/>
  <c r="H7" i="4"/>
  <c r="R32" i="4"/>
  <c r="Q26" i="4"/>
  <c r="G23" i="4"/>
  <c r="G16" i="4"/>
  <c r="P11" i="4"/>
  <c r="F25" i="4"/>
  <c r="H19" i="4"/>
  <c r="P15" i="4"/>
  <c r="P12" i="4"/>
  <c r="F21" i="4"/>
  <c r="U16" i="4"/>
  <c r="R7" i="4"/>
  <c r="R51" i="4"/>
  <c r="P43" i="4"/>
  <c r="F30" i="4"/>
  <c r="P24" i="4"/>
  <c r="F18" i="4"/>
  <c r="F13" i="4"/>
  <c r="P8" i="4"/>
  <c r="R31" i="4"/>
  <c r="K29" i="4"/>
  <c r="O26" i="4"/>
  <c r="F23" i="4"/>
  <c r="R18" i="4"/>
  <c r="E18" i="4"/>
  <c r="O7" i="4"/>
  <c r="N24" i="4"/>
  <c r="Q18" i="4"/>
  <c r="O15" i="4"/>
  <c r="D13" i="4"/>
  <c r="H53" i="4"/>
  <c r="F53" i="4"/>
  <c r="G35" i="4"/>
  <c r="H34" i="4"/>
  <c r="E13" i="4"/>
  <c r="K17" i="4"/>
  <c r="Q39" i="4"/>
  <c r="Q31" i="4"/>
  <c r="O28" i="4"/>
  <c r="F27" i="4"/>
  <c r="E25" i="4"/>
  <c r="D23" i="4"/>
  <c r="P13" i="4"/>
  <c r="C28" i="5"/>
  <c r="G14" i="4"/>
  <c r="P30" i="4"/>
  <c r="Q27" i="4"/>
  <c r="G24" i="4"/>
  <c r="P21" i="4"/>
  <c r="D19" i="4"/>
  <c r="R55" i="4"/>
  <c r="P49" i="4"/>
  <c r="G48" i="4"/>
  <c r="F39" i="4"/>
  <c r="G32" i="4"/>
  <c r="K26" i="4"/>
  <c r="P25" i="4"/>
  <c r="P23" i="4"/>
  <c r="U22" i="4"/>
  <c r="F22" i="4"/>
  <c r="Q19" i="4"/>
  <c r="K18" i="4"/>
  <c r="U17" i="4"/>
  <c r="H17" i="4"/>
  <c r="Q50" i="4"/>
  <c r="R45" i="4"/>
  <c r="G44" i="4"/>
  <c r="U42" i="4"/>
  <c r="K40" i="4"/>
  <c r="D39" i="4"/>
  <c r="H38" i="4"/>
  <c r="U7" i="4"/>
  <c r="Q16" i="4"/>
  <c r="H18" i="4"/>
  <c r="S9" i="4"/>
  <c r="C13" i="4"/>
  <c r="I53" i="4"/>
  <c r="I43" i="4"/>
  <c r="I33" i="4"/>
  <c r="I57" i="4"/>
  <c r="I47" i="4"/>
  <c r="I49" i="4"/>
  <c r="I34" i="4"/>
  <c r="I25" i="4"/>
  <c r="I54" i="4"/>
  <c r="I50" i="4"/>
  <c r="I31" i="4"/>
  <c r="I58" i="4"/>
  <c r="I56" i="4"/>
  <c r="I41" i="4"/>
  <c r="I30" i="4"/>
  <c r="I27" i="4"/>
  <c r="I13" i="4"/>
  <c r="I42" i="4"/>
  <c r="I39" i="4"/>
  <c r="I26" i="4"/>
  <c r="I16" i="4"/>
  <c r="I45" i="4"/>
  <c r="I24" i="4"/>
  <c r="I19" i="4"/>
  <c r="I46" i="4"/>
  <c r="I40" i="4"/>
  <c r="I28" i="4"/>
  <c r="I18" i="4"/>
  <c r="I7" i="4"/>
  <c r="I55" i="4"/>
  <c r="I23" i="4"/>
  <c r="I35" i="4"/>
  <c r="I36" i="4"/>
  <c r="I21" i="4"/>
  <c r="I14" i="4"/>
  <c r="I48" i="4"/>
  <c r="I32" i="4"/>
  <c r="I17" i="4"/>
  <c r="I44" i="4"/>
  <c r="I38" i="4"/>
  <c r="I52" i="4"/>
  <c r="S53" i="4"/>
  <c r="S43" i="4"/>
  <c r="S33" i="4"/>
  <c r="S57" i="4"/>
  <c r="S47" i="4"/>
  <c r="S41" i="4"/>
  <c r="S35" i="4"/>
  <c r="S25" i="4"/>
  <c r="S56" i="4"/>
  <c r="S58" i="4"/>
  <c r="S49" i="4"/>
  <c r="S32" i="4"/>
  <c r="S55" i="4"/>
  <c r="S40" i="4"/>
  <c r="S38" i="4"/>
  <c r="S44" i="4"/>
  <c r="S28" i="4"/>
  <c r="S13" i="4"/>
  <c r="S29" i="4"/>
  <c r="S27" i="4"/>
  <c r="S16" i="4"/>
  <c r="S54" i="4"/>
  <c r="S52" i="4"/>
  <c r="S36" i="4"/>
  <c r="S30" i="4"/>
  <c r="S26" i="4"/>
  <c r="S19" i="4"/>
  <c r="S42" i="4"/>
  <c r="S24" i="4"/>
  <c r="S22" i="4"/>
  <c r="S17" i="4"/>
  <c r="S11" i="4"/>
  <c r="S8" i="4"/>
  <c r="S15" i="4"/>
  <c r="S12" i="4"/>
  <c r="S7" i="4"/>
  <c r="S23" i="4"/>
  <c r="S21" i="4"/>
  <c r="S51" i="4"/>
  <c r="S20" i="4"/>
  <c r="S31" i="4"/>
  <c r="S18" i="4"/>
  <c r="S39" i="4"/>
  <c r="S48" i="4"/>
  <c r="S37" i="4"/>
  <c r="S50" i="4"/>
  <c r="S45" i="4"/>
  <c r="S46" i="4"/>
  <c r="I8" i="4"/>
  <c r="T9" i="4"/>
  <c r="K11" i="4"/>
  <c r="L13" i="4"/>
  <c r="I15" i="4"/>
  <c r="T17" i="4"/>
  <c r="V20" i="4"/>
  <c r="F24" i="4"/>
  <c r="P27" i="4"/>
  <c r="G31" i="4"/>
  <c r="R35" i="4"/>
  <c r="L43" i="4"/>
  <c r="T57" i="4"/>
  <c r="C48" i="4"/>
  <c r="O49" i="4"/>
  <c r="C54" i="4"/>
  <c r="C33" i="4"/>
  <c r="U34" i="4"/>
  <c r="N36" i="4"/>
  <c r="M37" i="4"/>
  <c r="D54" i="4"/>
  <c r="N57" i="4"/>
  <c r="C29" i="4"/>
  <c r="M31" i="4"/>
  <c r="K56" i="4"/>
  <c r="K49" i="4"/>
  <c r="K39" i="4"/>
  <c r="K53" i="4"/>
  <c r="K43" i="4"/>
  <c r="K54" i="4"/>
  <c r="K31" i="4"/>
  <c r="K50" i="4"/>
  <c r="K57" i="4"/>
  <c r="K51" i="4"/>
  <c r="K45" i="4"/>
  <c r="K42" i="4"/>
  <c r="K25" i="4"/>
  <c r="K24" i="4"/>
  <c r="K19" i="4"/>
  <c r="K9" i="4"/>
  <c r="K37" i="4"/>
  <c r="K34" i="4"/>
  <c r="K23" i="4"/>
  <c r="K22" i="4"/>
  <c r="K15" i="4"/>
  <c r="U56" i="4"/>
  <c r="U49" i="4"/>
  <c r="U39" i="4"/>
  <c r="U53" i="4"/>
  <c r="U43" i="4"/>
  <c r="U58" i="4"/>
  <c r="U33" i="4"/>
  <c r="U32" i="4"/>
  <c r="U47" i="4"/>
  <c r="U41" i="4"/>
  <c r="U54" i="4"/>
  <c r="U52" i="4"/>
  <c r="U30" i="4"/>
  <c r="U26" i="4"/>
  <c r="U19" i="4"/>
  <c r="U9" i="4"/>
  <c r="U55" i="4"/>
  <c r="U51" i="4"/>
  <c r="U40" i="4"/>
  <c r="U36" i="4"/>
  <c r="U25" i="4"/>
  <c r="U24" i="4"/>
  <c r="U57" i="4"/>
  <c r="U50" i="4"/>
  <c r="U23" i="4"/>
  <c r="U15" i="4"/>
  <c r="K8" i="4"/>
  <c r="U10" i="4"/>
  <c r="M12" i="4"/>
  <c r="N13" i="4"/>
  <c r="C16" i="4"/>
  <c r="P16" i="4"/>
  <c r="O18" i="4"/>
  <c r="E19" i="4"/>
  <c r="R19" i="4"/>
  <c r="K20" i="4"/>
  <c r="Q21" i="4"/>
  <c r="G22" i="4"/>
  <c r="Q23" i="4"/>
  <c r="H24" i="4"/>
  <c r="C25" i="4"/>
  <c r="Q25" i="4"/>
  <c r="D27" i="4"/>
  <c r="U27" i="4"/>
  <c r="M28" i="4"/>
  <c r="D29" i="4"/>
  <c r="Q30" i="4"/>
  <c r="N31" i="4"/>
  <c r="H33" i="4"/>
  <c r="C34" i="4"/>
  <c r="U35" i="4"/>
  <c r="O36" i="4"/>
  <c r="N37" i="4"/>
  <c r="M39" i="4"/>
  <c r="M40" i="4"/>
  <c r="H43" i="4"/>
  <c r="K44" i="4"/>
  <c r="Q49" i="4"/>
  <c r="H51" i="4"/>
  <c r="K52" i="4"/>
  <c r="E54" i="4"/>
  <c r="D56" i="4"/>
  <c r="N26" i="4"/>
  <c r="C30" i="4"/>
  <c r="M32" i="4"/>
  <c r="E34" i="4"/>
  <c r="E35" i="4"/>
  <c r="C42" i="4"/>
  <c r="N43" i="4"/>
  <c r="U44" i="4"/>
  <c r="K47" i="4"/>
  <c r="N54" i="4"/>
  <c r="M56" i="4"/>
  <c r="K58" i="4"/>
  <c r="O43" i="4"/>
  <c r="U48" i="4"/>
  <c r="N51" i="4"/>
  <c r="O54" i="4"/>
  <c r="N56" i="4"/>
  <c r="G55" i="4"/>
  <c r="Q58" i="4"/>
  <c r="C55" i="4"/>
  <c r="C45" i="4"/>
  <c r="C35" i="4"/>
  <c r="C58" i="4"/>
  <c r="C49" i="4"/>
  <c r="C52" i="4"/>
  <c r="C27" i="4"/>
  <c r="C53" i="4"/>
  <c r="C47" i="4"/>
  <c r="C41" i="4"/>
  <c r="C39" i="4"/>
  <c r="C38" i="4"/>
  <c r="C51" i="4"/>
  <c r="C57" i="4"/>
  <c r="C40" i="4"/>
  <c r="C32" i="4"/>
  <c r="C15" i="4"/>
  <c r="C18" i="4"/>
  <c r="C50" i="4"/>
  <c r="C43" i="4"/>
  <c r="C21" i="4"/>
  <c r="C11" i="4"/>
  <c r="C56" i="4"/>
  <c r="C44" i="4"/>
  <c r="M55" i="4"/>
  <c r="M45" i="4"/>
  <c r="M35" i="4"/>
  <c r="M58" i="4"/>
  <c r="M49" i="4"/>
  <c r="M57" i="4"/>
  <c r="M51" i="4"/>
  <c r="M27" i="4"/>
  <c r="M52" i="4"/>
  <c r="M54" i="4"/>
  <c r="M43" i="4"/>
  <c r="M22" i="4"/>
  <c r="M15" i="4"/>
  <c r="M48" i="4"/>
  <c r="M41" i="4"/>
  <c r="M18" i="4"/>
  <c r="M38" i="4"/>
  <c r="M21" i="4"/>
  <c r="M11" i="4"/>
  <c r="M42" i="4"/>
  <c r="C7" i="4"/>
  <c r="C8" i="4"/>
  <c r="C9" i="4"/>
  <c r="N9" i="4"/>
  <c r="M10" i="4"/>
  <c r="N11" i="4"/>
  <c r="D12" i="4"/>
  <c r="M33" i="4"/>
  <c r="E58" i="4"/>
  <c r="E51" i="4"/>
  <c r="E41" i="4"/>
  <c r="E55" i="4"/>
  <c r="E45" i="4"/>
  <c r="E53" i="4"/>
  <c r="E47" i="4"/>
  <c r="E39" i="4"/>
  <c r="E23" i="4"/>
  <c r="E56" i="4"/>
  <c r="E48" i="4"/>
  <c r="E36" i="4"/>
  <c r="E50" i="4"/>
  <c r="E43" i="4"/>
  <c r="E21" i="4"/>
  <c r="E11" i="4"/>
  <c r="E33" i="4"/>
  <c r="E14" i="4"/>
  <c r="E46" i="4"/>
  <c r="E29" i="4"/>
  <c r="E17" i="4"/>
  <c r="E52" i="4"/>
  <c r="E40" i="4"/>
  <c r="O58" i="4"/>
  <c r="O51" i="4"/>
  <c r="O41" i="4"/>
  <c r="O31" i="4"/>
  <c r="O55" i="4"/>
  <c r="O45" i="4"/>
  <c r="O23" i="4"/>
  <c r="O52" i="4"/>
  <c r="O47" i="4"/>
  <c r="O38" i="4"/>
  <c r="O37" i="4"/>
  <c r="O29" i="4"/>
  <c r="O57" i="4"/>
  <c r="O48" i="4"/>
  <c r="O21" i="4"/>
  <c r="O11" i="4"/>
  <c r="O35" i="4"/>
  <c r="O32" i="4"/>
  <c r="O14" i="4"/>
  <c r="O53" i="4"/>
  <c r="O44" i="4"/>
  <c r="O17" i="4"/>
  <c r="D9" i="4"/>
  <c r="O9" i="4"/>
  <c r="C10" i="4"/>
  <c r="N10" i="4"/>
  <c r="U13" i="4"/>
  <c r="K14" i="4"/>
  <c r="D15" i="4"/>
  <c r="O20" i="4"/>
  <c r="U21" i="4"/>
  <c r="O22" i="4"/>
  <c r="C31" i="4"/>
  <c r="K46" i="4"/>
  <c r="M47" i="4"/>
  <c r="F54" i="4"/>
  <c r="F44" i="4"/>
  <c r="F34" i="4"/>
  <c r="F58" i="4"/>
  <c r="F48" i="4"/>
  <c r="F41" i="4"/>
  <c r="F38" i="4"/>
  <c r="F37" i="4"/>
  <c r="F26" i="4"/>
  <c r="F56" i="4"/>
  <c r="F42" i="4"/>
  <c r="F35" i="4"/>
  <c r="F55" i="4"/>
  <c r="F52" i="4"/>
  <c r="F46" i="4"/>
  <c r="F40" i="4"/>
  <c r="F33" i="4"/>
  <c r="F14" i="4"/>
  <c r="F36" i="4"/>
  <c r="F29" i="4"/>
  <c r="F17" i="4"/>
  <c r="F49" i="4"/>
  <c r="F28" i="4"/>
  <c r="F20" i="4"/>
  <c r="F51" i="4"/>
  <c r="F50" i="4"/>
  <c r="F43" i="4"/>
  <c r="P54" i="4"/>
  <c r="P44" i="4"/>
  <c r="P34" i="4"/>
  <c r="P58" i="4"/>
  <c r="P48" i="4"/>
  <c r="P52" i="4"/>
  <c r="P46" i="4"/>
  <c r="P40" i="4"/>
  <c r="P39" i="4"/>
  <c r="P26" i="4"/>
  <c r="P55" i="4"/>
  <c r="P53" i="4"/>
  <c r="P41" i="4"/>
  <c r="P36" i="4"/>
  <c r="P51" i="4"/>
  <c r="P35" i="4"/>
  <c r="P32" i="4"/>
  <c r="P14" i="4"/>
  <c r="P38" i="4"/>
  <c r="P17" i="4"/>
  <c r="P47" i="4"/>
  <c r="P20" i="4"/>
  <c r="P45" i="4"/>
  <c r="F7" i="4"/>
  <c r="F8" i="4"/>
  <c r="Q8" i="4"/>
  <c r="E9" i="4"/>
  <c r="P9" i="4"/>
  <c r="D10" i="4"/>
  <c r="O10" i="4"/>
  <c r="D11" i="4"/>
  <c r="Q11" i="4"/>
  <c r="F12" i="4"/>
  <c r="R12" i="4"/>
  <c r="H13" i="4"/>
  <c r="E15" i="4"/>
  <c r="R15" i="4"/>
  <c r="K16" i="4"/>
  <c r="N17" i="4"/>
  <c r="G18" i="4"/>
  <c r="M19" i="4"/>
  <c r="C20" i="4"/>
  <c r="P22" i="4"/>
  <c r="H23" i="4"/>
  <c r="C24" i="4"/>
  <c r="Q24" i="4"/>
  <c r="C26" i="4"/>
  <c r="R26" i="4"/>
  <c r="D28" i="4"/>
  <c r="M29" i="4"/>
  <c r="U31" i="4"/>
  <c r="O33" i="4"/>
  <c r="N34" i="4"/>
  <c r="C37" i="4"/>
  <c r="H41" i="4"/>
  <c r="P42" i="4"/>
  <c r="Q43" i="4"/>
  <c r="F45" i="4"/>
  <c r="M46" i="4"/>
  <c r="M50" i="4"/>
  <c r="H55" i="4"/>
  <c r="P56" i="4"/>
  <c r="R58" i="4"/>
  <c r="D55" i="4"/>
  <c r="D58" i="4"/>
  <c r="D48" i="4"/>
  <c r="D38" i="4"/>
  <c r="D52" i="4"/>
  <c r="D42" i="4"/>
  <c r="D46" i="4"/>
  <c r="D40" i="4"/>
  <c r="D30" i="4"/>
  <c r="D53" i="4"/>
  <c r="D37" i="4"/>
  <c r="D45" i="4"/>
  <c r="D51" i="4"/>
  <c r="D18" i="4"/>
  <c r="D8" i="4"/>
  <c r="D50" i="4"/>
  <c r="D43" i="4"/>
  <c r="D21" i="4"/>
  <c r="D36" i="4"/>
  <c r="D33" i="4"/>
  <c r="D14" i="4"/>
  <c r="D57" i="4"/>
  <c r="D47" i="4"/>
  <c r="N55" i="4"/>
  <c r="N58" i="4"/>
  <c r="N48" i="4"/>
  <c r="N38" i="4"/>
  <c r="N52" i="4"/>
  <c r="N42" i="4"/>
  <c r="N45" i="4"/>
  <c r="N30" i="4"/>
  <c r="N46" i="4"/>
  <c r="N40" i="4"/>
  <c r="N39" i="4"/>
  <c r="N50" i="4"/>
  <c r="N44" i="4"/>
  <c r="N41" i="4"/>
  <c r="N18" i="4"/>
  <c r="N8" i="4"/>
  <c r="N21" i="4"/>
  <c r="N35" i="4"/>
  <c r="N32" i="4"/>
  <c r="N14" i="4"/>
  <c r="N49" i="4"/>
  <c r="D7" i="4"/>
  <c r="N20" i="4"/>
  <c r="E7" i="4"/>
  <c r="E12" i="4"/>
  <c r="M17" i="4"/>
  <c r="K27" i="4"/>
  <c r="C28" i="4"/>
  <c r="U28" i="4"/>
  <c r="N33" i="4"/>
  <c r="M34" i="4"/>
  <c r="C36" i="4"/>
  <c r="U37" i="4"/>
  <c r="U38" i="4"/>
  <c r="D41" i="4"/>
  <c r="O42" i="4"/>
  <c r="G8" i="4"/>
  <c r="F9" i="4"/>
  <c r="Q9" i="4"/>
  <c r="E10" i="4"/>
  <c r="P10" i="4"/>
  <c r="F11" i="4"/>
  <c r="R11" i="4"/>
  <c r="G12" i="4"/>
  <c r="M14" i="4"/>
  <c r="F15" i="4"/>
  <c r="R17" i="4"/>
  <c r="U18" i="4"/>
  <c r="N19" i="4"/>
  <c r="D20" i="4"/>
  <c r="C22" i="4"/>
  <c r="Q22" i="4"/>
  <c r="D24" i="4"/>
  <c r="M25" i="4"/>
  <c r="D26" i="4"/>
  <c r="N27" i="4"/>
  <c r="E28" i="4"/>
  <c r="N29" i="4"/>
  <c r="K30" i="4"/>
  <c r="E31" i="4"/>
  <c r="D32" i="4"/>
  <c r="P33" i="4"/>
  <c r="O34" i="4"/>
  <c r="K35" i="4"/>
  <c r="K36" i="4"/>
  <c r="E37" i="4"/>
  <c r="E38" i="4"/>
  <c r="G40" i="4"/>
  <c r="D44" i="4"/>
  <c r="G45" i="4"/>
  <c r="O46" i="4"/>
  <c r="D49" i="4"/>
  <c r="O50" i="4"/>
  <c r="M53" i="4"/>
  <c r="E57" i="4"/>
  <c r="M9" i="4"/>
  <c r="C12" i="4"/>
  <c r="M20" i="4"/>
  <c r="N22" i="4"/>
  <c r="E8" i="4"/>
  <c r="G54" i="4"/>
  <c r="G57" i="4"/>
  <c r="G47" i="4"/>
  <c r="G37" i="4"/>
  <c r="G51" i="4"/>
  <c r="G41" i="4"/>
  <c r="G58" i="4"/>
  <c r="G56" i="4"/>
  <c r="G36" i="4"/>
  <c r="G29" i="4"/>
  <c r="G49" i="4"/>
  <c r="G43" i="4"/>
  <c r="G34" i="4"/>
  <c r="G33" i="4"/>
  <c r="G53" i="4"/>
  <c r="G39" i="4"/>
  <c r="G17" i="4"/>
  <c r="G7" i="4"/>
  <c r="G46" i="4"/>
  <c r="G28" i="4"/>
  <c r="G20" i="4"/>
  <c r="G42" i="4"/>
  <c r="G30" i="4"/>
  <c r="G27" i="4"/>
  <c r="G13" i="4"/>
  <c r="Q54" i="4"/>
  <c r="Q57" i="4"/>
  <c r="Q47" i="4"/>
  <c r="Q37" i="4"/>
  <c r="Q51" i="4"/>
  <c r="Q41" i="4"/>
  <c r="Q55" i="4"/>
  <c r="Q38" i="4"/>
  <c r="Q29" i="4"/>
  <c r="Q53" i="4"/>
  <c r="Q35" i="4"/>
  <c r="Q45" i="4"/>
  <c r="Q17" i="4"/>
  <c r="Q7" i="4"/>
  <c r="Q44" i="4"/>
  <c r="Q20" i="4"/>
  <c r="Q56" i="4"/>
  <c r="Q40" i="4"/>
  <c r="Q33" i="4"/>
  <c r="Q28" i="4"/>
  <c r="Q13" i="4"/>
  <c r="Q48" i="4"/>
  <c r="H57" i="4"/>
  <c r="H50" i="4"/>
  <c r="H40" i="4"/>
  <c r="H54" i="4"/>
  <c r="H44" i="4"/>
  <c r="H48" i="4"/>
  <c r="H42" i="4"/>
  <c r="H35" i="4"/>
  <c r="H22" i="4"/>
  <c r="H32" i="4"/>
  <c r="H47" i="4"/>
  <c r="H46" i="4"/>
  <c r="H36" i="4"/>
  <c r="H29" i="4"/>
  <c r="H28" i="4"/>
  <c r="H20" i="4"/>
  <c r="H10" i="4"/>
  <c r="H49" i="4"/>
  <c r="H30" i="4"/>
  <c r="H27" i="4"/>
  <c r="H39" i="4"/>
  <c r="H31" i="4"/>
  <c r="H26" i="4"/>
  <c r="H25" i="4"/>
  <c r="H16" i="4"/>
  <c r="H58" i="4"/>
  <c r="R57" i="4"/>
  <c r="R50" i="4"/>
  <c r="R40" i="4"/>
  <c r="R54" i="4"/>
  <c r="R44" i="4"/>
  <c r="R53" i="4"/>
  <c r="R47" i="4"/>
  <c r="R37" i="4"/>
  <c r="R36" i="4"/>
  <c r="R22" i="4"/>
  <c r="R56" i="4"/>
  <c r="R48" i="4"/>
  <c r="R42" i="4"/>
  <c r="R34" i="4"/>
  <c r="R33" i="4"/>
  <c r="R52" i="4"/>
  <c r="R46" i="4"/>
  <c r="R39" i="4"/>
  <c r="R38" i="4"/>
  <c r="R20" i="4"/>
  <c r="R10" i="4"/>
  <c r="R28" i="4"/>
  <c r="R13" i="4"/>
  <c r="R43" i="4"/>
  <c r="R29" i="4"/>
  <c r="R27" i="4"/>
  <c r="R16" i="4"/>
  <c r="R41" i="4"/>
  <c r="H8" i="4"/>
  <c r="G9" i="4"/>
  <c r="R9" i="4"/>
  <c r="F10" i="4"/>
  <c r="Q10" i="4"/>
  <c r="G11" i="4"/>
  <c r="H12" i="4"/>
  <c r="U12" i="4"/>
  <c r="K13" i="4"/>
  <c r="Q14" i="4"/>
  <c r="G15" i="4"/>
  <c r="M16" i="4"/>
  <c r="C17" i="4"/>
  <c r="O19" i="4"/>
  <c r="E20" i="4"/>
  <c r="U20" i="4"/>
  <c r="K21" i="4"/>
  <c r="D22" i="4"/>
  <c r="M23" i="4"/>
  <c r="E24" i="4"/>
  <c r="N25" i="4"/>
  <c r="E26" i="4"/>
  <c r="O27" i="4"/>
  <c r="P29" i="4"/>
  <c r="M30" i="4"/>
  <c r="F31" i="4"/>
  <c r="E32" i="4"/>
  <c r="Q34" i="4"/>
  <c r="H37" i="4"/>
  <c r="G38" i="4"/>
  <c r="K41" i="4"/>
  <c r="E44" i="4"/>
  <c r="H45" i="4"/>
  <c r="Q46" i="4"/>
  <c r="E49" i="4"/>
  <c r="P50" i="4"/>
  <c r="H52" i="4"/>
  <c r="N53" i="4"/>
  <c r="F57" i="4"/>
  <c r="F48" i="5"/>
  <c r="E16" i="5"/>
  <c r="E21" i="5"/>
  <c r="E26" i="5"/>
  <c r="E31" i="5"/>
  <c r="E36" i="5"/>
  <c r="E41" i="5"/>
  <c r="E46" i="5"/>
  <c r="E51" i="5"/>
  <c r="E56" i="5"/>
  <c r="E61" i="5"/>
  <c r="F30" i="5"/>
  <c r="E13" i="5"/>
  <c r="E18" i="5"/>
  <c r="E28" i="5"/>
  <c r="E33" i="5"/>
  <c r="E38" i="5"/>
  <c r="E43" i="5"/>
  <c r="E48" i="5"/>
  <c r="E53" i="5"/>
  <c r="E58" i="5"/>
  <c r="E63" i="5"/>
  <c r="F43" i="5"/>
  <c r="Y31" i="4" l="1"/>
  <c r="X31" i="4"/>
  <c r="W31" i="4"/>
  <c r="Y12" i="4"/>
  <c r="X12" i="4"/>
  <c r="W12" i="4"/>
  <c r="W10" i="4"/>
  <c r="Y10" i="4"/>
  <c r="X10" i="4"/>
  <c r="X20" i="4"/>
  <c r="W20" i="4"/>
  <c r="Y20" i="4"/>
  <c r="X50" i="4"/>
  <c r="W50" i="4"/>
  <c r="Y50" i="4"/>
  <c r="W47" i="4"/>
  <c r="Y47" i="4"/>
  <c r="X47" i="4"/>
  <c r="Y34" i="4"/>
  <c r="X34" i="4"/>
  <c r="W34" i="4"/>
  <c r="Y23" i="4"/>
  <c r="W23" i="4"/>
  <c r="X23" i="4"/>
  <c r="X48" i="4"/>
  <c r="Y48" i="4"/>
  <c r="W48" i="4"/>
  <c r="Y17" i="4"/>
  <c r="X17" i="4"/>
  <c r="W17" i="4"/>
  <c r="X9" i="4"/>
  <c r="Y9" i="4"/>
  <c r="W9" i="4"/>
  <c r="W15" i="4"/>
  <c r="Y15" i="4"/>
  <c r="X15" i="4"/>
  <c r="W27" i="4"/>
  <c r="Y27" i="4"/>
  <c r="X27" i="4"/>
  <c r="X42" i="4"/>
  <c r="W42" i="4"/>
  <c r="Y42" i="4"/>
  <c r="Y29" i="4"/>
  <c r="W29" i="4"/>
  <c r="X29" i="4"/>
  <c r="X18" i="4"/>
  <c r="W18" i="4"/>
  <c r="Y18" i="4"/>
  <c r="X8" i="4"/>
  <c r="Y8" i="4"/>
  <c r="W8" i="4"/>
  <c r="X32" i="4"/>
  <c r="W32" i="4"/>
  <c r="Y32" i="4"/>
  <c r="X52" i="4"/>
  <c r="W52" i="4"/>
  <c r="Y52" i="4"/>
  <c r="Y46" i="4"/>
  <c r="X46" i="4"/>
  <c r="W46" i="4"/>
  <c r="Y7" i="4"/>
  <c r="W7" i="4"/>
  <c r="X7" i="4"/>
  <c r="W40" i="4"/>
  <c r="Y40" i="4"/>
  <c r="X40" i="4"/>
  <c r="W49" i="4"/>
  <c r="Y49" i="4"/>
  <c r="X49" i="4"/>
  <c r="X13" i="4"/>
  <c r="W13" i="4"/>
  <c r="Y13" i="4"/>
  <c r="Y36" i="4"/>
  <c r="X36" i="4"/>
  <c r="W36" i="4"/>
  <c r="X22" i="4"/>
  <c r="W22" i="4"/>
  <c r="Y22" i="4"/>
  <c r="W26" i="4"/>
  <c r="Y26" i="4"/>
  <c r="X26" i="4"/>
  <c r="X44" i="4"/>
  <c r="Y44" i="4"/>
  <c r="W44" i="4"/>
  <c r="Y57" i="4"/>
  <c r="X57" i="4"/>
  <c r="W57" i="4"/>
  <c r="Y58" i="4"/>
  <c r="X58" i="4"/>
  <c r="W58" i="4"/>
  <c r="Y14" i="4"/>
  <c r="X14" i="4"/>
  <c r="W14" i="4"/>
  <c r="W19" i="4"/>
  <c r="X19" i="4"/>
  <c r="Y19" i="4"/>
  <c r="W53" i="4"/>
  <c r="X53" i="4"/>
  <c r="Y53" i="4"/>
  <c r="W56" i="4"/>
  <c r="Y56" i="4"/>
  <c r="X56" i="4"/>
  <c r="Y51" i="4"/>
  <c r="X51" i="4"/>
  <c r="W51" i="4"/>
  <c r="W35" i="4"/>
  <c r="Y35" i="4"/>
  <c r="X35" i="4"/>
  <c r="X30" i="4"/>
  <c r="Y30" i="4"/>
  <c r="W30" i="4"/>
  <c r="X38" i="4"/>
  <c r="Y38" i="4"/>
  <c r="W38" i="4"/>
  <c r="W45" i="4"/>
  <c r="Y45" i="4"/>
  <c r="X45" i="4"/>
  <c r="W24" i="4"/>
  <c r="Y24" i="4"/>
  <c r="X24" i="4"/>
  <c r="Y11" i="4"/>
  <c r="W11" i="4"/>
  <c r="X11" i="4"/>
  <c r="X28" i="4"/>
  <c r="W28" i="4"/>
  <c r="Y28" i="4"/>
  <c r="Y37" i="4"/>
  <c r="X37" i="4"/>
  <c r="W37" i="4"/>
  <c r="Y21" i="4"/>
  <c r="X21" i="4"/>
  <c r="W21" i="4"/>
  <c r="Y39" i="4"/>
  <c r="X39" i="4"/>
  <c r="W39" i="4"/>
  <c r="X55" i="4"/>
  <c r="W55" i="4"/>
  <c r="Y55" i="4"/>
  <c r="W33" i="4"/>
  <c r="Y33" i="4"/>
  <c r="X33" i="4"/>
  <c r="W43" i="4"/>
  <c r="Y43" i="4"/>
  <c r="X43" i="4"/>
  <c r="Y41" i="4"/>
  <c r="W41" i="4"/>
  <c r="X41" i="4"/>
  <c r="Y25" i="4"/>
  <c r="X25" i="4"/>
  <c r="W25" i="4"/>
  <c r="Y16" i="4"/>
  <c r="W16" i="4"/>
  <c r="X16" i="4"/>
  <c r="X54" i="4"/>
  <c r="W54" i="4"/>
  <c r="Y54" i="4"/>
  <c r="J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H5" authorId="0" shapeId="0" xr:uid="{00000000-0006-0000-0100-000001000000}">
      <text>
        <r>
          <rPr>
            <sz val="10"/>
            <color rgb="FF000000"/>
            <rFont val="Arial"/>
            <family val="2"/>
          </rPr>
          <t xml:space="preserve">Anzahl Wochen der Jahresabschluss-Saison.
</t>
        </r>
        <r>
          <rPr>
            <sz val="10"/>
            <color rgb="FF000000"/>
            <rFont val="Arial"/>
            <family val="2"/>
          </rPr>
          <t>Steuert die Spalte 'Kapazitaet gesamt'.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D8" authorId="0" shapeId="0" xr:uid="{00000000-0006-0000-0400-000001000000}">
      <text>
        <r>
          <rPr>
            <sz val="10"/>
            <color rgb="FF000000"/>
            <rFont val="Arial"/>
            <family val="2"/>
          </rPr>
          <t xml:space="preserve">Einziger Eingabewert der Mappe neben Mitarbeitern und Mandaten.
</t>
        </r>
        <r>
          <rPr>
            <sz val="10"/>
            <color rgb="FF000000"/>
            <rFont val="Arial"/>
            <family val="2"/>
          </rPr>
          <t xml:space="preserve">Bis zu dieser KW wird die Ist-Linie gezeichnet.
</t>
        </r>
        <r>
          <rPr>
            <sz val="10"/>
            <color rgb="FF000000"/>
            <rFont val="Arial"/>
            <family val="2"/>
          </rPr>
          <t>Für automatische Fortschreibung stattdessen =ISOKALENDERWOCHE(HEUTE()) eintragen.</t>
        </r>
      </text>
    </comment>
  </commentList>
</comments>
</file>

<file path=xl/sharedStrings.xml><?xml version="1.0" encoding="utf-8"?>
<sst xmlns="http://schemas.openxmlformats.org/spreadsheetml/2006/main" count="213" uniqueCount="119">
  <si>
    <t>newgen · Jahresabschluss-Planung</t>
  </si>
  <si>
    <t>Dashboard</t>
  </si>
  <si>
    <t>Live-Überblick über alle Jahresabschlüsse, Fortschritt und Team-Auslastung.</t>
  </si>
  <si>
    <t>Mandate gesamt</t>
  </si>
  <si>
    <t>Plan-Stunden</t>
  </si>
  <si>
    <t>Erledigt (Ist)</t>
  </si>
  <si>
    <t>Offen</t>
  </si>
  <si>
    <t>Gesamt-Fortschritt</t>
  </si>
  <si>
    <t>Fertig</t>
  </si>
  <si>
    <t>In Bearbeitung</t>
  </si>
  <si>
    <t>Geplant</t>
  </si>
  <si>
    <t>Überfällig</t>
  </si>
  <si>
    <t>Engpass-Wochen</t>
  </si>
  <si>
    <t>So funktioniert's</t>
  </si>
  <si>
    <t>1) Team unter »Mitarbeiter« pflegen — Name + verfügbare Stunden/Woche; die Saison-Länge steht als Annahme in H5. 2) Mandate unter »Mandate« erfassen; »Zuständig« kommt per Dropdown aus der Mitarbeiterliste. Der Status springt automatisch auf »Überfällig«, wenn die Fällig-KW vor dem Stichtag liegt. 3) »Auslastung« zeigt pro Mitarbeiter und Woche, wo es eng wird (rot = Engpass). 4) »Burn-Down« zeigt, ob ihr im Plan seid — Soll- und Ist-Linie rechnen sich vollständig aus den Mandaten; einzige Stellschraube ist der Stichtag (Burn-Down D8). Neue Zeilen werden überall automatisch mitgerechnet.</t>
  </si>
  <si>
    <t>Team &amp; Kapazität</t>
  </si>
  <si>
    <t>Name</t>
  </si>
  <si>
    <t>Rolle</t>
  </si>
  <si>
    <t>Verfügbare Std/Woche (für JA)</t>
  </si>
  <si>
    <t>Saison-Wochen (Annahme):</t>
  </si>
  <si>
    <t>Sabine Krüger</t>
  </si>
  <si>
    <t>Steuerberaterin</t>
  </si>
  <si>
    <t>Thomas Lang</t>
  </si>
  <si>
    <t>Steuerberater</t>
  </si>
  <si>
    <t>Mehmet Yilmaz</t>
  </si>
  <si>
    <t>Bilanzbuchhalter</t>
  </si>
  <si>
    <t>Anja Wolf</t>
  </si>
  <si>
    <t>Steuerfachwirtin</t>
  </si>
  <si>
    <t>Daniel Terwersche</t>
  </si>
  <si>
    <t>Steuerfachwirt</t>
  </si>
  <si>
    <t>Katrin Brehm</t>
  </si>
  <si>
    <t>Steuerfachangestellte</t>
  </si>
  <si>
    <t>Jonas Peters</t>
  </si>
  <si>
    <t>Steuerfachangestellter</t>
  </si>
  <si>
    <t>Elif Demir</t>
  </si>
  <si>
    <t>Bilanzbuchhalterin</t>
  </si>
  <si>
    <t>Markus Ohlsen</t>
  </si>
  <si>
    <t>Lena Vogt</t>
  </si>
  <si>
    <t>Steuerfachangestellte (TZ)</t>
  </si>
  <si>
    <t>Team gesamt</t>
  </si>
  <si>
    <t>Mandate / Verpflichtungen</t>
  </si>
  <si>
    <t>Hilfsspalten für den Burn-Down – nicht bearbeiten</t>
  </si>
  <si>
    <t>Mandant</t>
  </si>
  <si>
    <t>Art</t>
  </si>
  <si>
    <t>Zuständig</t>
  </si>
  <si>
    <t>Plan-Std</t>
  </si>
  <si>
    <t>Start-KW</t>
  </si>
  <si>
    <t>Fällig-KW</t>
  </si>
  <si>
    <t>Ist-Std</t>
  </si>
  <si>
    <t>Fortschritt</t>
  </si>
  <si>
    <t>Offen-Std</t>
  </si>
  <si>
    <t>Status</t>
  </si>
  <si>
    <t>Std/Woche</t>
  </si>
  <si>
    <t>Hilfe: Ist-End-KW</t>
  </si>
  <si>
    <t>Hilfe: Ist-Std/Woche</t>
  </si>
  <si>
    <t>Bäckerei Sonnenschein GmbH</t>
  </si>
  <si>
    <t>Jahresabschluss</t>
  </si>
  <si>
    <t>Autohaus Berg AG</t>
  </si>
  <si>
    <t>Stadtwerke Lindau GmbH</t>
  </si>
  <si>
    <t>Bauunternehmen Stein KG</t>
  </si>
  <si>
    <t>Klinik am Park gGmbH</t>
  </si>
  <si>
    <t>Müller &amp; Partner mbB</t>
  </si>
  <si>
    <t>IT-Solutions Nord GmbH</t>
  </si>
  <si>
    <t>Weinhandel Rebstock GmbH</t>
  </si>
  <si>
    <t>Spedition Kettler GmbH</t>
  </si>
  <si>
    <t>Pflegedienst Herzlich UG</t>
  </si>
  <si>
    <t>Tischlerei Holzwurm GmbH</t>
  </si>
  <si>
    <t>Logistik Wegmann GmbH</t>
  </si>
  <si>
    <t>Maschinenbau Ortloff KG</t>
  </si>
  <si>
    <t>Kunststofftechnik Renz GmbH</t>
  </si>
  <si>
    <t>Getränke Halbach OHG</t>
  </si>
  <si>
    <t>Hofladen Grün eG</t>
  </si>
  <si>
    <t>Praxis Dr. Reim</t>
  </si>
  <si>
    <t>EÜR</t>
  </si>
  <si>
    <t>Modehaus Lindner GmbH</t>
  </si>
  <si>
    <t>Elektro Sauer GmbH</t>
  </si>
  <si>
    <t>Buchhandlung Seitenwind e.K.</t>
  </si>
  <si>
    <t>Gärtnerei Blütezeit GmbH</t>
  </si>
  <si>
    <t>Fahrschule Vollgas GmbH</t>
  </si>
  <si>
    <t>Metallbau Kranz GmbH</t>
  </si>
  <si>
    <t>Zahntechnik Perlmut GmbH</t>
  </si>
  <si>
    <t>Reisebüro Fernweh OHG</t>
  </si>
  <si>
    <t>Café Central OHG</t>
  </si>
  <si>
    <t>Malerbetrieb Schilling GmbH</t>
  </si>
  <si>
    <t>Gerüstbau Timm GmbH</t>
  </si>
  <si>
    <t>Physio Aktiv GbR</t>
  </si>
  <si>
    <t>Blumen Rosengarten e.K.</t>
  </si>
  <si>
    <t>Kiosk Eckstein e.K.</t>
  </si>
  <si>
    <t>Hundesalon Fellwerk UG</t>
  </si>
  <si>
    <t>Werbeagentur Klartext GmbH</t>
  </si>
  <si>
    <t>Fliesenleger Marek GmbH</t>
  </si>
  <si>
    <t>Optiker Weitblick GmbH</t>
  </si>
  <si>
    <t>Brauerei Hopfenkranz KG</t>
  </si>
  <si>
    <t>Reinigung Blitzblank GmbH</t>
  </si>
  <si>
    <t>Sanitär Wasserwerk GmbH</t>
  </si>
  <si>
    <t>Immobilien Kranich GmbH</t>
  </si>
  <si>
    <t>Fotostudio Lichtblick UG</t>
  </si>
  <si>
    <t>Schreinerei Ahorn GmbH</t>
  </si>
  <si>
    <t>Taxi Nordstern GmbH</t>
  </si>
  <si>
    <t>Nachhilfe Lernbaum UG</t>
  </si>
  <si>
    <t>Yogastudio Balance GbR</t>
  </si>
  <si>
    <t>Antiquariat Zeilenglück e.K.</t>
  </si>
  <si>
    <t>Summe</t>
  </si>
  <si>
    <t>Ressourcen-Auslastung</t>
  </si>
  <si>
    <t>Kalenderwoche</t>
  </si>
  <si>
    <t>Bedarf gesamt</t>
  </si>
  <si>
    <t>Team-Auslastung %</t>
  </si>
  <si>
    <t>Engpass-Status</t>
  </si>
  <si>
    <t>Kapazität Std/Woche</t>
  </si>
  <si>
    <t>Burn-Down — Sind wir im Plan?</t>
  </si>
  <si>
    <t>Offene Plan-Stunden über das Jahr. Grau = Soll-Pfad aus den Mandats-Terminen, Indigo = tatsächlicher Stand. Alles rechnet sich aus »Mandate« – nichts eintragen.</t>
  </si>
  <si>
    <t>Gesamt Plan-Std:</t>
  </si>
  <si>
    <t>Stichtag (aktuelle KW):</t>
  </si>
  <si>
    <t>← Stichtag, bis hierhin wird die Ist-Linie gezeichnet</t>
  </si>
  <si>
    <t>Erledigt bis Stichtag:</t>
  </si>
  <si>
    <t>Soll erledigt kum. (Std)</t>
  </si>
  <si>
    <t>Ist erledigt kum. (Std)</t>
  </si>
  <si>
    <t>Soll offen (Plan)</t>
  </si>
  <si>
    <t>Ist offen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</si>
</sst>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;\-#,##0.0;;"/>
    <numFmt numFmtId="166" formatCode="#,##0;\-#,##0;;"/>
    <numFmt numFmtId="167" formatCode="0.0"/>
  </numFmts>
  <fonts count="17">
    <font>
      <sz val="11"/>
      <color theme="1"/>
      <name val="Calibri"/>
      <family val="2"/>
      <charset val="1"/>
    </font>
    <font>
      <b/>
      <sz val="12"/>
      <color rgb="FF444CE7"/>
      <name val="Calibri"/>
      <family val="2"/>
      <charset val="1"/>
    </font>
    <font>
      <b/>
      <sz val="20"/>
      <color rgb="FF1B1F4D"/>
      <name val="Calibri"/>
      <family val="2"/>
      <charset val="1"/>
    </font>
    <font>
      <sz val="11"/>
      <color rgb="FF5B6175"/>
      <name val="Calibri"/>
      <family val="2"/>
      <charset val="1"/>
    </font>
    <font>
      <b/>
      <sz val="10"/>
      <color rgb="FF5B6175"/>
      <name val="Calibri"/>
      <family val="2"/>
      <charset val="1"/>
    </font>
    <font>
      <b/>
      <sz val="22"/>
      <color rgb="FF1B1F4D"/>
      <name val="Calibri"/>
      <family val="2"/>
      <charset val="1"/>
    </font>
    <font>
      <sz val="10"/>
      <color rgb="FF5B6175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0"/>
      <color rgb="FF5B6175"/>
      <name val="Calibri"/>
      <family val="2"/>
    </font>
    <font>
      <b/>
      <sz val="11"/>
      <color rgb="FF1B1F4D"/>
      <name val="Calibri"/>
      <family val="2"/>
    </font>
    <font>
      <b/>
      <sz val="11"/>
      <color rgb="FF1B1F4D"/>
      <name val="Calibri"/>
      <family val="2"/>
      <charset val="1"/>
    </font>
    <font>
      <i/>
      <sz val="10"/>
      <color rgb="FF5B6175"/>
      <name val="Calibri"/>
      <family val="2"/>
    </font>
    <font>
      <b/>
      <sz val="10"/>
      <color rgb="FFFFFFFF"/>
      <name val="Calibri"/>
      <family val="2"/>
    </font>
    <font>
      <sz val="10"/>
      <color rgb="FF5B6175"/>
      <name val="Calibri"/>
      <family val="2"/>
    </font>
    <font>
      <b/>
      <sz val="10"/>
      <color rgb="FFFFFFFF"/>
      <name val="Calibri"/>
      <family val="2"/>
      <charset val="1"/>
    </font>
    <font>
      <b/>
      <sz val="14"/>
      <color rgb="FF444CE7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EF4FF"/>
        <bgColor rgb="FFEEF1F6"/>
      </patternFill>
    </fill>
    <fill>
      <patternFill patternType="solid">
        <fgColor rgb="FF1B1F4D"/>
        <bgColor rgb="FF003366"/>
      </patternFill>
    </fill>
    <fill>
      <patternFill patternType="solid">
        <fgColor rgb="FFFEF0C7"/>
        <bgColor rgb="FFFEE4E2"/>
      </patternFill>
    </fill>
    <fill>
      <patternFill patternType="solid">
        <fgColor rgb="FFF7F9FF"/>
        <bgColor rgb="FFEEF4FF"/>
      </patternFill>
    </fill>
  </fills>
  <borders count="2">
    <border>
      <left/>
      <right/>
      <top/>
      <bottom/>
      <diagonal/>
    </border>
    <border>
      <left style="thin">
        <color rgb="FFD9DEEC"/>
      </left>
      <right style="thin">
        <color rgb="FFD9DEEC"/>
      </right>
      <top style="thin">
        <color rgb="FFD9DEEC"/>
      </top>
      <bottom style="thin">
        <color rgb="FFD9DEEC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3" fontId="9" fillId="4" borderId="0" xfId="0" applyNumberFormat="1" applyFont="1" applyFill="1" applyAlignment="1">
      <alignment horizontal="center" vertical="center"/>
    </xf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0" fontId="0" fillId="5" borderId="1" xfId="0" applyFill="1" applyBorder="1"/>
    <xf numFmtId="3" fontId="0" fillId="5" borderId="1" xfId="0" applyNumberFormat="1" applyFill="1" applyBorder="1" applyAlignment="1">
      <alignment horizontal="center" vertical="center"/>
    </xf>
    <xf numFmtId="0" fontId="10" fillId="0" borderId="0" xfId="0" applyFont="1"/>
    <xf numFmtId="3" fontId="10" fillId="0" borderId="0" xfId="0" applyNumberFormat="1" applyFont="1" applyAlignment="1">
      <alignment horizontal="center" vertical="center"/>
    </xf>
    <xf numFmtId="0" fontId="11" fillId="0" borderId="0" xfId="0" applyFont="1"/>
    <xf numFmtId="0" fontId="12" fillId="3" borderId="1" xfId="0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9" fontId="0" fillId="5" borderId="1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4" fillId="2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9" fillId="0" borderId="0" xfId="0" applyFont="1"/>
    <xf numFmtId="3" fontId="15" fillId="0" borderId="0" xfId="0" applyNumberFormat="1" applyFont="1"/>
    <xf numFmtId="3" fontId="15" fillId="4" borderId="0" xfId="0" applyNumberFormat="1" applyFont="1" applyFill="1" applyAlignment="1">
      <alignment horizontal="center" vertical="center"/>
    </xf>
    <xf numFmtId="1" fontId="5" fillId="2" borderId="0" xfId="0" applyNumberFormat="1" applyFont="1" applyFill="1" applyAlignment="1">
      <alignment horizontal="left" vertical="center"/>
    </xf>
    <xf numFmtId="3" fontId="5" fillId="2" borderId="0" xfId="0" applyNumberFormat="1" applyFont="1" applyFill="1" applyAlignment="1">
      <alignment horizontal="left" vertical="center"/>
    </xf>
    <xf numFmtId="9" fontId="5" fillId="2" borderId="0" xfId="0" applyNumberFormat="1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/>
  </cellXfs>
  <cellStyles count="1">
    <cellStyle name="Standard" xfId="0" builtinId="0"/>
  </cellStyles>
  <dxfs count="14">
    <dxf>
      <font>
        <sz val="11"/>
        <color rgb="FFFFFFFF"/>
        <name val="Calibri"/>
        <charset val="1"/>
      </font>
    </dxf>
    <dxf>
      <font>
        <b/>
        <sz val="11"/>
        <color rgb="FF12936B"/>
        <name val="Calibri"/>
        <charset val="1"/>
      </font>
      <fill>
        <patternFill>
          <bgColor rgb="FFE7F6F0"/>
        </patternFill>
      </fill>
    </dxf>
    <dxf>
      <font>
        <b/>
        <sz val="11"/>
        <color rgb="FFB54708"/>
        <name val="Calibri"/>
        <charset val="1"/>
      </font>
      <fill>
        <patternFill>
          <bgColor rgb="FFFEF0C7"/>
        </patternFill>
      </fill>
    </dxf>
    <dxf>
      <font>
        <b/>
        <sz val="11"/>
        <color rgb="FFB42318"/>
        <name val="Calibri"/>
        <charset val="1"/>
      </font>
      <fill>
        <patternFill>
          <bgColor rgb="FFFEE4E2"/>
        </patternFill>
      </fill>
    </dxf>
    <dxf>
      <font>
        <b/>
        <sz val="11"/>
        <color rgb="FF12936B"/>
        <name val="Calibri"/>
        <charset val="1"/>
      </font>
      <fill>
        <patternFill>
          <bgColor rgb="FFE7F6F0"/>
        </patternFill>
      </fill>
    </dxf>
    <dxf>
      <font>
        <b/>
        <sz val="11"/>
        <color rgb="FFB54708"/>
        <name val="Calibri"/>
        <charset val="1"/>
      </font>
      <fill>
        <patternFill>
          <bgColor rgb="FFFEF0C7"/>
        </patternFill>
      </fill>
    </dxf>
    <dxf>
      <font>
        <b/>
        <sz val="11"/>
        <color rgb="FFB42318"/>
        <name val="Calibri"/>
        <charset val="1"/>
      </font>
      <fill>
        <patternFill>
          <bgColor rgb="FFFEE4E2"/>
        </patternFill>
      </fill>
    </dxf>
    <dxf>
      <font>
        <b/>
        <sz val="11"/>
        <color rgb="FFB54708"/>
        <name val="Calibri"/>
        <charset val="1"/>
      </font>
      <fill>
        <patternFill>
          <bgColor rgb="FFFEF0C7"/>
        </patternFill>
      </fill>
    </dxf>
    <dxf>
      <font>
        <b/>
        <sz val="11"/>
        <color rgb="FFB42318"/>
        <name val="Calibri"/>
        <charset val="1"/>
      </font>
      <fill>
        <patternFill>
          <bgColor rgb="FFFEE4E2"/>
        </patternFill>
      </fill>
    </dxf>
    <dxf>
      <font>
        <b/>
        <sz val="11"/>
        <color rgb="FFB42318"/>
        <name val="Calibri"/>
        <charset val="1"/>
      </font>
      <fill>
        <patternFill>
          <bgColor rgb="FFFEE4E2"/>
        </patternFill>
      </fill>
    </dxf>
    <dxf>
      <font>
        <sz val="11"/>
        <color rgb="FF5B6175"/>
        <name val="Calibri"/>
        <charset val="1"/>
      </font>
      <fill>
        <patternFill>
          <bgColor rgb="FFEEF1F6"/>
        </patternFill>
      </fill>
    </dxf>
    <dxf>
      <font>
        <b/>
        <sz val="11"/>
        <color rgb="FFB54708"/>
        <name val="Calibri"/>
        <charset val="1"/>
      </font>
      <fill>
        <patternFill>
          <bgColor rgb="FFFEF0C7"/>
        </patternFill>
      </fill>
    </dxf>
    <dxf>
      <font>
        <b/>
        <sz val="11"/>
        <color rgb="FF12936B"/>
        <name val="Calibri"/>
        <charset val="1"/>
      </font>
      <fill>
        <patternFill>
          <bgColor rgb="FFE7F6F0"/>
        </patternFill>
      </fill>
    </dxf>
    <dxf>
      <font>
        <b/>
        <sz val="11"/>
        <color rgb="FFB42318"/>
        <name val="Calibri"/>
        <charset val="1"/>
      </font>
      <fill>
        <patternFill>
          <bgColor rgb="FFFEE4E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B54708"/>
      <rgbColor rgb="FFFEF0C7"/>
      <rgbColor rgb="FFE7F6F0"/>
      <rgbColor rgb="FF660066"/>
      <rgbColor rgb="FFFF8080"/>
      <rgbColor rgb="FF0066CC"/>
      <rgbColor rgb="FFD9DE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4FF"/>
      <rgbColor rgb="FFEEF1F6"/>
      <rgbColor rgb="FFF7F9FF"/>
      <rgbColor rgb="FF99CCFF"/>
      <rgbColor rgb="FFFF99CC"/>
      <rgbColor rgb="FFCC99FF"/>
      <rgbColor rgb="FFFEE4E2"/>
      <rgbColor rgb="FF444CE7"/>
      <rgbColor rgb="FF33CCCC"/>
      <rgbColor rgb="FF99CC00"/>
      <rgbColor rgb="FFFFCC00"/>
      <rgbColor rgb="FFFF9900"/>
      <rgbColor rgb="FFFF6600"/>
      <rgbColor rgb="FF5B6175"/>
      <rgbColor rgb="FF98A2C8"/>
      <rgbColor rgb="FF003366"/>
      <rgbColor rgb="FF12936B"/>
      <rgbColor rgb="FF003300"/>
      <rgbColor rgb="FF333300"/>
      <rgbColor rgb="FFB42318"/>
      <rgbColor rgb="FF993366"/>
      <rgbColor rgb="FF333399"/>
      <rgbColor rgb="FF1B1F4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Burn-Down — Offene Plan-Stunden über das Jahr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'Burn-Down'!$E$11</c:f>
              <c:strCache>
                <c:ptCount val="1"/>
                <c:pt idx="0">
                  <c:v>Soll offen (Plan)</c:v>
                </c:pt>
              </c:strCache>
            </c:strRef>
          </c:tx>
          <c:spPr>
            <a:ln w="20160">
              <a:solidFill>
                <a:srgbClr val="98A2C8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'Burn-Down'!$B$12:$B$63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'Burn-Down'!$E$12:$E$63</c:f>
              <c:numCache>
                <c:formatCode>#,##0</c:formatCode>
                <c:ptCount val="52"/>
                <c:pt idx="0">
                  <c:v>1756</c:v>
                </c:pt>
                <c:pt idx="1">
                  <c:v>1756</c:v>
                </c:pt>
                <c:pt idx="2">
                  <c:v>1756</c:v>
                </c:pt>
                <c:pt idx="3">
                  <c:v>1756</c:v>
                </c:pt>
                <c:pt idx="4">
                  <c:v>1756</c:v>
                </c:pt>
                <c:pt idx="5">
                  <c:v>1756</c:v>
                </c:pt>
                <c:pt idx="6">
                  <c:v>1756</c:v>
                </c:pt>
                <c:pt idx="7">
                  <c:v>1756</c:v>
                </c:pt>
                <c:pt idx="8">
                  <c:v>1756</c:v>
                </c:pt>
                <c:pt idx="9">
                  <c:v>1756</c:v>
                </c:pt>
                <c:pt idx="10">
                  <c:v>1756</c:v>
                </c:pt>
                <c:pt idx="11">
                  <c:v>1756</c:v>
                </c:pt>
                <c:pt idx="12">
                  <c:v>1756</c:v>
                </c:pt>
                <c:pt idx="13">
                  <c:v>1756</c:v>
                </c:pt>
                <c:pt idx="14">
                  <c:v>1756</c:v>
                </c:pt>
                <c:pt idx="15">
                  <c:v>1756</c:v>
                </c:pt>
                <c:pt idx="16">
                  <c:v>1756</c:v>
                </c:pt>
                <c:pt idx="17">
                  <c:v>1756</c:v>
                </c:pt>
                <c:pt idx="18">
                  <c:v>1756</c:v>
                </c:pt>
                <c:pt idx="19">
                  <c:v>1756</c:v>
                </c:pt>
                <c:pt idx="20">
                  <c:v>1756</c:v>
                </c:pt>
                <c:pt idx="21">
                  <c:v>1756</c:v>
                </c:pt>
                <c:pt idx="22">
                  <c:v>1756</c:v>
                </c:pt>
                <c:pt idx="23">
                  <c:v>1756</c:v>
                </c:pt>
                <c:pt idx="24">
                  <c:v>1756</c:v>
                </c:pt>
                <c:pt idx="25">
                  <c:v>1756</c:v>
                </c:pt>
                <c:pt idx="26">
                  <c:v>1735.9833333333333</c:v>
                </c:pt>
                <c:pt idx="27">
                  <c:v>1708.2393939393939</c:v>
                </c:pt>
                <c:pt idx="28">
                  <c:v>1673.9121212121213</c:v>
                </c:pt>
                <c:pt idx="29">
                  <c:v>1628.4737373737373</c:v>
                </c:pt>
                <c:pt idx="30">
                  <c:v>1576.7686868686869</c:v>
                </c:pt>
                <c:pt idx="31">
                  <c:v>1521.2454545454545</c:v>
                </c:pt>
                <c:pt idx="32">
                  <c:v>1457.4722222222222</c:v>
                </c:pt>
                <c:pt idx="33">
                  <c:v>1389.8989898989898</c:v>
                </c:pt>
                <c:pt idx="34">
                  <c:v>1323.3257575757575</c:v>
                </c:pt>
                <c:pt idx="35">
                  <c:v>1249.2858585858585</c:v>
                </c:pt>
                <c:pt idx="36">
                  <c:v>1184.8459595959596</c:v>
                </c:pt>
                <c:pt idx="37">
                  <c:v>1109.8782828282829</c:v>
                </c:pt>
                <c:pt idx="38">
                  <c:v>1038.8323232323232</c:v>
                </c:pt>
                <c:pt idx="39">
                  <c:v>961.98636363636365</c:v>
                </c:pt>
                <c:pt idx="40">
                  <c:v>895.82373737373734</c:v>
                </c:pt>
                <c:pt idx="41">
                  <c:v>821.38730158730164</c:v>
                </c:pt>
                <c:pt idx="42">
                  <c:v>747.43571428571431</c:v>
                </c:pt>
                <c:pt idx="43">
                  <c:v>658.7126984126985</c:v>
                </c:pt>
                <c:pt idx="44">
                  <c:v>562.98968253968246</c:v>
                </c:pt>
                <c:pt idx="45">
                  <c:v>463.53095238095261</c:v>
                </c:pt>
                <c:pt idx="46">
                  <c:v>366.85000000000014</c:v>
                </c:pt>
                <c:pt idx="47">
                  <c:v>268.43571428571454</c:v>
                </c:pt>
                <c:pt idx="48">
                  <c:v>186.62857142857138</c:v>
                </c:pt>
                <c:pt idx="49">
                  <c:v>103.03809523809537</c:v>
                </c:pt>
                <c:pt idx="50">
                  <c:v>50.019047619047569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B0-2F49-ACA3-CDD5A57AE84C}"/>
            </c:ext>
          </c:extLst>
        </c:ser>
        <c:ser>
          <c:idx val="1"/>
          <c:order val="1"/>
          <c:tx>
            <c:strRef>
              <c:f>'Burn-Down'!$F$11</c:f>
              <c:strCache>
                <c:ptCount val="1"/>
                <c:pt idx="0">
                  <c:v>Ist offen</c:v>
                </c:pt>
              </c:strCache>
            </c:strRef>
          </c:tx>
          <c:spPr>
            <a:ln w="28080">
              <a:solidFill>
                <a:srgbClr val="444CE7"/>
              </a:solidFill>
              <a:round/>
            </a:ln>
          </c:spPr>
          <c:marker>
            <c:symbol val="circle"/>
            <c:size val="5"/>
            <c:spPr>
              <a:solidFill>
                <a:srgbClr val="444CE7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de-DE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'Burn-Down'!$B$12:$B$63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'Burn-Down'!$F$12:$F$63</c:f>
              <c:numCache>
                <c:formatCode>#,##0</c:formatCode>
                <c:ptCount val="52"/>
                <c:pt idx="0">
                  <c:v>1756</c:v>
                </c:pt>
                <c:pt idx="1">
                  <c:v>1756</c:v>
                </c:pt>
                <c:pt idx="2">
                  <c:v>1756</c:v>
                </c:pt>
                <c:pt idx="3">
                  <c:v>1756</c:v>
                </c:pt>
                <c:pt idx="4">
                  <c:v>1756</c:v>
                </c:pt>
                <c:pt idx="5">
                  <c:v>1756</c:v>
                </c:pt>
                <c:pt idx="6">
                  <c:v>1756</c:v>
                </c:pt>
                <c:pt idx="7">
                  <c:v>1756</c:v>
                </c:pt>
                <c:pt idx="8">
                  <c:v>1756</c:v>
                </c:pt>
                <c:pt idx="9">
                  <c:v>1756</c:v>
                </c:pt>
                <c:pt idx="10">
                  <c:v>1756</c:v>
                </c:pt>
                <c:pt idx="11">
                  <c:v>1756</c:v>
                </c:pt>
                <c:pt idx="12">
                  <c:v>1756</c:v>
                </c:pt>
                <c:pt idx="13">
                  <c:v>1756</c:v>
                </c:pt>
                <c:pt idx="14">
                  <c:v>1756</c:v>
                </c:pt>
                <c:pt idx="15">
                  <c:v>1756</c:v>
                </c:pt>
                <c:pt idx="16">
                  <c:v>1756</c:v>
                </c:pt>
                <c:pt idx="17">
                  <c:v>1756</c:v>
                </c:pt>
                <c:pt idx="18">
                  <c:v>1756</c:v>
                </c:pt>
                <c:pt idx="19">
                  <c:v>1756</c:v>
                </c:pt>
                <c:pt idx="20">
                  <c:v>1756</c:v>
                </c:pt>
                <c:pt idx="21">
                  <c:v>1756</c:v>
                </c:pt>
                <c:pt idx="22">
                  <c:v>1756</c:v>
                </c:pt>
                <c:pt idx="23">
                  <c:v>1756</c:v>
                </c:pt>
                <c:pt idx="24">
                  <c:v>1756</c:v>
                </c:pt>
                <c:pt idx="25">
                  <c:v>1756</c:v>
                </c:pt>
                <c:pt idx="26">
                  <c:v>1742.8833333333334</c:v>
                </c:pt>
                <c:pt idx="27">
                  <c:v>1724.6757575757576</c:v>
                </c:pt>
                <c:pt idx="28">
                  <c:v>1702.7681818181818</c:v>
                </c:pt>
                <c:pt idx="29">
                  <c:v>1674.860606060606</c:v>
                </c:pt>
                <c:pt idx="30">
                  <c:v>1641.7030303030303</c:v>
                </c:pt>
                <c:pt idx="31">
                  <c:v>1606.4025974025974</c:v>
                </c:pt>
                <c:pt idx="32">
                  <c:v>1566.6021645021644</c:v>
                </c:pt>
                <c:pt idx="33">
                  <c:v>1524.6017316017317</c:v>
                </c:pt>
                <c:pt idx="34">
                  <c:v>1483.8512987012987</c:v>
                </c:pt>
                <c:pt idx="35">
                  <c:v>1439.1008658008659</c:v>
                </c:pt>
                <c:pt idx="36">
                  <c:v>1402.550432900433</c:v>
                </c:pt>
                <c:pt idx="37">
                  <c:v>1359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B0-2F49-ACA3-CDD5A57AE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2043164"/>
        <c:axId val="71014801"/>
      </c:lineChart>
      <c:catAx>
        <c:axId val="9204316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Kalenderwoche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1014801"/>
        <c:crosses val="autoZero"/>
        <c:auto val="1"/>
        <c:lblAlgn val="ctr"/>
        <c:lblOffset val="100"/>
        <c:noMultiLvlLbl val="0"/>
      </c:catAx>
      <c:valAx>
        <c:axId val="7101480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Offene Stunden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204316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10</xdr:row>
      <xdr:rowOff>0</xdr:rowOff>
    </xdr:from>
    <xdr:to>
      <xdr:col>19</xdr:col>
      <xdr:colOff>330200</xdr:colOff>
      <xdr:row>41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3"/>
  <sheetViews>
    <sheetView showGridLines="0" zoomScaleNormal="100" workbookViewId="0">
      <selection activeCell="D18" sqref="D18"/>
    </sheetView>
  </sheetViews>
  <sheetFormatPr defaultColWidth="8.85546875" defaultRowHeight="15"/>
  <cols>
    <col min="1" max="1" width="2" customWidth="1"/>
    <col min="2" max="2" width="20" customWidth="1"/>
    <col min="3" max="3" width="16" customWidth="1"/>
    <col min="4" max="4" width="20" customWidth="1"/>
    <col min="5" max="5" width="16" customWidth="1"/>
    <col min="6" max="6" width="20" customWidth="1"/>
    <col min="7" max="7" width="16" customWidth="1"/>
    <col min="8" max="8" width="20" customWidth="1"/>
    <col min="9" max="9" width="16" customWidth="1"/>
    <col min="10" max="10" width="20" customWidth="1"/>
    <col min="11" max="11" width="16" customWidth="1"/>
  </cols>
  <sheetData>
    <row r="2" spans="2:11" ht="15.75" customHeight="1">
      <c r="B2" s="1" t="s">
        <v>0</v>
      </c>
    </row>
    <row r="4" spans="2:11" ht="25.5" customHeight="1">
      <c r="B4" s="2" t="s">
        <v>1</v>
      </c>
    </row>
    <row r="5" spans="2:11" ht="15" customHeight="1">
      <c r="B5" s="3" t="s">
        <v>2</v>
      </c>
    </row>
    <row r="8" spans="2:11" ht="15" customHeight="1">
      <c r="B8" s="38" t="s">
        <v>3</v>
      </c>
      <c r="C8" s="38"/>
      <c r="D8" s="38" t="s">
        <v>4</v>
      </c>
      <c r="E8" s="38"/>
      <c r="F8" s="38" t="s">
        <v>5</v>
      </c>
      <c r="G8" s="38"/>
      <c r="H8" s="38" t="s">
        <v>6</v>
      </c>
      <c r="I8" s="38"/>
      <c r="J8" s="38" t="s">
        <v>7</v>
      </c>
      <c r="K8" s="38"/>
    </row>
    <row r="9" spans="2:11" ht="15" customHeight="1">
      <c r="B9" s="34">
        <f>COUNTA(Mandate!$B$6:$B$50)</f>
        <v>45</v>
      </c>
      <c r="C9" s="34"/>
      <c r="D9" s="35">
        <f>SUM(Mandate!$E$6:$E$50)</f>
        <v>1756</v>
      </c>
      <c r="E9" s="35"/>
      <c r="F9" s="35">
        <f>SUM(Mandate!$H$6:$H$50)</f>
        <v>397</v>
      </c>
      <c r="G9" s="35"/>
      <c r="H9" s="35">
        <f>SUM(Mandate!$J$6:$J$50)</f>
        <v>1359</v>
      </c>
      <c r="I9" s="35"/>
      <c r="J9" s="36">
        <f>IFERROR(SUM(Mandate!$H$6:$H$50)/SUM(Mandate!$E$6:$E$50),0)</f>
        <v>0.22608200455580865</v>
      </c>
      <c r="K9" s="36"/>
    </row>
    <row r="10" spans="2:11" ht="15" customHeight="1">
      <c r="B10" s="34"/>
      <c r="C10" s="34"/>
      <c r="D10" s="35"/>
      <c r="E10" s="35"/>
      <c r="F10" s="35"/>
      <c r="G10" s="35"/>
      <c r="H10" s="35"/>
      <c r="I10" s="35"/>
      <c r="J10" s="36"/>
      <c r="K10" s="36"/>
    </row>
    <row r="12" spans="2:11" ht="15" customHeight="1">
      <c r="B12" s="38" t="s">
        <v>8</v>
      </c>
      <c r="C12" s="38"/>
      <c r="D12" s="38" t="s">
        <v>9</v>
      </c>
      <c r="E12" s="38"/>
      <c r="F12" s="38" t="s">
        <v>10</v>
      </c>
      <c r="G12" s="38"/>
      <c r="H12" s="38" t="s">
        <v>11</v>
      </c>
      <c r="I12" s="38"/>
      <c r="J12" s="38" t="s">
        <v>12</v>
      </c>
      <c r="K12" s="38"/>
    </row>
    <row r="13" spans="2:11" ht="15" customHeight="1">
      <c r="B13" s="34">
        <f>COUNTIF(Mandate!$K$6:$K$50,"Fertig")</f>
        <v>2</v>
      </c>
      <c r="C13" s="34"/>
      <c r="D13" s="34">
        <f>COUNTIF(Mandate!$K$6:$K$50,"In Bearbeitung")</f>
        <v>19</v>
      </c>
      <c r="E13" s="34"/>
      <c r="F13" s="34">
        <f>COUNTIF(Mandate!$K$6:$K$50,"Geplant")</f>
        <v>22</v>
      </c>
      <c r="G13" s="34"/>
      <c r="H13" s="34">
        <f>COUNTIF(Mandate!$K$6:$K$50,"Überfällig")</f>
        <v>2</v>
      </c>
      <c r="I13" s="34"/>
      <c r="J13" s="34">
        <f>COUNTIF(Auslastung!$Y$7:$Y$58,"Engpass")</f>
        <v>8</v>
      </c>
      <c r="K13" s="34"/>
    </row>
    <row r="14" spans="2:11" ht="15" customHeight="1"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8" spans="2:11" ht="15.75" customHeight="1">
      <c r="B18" s="1" t="s">
        <v>13</v>
      </c>
    </row>
    <row r="19" spans="2:11" ht="15.75" customHeight="1">
      <c r="B19" s="37" t="s">
        <v>14</v>
      </c>
      <c r="C19" s="37"/>
      <c r="D19" s="37"/>
      <c r="E19" s="37"/>
      <c r="F19" s="37"/>
      <c r="G19" s="37"/>
      <c r="H19" s="37"/>
      <c r="I19" s="37"/>
      <c r="J19" s="37"/>
      <c r="K19" s="37"/>
    </row>
    <row r="20" spans="2:11" ht="15.75" customHeight="1">
      <c r="B20" s="37"/>
      <c r="C20" s="37"/>
      <c r="D20" s="37"/>
      <c r="E20" s="37"/>
      <c r="F20" s="37"/>
      <c r="G20" s="37"/>
      <c r="H20" s="37"/>
      <c r="I20" s="37"/>
      <c r="J20" s="37"/>
      <c r="K20" s="37"/>
    </row>
    <row r="21" spans="2:11" ht="15.75" customHeight="1"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2:11" ht="15.75" customHeight="1">
      <c r="B22" s="37"/>
      <c r="C22" s="37"/>
      <c r="D22" s="37"/>
      <c r="E22" s="37"/>
      <c r="F22" s="37"/>
      <c r="G22" s="37"/>
      <c r="H22" s="37"/>
      <c r="I22" s="37"/>
      <c r="J22" s="37"/>
      <c r="K22" s="37"/>
    </row>
    <row r="23" spans="2:11" ht="15.75" customHeight="1">
      <c r="B23" s="37"/>
      <c r="C23" s="37"/>
      <c r="D23" s="37"/>
      <c r="E23" s="37"/>
      <c r="F23" s="37"/>
      <c r="G23" s="37"/>
      <c r="H23" s="37"/>
      <c r="I23" s="37"/>
      <c r="J23" s="37"/>
      <c r="K23" s="37"/>
    </row>
  </sheetData>
  <mergeCells count="21">
    <mergeCell ref="B19:K23"/>
    <mergeCell ref="B13:C14"/>
    <mergeCell ref="D13:E14"/>
    <mergeCell ref="F13:G14"/>
    <mergeCell ref="H13:I14"/>
    <mergeCell ref="J13:K14"/>
    <mergeCell ref="B12:C12"/>
    <mergeCell ref="D12:E12"/>
    <mergeCell ref="F12:G12"/>
    <mergeCell ref="H12:I12"/>
    <mergeCell ref="J12:K12"/>
    <mergeCell ref="B9:C10"/>
    <mergeCell ref="D9:E10"/>
    <mergeCell ref="F9:G10"/>
    <mergeCell ref="H9:I10"/>
    <mergeCell ref="J9:K10"/>
    <mergeCell ref="B8:C8"/>
    <mergeCell ref="D8:E8"/>
    <mergeCell ref="F8:G8"/>
    <mergeCell ref="H8:I8"/>
    <mergeCell ref="J8:K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6"/>
  <sheetViews>
    <sheetView showGridLines="0" zoomScaleNormal="100" workbookViewId="0">
      <pane xSplit="1" ySplit="5" topLeftCell="B6" activePane="bottomRight" state="frozen"/>
      <selection pane="bottomRight" activeCell="H6" sqref="H6"/>
      <selection pane="bottomLeft" activeCell="A6" sqref="A6"/>
      <selection pane="topRight" activeCell="B1" sqref="B1"/>
    </sheetView>
  </sheetViews>
  <sheetFormatPr defaultColWidth="8.85546875" defaultRowHeight="15"/>
  <cols>
    <col min="1" max="1" width="2" customWidth="1"/>
    <col min="2" max="3" width="24" customWidth="1"/>
    <col min="4" max="4" width="28.85546875" bestFit="1" customWidth="1"/>
    <col min="5" max="5" width="24.42578125" bestFit="1" customWidth="1"/>
    <col min="7" max="7" width="24" customWidth="1"/>
    <col min="8" max="8" width="8" customWidth="1"/>
  </cols>
  <sheetData>
    <row r="2" spans="2:8" ht="15.75" customHeight="1">
      <c r="B2" s="1" t="s">
        <v>0</v>
      </c>
    </row>
    <row r="4" spans="2:8" ht="25.5" customHeight="1">
      <c r="B4" s="2" t="s">
        <v>15</v>
      </c>
    </row>
    <row r="5" spans="2:8" ht="15" customHeight="1">
      <c r="B5" s="4" t="s">
        <v>16</v>
      </c>
      <c r="C5" s="4" t="s">
        <v>17</v>
      </c>
      <c r="D5" s="4" t="s">
        <v>18</v>
      </c>
      <c r="E5" s="4" t="str">
        <f>"Kapazität gesamt ("&amp;$H$5&amp;" KW)"</f>
        <v>Kapazität gesamt (26 KW)</v>
      </c>
      <c r="G5" s="5" t="s">
        <v>19</v>
      </c>
      <c r="H5" s="6">
        <v>26</v>
      </c>
    </row>
    <row r="6" spans="2:8" ht="15" customHeight="1">
      <c r="B6" s="7" t="s">
        <v>20</v>
      </c>
      <c r="C6" s="7" t="s">
        <v>21</v>
      </c>
      <c r="D6" s="8">
        <v>20</v>
      </c>
      <c r="E6" s="8">
        <f t="shared" ref="E6:E25" si="0">IF($B6="","",D6*$H$5)</f>
        <v>520</v>
      </c>
    </row>
    <row r="7" spans="2:8" ht="15" customHeight="1">
      <c r="B7" s="9" t="s">
        <v>22</v>
      </c>
      <c r="C7" s="9" t="s">
        <v>23</v>
      </c>
      <c r="D7" s="10">
        <v>20</v>
      </c>
      <c r="E7" s="10">
        <f t="shared" si="0"/>
        <v>520</v>
      </c>
    </row>
    <row r="8" spans="2:8" ht="15" customHeight="1">
      <c r="B8" s="7" t="s">
        <v>24</v>
      </c>
      <c r="C8" s="7" t="s">
        <v>25</v>
      </c>
      <c r="D8" s="8">
        <v>18</v>
      </c>
      <c r="E8" s="8">
        <f t="shared" si="0"/>
        <v>468</v>
      </c>
    </row>
    <row r="9" spans="2:8" ht="15" customHeight="1">
      <c r="B9" s="9" t="s">
        <v>26</v>
      </c>
      <c r="C9" s="9" t="s">
        <v>27</v>
      </c>
      <c r="D9" s="10">
        <v>16</v>
      </c>
      <c r="E9" s="10">
        <f t="shared" si="0"/>
        <v>416</v>
      </c>
    </row>
    <row r="10" spans="2:8" ht="15" customHeight="1">
      <c r="B10" s="7" t="s">
        <v>28</v>
      </c>
      <c r="C10" s="7" t="s">
        <v>29</v>
      </c>
      <c r="D10" s="8">
        <v>15</v>
      </c>
      <c r="E10" s="8">
        <f t="shared" si="0"/>
        <v>390</v>
      </c>
    </row>
    <row r="11" spans="2:8" ht="15" customHeight="1">
      <c r="B11" s="9" t="s">
        <v>30</v>
      </c>
      <c r="C11" s="9" t="s">
        <v>31</v>
      </c>
      <c r="D11" s="10">
        <v>14</v>
      </c>
      <c r="E11" s="10">
        <f t="shared" si="0"/>
        <v>364</v>
      </c>
    </row>
    <row r="12" spans="2:8" ht="15" customHeight="1">
      <c r="B12" s="7" t="s">
        <v>32</v>
      </c>
      <c r="C12" s="7" t="s">
        <v>33</v>
      </c>
      <c r="D12" s="8">
        <v>12</v>
      </c>
      <c r="E12" s="8">
        <f t="shared" si="0"/>
        <v>312</v>
      </c>
    </row>
    <row r="13" spans="2:8" ht="15" customHeight="1">
      <c r="B13" s="9" t="s">
        <v>34</v>
      </c>
      <c r="C13" s="9" t="s">
        <v>35</v>
      </c>
      <c r="D13" s="10">
        <v>12</v>
      </c>
      <c r="E13" s="10">
        <f t="shared" si="0"/>
        <v>312</v>
      </c>
    </row>
    <row r="14" spans="2:8" ht="15" customHeight="1">
      <c r="B14" s="7" t="s">
        <v>36</v>
      </c>
      <c r="C14" s="7" t="s">
        <v>33</v>
      </c>
      <c r="D14" s="8">
        <v>10</v>
      </c>
      <c r="E14" s="8">
        <f t="shared" si="0"/>
        <v>260</v>
      </c>
    </row>
    <row r="15" spans="2:8" ht="15" customHeight="1">
      <c r="B15" s="9" t="s">
        <v>37</v>
      </c>
      <c r="C15" s="9" t="s">
        <v>38</v>
      </c>
      <c r="D15" s="10">
        <v>8</v>
      </c>
      <c r="E15" s="10">
        <f t="shared" si="0"/>
        <v>208</v>
      </c>
    </row>
    <row r="16" spans="2:8" ht="15" customHeight="1">
      <c r="B16" s="7"/>
      <c r="C16" s="7"/>
      <c r="D16" s="8"/>
      <c r="E16" s="8" t="str">
        <f t="shared" si="0"/>
        <v/>
      </c>
    </row>
    <row r="17" spans="2:5" ht="15" customHeight="1">
      <c r="B17" s="9"/>
      <c r="C17" s="9"/>
      <c r="D17" s="10"/>
      <c r="E17" s="10" t="str">
        <f t="shared" si="0"/>
        <v/>
      </c>
    </row>
    <row r="18" spans="2:5" ht="15" customHeight="1">
      <c r="B18" s="7"/>
      <c r="C18" s="7"/>
      <c r="D18" s="8"/>
      <c r="E18" s="8" t="str">
        <f t="shared" si="0"/>
        <v/>
      </c>
    </row>
    <row r="19" spans="2:5" ht="15" customHeight="1">
      <c r="B19" s="9"/>
      <c r="C19" s="9"/>
      <c r="D19" s="10"/>
      <c r="E19" s="10" t="str">
        <f t="shared" si="0"/>
        <v/>
      </c>
    </row>
    <row r="20" spans="2:5" ht="15" customHeight="1">
      <c r="B20" s="7"/>
      <c r="C20" s="7"/>
      <c r="D20" s="8"/>
      <c r="E20" s="8" t="str">
        <f t="shared" si="0"/>
        <v/>
      </c>
    </row>
    <row r="21" spans="2:5" ht="15" customHeight="1">
      <c r="B21" s="9"/>
      <c r="C21" s="9"/>
      <c r="D21" s="10"/>
      <c r="E21" s="10" t="str">
        <f t="shared" si="0"/>
        <v/>
      </c>
    </row>
    <row r="22" spans="2:5" ht="15" customHeight="1">
      <c r="B22" s="7"/>
      <c r="C22" s="7"/>
      <c r="D22" s="8"/>
      <c r="E22" s="8" t="str">
        <f t="shared" si="0"/>
        <v/>
      </c>
    </row>
    <row r="23" spans="2:5" ht="15" customHeight="1">
      <c r="B23" s="9"/>
      <c r="C23" s="9"/>
      <c r="D23" s="10"/>
      <c r="E23" s="10" t="str">
        <f t="shared" si="0"/>
        <v/>
      </c>
    </row>
    <row r="24" spans="2:5" ht="15" customHeight="1">
      <c r="B24" s="7"/>
      <c r="C24" s="7"/>
      <c r="D24" s="8"/>
      <c r="E24" s="8" t="str">
        <f t="shared" si="0"/>
        <v/>
      </c>
    </row>
    <row r="25" spans="2:5" ht="15" customHeight="1">
      <c r="B25" s="9"/>
      <c r="C25" s="9"/>
      <c r="D25" s="10"/>
      <c r="E25" s="10" t="str">
        <f t="shared" si="0"/>
        <v/>
      </c>
    </row>
    <row r="26" spans="2:5" ht="15" customHeight="1">
      <c r="B26" s="11" t="s">
        <v>39</v>
      </c>
      <c r="D26" s="12">
        <f>SUM(D6:D25)</f>
        <v>145</v>
      </c>
      <c r="E26" s="12">
        <f>SUM(E6:E25)</f>
        <v>3770</v>
      </c>
    </row>
  </sheetData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51"/>
  <sheetViews>
    <sheetView showGridLines="0" zoomScaleNormal="100" workbookViewId="0">
      <pane xSplit="1" ySplit="5" topLeftCell="B9" activePane="bottomRight" state="frozen"/>
      <selection pane="bottomRight" activeCell="D3" sqref="D3"/>
      <selection pane="bottomLeft" activeCell="A6" sqref="A6"/>
      <selection pane="topRight" activeCell="B1" sqref="B1"/>
    </sheetView>
  </sheetViews>
  <sheetFormatPr defaultColWidth="8.85546875" defaultRowHeight="15"/>
  <cols>
    <col min="1" max="1" width="2" customWidth="1"/>
    <col min="2" max="2" width="30" customWidth="1"/>
    <col min="3" max="3" width="18" customWidth="1"/>
    <col min="4" max="4" width="20" customWidth="1"/>
    <col min="5" max="7" width="11" customWidth="1"/>
    <col min="8" max="8" width="10" customWidth="1"/>
    <col min="9" max="9" width="12" customWidth="1"/>
    <col min="10" max="10" width="11" customWidth="1"/>
    <col min="11" max="11" width="16" customWidth="1"/>
    <col min="12" max="12" width="12" customWidth="1"/>
    <col min="14" max="14" width="16" customWidth="1"/>
    <col min="15" max="15" width="18" customWidth="1"/>
  </cols>
  <sheetData>
    <row r="2" spans="2:15" ht="15.75" customHeight="1">
      <c r="B2" s="1" t="s">
        <v>0</v>
      </c>
    </row>
    <row r="4" spans="2:15" ht="25.5" customHeight="1">
      <c r="B4" s="2" t="s">
        <v>40</v>
      </c>
      <c r="N4" s="13" t="s">
        <v>41</v>
      </c>
    </row>
    <row r="5" spans="2:15" ht="15" customHeight="1">
      <c r="B5" s="4" t="s">
        <v>42</v>
      </c>
      <c r="C5" s="4" t="s">
        <v>43</v>
      </c>
      <c r="D5" s="4" t="s">
        <v>44</v>
      </c>
      <c r="E5" s="4" t="s">
        <v>45</v>
      </c>
      <c r="F5" s="4" t="s">
        <v>46</v>
      </c>
      <c r="G5" s="4" t="s">
        <v>47</v>
      </c>
      <c r="H5" s="4" t="s">
        <v>48</v>
      </c>
      <c r="I5" s="4" t="s">
        <v>49</v>
      </c>
      <c r="J5" s="4" t="s">
        <v>50</v>
      </c>
      <c r="K5" s="4" t="s">
        <v>51</v>
      </c>
      <c r="L5" s="4" t="s">
        <v>52</v>
      </c>
      <c r="N5" s="14" t="s">
        <v>53</v>
      </c>
      <c r="O5" s="14" t="s">
        <v>54</v>
      </c>
    </row>
    <row r="6" spans="2:15" ht="15" customHeight="1">
      <c r="B6" s="7" t="s">
        <v>55</v>
      </c>
      <c r="C6" s="7" t="s">
        <v>56</v>
      </c>
      <c r="D6" s="7" t="s">
        <v>20</v>
      </c>
      <c r="E6" s="8">
        <v>60</v>
      </c>
      <c r="F6" s="8">
        <v>27</v>
      </c>
      <c r="G6" s="8">
        <v>36</v>
      </c>
      <c r="H6" s="8">
        <v>60</v>
      </c>
      <c r="I6" s="15">
        <f t="shared" ref="I6:I50" si="0">IF($B6="","",IF(E6&gt;0,H6/E6,0))</f>
        <v>1</v>
      </c>
      <c r="J6" s="16">
        <f t="shared" ref="J6:J50" si="1">IF($B6="","",MAX(E6-H6,0))</f>
        <v>0</v>
      </c>
      <c r="K6" s="17" t="str">
        <f>IF($B6="","",IF(I6&gt;=1,"Fertig",IF(AND(G6&gt;0,G6&lt;'Burn-Down'!$D$8),"Überfällig",IF(I6&gt;0,"In Bearbeitung","Geplant"))))</f>
        <v>Fertig</v>
      </c>
      <c r="L6" s="18">
        <f t="shared" ref="L6:L50" si="2">IF(OR($B6="",E6=0),0,E6/MAX(G6-F6+1,1))</f>
        <v>6</v>
      </c>
      <c r="N6" s="19">
        <f>IF($B6="",0,MIN('Burn-Down'!$D$8,G6))</f>
        <v>36</v>
      </c>
      <c r="O6" s="20">
        <f t="shared" ref="O6:O50" si="3">IF(OR($B6="",H6=0,N6&lt;F6),0,H6/(N6-F6+1))</f>
        <v>6</v>
      </c>
    </row>
    <row r="7" spans="2:15" ht="15" customHeight="1">
      <c r="B7" s="9" t="s">
        <v>57</v>
      </c>
      <c r="C7" s="9" t="s">
        <v>56</v>
      </c>
      <c r="D7" s="9" t="s">
        <v>20</v>
      </c>
      <c r="E7" s="10">
        <v>55</v>
      </c>
      <c r="F7" s="10">
        <v>30</v>
      </c>
      <c r="G7" s="10">
        <v>40</v>
      </c>
      <c r="H7" s="10">
        <v>25</v>
      </c>
      <c r="I7" s="21">
        <f t="shared" si="0"/>
        <v>0.45454545454545453</v>
      </c>
      <c r="J7" s="22">
        <f t="shared" si="1"/>
        <v>30</v>
      </c>
      <c r="K7" s="23" t="str">
        <f>IF($B7="","",IF(I7&gt;=1,"Fertig",IF(AND(G7&gt;0,G7&lt;'Burn-Down'!$D$8),"Überfällig",IF(I7&gt;0,"In Bearbeitung","Geplant"))))</f>
        <v>In Bearbeitung</v>
      </c>
      <c r="L7" s="24">
        <f t="shared" si="2"/>
        <v>5</v>
      </c>
      <c r="N7" s="19">
        <f>IF($B7="",0,MIN('Burn-Down'!$D$8,G7))</f>
        <v>38</v>
      </c>
      <c r="O7" s="20">
        <f t="shared" si="3"/>
        <v>2.7777777777777777</v>
      </c>
    </row>
    <row r="8" spans="2:15" ht="15" customHeight="1">
      <c r="B8" s="7" t="s">
        <v>58</v>
      </c>
      <c r="C8" s="7" t="s">
        <v>56</v>
      </c>
      <c r="D8" s="7" t="s">
        <v>20</v>
      </c>
      <c r="E8" s="8">
        <v>70</v>
      </c>
      <c r="F8" s="8">
        <v>38</v>
      </c>
      <c r="G8" s="8">
        <v>46</v>
      </c>
      <c r="H8" s="8">
        <v>6</v>
      </c>
      <c r="I8" s="15">
        <f t="shared" si="0"/>
        <v>8.5714285714285715E-2</v>
      </c>
      <c r="J8" s="16">
        <f t="shared" si="1"/>
        <v>64</v>
      </c>
      <c r="K8" s="17" t="str">
        <f>IF($B8="","",IF(I8&gt;=1,"Fertig",IF(AND(G8&gt;0,G8&lt;'Burn-Down'!$D$8),"Überfällig",IF(I8&gt;0,"In Bearbeitung","Geplant"))))</f>
        <v>In Bearbeitung</v>
      </c>
      <c r="L8" s="18">
        <f t="shared" si="2"/>
        <v>7.7777777777777777</v>
      </c>
      <c r="N8" s="19">
        <f>IF($B8="",0,MIN('Burn-Down'!$D$8,G8))</f>
        <v>38</v>
      </c>
      <c r="O8" s="20">
        <f t="shared" si="3"/>
        <v>6</v>
      </c>
    </row>
    <row r="9" spans="2:15" ht="15" customHeight="1">
      <c r="B9" s="9" t="s">
        <v>59</v>
      </c>
      <c r="C9" s="9" t="s">
        <v>56</v>
      </c>
      <c r="D9" s="9" t="s">
        <v>20</v>
      </c>
      <c r="E9" s="10">
        <v>48</v>
      </c>
      <c r="F9" s="10">
        <v>42</v>
      </c>
      <c r="G9" s="10">
        <v>48</v>
      </c>
      <c r="H9" s="10">
        <v>0</v>
      </c>
      <c r="I9" s="21">
        <f t="shared" si="0"/>
        <v>0</v>
      </c>
      <c r="J9" s="22">
        <f t="shared" si="1"/>
        <v>48</v>
      </c>
      <c r="K9" s="23" t="str">
        <f>IF($B9="","",IF(I9&gt;=1,"Fertig",IF(AND(G9&gt;0,G9&lt;'Burn-Down'!$D$8),"Überfällig",IF(I9&gt;0,"In Bearbeitung","Geplant"))))</f>
        <v>Geplant</v>
      </c>
      <c r="L9" s="24">
        <f t="shared" si="2"/>
        <v>6.8571428571428568</v>
      </c>
      <c r="N9" s="19">
        <f>IF($B9="",0,MIN('Burn-Down'!$D$8,G9))</f>
        <v>38</v>
      </c>
      <c r="O9" s="20">
        <f t="shared" si="3"/>
        <v>0</v>
      </c>
    </row>
    <row r="10" spans="2:15" ht="15" customHeight="1">
      <c r="B10" s="7" t="s">
        <v>60</v>
      </c>
      <c r="C10" s="7" t="s">
        <v>56</v>
      </c>
      <c r="D10" s="7" t="s">
        <v>20</v>
      </c>
      <c r="E10" s="8">
        <v>40</v>
      </c>
      <c r="F10" s="8">
        <v>44</v>
      </c>
      <c r="G10" s="8">
        <v>50</v>
      </c>
      <c r="H10" s="8">
        <v>0</v>
      </c>
      <c r="I10" s="15">
        <f t="shared" si="0"/>
        <v>0</v>
      </c>
      <c r="J10" s="16">
        <f t="shared" si="1"/>
        <v>40</v>
      </c>
      <c r="K10" s="17" t="str">
        <f>IF($B10="","",IF(I10&gt;=1,"Fertig",IF(AND(G10&gt;0,G10&lt;'Burn-Down'!$D$8),"Überfällig",IF(I10&gt;0,"In Bearbeitung","Geplant"))))</f>
        <v>Geplant</v>
      </c>
      <c r="L10" s="18">
        <f t="shared" si="2"/>
        <v>5.7142857142857144</v>
      </c>
      <c r="N10" s="19">
        <f>IF($B10="",0,MIN('Burn-Down'!$D$8,G10))</f>
        <v>38</v>
      </c>
      <c r="O10" s="20">
        <f t="shared" si="3"/>
        <v>0</v>
      </c>
    </row>
    <row r="11" spans="2:15" ht="15" customHeight="1">
      <c r="B11" s="9" t="s">
        <v>61</v>
      </c>
      <c r="C11" s="9" t="s">
        <v>56</v>
      </c>
      <c r="D11" s="9" t="s">
        <v>22</v>
      </c>
      <c r="E11" s="10">
        <v>65</v>
      </c>
      <c r="F11" s="10">
        <v>27</v>
      </c>
      <c r="G11" s="10">
        <v>38</v>
      </c>
      <c r="H11" s="10">
        <v>23</v>
      </c>
      <c r="I11" s="21">
        <f t="shared" si="0"/>
        <v>0.35384615384615387</v>
      </c>
      <c r="J11" s="22">
        <f t="shared" si="1"/>
        <v>42</v>
      </c>
      <c r="K11" s="23" t="str">
        <f>IF($B11="","",IF(I11&gt;=1,"Fertig",IF(AND(G11&gt;0,G11&lt;'Burn-Down'!$D$8),"Überfällig",IF(I11&gt;0,"In Bearbeitung","Geplant"))))</f>
        <v>In Bearbeitung</v>
      </c>
      <c r="L11" s="24">
        <f t="shared" si="2"/>
        <v>5.416666666666667</v>
      </c>
      <c r="N11" s="19">
        <f>IF($B11="",0,MIN('Burn-Down'!$D$8,G11))</f>
        <v>38</v>
      </c>
      <c r="O11" s="20">
        <f t="shared" si="3"/>
        <v>1.9166666666666667</v>
      </c>
    </row>
    <row r="12" spans="2:15" ht="15" customHeight="1">
      <c r="B12" s="7" t="s">
        <v>62</v>
      </c>
      <c r="C12" s="7" t="s">
        <v>56</v>
      </c>
      <c r="D12" s="7" t="s">
        <v>22</v>
      </c>
      <c r="E12" s="8">
        <v>50</v>
      </c>
      <c r="F12" s="8">
        <v>33</v>
      </c>
      <c r="G12" s="8">
        <v>42</v>
      </c>
      <c r="H12" s="8">
        <v>20</v>
      </c>
      <c r="I12" s="15">
        <f t="shared" si="0"/>
        <v>0.4</v>
      </c>
      <c r="J12" s="16">
        <f t="shared" si="1"/>
        <v>30</v>
      </c>
      <c r="K12" s="17" t="str">
        <f>IF($B12="","",IF(I12&gt;=1,"Fertig",IF(AND(G12&gt;0,G12&lt;'Burn-Down'!$D$8),"Überfällig",IF(I12&gt;0,"In Bearbeitung","Geplant"))))</f>
        <v>In Bearbeitung</v>
      </c>
      <c r="L12" s="18">
        <f t="shared" si="2"/>
        <v>5</v>
      </c>
      <c r="N12" s="19">
        <f>IF($B12="",0,MIN('Burn-Down'!$D$8,G12))</f>
        <v>38</v>
      </c>
      <c r="O12" s="20">
        <f t="shared" si="3"/>
        <v>3.3333333333333335</v>
      </c>
    </row>
    <row r="13" spans="2:15" ht="15" customHeight="1">
      <c r="B13" s="9" t="s">
        <v>63</v>
      </c>
      <c r="C13" s="9" t="s">
        <v>56</v>
      </c>
      <c r="D13" s="9" t="s">
        <v>22</v>
      </c>
      <c r="E13" s="10">
        <v>58</v>
      </c>
      <c r="F13" s="10">
        <v>40</v>
      </c>
      <c r="G13" s="10">
        <v>49</v>
      </c>
      <c r="H13" s="10">
        <v>0</v>
      </c>
      <c r="I13" s="21">
        <f t="shared" si="0"/>
        <v>0</v>
      </c>
      <c r="J13" s="22">
        <f t="shared" si="1"/>
        <v>58</v>
      </c>
      <c r="K13" s="23" t="str">
        <f>IF($B13="","",IF(I13&gt;=1,"Fertig",IF(AND(G13&gt;0,G13&lt;'Burn-Down'!$D$8),"Überfällig",IF(I13&gt;0,"In Bearbeitung","Geplant"))))</f>
        <v>Geplant</v>
      </c>
      <c r="L13" s="24">
        <f t="shared" si="2"/>
        <v>5.8</v>
      </c>
      <c r="N13" s="19">
        <f>IF($B13="",0,MIN('Burn-Down'!$D$8,G13))</f>
        <v>38</v>
      </c>
      <c r="O13" s="20">
        <f t="shared" si="3"/>
        <v>0</v>
      </c>
    </row>
    <row r="14" spans="2:15" ht="15" customHeight="1">
      <c r="B14" s="7" t="s">
        <v>64</v>
      </c>
      <c r="C14" s="7" t="s">
        <v>56</v>
      </c>
      <c r="D14" s="7" t="s">
        <v>22</v>
      </c>
      <c r="E14" s="8">
        <v>45</v>
      </c>
      <c r="F14" s="8">
        <v>44</v>
      </c>
      <c r="G14" s="8">
        <v>50</v>
      </c>
      <c r="H14" s="8">
        <v>0</v>
      </c>
      <c r="I14" s="15">
        <f t="shared" si="0"/>
        <v>0</v>
      </c>
      <c r="J14" s="16">
        <f t="shared" si="1"/>
        <v>45</v>
      </c>
      <c r="K14" s="17" t="str">
        <f>IF($B14="","",IF(I14&gt;=1,"Fertig",IF(AND(G14&gt;0,G14&lt;'Burn-Down'!$D$8),"Überfällig",IF(I14&gt;0,"In Bearbeitung","Geplant"))))</f>
        <v>Geplant</v>
      </c>
      <c r="L14" s="18">
        <f t="shared" si="2"/>
        <v>6.4285714285714288</v>
      </c>
      <c r="N14" s="19">
        <f>IF($B14="",0,MIN('Burn-Down'!$D$8,G14))</f>
        <v>38</v>
      </c>
      <c r="O14" s="20">
        <f t="shared" si="3"/>
        <v>0</v>
      </c>
    </row>
    <row r="15" spans="2:15" ht="15" customHeight="1">
      <c r="B15" s="9" t="s">
        <v>65</v>
      </c>
      <c r="C15" s="9" t="s">
        <v>56</v>
      </c>
      <c r="D15" s="9" t="s">
        <v>22</v>
      </c>
      <c r="E15" s="10">
        <v>30</v>
      </c>
      <c r="F15" s="10">
        <v>47</v>
      </c>
      <c r="G15" s="10">
        <v>52</v>
      </c>
      <c r="H15" s="10">
        <v>0</v>
      </c>
      <c r="I15" s="21">
        <f t="shared" si="0"/>
        <v>0</v>
      </c>
      <c r="J15" s="22">
        <f t="shared" si="1"/>
        <v>30</v>
      </c>
      <c r="K15" s="23" t="str">
        <f>IF($B15="","",IF(I15&gt;=1,"Fertig",IF(AND(G15&gt;0,G15&lt;'Burn-Down'!$D$8),"Überfällig",IF(I15&gt;0,"In Bearbeitung","Geplant"))))</f>
        <v>Geplant</v>
      </c>
      <c r="L15" s="24">
        <f t="shared" si="2"/>
        <v>5</v>
      </c>
      <c r="N15" s="19">
        <f>IF($B15="",0,MIN('Burn-Down'!$D$8,G15))</f>
        <v>38</v>
      </c>
      <c r="O15" s="20">
        <f t="shared" si="3"/>
        <v>0</v>
      </c>
    </row>
    <row r="16" spans="2:15" ht="15" customHeight="1">
      <c r="B16" s="7" t="s">
        <v>66</v>
      </c>
      <c r="C16" s="7" t="s">
        <v>56</v>
      </c>
      <c r="D16" s="7" t="s">
        <v>24</v>
      </c>
      <c r="E16" s="8">
        <v>52</v>
      </c>
      <c r="F16" s="8">
        <v>28</v>
      </c>
      <c r="G16" s="8">
        <v>38</v>
      </c>
      <c r="H16" s="8">
        <v>23</v>
      </c>
      <c r="I16" s="15">
        <f t="shared" si="0"/>
        <v>0.44230769230769229</v>
      </c>
      <c r="J16" s="16">
        <f t="shared" si="1"/>
        <v>29</v>
      </c>
      <c r="K16" s="17" t="str">
        <f>IF($B16="","",IF(I16&gt;=1,"Fertig",IF(AND(G16&gt;0,G16&lt;'Burn-Down'!$D$8),"Überfällig",IF(I16&gt;0,"In Bearbeitung","Geplant"))))</f>
        <v>In Bearbeitung</v>
      </c>
      <c r="L16" s="18">
        <f t="shared" si="2"/>
        <v>4.7272727272727275</v>
      </c>
      <c r="N16" s="19">
        <f>IF($B16="",0,MIN('Burn-Down'!$D$8,G16))</f>
        <v>38</v>
      </c>
      <c r="O16" s="20">
        <f t="shared" si="3"/>
        <v>2.0909090909090908</v>
      </c>
    </row>
    <row r="17" spans="2:15" ht="15" customHeight="1">
      <c r="B17" s="9" t="s">
        <v>67</v>
      </c>
      <c r="C17" s="9" t="s">
        <v>56</v>
      </c>
      <c r="D17" s="9" t="s">
        <v>24</v>
      </c>
      <c r="E17" s="10">
        <v>46</v>
      </c>
      <c r="F17" s="10">
        <v>31</v>
      </c>
      <c r="G17" s="10">
        <v>40</v>
      </c>
      <c r="H17" s="10">
        <v>33</v>
      </c>
      <c r="I17" s="21">
        <f t="shared" si="0"/>
        <v>0.71739130434782605</v>
      </c>
      <c r="J17" s="22">
        <f t="shared" si="1"/>
        <v>13</v>
      </c>
      <c r="K17" s="23" t="str">
        <f>IF($B17="","",IF(I17&gt;=1,"Fertig",IF(AND(G17&gt;0,G17&lt;'Burn-Down'!$D$8),"Überfällig",IF(I17&gt;0,"In Bearbeitung","Geplant"))))</f>
        <v>In Bearbeitung</v>
      </c>
      <c r="L17" s="24">
        <f t="shared" si="2"/>
        <v>4.5999999999999996</v>
      </c>
      <c r="N17" s="19">
        <f>IF($B17="",0,MIN('Burn-Down'!$D$8,G17))</f>
        <v>38</v>
      </c>
      <c r="O17" s="20">
        <f t="shared" si="3"/>
        <v>4.125</v>
      </c>
    </row>
    <row r="18" spans="2:15" ht="15" customHeight="1">
      <c r="B18" s="7" t="s">
        <v>68</v>
      </c>
      <c r="C18" s="7" t="s">
        <v>56</v>
      </c>
      <c r="D18" s="7" t="s">
        <v>24</v>
      </c>
      <c r="E18" s="8">
        <v>60</v>
      </c>
      <c r="F18" s="8">
        <v>39</v>
      </c>
      <c r="G18" s="8">
        <v>48</v>
      </c>
      <c r="H18" s="8">
        <v>0</v>
      </c>
      <c r="I18" s="15">
        <f t="shared" si="0"/>
        <v>0</v>
      </c>
      <c r="J18" s="16">
        <f t="shared" si="1"/>
        <v>60</v>
      </c>
      <c r="K18" s="17" t="str">
        <f>IF($B18="","",IF(I18&gt;=1,"Fertig",IF(AND(G18&gt;0,G18&lt;'Burn-Down'!$D$8),"Überfällig",IF(I18&gt;0,"In Bearbeitung","Geplant"))))</f>
        <v>Geplant</v>
      </c>
      <c r="L18" s="18">
        <f t="shared" si="2"/>
        <v>6</v>
      </c>
      <c r="N18" s="19">
        <f>IF($B18="",0,MIN('Burn-Down'!$D$8,G18))</f>
        <v>38</v>
      </c>
      <c r="O18" s="20">
        <f t="shared" si="3"/>
        <v>0</v>
      </c>
    </row>
    <row r="19" spans="2:15" ht="15" customHeight="1">
      <c r="B19" s="9" t="s">
        <v>69</v>
      </c>
      <c r="C19" s="9" t="s">
        <v>56</v>
      </c>
      <c r="D19" s="9" t="s">
        <v>24</v>
      </c>
      <c r="E19" s="10">
        <v>40</v>
      </c>
      <c r="F19" s="10">
        <v>43</v>
      </c>
      <c r="G19" s="10">
        <v>50</v>
      </c>
      <c r="H19" s="10">
        <v>0</v>
      </c>
      <c r="I19" s="21">
        <f t="shared" si="0"/>
        <v>0</v>
      </c>
      <c r="J19" s="22">
        <f t="shared" si="1"/>
        <v>40</v>
      </c>
      <c r="K19" s="23" t="str">
        <f>IF($B19="","",IF(I19&gt;=1,"Fertig",IF(AND(G19&gt;0,G19&lt;'Burn-Down'!$D$8),"Überfällig",IF(I19&gt;0,"In Bearbeitung","Geplant"))))</f>
        <v>Geplant</v>
      </c>
      <c r="L19" s="24">
        <f t="shared" si="2"/>
        <v>5</v>
      </c>
      <c r="N19" s="19">
        <f>IF($B19="",0,MIN('Burn-Down'!$D$8,G19))</f>
        <v>38</v>
      </c>
      <c r="O19" s="20">
        <f t="shared" si="3"/>
        <v>0</v>
      </c>
    </row>
    <row r="20" spans="2:15" ht="15" customHeight="1">
      <c r="B20" s="7" t="s">
        <v>70</v>
      </c>
      <c r="C20" s="7" t="s">
        <v>56</v>
      </c>
      <c r="D20" s="7" t="s">
        <v>24</v>
      </c>
      <c r="E20" s="8">
        <v>60</v>
      </c>
      <c r="F20" s="8">
        <v>45</v>
      </c>
      <c r="G20" s="8">
        <v>52</v>
      </c>
      <c r="H20" s="8">
        <v>0</v>
      </c>
      <c r="I20" s="15">
        <f t="shared" si="0"/>
        <v>0</v>
      </c>
      <c r="J20" s="16">
        <f t="shared" si="1"/>
        <v>60</v>
      </c>
      <c r="K20" s="17" t="str">
        <f>IF($B20="","",IF(I20&gt;=1,"Fertig",IF(AND(G20&gt;0,G20&lt;'Burn-Down'!$D$8),"Überfällig",IF(I20&gt;0,"In Bearbeitung","Geplant"))))</f>
        <v>Geplant</v>
      </c>
      <c r="L20" s="18">
        <f t="shared" si="2"/>
        <v>7.5</v>
      </c>
      <c r="N20" s="19">
        <f>IF($B20="",0,MIN('Burn-Down'!$D$8,G20))</f>
        <v>38</v>
      </c>
      <c r="O20" s="20">
        <f t="shared" si="3"/>
        <v>0</v>
      </c>
    </row>
    <row r="21" spans="2:15" ht="15" customHeight="1">
      <c r="B21" s="9" t="s">
        <v>71</v>
      </c>
      <c r="C21" s="9" t="s">
        <v>56</v>
      </c>
      <c r="D21" s="9" t="s">
        <v>26</v>
      </c>
      <c r="E21" s="10">
        <v>40</v>
      </c>
      <c r="F21" s="10">
        <v>27</v>
      </c>
      <c r="G21" s="10">
        <v>34</v>
      </c>
      <c r="H21" s="10">
        <v>24</v>
      </c>
      <c r="I21" s="21">
        <f t="shared" si="0"/>
        <v>0.6</v>
      </c>
      <c r="J21" s="22">
        <f t="shared" si="1"/>
        <v>16</v>
      </c>
      <c r="K21" s="23" t="str">
        <f>IF($B21="","",IF(I21&gt;=1,"Fertig",IF(AND(G21&gt;0,G21&lt;'Burn-Down'!$D$8),"Überfällig",IF(I21&gt;0,"In Bearbeitung","Geplant"))))</f>
        <v>Überfällig</v>
      </c>
      <c r="L21" s="24">
        <f t="shared" si="2"/>
        <v>5</v>
      </c>
      <c r="N21" s="19">
        <f>IF($B21="",0,MIN('Burn-Down'!$D$8,G21))</f>
        <v>34</v>
      </c>
      <c r="O21" s="20">
        <f t="shared" si="3"/>
        <v>3</v>
      </c>
    </row>
    <row r="22" spans="2:15" ht="15" customHeight="1">
      <c r="B22" s="7" t="s">
        <v>72</v>
      </c>
      <c r="C22" s="7" t="s">
        <v>73</v>
      </c>
      <c r="D22" s="7" t="s">
        <v>26</v>
      </c>
      <c r="E22" s="8">
        <v>34</v>
      </c>
      <c r="F22" s="8">
        <v>30</v>
      </c>
      <c r="G22" s="8">
        <v>38</v>
      </c>
      <c r="H22" s="8">
        <v>10</v>
      </c>
      <c r="I22" s="15">
        <f t="shared" si="0"/>
        <v>0.29411764705882354</v>
      </c>
      <c r="J22" s="16">
        <f t="shared" si="1"/>
        <v>24</v>
      </c>
      <c r="K22" s="17" t="str">
        <f>IF($B22="","",IF(I22&gt;=1,"Fertig",IF(AND(G22&gt;0,G22&lt;'Burn-Down'!$D$8),"Überfällig",IF(I22&gt;0,"In Bearbeitung","Geplant"))))</f>
        <v>In Bearbeitung</v>
      </c>
      <c r="L22" s="18">
        <f t="shared" si="2"/>
        <v>3.7777777777777777</v>
      </c>
      <c r="N22" s="19">
        <f>IF($B22="",0,MIN('Burn-Down'!$D$8,G22))</f>
        <v>38</v>
      </c>
      <c r="O22" s="20">
        <f t="shared" si="3"/>
        <v>1.1111111111111112</v>
      </c>
    </row>
    <row r="23" spans="2:15" ht="15" customHeight="1">
      <c r="B23" s="9" t="s">
        <v>74</v>
      </c>
      <c r="C23" s="9" t="s">
        <v>56</v>
      </c>
      <c r="D23" s="9" t="s">
        <v>26</v>
      </c>
      <c r="E23" s="10">
        <v>48</v>
      </c>
      <c r="F23" s="10">
        <v>36</v>
      </c>
      <c r="G23" s="10">
        <v>45</v>
      </c>
      <c r="H23" s="10">
        <v>10</v>
      </c>
      <c r="I23" s="21">
        <f t="shared" si="0"/>
        <v>0.20833333333333334</v>
      </c>
      <c r="J23" s="22">
        <f t="shared" si="1"/>
        <v>38</v>
      </c>
      <c r="K23" s="23" t="str">
        <f>IF($B23="","",IF(I23&gt;=1,"Fertig",IF(AND(G23&gt;0,G23&lt;'Burn-Down'!$D$8),"Überfällig",IF(I23&gt;0,"In Bearbeitung","Geplant"))))</f>
        <v>In Bearbeitung</v>
      </c>
      <c r="L23" s="24">
        <f t="shared" si="2"/>
        <v>4.8</v>
      </c>
      <c r="N23" s="19">
        <f>IF($B23="",0,MIN('Burn-Down'!$D$8,G23))</f>
        <v>38</v>
      </c>
      <c r="O23" s="20">
        <f t="shared" si="3"/>
        <v>3.3333333333333335</v>
      </c>
    </row>
    <row r="24" spans="2:15" ht="15" customHeight="1">
      <c r="B24" s="7" t="s">
        <v>75</v>
      </c>
      <c r="C24" s="7" t="s">
        <v>56</v>
      </c>
      <c r="D24" s="7" t="s">
        <v>26</v>
      </c>
      <c r="E24" s="8">
        <v>30</v>
      </c>
      <c r="F24" s="8">
        <v>41</v>
      </c>
      <c r="G24" s="8">
        <v>48</v>
      </c>
      <c r="H24" s="8">
        <v>0</v>
      </c>
      <c r="I24" s="15">
        <f t="shared" si="0"/>
        <v>0</v>
      </c>
      <c r="J24" s="16">
        <f t="shared" si="1"/>
        <v>30</v>
      </c>
      <c r="K24" s="17" t="str">
        <f>IF($B24="","",IF(I24&gt;=1,"Fertig",IF(AND(G24&gt;0,G24&lt;'Burn-Down'!$D$8),"Überfällig",IF(I24&gt;0,"In Bearbeitung","Geplant"))))</f>
        <v>Geplant</v>
      </c>
      <c r="L24" s="18">
        <f t="shared" si="2"/>
        <v>3.75</v>
      </c>
      <c r="N24" s="19">
        <f>IF($B24="",0,MIN('Burn-Down'!$D$8,G24))</f>
        <v>38</v>
      </c>
      <c r="O24" s="20">
        <f t="shared" si="3"/>
        <v>0</v>
      </c>
    </row>
    <row r="25" spans="2:15" ht="15" customHeight="1">
      <c r="B25" s="9" t="s">
        <v>76</v>
      </c>
      <c r="C25" s="9" t="s">
        <v>73</v>
      </c>
      <c r="D25" s="9" t="s">
        <v>26</v>
      </c>
      <c r="E25" s="10">
        <v>26</v>
      </c>
      <c r="F25" s="10">
        <v>46</v>
      </c>
      <c r="G25" s="10">
        <v>52</v>
      </c>
      <c r="H25" s="10">
        <v>0</v>
      </c>
      <c r="I25" s="21">
        <f t="shared" si="0"/>
        <v>0</v>
      </c>
      <c r="J25" s="22">
        <f t="shared" si="1"/>
        <v>26</v>
      </c>
      <c r="K25" s="23" t="str">
        <f>IF($B25="","",IF(I25&gt;=1,"Fertig",IF(AND(G25&gt;0,G25&lt;'Burn-Down'!$D$8),"Überfällig",IF(I25&gt;0,"In Bearbeitung","Geplant"))))</f>
        <v>Geplant</v>
      </c>
      <c r="L25" s="24">
        <f t="shared" si="2"/>
        <v>3.7142857142857144</v>
      </c>
      <c r="N25" s="19">
        <f>IF($B25="",0,MIN('Burn-Down'!$D$8,G25))</f>
        <v>38</v>
      </c>
      <c r="O25" s="20">
        <f t="shared" si="3"/>
        <v>0</v>
      </c>
    </row>
    <row r="26" spans="2:15" ht="15" customHeight="1">
      <c r="B26" s="7" t="s">
        <v>77</v>
      </c>
      <c r="C26" s="7" t="s">
        <v>56</v>
      </c>
      <c r="D26" s="7" t="s">
        <v>28</v>
      </c>
      <c r="E26" s="8">
        <v>45</v>
      </c>
      <c r="F26" s="8">
        <v>29</v>
      </c>
      <c r="G26" s="8">
        <v>40</v>
      </c>
      <c r="H26" s="8">
        <v>19</v>
      </c>
      <c r="I26" s="15">
        <f t="shared" si="0"/>
        <v>0.42222222222222222</v>
      </c>
      <c r="J26" s="16">
        <f t="shared" si="1"/>
        <v>26</v>
      </c>
      <c r="K26" s="17" t="str">
        <f>IF($B26="","",IF(I26&gt;=1,"Fertig",IF(AND(G26&gt;0,G26&lt;'Burn-Down'!$D$8),"Überfällig",IF(I26&gt;0,"In Bearbeitung","Geplant"))))</f>
        <v>In Bearbeitung</v>
      </c>
      <c r="L26" s="18">
        <f t="shared" si="2"/>
        <v>3.75</v>
      </c>
      <c r="N26" s="19">
        <f>IF($B26="",0,MIN('Burn-Down'!$D$8,G26))</f>
        <v>38</v>
      </c>
      <c r="O26" s="20">
        <f t="shared" si="3"/>
        <v>1.9</v>
      </c>
    </row>
    <row r="27" spans="2:15" ht="15" customHeight="1">
      <c r="B27" s="9" t="s">
        <v>78</v>
      </c>
      <c r="C27" s="9" t="s">
        <v>56</v>
      </c>
      <c r="D27" s="9" t="s">
        <v>28</v>
      </c>
      <c r="E27" s="10">
        <v>38</v>
      </c>
      <c r="F27" s="10">
        <v>34</v>
      </c>
      <c r="G27" s="10">
        <v>43</v>
      </c>
      <c r="H27" s="10">
        <v>11</v>
      </c>
      <c r="I27" s="21">
        <f t="shared" si="0"/>
        <v>0.28947368421052633</v>
      </c>
      <c r="J27" s="22">
        <f t="shared" si="1"/>
        <v>27</v>
      </c>
      <c r="K27" s="23" t="str">
        <f>IF($B27="","",IF(I27&gt;=1,"Fertig",IF(AND(G27&gt;0,G27&lt;'Burn-Down'!$D$8),"Überfällig",IF(I27&gt;0,"In Bearbeitung","Geplant"))))</f>
        <v>In Bearbeitung</v>
      </c>
      <c r="L27" s="24">
        <f t="shared" si="2"/>
        <v>3.8</v>
      </c>
      <c r="N27" s="19">
        <f>IF($B27="",0,MIN('Burn-Down'!$D$8,G27))</f>
        <v>38</v>
      </c>
      <c r="O27" s="20">
        <f t="shared" si="3"/>
        <v>2.2000000000000002</v>
      </c>
    </row>
    <row r="28" spans="2:15" ht="15" customHeight="1">
      <c r="B28" s="7" t="s">
        <v>79</v>
      </c>
      <c r="C28" s="7" t="s">
        <v>56</v>
      </c>
      <c r="D28" s="7" t="s">
        <v>28</v>
      </c>
      <c r="E28" s="8">
        <v>50</v>
      </c>
      <c r="F28" s="8">
        <v>41</v>
      </c>
      <c r="G28" s="8">
        <v>50</v>
      </c>
      <c r="H28" s="8">
        <v>0</v>
      </c>
      <c r="I28" s="15">
        <f t="shared" si="0"/>
        <v>0</v>
      </c>
      <c r="J28" s="16">
        <f t="shared" si="1"/>
        <v>50</v>
      </c>
      <c r="K28" s="17" t="str">
        <f>IF($B28="","",IF(I28&gt;=1,"Fertig",IF(AND(G28&gt;0,G28&lt;'Burn-Down'!$D$8),"Überfällig",IF(I28&gt;0,"In Bearbeitung","Geplant"))))</f>
        <v>Geplant</v>
      </c>
      <c r="L28" s="18">
        <f t="shared" si="2"/>
        <v>5</v>
      </c>
      <c r="N28" s="19">
        <f>IF($B28="",0,MIN('Burn-Down'!$D$8,G28))</f>
        <v>38</v>
      </c>
      <c r="O28" s="20">
        <f t="shared" si="3"/>
        <v>0</v>
      </c>
    </row>
    <row r="29" spans="2:15" ht="15" customHeight="1">
      <c r="B29" s="9" t="s">
        <v>80</v>
      </c>
      <c r="C29" s="9" t="s">
        <v>56</v>
      </c>
      <c r="D29" s="9" t="s">
        <v>28</v>
      </c>
      <c r="E29" s="10">
        <v>28</v>
      </c>
      <c r="F29" s="10">
        <v>45</v>
      </c>
      <c r="G29" s="10">
        <v>52</v>
      </c>
      <c r="H29" s="10">
        <v>0</v>
      </c>
      <c r="I29" s="21">
        <f t="shared" si="0"/>
        <v>0</v>
      </c>
      <c r="J29" s="22">
        <f t="shared" si="1"/>
        <v>28</v>
      </c>
      <c r="K29" s="23" t="str">
        <f>IF($B29="","",IF(I29&gt;=1,"Fertig",IF(AND(G29&gt;0,G29&lt;'Burn-Down'!$D$8),"Überfällig",IF(I29&gt;0,"In Bearbeitung","Geplant"))))</f>
        <v>Geplant</v>
      </c>
      <c r="L29" s="24">
        <f t="shared" si="2"/>
        <v>3.5</v>
      </c>
      <c r="N29" s="19">
        <f>IF($B29="",0,MIN('Burn-Down'!$D$8,G29))</f>
        <v>38</v>
      </c>
      <c r="O29" s="20">
        <f t="shared" si="3"/>
        <v>0</v>
      </c>
    </row>
    <row r="30" spans="2:15" ht="15" customHeight="1">
      <c r="B30" s="7" t="s">
        <v>81</v>
      </c>
      <c r="C30" s="7" t="s">
        <v>73</v>
      </c>
      <c r="D30" s="7" t="s">
        <v>28</v>
      </c>
      <c r="E30" s="8">
        <v>24</v>
      </c>
      <c r="F30" s="8">
        <v>48</v>
      </c>
      <c r="G30" s="8">
        <v>52</v>
      </c>
      <c r="H30" s="8">
        <v>0</v>
      </c>
      <c r="I30" s="15">
        <f t="shared" si="0"/>
        <v>0</v>
      </c>
      <c r="J30" s="16">
        <f t="shared" si="1"/>
        <v>24</v>
      </c>
      <c r="K30" s="17" t="str">
        <f>IF($B30="","",IF(I30&gt;=1,"Fertig",IF(AND(G30&gt;0,G30&lt;'Burn-Down'!$D$8),"Überfällig",IF(I30&gt;0,"In Bearbeitung","Geplant"))))</f>
        <v>Geplant</v>
      </c>
      <c r="L30" s="18">
        <f t="shared" si="2"/>
        <v>4.8</v>
      </c>
      <c r="N30" s="19">
        <f>IF($B30="",0,MIN('Burn-Down'!$D$8,G30))</f>
        <v>38</v>
      </c>
      <c r="O30" s="20">
        <f t="shared" si="3"/>
        <v>0</v>
      </c>
    </row>
    <row r="31" spans="2:15" ht="15" customHeight="1">
      <c r="B31" s="9" t="s">
        <v>82</v>
      </c>
      <c r="C31" s="9" t="s">
        <v>73</v>
      </c>
      <c r="D31" s="9" t="s">
        <v>30</v>
      </c>
      <c r="E31" s="10">
        <v>36</v>
      </c>
      <c r="F31" s="10">
        <v>27</v>
      </c>
      <c r="G31" s="10">
        <v>36</v>
      </c>
      <c r="H31" s="10">
        <v>22</v>
      </c>
      <c r="I31" s="21">
        <f t="shared" si="0"/>
        <v>0.61111111111111116</v>
      </c>
      <c r="J31" s="22">
        <f t="shared" si="1"/>
        <v>14</v>
      </c>
      <c r="K31" s="23" t="str">
        <f>IF($B31="","",IF(I31&gt;=1,"Fertig",IF(AND(G31&gt;0,G31&lt;'Burn-Down'!$D$8),"Überfällig",IF(I31&gt;0,"In Bearbeitung","Geplant"))))</f>
        <v>Überfällig</v>
      </c>
      <c r="L31" s="24">
        <f t="shared" si="2"/>
        <v>3.6</v>
      </c>
      <c r="N31" s="19">
        <f>IF($B31="",0,MIN('Burn-Down'!$D$8,G31))</f>
        <v>36</v>
      </c>
      <c r="O31" s="20">
        <f t="shared" si="3"/>
        <v>2.2000000000000002</v>
      </c>
    </row>
    <row r="32" spans="2:15" ht="15" customHeight="1">
      <c r="B32" s="7" t="s">
        <v>83</v>
      </c>
      <c r="C32" s="7" t="s">
        <v>56</v>
      </c>
      <c r="D32" s="7" t="s">
        <v>30</v>
      </c>
      <c r="E32" s="8">
        <v>42</v>
      </c>
      <c r="F32" s="8">
        <v>32</v>
      </c>
      <c r="G32" s="8">
        <v>42</v>
      </c>
      <c r="H32" s="8">
        <v>15</v>
      </c>
      <c r="I32" s="15">
        <f t="shared" si="0"/>
        <v>0.35714285714285715</v>
      </c>
      <c r="J32" s="16">
        <f t="shared" si="1"/>
        <v>27</v>
      </c>
      <c r="K32" s="17" t="str">
        <f>IF($B32="","",IF(I32&gt;=1,"Fertig",IF(AND(G32&gt;0,G32&lt;'Burn-Down'!$D$8),"Überfällig",IF(I32&gt;0,"In Bearbeitung","Geplant"))))</f>
        <v>In Bearbeitung</v>
      </c>
      <c r="L32" s="18">
        <f t="shared" si="2"/>
        <v>3.8181818181818183</v>
      </c>
      <c r="N32" s="19">
        <f>IF($B32="",0,MIN('Burn-Down'!$D$8,G32))</f>
        <v>38</v>
      </c>
      <c r="O32" s="20">
        <f t="shared" si="3"/>
        <v>2.1428571428571428</v>
      </c>
    </row>
    <row r="33" spans="2:15" ht="15" customHeight="1">
      <c r="B33" s="9" t="s">
        <v>84</v>
      </c>
      <c r="C33" s="9" t="s">
        <v>56</v>
      </c>
      <c r="D33" s="9" t="s">
        <v>30</v>
      </c>
      <c r="E33" s="10">
        <v>30</v>
      </c>
      <c r="F33" s="10">
        <v>38</v>
      </c>
      <c r="G33" s="10">
        <v>45</v>
      </c>
      <c r="H33" s="10">
        <v>3</v>
      </c>
      <c r="I33" s="21">
        <f t="shared" si="0"/>
        <v>0.1</v>
      </c>
      <c r="J33" s="22">
        <f t="shared" si="1"/>
        <v>27</v>
      </c>
      <c r="K33" s="23" t="str">
        <f>IF($B33="","",IF(I33&gt;=1,"Fertig",IF(AND(G33&gt;0,G33&lt;'Burn-Down'!$D$8),"Überfällig",IF(I33&gt;0,"In Bearbeitung","Geplant"))))</f>
        <v>In Bearbeitung</v>
      </c>
      <c r="L33" s="24">
        <f t="shared" si="2"/>
        <v>3.75</v>
      </c>
      <c r="N33" s="19">
        <f>IF($B33="",0,MIN('Burn-Down'!$D$8,G33))</f>
        <v>38</v>
      </c>
      <c r="O33" s="20">
        <f t="shared" si="3"/>
        <v>3</v>
      </c>
    </row>
    <row r="34" spans="2:15" ht="15" customHeight="1">
      <c r="B34" s="7" t="s">
        <v>85</v>
      </c>
      <c r="C34" s="7" t="s">
        <v>56</v>
      </c>
      <c r="D34" s="7" t="s">
        <v>30</v>
      </c>
      <c r="E34" s="8">
        <v>40</v>
      </c>
      <c r="F34" s="8">
        <v>43</v>
      </c>
      <c r="G34" s="8">
        <v>50</v>
      </c>
      <c r="H34" s="8">
        <v>0</v>
      </c>
      <c r="I34" s="15">
        <f t="shared" si="0"/>
        <v>0</v>
      </c>
      <c r="J34" s="16">
        <f t="shared" si="1"/>
        <v>40</v>
      </c>
      <c r="K34" s="17" t="str">
        <f>IF($B34="","",IF(I34&gt;=1,"Fertig",IF(AND(G34&gt;0,G34&lt;'Burn-Down'!$D$8),"Überfällig",IF(I34&gt;0,"In Bearbeitung","Geplant"))))</f>
        <v>Geplant</v>
      </c>
      <c r="L34" s="18">
        <f t="shared" si="2"/>
        <v>5</v>
      </c>
      <c r="N34" s="19">
        <f>IF($B34="",0,MIN('Burn-Down'!$D$8,G34))</f>
        <v>38</v>
      </c>
      <c r="O34" s="20">
        <f t="shared" si="3"/>
        <v>0</v>
      </c>
    </row>
    <row r="35" spans="2:15" ht="15" customHeight="1">
      <c r="B35" s="9" t="s">
        <v>86</v>
      </c>
      <c r="C35" s="9" t="s">
        <v>73</v>
      </c>
      <c r="D35" s="9" t="s">
        <v>30</v>
      </c>
      <c r="E35" s="10">
        <v>32</v>
      </c>
      <c r="F35" s="10">
        <v>46</v>
      </c>
      <c r="G35" s="10">
        <v>52</v>
      </c>
      <c r="H35" s="10">
        <v>0</v>
      </c>
      <c r="I35" s="21">
        <f t="shared" si="0"/>
        <v>0</v>
      </c>
      <c r="J35" s="22">
        <f t="shared" si="1"/>
        <v>32</v>
      </c>
      <c r="K35" s="23" t="str">
        <f>IF($B35="","",IF(I35&gt;=1,"Fertig",IF(AND(G35&gt;0,G35&lt;'Burn-Down'!$D$8),"Überfällig",IF(I35&gt;0,"In Bearbeitung","Geplant"))))</f>
        <v>Geplant</v>
      </c>
      <c r="L35" s="24">
        <f t="shared" si="2"/>
        <v>4.5714285714285712</v>
      </c>
      <c r="N35" s="19">
        <f>IF($B35="",0,MIN('Burn-Down'!$D$8,G35))</f>
        <v>38</v>
      </c>
      <c r="O35" s="20">
        <f t="shared" si="3"/>
        <v>0</v>
      </c>
    </row>
    <row r="36" spans="2:15" ht="15" customHeight="1">
      <c r="B36" s="7" t="s">
        <v>87</v>
      </c>
      <c r="C36" s="7" t="s">
        <v>73</v>
      </c>
      <c r="D36" s="7" t="s">
        <v>32</v>
      </c>
      <c r="E36" s="8">
        <v>30</v>
      </c>
      <c r="F36" s="8">
        <v>28</v>
      </c>
      <c r="G36" s="8">
        <v>37</v>
      </c>
      <c r="H36" s="8">
        <v>30</v>
      </c>
      <c r="I36" s="15">
        <f t="shared" si="0"/>
        <v>1</v>
      </c>
      <c r="J36" s="16">
        <f t="shared" si="1"/>
        <v>0</v>
      </c>
      <c r="K36" s="17" t="str">
        <f>IF($B36="","",IF(I36&gt;=1,"Fertig",IF(AND(G36&gt;0,G36&lt;'Burn-Down'!$D$8),"Überfällig",IF(I36&gt;0,"In Bearbeitung","Geplant"))))</f>
        <v>Fertig</v>
      </c>
      <c r="L36" s="18">
        <f t="shared" si="2"/>
        <v>3</v>
      </c>
      <c r="N36" s="19">
        <f>IF($B36="",0,MIN('Burn-Down'!$D$8,G36))</f>
        <v>37</v>
      </c>
      <c r="O36" s="20">
        <f t="shared" si="3"/>
        <v>3</v>
      </c>
    </row>
    <row r="37" spans="2:15" ht="15" customHeight="1">
      <c r="B37" s="9" t="s">
        <v>88</v>
      </c>
      <c r="C37" s="9" t="s">
        <v>73</v>
      </c>
      <c r="D37" s="9" t="s">
        <v>32</v>
      </c>
      <c r="E37" s="10">
        <v>26</v>
      </c>
      <c r="F37" s="10">
        <v>33</v>
      </c>
      <c r="G37" s="10">
        <v>40</v>
      </c>
      <c r="H37" s="10">
        <v>7</v>
      </c>
      <c r="I37" s="21">
        <f t="shared" si="0"/>
        <v>0.26923076923076922</v>
      </c>
      <c r="J37" s="22">
        <f t="shared" si="1"/>
        <v>19</v>
      </c>
      <c r="K37" s="23" t="str">
        <f>IF($B37="","",IF(I37&gt;=1,"Fertig",IF(AND(G37&gt;0,G37&lt;'Burn-Down'!$D$8),"Überfällig",IF(I37&gt;0,"In Bearbeitung","Geplant"))))</f>
        <v>In Bearbeitung</v>
      </c>
      <c r="L37" s="24">
        <f t="shared" si="2"/>
        <v>3.25</v>
      </c>
      <c r="N37" s="19">
        <f>IF($B37="",0,MIN('Burn-Down'!$D$8,G37))</f>
        <v>38</v>
      </c>
      <c r="O37" s="20">
        <f t="shared" si="3"/>
        <v>1.1666666666666667</v>
      </c>
    </row>
    <row r="38" spans="2:15" ht="15" customHeight="1">
      <c r="B38" s="7" t="s">
        <v>89</v>
      </c>
      <c r="C38" s="7" t="s">
        <v>56</v>
      </c>
      <c r="D38" s="7" t="s">
        <v>32</v>
      </c>
      <c r="E38" s="8">
        <v>36</v>
      </c>
      <c r="F38" s="8">
        <v>39</v>
      </c>
      <c r="G38" s="8">
        <v>47</v>
      </c>
      <c r="H38" s="8">
        <v>0</v>
      </c>
      <c r="I38" s="15">
        <f t="shared" si="0"/>
        <v>0</v>
      </c>
      <c r="J38" s="16">
        <f t="shared" si="1"/>
        <v>36</v>
      </c>
      <c r="K38" s="17" t="str">
        <f>IF($B38="","",IF(I38&gt;=1,"Fertig",IF(AND(G38&gt;0,G38&lt;'Burn-Down'!$D$8),"Überfällig",IF(I38&gt;0,"In Bearbeitung","Geplant"))))</f>
        <v>Geplant</v>
      </c>
      <c r="L38" s="18">
        <f t="shared" si="2"/>
        <v>4</v>
      </c>
      <c r="N38" s="19">
        <f>IF($B38="",0,MIN('Burn-Down'!$D$8,G38))</f>
        <v>38</v>
      </c>
      <c r="O38" s="20">
        <f t="shared" si="3"/>
        <v>0</v>
      </c>
    </row>
    <row r="39" spans="2:15" ht="15" customHeight="1">
      <c r="B39" s="9" t="s">
        <v>90</v>
      </c>
      <c r="C39" s="9" t="s">
        <v>56</v>
      </c>
      <c r="D39" s="9" t="s">
        <v>32</v>
      </c>
      <c r="E39" s="10">
        <v>24</v>
      </c>
      <c r="F39" s="10">
        <v>44</v>
      </c>
      <c r="G39" s="10">
        <v>50</v>
      </c>
      <c r="H39" s="10">
        <v>0</v>
      </c>
      <c r="I39" s="21">
        <f t="shared" si="0"/>
        <v>0</v>
      </c>
      <c r="J39" s="22">
        <f t="shared" si="1"/>
        <v>24</v>
      </c>
      <c r="K39" s="23" t="str">
        <f>IF($B39="","",IF(I39&gt;=1,"Fertig",IF(AND(G39&gt;0,G39&lt;'Burn-Down'!$D$8),"Überfällig",IF(I39&gt;0,"In Bearbeitung","Geplant"))))</f>
        <v>Geplant</v>
      </c>
      <c r="L39" s="24">
        <f t="shared" si="2"/>
        <v>3.4285714285714284</v>
      </c>
      <c r="N39" s="19">
        <f>IF($B39="",0,MIN('Burn-Down'!$D$8,G39))</f>
        <v>38</v>
      </c>
      <c r="O39" s="20">
        <f t="shared" si="3"/>
        <v>0</v>
      </c>
    </row>
    <row r="40" spans="2:15" ht="15" customHeight="1">
      <c r="B40" s="7" t="s">
        <v>91</v>
      </c>
      <c r="C40" s="7" t="s">
        <v>56</v>
      </c>
      <c r="D40" s="7" t="s">
        <v>34</v>
      </c>
      <c r="E40" s="8">
        <v>34</v>
      </c>
      <c r="F40" s="8">
        <v>29</v>
      </c>
      <c r="G40" s="8">
        <v>40</v>
      </c>
      <c r="H40" s="8">
        <v>18</v>
      </c>
      <c r="I40" s="15">
        <f t="shared" si="0"/>
        <v>0.52941176470588236</v>
      </c>
      <c r="J40" s="16">
        <f t="shared" si="1"/>
        <v>16</v>
      </c>
      <c r="K40" s="17" t="str">
        <f>IF($B40="","",IF(I40&gt;=1,"Fertig",IF(AND(G40&gt;0,G40&lt;'Burn-Down'!$D$8),"Überfällig",IF(I40&gt;0,"In Bearbeitung","Geplant"))))</f>
        <v>In Bearbeitung</v>
      </c>
      <c r="L40" s="18">
        <f t="shared" si="2"/>
        <v>2.8333333333333335</v>
      </c>
      <c r="N40" s="19">
        <f>IF($B40="",0,MIN('Burn-Down'!$D$8,G40))</f>
        <v>38</v>
      </c>
      <c r="O40" s="20">
        <f t="shared" si="3"/>
        <v>1.8</v>
      </c>
    </row>
    <row r="41" spans="2:15" ht="15" customHeight="1">
      <c r="B41" s="9" t="s">
        <v>92</v>
      </c>
      <c r="C41" s="9" t="s">
        <v>56</v>
      </c>
      <c r="D41" s="9" t="s">
        <v>34</v>
      </c>
      <c r="E41" s="10">
        <v>40</v>
      </c>
      <c r="F41" s="10">
        <v>35</v>
      </c>
      <c r="G41" s="10">
        <v>44</v>
      </c>
      <c r="H41" s="10">
        <v>7</v>
      </c>
      <c r="I41" s="21">
        <f t="shared" si="0"/>
        <v>0.17499999999999999</v>
      </c>
      <c r="J41" s="22">
        <f t="shared" si="1"/>
        <v>33</v>
      </c>
      <c r="K41" s="23" t="str">
        <f>IF($B41="","",IF(I41&gt;=1,"Fertig",IF(AND(G41&gt;0,G41&lt;'Burn-Down'!$D$8),"Überfällig",IF(I41&gt;0,"In Bearbeitung","Geplant"))))</f>
        <v>In Bearbeitung</v>
      </c>
      <c r="L41" s="24">
        <f t="shared" si="2"/>
        <v>4</v>
      </c>
      <c r="N41" s="19">
        <f>IF($B41="",0,MIN('Burn-Down'!$D$8,G41))</f>
        <v>38</v>
      </c>
      <c r="O41" s="20">
        <f t="shared" si="3"/>
        <v>1.75</v>
      </c>
    </row>
    <row r="42" spans="2:15" ht="15" customHeight="1">
      <c r="B42" s="7" t="s">
        <v>93</v>
      </c>
      <c r="C42" s="7" t="s">
        <v>56</v>
      </c>
      <c r="D42" s="7" t="s">
        <v>34</v>
      </c>
      <c r="E42" s="8">
        <v>30</v>
      </c>
      <c r="F42" s="8">
        <v>42</v>
      </c>
      <c r="G42" s="8">
        <v>49</v>
      </c>
      <c r="H42" s="8">
        <v>0</v>
      </c>
      <c r="I42" s="15">
        <f t="shared" si="0"/>
        <v>0</v>
      </c>
      <c r="J42" s="16">
        <f t="shared" si="1"/>
        <v>30</v>
      </c>
      <c r="K42" s="17" t="str">
        <f>IF($B42="","",IF(I42&gt;=1,"Fertig",IF(AND(G42&gt;0,G42&lt;'Burn-Down'!$D$8),"Überfällig",IF(I42&gt;0,"In Bearbeitung","Geplant"))))</f>
        <v>Geplant</v>
      </c>
      <c r="L42" s="18">
        <f t="shared" si="2"/>
        <v>3.75</v>
      </c>
      <c r="N42" s="19">
        <f>IF($B42="",0,MIN('Burn-Down'!$D$8,G42))</f>
        <v>38</v>
      </c>
      <c r="O42" s="20">
        <f t="shared" si="3"/>
        <v>0</v>
      </c>
    </row>
    <row r="43" spans="2:15" ht="15" customHeight="1">
      <c r="B43" s="9" t="s">
        <v>94</v>
      </c>
      <c r="C43" s="9" t="s">
        <v>56</v>
      </c>
      <c r="D43" s="9" t="s">
        <v>34</v>
      </c>
      <c r="E43" s="10">
        <v>28</v>
      </c>
      <c r="F43" s="10">
        <v>46</v>
      </c>
      <c r="G43" s="10">
        <v>52</v>
      </c>
      <c r="H43" s="10">
        <v>0</v>
      </c>
      <c r="I43" s="21">
        <f t="shared" si="0"/>
        <v>0</v>
      </c>
      <c r="J43" s="22">
        <f t="shared" si="1"/>
        <v>28</v>
      </c>
      <c r="K43" s="23" t="str">
        <f>IF($B43="","",IF(I43&gt;=1,"Fertig",IF(AND(G43&gt;0,G43&lt;'Burn-Down'!$D$8),"Überfällig",IF(I43&gt;0,"In Bearbeitung","Geplant"))))</f>
        <v>Geplant</v>
      </c>
      <c r="L43" s="24">
        <f t="shared" si="2"/>
        <v>4</v>
      </c>
      <c r="N43" s="19">
        <f>IF($B43="",0,MIN('Burn-Down'!$D$8,G43))</f>
        <v>38</v>
      </c>
      <c r="O43" s="20">
        <f t="shared" si="3"/>
        <v>0</v>
      </c>
    </row>
    <row r="44" spans="2:15" ht="15" customHeight="1">
      <c r="B44" s="7" t="s">
        <v>95</v>
      </c>
      <c r="C44" s="7" t="s">
        <v>56</v>
      </c>
      <c r="D44" s="7" t="s">
        <v>34</v>
      </c>
      <c r="E44" s="8">
        <v>40</v>
      </c>
      <c r="F44" s="8">
        <v>50</v>
      </c>
      <c r="G44" s="8">
        <v>52</v>
      </c>
      <c r="H44" s="8">
        <v>0</v>
      </c>
      <c r="I44" s="15">
        <f t="shared" si="0"/>
        <v>0</v>
      </c>
      <c r="J44" s="16">
        <f t="shared" si="1"/>
        <v>40</v>
      </c>
      <c r="K44" s="17" t="str">
        <f>IF($B44="","",IF(I44&gt;=1,"Fertig",IF(AND(G44&gt;0,G44&lt;'Burn-Down'!$D$8),"Überfällig",IF(I44&gt;0,"In Bearbeitung","Geplant"))))</f>
        <v>Geplant</v>
      </c>
      <c r="L44" s="18">
        <f t="shared" si="2"/>
        <v>13.333333333333334</v>
      </c>
      <c r="N44" s="19">
        <f>IF($B44="",0,MIN('Burn-Down'!$D$8,G44))</f>
        <v>38</v>
      </c>
      <c r="O44" s="20">
        <f t="shared" si="3"/>
        <v>0</v>
      </c>
    </row>
    <row r="45" spans="2:15" ht="15" customHeight="1">
      <c r="B45" s="9" t="s">
        <v>96</v>
      </c>
      <c r="C45" s="9" t="s">
        <v>73</v>
      </c>
      <c r="D45" s="9" t="s">
        <v>36</v>
      </c>
      <c r="E45" s="10">
        <v>28</v>
      </c>
      <c r="F45" s="10">
        <v>30</v>
      </c>
      <c r="G45" s="10">
        <v>41</v>
      </c>
      <c r="H45" s="10">
        <v>19</v>
      </c>
      <c r="I45" s="21">
        <f t="shared" si="0"/>
        <v>0.6785714285714286</v>
      </c>
      <c r="J45" s="22">
        <f t="shared" si="1"/>
        <v>9</v>
      </c>
      <c r="K45" s="23" t="str">
        <f>IF($B45="","",IF(I45&gt;=1,"Fertig",IF(AND(G45&gt;0,G45&lt;'Burn-Down'!$D$8),"Überfällig",IF(I45&gt;0,"In Bearbeitung","Geplant"))))</f>
        <v>In Bearbeitung</v>
      </c>
      <c r="L45" s="24">
        <f t="shared" si="2"/>
        <v>2.3333333333333335</v>
      </c>
      <c r="N45" s="19">
        <f>IF($B45="",0,MIN('Burn-Down'!$D$8,G45))</f>
        <v>38</v>
      </c>
      <c r="O45" s="20">
        <f t="shared" si="3"/>
        <v>2.1111111111111112</v>
      </c>
    </row>
    <row r="46" spans="2:15" ht="15" customHeight="1">
      <c r="B46" s="9" t="s">
        <v>97</v>
      </c>
      <c r="C46" s="9" t="s">
        <v>56</v>
      </c>
      <c r="D46" s="9" t="s">
        <v>36</v>
      </c>
      <c r="E46" s="10">
        <v>32</v>
      </c>
      <c r="F46" s="10">
        <v>36</v>
      </c>
      <c r="G46" s="10">
        <v>47</v>
      </c>
      <c r="H46" s="10">
        <v>2</v>
      </c>
      <c r="I46" s="21">
        <f t="shared" si="0"/>
        <v>6.25E-2</v>
      </c>
      <c r="J46" s="22">
        <f t="shared" si="1"/>
        <v>30</v>
      </c>
      <c r="K46" s="23" t="str">
        <f>IF($B46="","",IF(I46&gt;=1,"Fertig",IF(AND(G46&gt;0,G46&lt;'Burn-Down'!$D$8),"Überfällig",IF(I46&gt;0,"In Bearbeitung","Geplant"))))</f>
        <v>In Bearbeitung</v>
      </c>
      <c r="L46" s="24">
        <f t="shared" si="2"/>
        <v>2.6666666666666665</v>
      </c>
      <c r="N46" s="19">
        <f>IF($B46="",0,MIN('Burn-Down'!$D$8,G46))</f>
        <v>38</v>
      </c>
      <c r="O46" s="20">
        <f t="shared" si="3"/>
        <v>0.66666666666666663</v>
      </c>
    </row>
    <row r="47" spans="2:15">
      <c r="B47" s="9" t="s">
        <v>98</v>
      </c>
      <c r="C47" s="9" t="s">
        <v>56</v>
      </c>
      <c r="D47" s="9" t="s">
        <v>36</v>
      </c>
      <c r="E47" s="10">
        <v>24</v>
      </c>
      <c r="F47" s="10">
        <v>44</v>
      </c>
      <c r="G47" s="10">
        <v>51</v>
      </c>
      <c r="H47" s="10">
        <v>0</v>
      </c>
      <c r="I47" s="21">
        <f t="shared" si="0"/>
        <v>0</v>
      </c>
      <c r="J47" s="22">
        <f t="shared" si="1"/>
        <v>24</v>
      </c>
      <c r="K47" s="23" t="str">
        <f>IF($B47="","",IF(I47&gt;=1,"Fertig",IF(AND(G47&gt;0,G47&lt;'Burn-Down'!$D$8),"Überfällig",IF(I47&gt;0,"In Bearbeitung","Geplant"))))</f>
        <v>Geplant</v>
      </c>
      <c r="L47" s="24">
        <f t="shared" si="2"/>
        <v>3</v>
      </c>
      <c r="N47" s="19">
        <f>IF($B47="",0,MIN('Burn-Down'!$D$8,G47))</f>
        <v>38</v>
      </c>
      <c r="O47" s="20">
        <f t="shared" si="3"/>
        <v>0</v>
      </c>
    </row>
    <row r="48" spans="2:15">
      <c r="B48" s="9" t="s">
        <v>99</v>
      </c>
      <c r="C48" s="9" t="s">
        <v>73</v>
      </c>
      <c r="D48" s="9" t="s">
        <v>36</v>
      </c>
      <c r="E48" s="10">
        <v>18</v>
      </c>
      <c r="F48" s="10">
        <v>48</v>
      </c>
      <c r="G48" s="10">
        <v>52</v>
      </c>
      <c r="H48" s="10">
        <v>0</v>
      </c>
      <c r="I48" s="21">
        <f t="shared" si="0"/>
        <v>0</v>
      </c>
      <c r="J48" s="22">
        <f t="shared" si="1"/>
        <v>18</v>
      </c>
      <c r="K48" s="23" t="str">
        <f>IF($B48="","",IF(I48&gt;=1,"Fertig",IF(AND(G48&gt;0,G48&lt;'Burn-Down'!$D$8),"Überfällig",IF(I48&gt;0,"In Bearbeitung","Geplant"))))</f>
        <v>Geplant</v>
      </c>
      <c r="L48" s="24">
        <f t="shared" si="2"/>
        <v>3.6</v>
      </c>
      <c r="N48" s="19">
        <f>IF($B48="",0,MIN('Burn-Down'!$D$8,G48))</f>
        <v>38</v>
      </c>
      <c r="O48" s="20">
        <f t="shared" si="3"/>
        <v>0</v>
      </c>
    </row>
    <row r="49" spans="2:15">
      <c r="B49" s="9" t="s">
        <v>100</v>
      </c>
      <c r="C49" s="9" t="s">
        <v>73</v>
      </c>
      <c r="D49" s="9" t="s">
        <v>37</v>
      </c>
      <c r="E49" s="10">
        <v>20</v>
      </c>
      <c r="F49" s="10">
        <v>31</v>
      </c>
      <c r="G49" s="10">
        <v>42</v>
      </c>
      <c r="H49" s="10">
        <v>9</v>
      </c>
      <c r="I49" s="21">
        <f t="shared" si="0"/>
        <v>0.45</v>
      </c>
      <c r="J49" s="22">
        <f t="shared" si="1"/>
        <v>11</v>
      </c>
      <c r="K49" s="23" t="str">
        <f>IF($B49="","",IF(I49&gt;=1,"Fertig",IF(AND(G49&gt;0,G49&lt;'Burn-Down'!$D$8),"Überfällig",IF(I49&gt;0,"In Bearbeitung","Geplant"))))</f>
        <v>In Bearbeitung</v>
      </c>
      <c r="L49" s="24">
        <f t="shared" si="2"/>
        <v>1.6666666666666667</v>
      </c>
      <c r="N49" s="19">
        <f>IF($B49="",0,MIN('Burn-Down'!$D$8,G49))</f>
        <v>38</v>
      </c>
      <c r="O49" s="20">
        <f t="shared" si="3"/>
        <v>1.125</v>
      </c>
    </row>
    <row r="50" spans="2:15">
      <c r="B50" s="9" t="s">
        <v>101</v>
      </c>
      <c r="C50" s="9" t="s">
        <v>73</v>
      </c>
      <c r="D50" s="9" t="s">
        <v>37</v>
      </c>
      <c r="E50" s="10">
        <v>24</v>
      </c>
      <c r="F50" s="10">
        <v>38</v>
      </c>
      <c r="G50" s="10">
        <v>49</v>
      </c>
      <c r="H50" s="10">
        <v>1</v>
      </c>
      <c r="I50" s="21">
        <f t="shared" si="0"/>
        <v>4.1666666666666664E-2</v>
      </c>
      <c r="J50" s="22">
        <f t="shared" si="1"/>
        <v>23</v>
      </c>
      <c r="K50" s="23" t="str">
        <f>IF($B50="","",IF(I50&gt;=1,"Fertig",IF(AND(G50&gt;0,G50&lt;'Burn-Down'!$D$8),"Überfällig",IF(I50&gt;0,"In Bearbeitung","Geplant"))))</f>
        <v>In Bearbeitung</v>
      </c>
      <c r="L50" s="24">
        <f t="shared" si="2"/>
        <v>2</v>
      </c>
      <c r="N50" s="19">
        <f>IF($B50="",0,MIN('Burn-Down'!$D$8,G50))</f>
        <v>38</v>
      </c>
      <c r="O50" s="20">
        <f t="shared" si="3"/>
        <v>1</v>
      </c>
    </row>
    <row r="51" spans="2:15">
      <c r="B51" s="11" t="s">
        <v>102</v>
      </c>
      <c r="E51" s="12">
        <f>SUM(E6:E50)</f>
        <v>1756</v>
      </c>
      <c r="H51" s="12">
        <f>SUM(H6:H50)</f>
        <v>397</v>
      </c>
      <c r="I51" s="25">
        <f>IFERROR(H51/E51,0)</f>
        <v>0.22608200455580865</v>
      </c>
      <c r="J51" s="12">
        <f>SUM(J6:J50)</f>
        <v>1359</v>
      </c>
    </row>
  </sheetData>
  <conditionalFormatting sqref="F6:G50">
    <cfRule type="expression" dxfId="13" priority="7">
      <formula>AND($B6&lt;&gt;"",$F6&gt;0,$G6&gt;0,$G6&lt;$F6)</formula>
    </cfRule>
  </conditionalFormatting>
  <conditionalFormatting sqref="I6:I50">
    <cfRule type="dataBar" priority="2">
      <dataBar>
        <cfvo type="num" val="0"/>
        <cfvo type="num" val="1"/>
        <color rgb="FF444CE7"/>
      </dataBar>
      <extLst>
        <ext xmlns:x14="http://schemas.microsoft.com/office/spreadsheetml/2009/9/main" uri="{B025F937-C7B1-47D3-B67F-A62EFF666E3E}">
          <x14:id>{E8388ABE-2160-41F3-ACC0-7341AE870070}</x14:id>
        </ext>
      </extLst>
    </cfRule>
  </conditionalFormatting>
  <conditionalFormatting sqref="K6:K50">
    <cfRule type="cellIs" dxfId="12" priority="3" operator="equal">
      <formula>"Fertig"</formula>
    </cfRule>
    <cfRule type="cellIs" dxfId="11" priority="4" operator="equal">
      <formula>"In Bearbeitung"</formula>
    </cfRule>
    <cfRule type="cellIs" dxfId="10" priority="5" operator="equal">
      <formula>"Geplant"</formula>
    </cfRule>
    <cfRule type="cellIs" dxfId="9" priority="6" operator="equal">
      <formula>"Überfällig"</formula>
    </cfRule>
  </conditionalFormatting>
  <dataValidations count="3">
    <dataValidation type="list" allowBlank="1" sqref="D6:D50" xr:uid="{00000000-0002-0000-0200-000000000000}">
      <formula1>MitarbeiterListe</formula1>
      <formula2>0</formula2>
    </dataValidation>
    <dataValidation type="list" allowBlank="1" sqref="C6:C50" xr:uid="{00000000-0002-0000-0200-000001000000}">
      <formula1>"Jahresabschluss,EÜR,USt-Jahreserklärung,Gewerbesteuer,Körperschaftsteuer,Buchführung,Sonstiges"</formula1>
      <formula2>0</formula2>
    </dataValidation>
    <dataValidation type="whole" allowBlank="1" showErrorMessage="1" errorTitle="Ungültige KW" error="Bitte eine Kalenderwoche zwischen 1 und 52 eintragen." sqref="F6:G50" xr:uid="{00000000-0002-0000-0200-000002000000}">
      <formula1>1</formula1>
      <formula2>52</formula2>
    </dataValidation>
  </dataValidation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8388ABE-2160-41F3-ACC0-7341AE870070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444CE7"/>
            </x14:dataBar>
          </x14:cfRule>
          <xm:sqref>I6:I50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Y58"/>
  <sheetViews>
    <sheetView showGridLines="0" zoomScaleNormal="100" workbookViewId="0">
      <pane xSplit="2" ySplit="6" topLeftCell="C40" activePane="bottomRight" state="frozen"/>
      <selection pane="bottomRight"/>
      <selection pane="bottomLeft" activeCell="A7" sqref="A7"/>
      <selection pane="topRight" activeCell="C1" sqref="C1"/>
    </sheetView>
  </sheetViews>
  <sheetFormatPr defaultColWidth="8.85546875" defaultRowHeight="15"/>
  <cols>
    <col min="1" max="1" width="2" customWidth="1"/>
    <col min="2" max="2" width="39.140625" bestFit="1" customWidth="1"/>
    <col min="3" max="22" width="12" customWidth="1"/>
    <col min="23" max="23" width="14" customWidth="1"/>
    <col min="24" max="24" width="17" customWidth="1"/>
    <col min="25" max="25" width="14" customWidth="1"/>
  </cols>
  <sheetData>
    <row r="2" spans="2:25" ht="15.75" customHeight="1">
      <c r="B2" s="1" t="s">
        <v>0</v>
      </c>
    </row>
    <row r="4" spans="2:25" ht="25.5" customHeight="1">
      <c r="B4" s="2" t="s">
        <v>103</v>
      </c>
    </row>
    <row r="5" spans="2:25" ht="15" customHeight="1">
      <c r="B5" s="4" t="s">
        <v>104</v>
      </c>
      <c r="C5" s="26" t="str">
        <f>IF(Mitarbeiter!$B$6="","",Mitarbeiter!$B$6)</f>
        <v>Sabine Krüger</v>
      </c>
      <c r="D5" s="26" t="str">
        <f>IF(Mitarbeiter!$B$7="","",Mitarbeiter!$B$7)</f>
        <v>Thomas Lang</v>
      </c>
      <c r="E5" s="26" t="str">
        <f>IF(Mitarbeiter!$B$8="","",Mitarbeiter!$B$8)</f>
        <v>Mehmet Yilmaz</v>
      </c>
      <c r="F5" s="26" t="str">
        <f>IF(Mitarbeiter!$B$9="","",Mitarbeiter!$B$9)</f>
        <v>Anja Wolf</v>
      </c>
      <c r="G5" s="26" t="str">
        <f>IF(Mitarbeiter!$B$10="","",Mitarbeiter!$B$10)</f>
        <v>Daniel Terwersche</v>
      </c>
      <c r="H5" s="26" t="str">
        <f>IF(Mitarbeiter!$B$11="","",Mitarbeiter!$B$11)</f>
        <v>Katrin Brehm</v>
      </c>
      <c r="I5" s="26" t="str">
        <f>IF(Mitarbeiter!$B$12="","",Mitarbeiter!$B$12)</f>
        <v>Jonas Peters</v>
      </c>
      <c r="J5" s="26" t="str">
        <f>IF(Mitarbeiter!$B$13="","",Mitarbeiter!$B$13)</f>
        <v>Elif Demir</v>
      </c>
      <c r="K5" s="26" t="str">
        <f>IF(Mitarbeiter!$B$14="","",Mitarbeiter!$B$14)</f>
        <v>Markus Ohlsen</v>
      </c>
      <c r="L5" s="26" t="str">
        <f>IF(Mitarbeiter!$B$15="","",Mitarbeiter!$B$15)</f>
        <v>Lena Vogt</v>
      </c>
      <c r="M5" s="26" t="str">
        <f>IF(Mitarbeiter!$B$16="","",Mitarbeiter!$B$16)</f>
        <v/>
      </c>
      <c r="N5" s="26" t="str">
        <f>IF(Mitarbeiter!$B$17="","",Mitarbeiter!$B$17)</f>
        <v/>
      </c>
      <c r="O5" s="26" t="str">
        <f>IF(Mitarbeiter!$B$18="","",Mitarbeiter!$B$18)</f>
        <v/>
      </c>
      <c r="P5" s="26" t="str">
        <f>IF(Mitarbeiter!$B$19="","",Mitarbeiter!$B$19)</f>
        <v/>
      </c>
      <c r="Q5" s="26" t="str">
        <f>IF(Mitarbeiter!$B$20="","",Mitarbeiter!$B$20)</f>
        <v/>
      </c>
      <c r="R5" s="26" t="str">
        <f>IF(Mitarbeiter!$B$21="","",Mitarbeiter!$B$21)</f>
        <v/>
      </c>
      <c r="S5" s="26" t="str">
        <f>IF(Mitarbeiter!$B$22="","",Mitarbeiter!$B$22)</f>
        <v/>
      </c>
      <c r="T5" s="26" t="str">
        <f>IF(Mitarbeiter!$B$23="","",Mitarbeiter!$B$23)</f>
        <v/>
      </c>
      <c r="U5" s="26" t="str">
        <f>IF(Mitarbeiter!$B$24="","",Mitarbeiter!$B$24)</f>
        <v/>
      </c>
      <c r="V5" s="26" t="str">
        <f>IF(Mitarbeiter!$B$25="","",Mitarbeiter!$B$25)</f>
        <v/>
      </c>
      <c r="W5" s="4" t="s">
        <v>105</v>
      </c>
      <c r="X5" s="4" t="s">
        <v>106</v>
      </c>
      <c r="Y5" s="4" t="s">
        <v>107</v>
      </c>
    </row>
    <row r="6" spans="2:25" ht="15" customHeight="1">
      <c r="B6" s="27" t="s">
        <v>108</v>
      </c>
      <c r="C6" s="28">
        <f>IF(Mitarbeiter!$B$6="","",Mitarbeiter!$D$6)</f>
        <v>20</v>
      </c>
      <c r="D6" s="28">
        <f>IF(Mitarbeiter!$B$7="","",Mitarbeiter!$D$7)</f>
        <v>20</v>
      </c>
      <c r="E6" s="28">
        <f>IF(Mitarbeiter!$B$8="","",Mitarbeiter!$D$8)</f>
        <v>18</v>
      </c>
      <c r="F6" s="28">
        <f>IF(Mitarbeiter!$B$9="","",Mitarbeiter!$D$9)</f>
        <v>16</v>
      </c>
      <c r="G6" s="28">
        <f>IF(Mitarbeiter!$B$10="","",Mitarbeiter!$D$10)</f>
        <v>15</v>
      </c>
      <c r="H6" s="28">
        <f>IF(Mitarbeiter!$B$11="","",Mitarbeiter!$D$11)</f>
        <v>14</v>
      </c>
      <c r="I6" s="28">
        <f>IF(Mitarbeiter!$B$12="","",Mitarbeiter!$D$12)</f>
        <v>12</v>
      </c>
      <c r="J6" s="28">
        <f>IF(Mitarbeiter!$B$13="","",Mitarbeiter!$D$13)</f>
        <v>12</v>
      </c>
      <c r="K6" s="28">
        <f>IF(Mitarbeiter!$B$14="","",Mitarbeiter!$D$14)</f>
        <v>10</v>
      </c>
      <c r="L6" s="28">
        <f>IF(Mitarbeiter!$B$15="","",Mitarbeiter!$D$15)</f>
        <v>8</v>
      </c>
      <c r="M6" s="28" t="str">
        <f>IF(Mitarbeiter!$B$16="","",Mitarbeiter!$D$16)</f>
        <v/>
      </c>
      <c r="N6" s="28" t="str">
        <f>IF(Mitarbeiter!$B$17="","",Mitarbeiter!$D$17)</f>
        <v/>
      </c>
      <c r="O6" s="28" t="str">
        <f>IF(Mitarbeiter!$B$18="","",Mitarbeiter!$D$18)</f>
        <v/>
      </c>
      <c r="P6" s="28" t="str">
        <f>IF(Mitarbeiter!$B$19="","",Mitarbeiter!$D$19)</f>
        <v/>
      </c>
      <c r="Q6" s="28" t="str">
        <f>IF(Mitarbeiter!$B$20="","",Mitarbeiter!$D$20)</f>
        <v/>
      </c>
      <c r="R6" s="28" t="str">
        <f>IF(Mitarbeiter!$B$21="","",Mitarbeiter!$D$21)</f>
        <v/>
      </c>
      <c r="S6" s="28" t="str">
        <f>IF(Mitarbeiter!$B$22="","",Mitarbeiter!$D$22)</f>
        <v/>
      </c>
      <c r="T6" s="28" t="str">
        <f>IF(Mitarbeiter!$B$23="","",Mitarbeiter!$D$23)</f>
        <v/>
      </c>
      <c r="U6" s="28" t="str">
        <f>IF(Mitarbeiter!$B$24="","",Mitarbeiter!$D$24)</f>
        <v/>
      </c>
      <c r="V6" s="28" t="str">
        <f>IF(Mitarbeiter!$B$25="","",Mitarbeiter!$D$25)</f>
        <v/>
      </c>
    </row>
    <row r="7" spans="2:25" ht="15" customHeight="1">
      <c r="B7" s="29">
        <v>1</v>
      </c>
      <c r="C7" s="30">
        <f>SUMPRODUCT((Mandate!$D$6:$D$50=C$5)*(Mandate!$F$6:$F$50&lt;=$B7)*(Mandate!$G$6:$G$50&gt;=$B7)*Mandate!$L$6:$L$50)</f>
        <v>0</v>
      </c>
      <c r="D7" s="30">
        <f>SUMPRODUCT((Mandate!$D$6:$D$50=D$5)*(Mandate!$F$6:$F$50&lt;=$B7)*(Mandate!$G$6:$G$50&gt;=$B7)*Mandate!$L$6:$L$50)</f>
        <v>0</v>
      </c>
      <c r="E7" s="30">
        <f>SUMPRODUCT((Mandate!$D$6:$D$50=E$5)*(Mandate!$F$6:$F$50&lt;=$B7)*(Mandate!$G$6:$G$50&gt;=$B7)*Mandate!$L$6:$L$50)</f>
        <v>0</v>
      </c>
      <c r="F7" s="30">
        <f>SUMPRODUCT((Mandate!$D$6:$D$50=F$5)*(Mandate!$F$6:$F$50&lt;=$B7)*(Mandate!$G$6:$G$50&gt;=$B7)*Mandate!$L$6:$L$50)</f>
        <v>0</v>
      </c>
      <c r="G7" s="30">
        <f>SUMPRODUCT((Mandate!$D$6:$D$50=G$5)*(Mandate!$F$6:$F$50&lt;=$B7)*(Mandate!$G$6:$G$50&gt;=$B7)*Mandate!$L$6:$L$50)</f>
        <v>0</v>
      </c>
      <c r="H7" s="30">
        <f>SUMPRODUCT((Mandate!$D$6:$D$50=H$5)*(Mandate!$F$6:$F$50&lt;=$B7)*(Mandate!$G$6:$G$50&gt;=$B7)*Mandate!$L$6:$L$50)</f>
        <v>0</v>
      </c>
      <c r="I7" s="30">
        <f>SUMPRODUCT((Mandate!$D$6:$D$50=I$5)*(Mandate!$F$6:$F$50&lt;=$B7)*(Mandate!$G$6:$G$50&gt;=$B7)*Mandate!$L$6:$L$50)</f>
        <v>0</v>
      </c>
      <c r="J7" s="30">
        <f>SUMPRODUCT((Mandate!$D$6:$D$50=J$5)*(Mandate!$F$6:$F$50&lt;=$B7)*(Mandate!$G$6:$G$50&gt;=$B7)*Mandate!$L$6:$L$50)</f>
        <v>0</v>
      </c>
      <c r="K7" s="30">
        <f>SUMPRODUCT((Mandate!$D$6:$D$50=K$5)*(Mandate!$F$6:$F$50&lt;=$B7)*(Mandate!$G$6:$G$50&gt;=$B7)*Mandate!$L$6:$L$50)</f>
        <v>0</v>
      </c>
      <c r="L7" s="30">
        <f>SUMPRODUCT((Mandate!$D$6:$D$50=L$5)*(Mandate!$F$6:$F$50&lt;=$B7)*(Mandate!$G$6:$G$50&gt;=$B7)*Mandate!$L$6:$L$50)</f>
        <v>0</v>
      </c>
      <c r="M7" s="30">
        <f>SUMPRODUCT((Mandate!$D$6:$D$50=M$5)*(Mandate!$F$6:$F$50&lt;=$B7)*(Mandate!$G$6:$G$50&gt;=$B7)*Mandate!$L$6:$L$50)</f>
        <v>0</v>
      </c>
      <c r="N7" s="30">
        <f>SUMPRODUCT((Mandate!$D$6:$D$50=N$5)*(Mandate!$F$6:$F$50&lt;=$B7)*(Mandate!$G$6:$G$50&gt;=$B7)*Mandate!$L$6:$L$50)</f>
        <v>0</v>
      </c>
      <c r="O7" s="30">
        <f>SUMPRODUCT((Mandate!$D$6:$D$50=O$5)*(Mandate!$F$6:$F$50&lt;=$B7)*(Mandate!$G$6:$G$50&gt;=$B7)*Mandate!$L$6:$L$50)</f>
        <v>0</v>
      </c>
      <c r="P7" s="30">
        <f>SUMPRODUCT((Mandate!$D$6:$D$50=P$5)*(Mandate!$F$6:$F$50&lt;=$B7)*(Mandate!$G$6:$G$50&gt;=$B7)*Mandate!$L$6:$L$50)</f>
        <v>0</v>
      </c>
      <c r="Q7" s="30">
        <f>SUMPRODUCT((Mandate!$D$6:$D$50=Q$5)*(Mandate!$F$6:$F$50&lt;=$B7)*(Mandate!$G$6:$G$50&gt;=$B7)*Mandate!$L$6:$L$50)</f>
        <v>0</v>
      </c>
      <c r="R7" s="30">
        <f>SUMPRODUCT((Mandate!$D$6:$D$50=R$5)*(Mandate!$F$6:$F$50&lt;=$B7)*(Mandate!$G$6:$G$50&gt;=$B7)*Mandate!$L$6:$L$50)</f>
        <v>0</v>
      </c>
      <c r="S7" s="30">
        <f>SUMPRODUCT((Mandate!$D$6:$D$50=S$5)*(Mandate!$F$6:$F$50&lt;=$B7)*(Mandate!$G$6:$G$50&gt;=$B7)*Mandate!$L$6:$L$50)</f>
        <v>0</v>
      </c>
      <c r="T7" s="30">
        <f>SUMPRODUCT((Mandate!$D$6:$D$50=T$5)*(Mandate!$F$6:$F$50&lt;=$B7)*(Mandate!$G$6:$G$50&gt;=$B7)*Mandate!$L$6:$L$50)</f>
        <v>0</v>
      </c>
      <c r="U7" s="30">
        <f>SUMPRODUCT((Mandate!$D$6:$D$50=U$5)*(Mandate!$F$6:$F$50&lt;=$B7)*(Mandate!$G$6:$G$50&gt;=$B7)*Mandate!$L$6:$L$50)</f>
        <v>0</v>
      </c>
      <c r="V7" s="30">
        <f>SUMPRODUCT((Mandate!$D$6:$D$50=V$5)*(Mandate!$F$6:$F$50&lt;=$B7)*(Mandate!$G$6:$G$50&gt;=$B7)*Mandate!$L$6:$L$50)</f>
        <v>0</v>
      </c>
      <c r="W7" s="30">
        <f t="shared" ref="W7:W38" si="0">SUM(C7:V7)</f>
        <v>0</v>
      </c>
      <c r="X7" s="15">
        <f t="shared" ref="X7:X38" si="1">IFERROR(SUM(C7:V7)/SUM($C$6:$V$6),0)</f>
        <v>0</v>
      </c>
      <c r="Y7" s="17" t="str">
        <f t="shared" ref="Y7:Y38" si="2">IF(SUMPRODUCT((C7:V7&gt;C$6:V$6)*ISNUMBER(C$6:V$6))&gt;0,"Engpass",IF(SUMPRODUCT((C7:V7&gt;0.85*N(C$6:V$6))*ISNUMBER(C$6:V$6))&gt;0,"eng","ok"))</f>
        <v>ok</v>
      </c>
    </row>
    <row r="8" spans="2:25" ht="15" customHeight="1">
      <c r="B8" s="29">
        <v>2</v>
      </c>
      <c r="C8" s="30">
        <f>SUMPRODUCT((Mandate!$D$6:$D$50=C$5)*(Mandate!$F$6:$F$50&lt;=$B8)*(Mandate!$G$6:$G$50&gt;=$B8)*Mandate!$L$6:$L$50)</f>
        <v>0</v>
      </c>
      <c r="D8" s="30">
        <f>SUMPRODUCT((Mandate!$D$6:$D$50=D$5)*(Mandate!$F$6:$F$50&lt;=$B8)*(Mandate!$G$6:$G$50&gt;=$B8)*Mandate!$L$6:$L$50)</f>
        <v>0</v>
      </c>
      <c r="E8" s="30">
        <f>SUMPRODUCT((Mandate!$D$6:$D$50=E$5)*(Mandate!$F$6:$F$50&lt;=$B8)*(Mandate!$G$6:$G$50&gt;=$B8)*Mandate!$L$6:$L$50)</f>
        <v>0</v>
      </c>
      <c r="F8" s="30">
        <f>SUMPRODUCT((Mandate!$D$6:$D$50=F$5)*(Mandate!$F$6:$F$50&lt;=$B8)*(Mandate!$G$6:$G$50&gt;=$B8)*Mandate!$L$6:$L$50)</f>
        <v>0</v>
      </c>
      <c r="G8" s="30">
        <f>SUMPRODUCT((Mandate!$D$6:$D$50=G$5)*(Mandate!$F$6:$F$50&lt;=$B8)*(Mandate!$G$6:$G$50&gt;=$B8)*Mandate!$L$6:$L$50)</f>
        <v>0</v>
      </c>
      <c r="H8" s="30">
        <f>SUMPRODUCT((Mandate!$D$6:$D$50=H$5)*(Mandate!$F$6:$F$50&lt;=$B8)*(Mandate!$G$6:$G$50&gt;=$B8)*Mandate!$L$6:$L$50)</f>
        <v>0</v>
      </c>
      <c r="I8" s="30">
        <f>SUMPRODUCT((Mandate!$D$6:$D$50=I$5)*(Mandate!$F$6:$F$50&lt;=$B8)*(Mandate!$G$6:$G$50&gt;=$B8)*Mandate!$L$6:$L$50)</f>
        <v>0</v>
      </c>
      <c r="J8" s="30">
        <f>SUMPRODUCT((Mandate!$D$6:$D$50=J$5)*(Mandate!$F$6:$F$50&lt;=$B8)*(Mandate!$G$6:$G$50&gt;=$B8)*Mandate!$L$6:$L$50)</f>
        <v>0</v>
      </c>
      <c r="K8" s="30">
        <f>SUMPRODUCT((Mandate!$D$6:$D$50=K$5)*(Mandate!$F$6:$F$50&lt;=$B8)*(Mandate!$G$6:$G$50&gt;=$B8)*Mandate!$L$6:$L$50)</f>
        <v>0</v>
      </c>
      <c r="L8" s="30">
        <f>SUMPRODUCT((Mandate!$D$6:$D$50=L$5)*(Mandate!$F$6:$F$50&lt;=$B8)*(Mandate!$G$6:$G$50&gt;=$B8)*Mandate!$L$6:$L$50)</f>
        <v>0</v>
      </c>
      <c r="M8" s="30">
        <f>SUMPRODUCT((Mandate!$D$6:$D$50=M$5)*(Mandate!$F$6:$F$50&lt;=$B8)*(Mandate!$G$6:$G$50&gt;=$B8)*Mandate!$L$6:$L$50)</f>
        <v>0</v>
      </c>
      <c r="N8" s="30">
        <f>SUMPRODUCT((Mandate!$D$6:$D$50=N$5)*(Mandate!$F$6:$F$50&lt;=$B8)*(Mandate!$G$6:$G$50&gt;=$B8)*Mandate!$L$6:$L$50)</f>
        <v>0</v>
      </c>
      <c r="O8" s="30">
        <f>SUMPRODUCT((Mandate!$D$6:$D$50=O$5)*(Mandate!$F$6:$F$50&lt;=$B8)*(Mandate!$G$6:$G$50&gt;=$B8)*Mandate!$L$6:$L$50)</f>
        <v>0</v>
      </c>
      <c r="P8" s="30">
        <f>SUMPRODUCT((Mandate!$D$6:$D$50=P$5)*(Mandate!$F$6:$F$50&lt;=$B8)*(Mandate!$G$6:$G$50&gt;=$B8)*Mandate!$L$6:$L$50)</f>
        <v>0</v>
      </c>
      <c r="Q8" s="30">
        <f>SUMPRODUCT((Mandate!$D$6:$D$50=Q$5)*(Mandate!$F$6:$F$50&lt;=$B8)*(Mandate!$G$6:$G$50&gt;=$B8)*Mandate!$L$6:$L$50)</f>
        <v>0</v>
      </c>
      <c r="R8" s="30">
        <f>SUMPRODUCT((Mandate!$D$6:$D$50=R$5)*(Mandate!$F$6:$F$50&lt;=$B8)*(Mandate!$G$6:$G$50&gt;=$B8)*Mandate!$L$6:$L$50)</f>
        <v>0</v>
      </c>
      <c r="S8" s="30">
        <f>SUMPRODUCT((Mandate!$D$6:$D$50=S$5)*(Mandate!$F$6:$F$50&lt;=$B8)*(Mandate!$G$6:$G$50&gt;=$B8)*Mandate!$L$6:$L$50)</f>
        <v>0</v>
      </c>
      <c r="T8" s="30">
        <f>SUMPRODUCT((Mandate!$D$6:$D$50=T$5)*(Mandate!$F$6:$F$50&lt;=$B8)*(Mandate!$G$6:$G$50&gt;=$B8)*Mandate!$L$6:$L$50)</f>
        <v>0</v>
      </c>
      <c r="U8" s="30">
        <f>SUMPRODUCT((Mandate!$D$6:$D$50=U$5)*(Mandate!$F$6:$F$50&lt;=$B8)*(Mandate!$G$6:$G$50&gt;=$B8)*Mandate!$L$6:$L$50)</f>
        <v>0</v>
      </c>
      <c r="V8" s="30">
        <f>SUMPRODUCT((Mandate!$D$6:$D$50=V$5)*(Mandate!$F$6:$F$50&lt;=$B8)*(Mandate!$G$6:$G$50&gt;=$B8)*Mandate!$L$6:$L$50)</f>
        <v>0</v>
      </c>
      <c r="W8" s="30">
        <f t="shared" si="0"/>
        <v>0</v>
      </c>
      <c r="X8" s="15">
        <f t="shared" si="1"/>
        <v>0</v>
      </c>
      <c r="Y8" s="17" t="str">
        <f t="shared" si="2"/>
        <v>ok</v>
      </c>
    </row>
    <row r="9" spans="2:25" ht="15" customHeight="1">
      <c r="B9" s="29">
        <v>3</v>
      </c>
      <c r="C9" s="30">
        <f>SUMPRODUCT((Mandate!$D$6:$D$50=C$5)*(Mandate!$F$6:$F$50&lt;=$B9)*(Mandate!$G$6:$G$50&gt;=$B9)*Mandate!$L$6:$L$50)</f>
        <v>0</v>
      </c>
      <c r="D9" s="30">
        <f>SUMPRODUCT((Mandate!$D$6:$D$50=D$5)*(Mandate!$F$6:$F$50&lt;=$B9)*(Mandate!$G$6:$G$50&gt;=$B9)*Mandate!$L$6:$L$50)</f>
        <v>0</v>
      </c>
      <c r="E9" s="30">
        <f>SUMPRODUCT((Mandate!$D$6:$D$50=E$5)*(Mandate!$F$6:$F$50&lt;=$B9)*(Mandate!$G$6:$G$50&gt;=$B9)*Mandate!$L$6:$L$50)</f>
        <v>0</v>
      </c>
      <c r="F9" s="30">
        <f>SUMPRODUCT((Mandate!$D$6:$D$50=F$5)*(Mandate!$F$6:$F$50&lt;=$B9)*(Mandate!$G$6:$G$50&gt;=$B9)*Mandate!$L$6:$L$50)</f>
        <v>0</v>
      </c>
      <c r="G9" s="30">
        <f>SUMPRODUCT((Mandate!$D$6:$D$50=G$5)*(Mandate!$F$6:$F$50&lt;=$B9)*(Mandate!$G$6:$G$50&gt;=$B9)*Mandate!$L$6:$L$50)</f>
        <v>0</v>
      </c>
      <c r="H9" s="30">
        <f>SUMPRODUCT((Mandate!$D$6:$D$50=H$5)*(Mandate!$F$6:$F$50&lt;=$B9)*(Mandate!$G$6:$G$50&gt;=$B9)*Mandate!$L$6:$L$50)</f>
        <v>0</v>
      </c>
      <c r="I9" s="30">
        <f>SUMPRODUCT((Mandate!$D$6:$D$50=I$5)*(Mandate!$F$6:$F$50&lt;=$B9)*(Mandate!$G$6:$G$50&gt;=$B9)*Mandate!$L$6:$L$50)</f>
        <v>0</v>
      </c>
      <c r="J9" s="30">
        <f>SUMPRODUCT((Mandate!$D$6:$D$50=J$5)*(Mandate!$F$6:$F$50&lt;=$B9)*(Mandate!$G$6:$G$50&gt;=$B9)*Mandate!$L$6:$L$50)</f>
        <v>0</v>
      </c>
      <c r="K9" s="30">
        <f>SUMPRODUCT((Mandate!$D$6:$D$50=K$5)*(Mandate!$F$6:$F$50&lt;=$B9)*(Mandate!$G$6:$G$50&gt;=$B9)*Mandate!$L$6:$L$50)</f>
        <v>0</v>
      </c>
      <c r="L9" s="30">
        <f>SUMPRODUCT((Mandate!$D$6:$D$50=L$5)*(Mandate!$F$6:$F$50&lt;=$B9)*(Mandate!$G$6:$G$50&gt;=$B9)*Mandate!$L$6:$L$50)</f>
        <v>0</v>
      </c>
      <c r="M9" s="30">
        <f>SUMPRODUCT((Mandate!$D$6:$D$50=M$5)*(Mandate!$F$6:$F$50&lt;=$B9)*(Mandate!$G$6:$G$50&gt;=$B9)*Mandate!$L$6:$L$50)</f>
        <v>0</v>
      </c>
      <c r="N9" s="30">
        <f>SUMPRODUCT((Mandate!$D$6:$D$50=N$5)*(Mandate!$F$6:$F$50&lt;=$B9)*(Mandate!$G$6:$G$50&gt;=$B9)*Mandate!$L$6:$L$50)</f>
        <v>0</v>
      </c>
      <c r="O9" s="30">
        <f>SUMPRODUCT((Mandate!$D$6:$D$50=O$5)*(Mandate!$F$6:$F$50&lt;=$B9)*(Mandate!$G$6:$G$50&gt;=$B9)*Mandate!$L$6:$L$50)</f>
        <v>0</v>
      </c>
      <c r="P9" s="30">
        <f>SUMPRODUCT((Mandate!$D$6:$D$50=P$5)*(Mandate!$F$6:$F$50&lt;=$B9)*(Mandate!$G$6:$G$50&gt;=$B9)*Mandate!$L$6:$L$50)</f>
        <v>0</v>
      </c>
      <c r="Q9" s="30">
        <f>SUMPRODUCT((Mandate!$D$6:$D$50=Q$5)*(Mandate!$F$6:$F$50&lt;=$B9)*(Mandate!$G$6:$G$50&gt;=$B9)*Mandate!$L$6:$L$50)</f>
        <v>0</v>
      </c>
      <c r="R9" s="30">
        <f>SUMPRODUCT((Mandate!$D$6:$D$50=R$5)*(Mandate!$F$6:$F$50&lt;=$B9)*(Mandate!$G$6:$G$50&gt;=$B9)*Mandate!$L$6:$L$50)</f>
        <v>0</v>
      </c>
      <c r="S9" s="30">
        <f>SUMPRODUCT((Mandate!$D$6:$D$50=S$5)*(Mandate!$F$6:$F$50&lt;=$B9)*(Mandate!$G$6:$G$50&gt;=$B9)*Mandate!$L$6:$L$50)</f>
        <v>0</v>
      </c>
      <c r="T9" s="30">
        <f>SUMPRODUCT((Mandate!$D$6:$D$50=T$5)*(Mandate!$F$6:$F$50&lt;=$B9)*(Mandate!$G$6:$G$50&gt;=$B9)*Mandate!$L$6:$L$50)</f>
        <v>0</v>
      </c>
      <c r="U9" s="30">
        <f>SUMPRODUCT((Mandate!$D$6:$D$50=U$5)*(Mandate!$F$6:$F$50&lt;=$B9)*(Mandate!$G$6:$G$50&gt;=$B9)*Mandate!$L$6:$L$50)</f>
        <v>0</v>
      </c>
      <c r="V9" s="30">
        <f>SUMPRODUCT((Mandate!$D$6:$D$50=V$5)*(Mandate!$F$6:$F$50&lt;=$B9)*(Mandate!$G$6:$G$50&gt;=$B9)*Mandate!$L$6:$L$50)</f>
        <v>0</v>
      </c>
      <c r="W9" s="30">
        <f t="shared" si="0"/>
        <v>0</v>
      </c>
      <c r="X9" s="15">
        <f t="shared" si="1"/>
        <v>0</v>
      </c>
      <c r="Y9" s="17" t="str">
        <f t="shared" si="2"/>
        <v>ok</v>
      </c>
    </row>
    <row r="10" spans="2:25" ht="15" customHeight="1">
      <c r="B10" s="29">
        <v>4</v>
      </c>
      <c r="C10" s="30">
        <f>SUMPRODUCT((Mandate!$D$6:$D$50=C$5)*(Mandate!$F$6:$F$50&lt;=$B10)*(Mandate!$G$6:$G$50&gt;=$B10)*Mandate!$L$6:$L$50)</f>
        <v>0</v>
      </c>
      <c r="D10" s="30">
        <f>SUMPRODUCT((Mandate!$D$6:$D$50=D$5)*(Mandate!$F$6:$F$50&lt;=$B10)*(Mandate!$G$6:$G$50&gt;=$B10)*Mandate!$L$6:$L$50)</f>
        <v>0</v>
      </c>
      <c r="E10" s="30">
        <f>SUMPRODUCT((Mandate!$D$6:$D$50=E$5)*(Mandate!$F$6:$F$50&lt;=$B10)*(Mandate!$G$6:$G$50&gt;=$B10)*Mandate!$L$6:$L$50)</f>
        <v>0</v>
      </c>
      <c r="F10" s="30">
        <f>SUMPRODUCT((Mandate!$D$6:$D$50=F$5)*(Mandate!$F$6:$F$50&lt;=$B10)*(Mandate!$G$6:$G$50&gt;=$B10)*Mandate!$L$6:$L$50)</f>
        <v>0</v>
      </c>
      <c r="G10" s="30">
        <f>SUMPRODUCT((Mandate!$D$6:$D$50=G$5)*(Mandate!$F$6:$F$50&lt;=$B10)*(Mandate!$G$6:$G$50&gt;=$B10)*Mandate!$L$6:$L$50)</f>
        <v>0</v>
      </c>
      <c r="H10" s="30">
        <f>SUMPRODUCT((Mandate!$D$6:$D$50=H$5)*(Mandate!$F$6:$F$50&lt;=$B10)*(Mandate!$G$6:$G$50&gt;=$B10)*Mandate!$L$6:$L$50)</f>
        <v>0</v>
      </c>
      <c r="I10" s="30">
        <f>SUMPRODUCT((Mandate!$D$6:$D$50=I$5)*(Mandate!$F$6:$F$50&lt;=$B10)*(Mandate!$G$6:$G$50&gt;=$B10)*Mandate!$L$6:$L$50)</f>
        <v>0</v>
      </c>
      <c r="J10" s="30">
        <f>SUMPRODUCT((Mandate!$D$6:$D$50=J$5)*(Mandate!$F$6:$F$50&lt;=$B10)*(Mandate!$G$6:$G$50&gt;=$B10)*Mandate!$L$6:$L$50)</f>
        <v>0</v>
      </c>
      <c r="K10" s="30">
        <f>SUMPRODUCT((Mandate!$D$6:$D$50=K$5)*(Mandate!$F$6:$F$50&lt;=$B10)*(Mandate!$G$6:$G$50&gt;=$B10)*Mandate!$L$6:$L$50)</f>
        <v>0</v>
      </c>
      <c r="L10" s="30">
        <f>SUMPRODUCT((Mandate!$D$6:$D$50=L$5)*(Mandate!$F$6:$F$50&lt;=$B10)*(Mandate!$G$6:$G$50&gt;=$B10)*Mandate!$L$6:$L$50)</f>
        <v>0</v>
      </c>
      <c r="M10" s="30">
        <f>SUMPRODUCT((Mandate!$D$6:$D$50=M$5)*(Mandate!$F$6:$F$50&lt;=$B10)*(Mandate!$G$6:$G$50&gt;=$B10)*Mandate!$L$6:$L$50)</f>
        <v>0</v>
      </c>
      <c r="N10" s="30">
        <f>SUMPRODUCT((Mandate!$D$6:$D$50=N$5)*(Mandate!$F$6:$F$50&lt;=$B10)*(Mandate!$G$6:$G$50&gt;=$B10)*Mandate!$L$6:$L$50)</f>
        <v>0</v>
      </c>
      <c r="O10" s="30">
        <f>SUMPRODUCT((Mandate!$D$6:$D$50=O$5)*(Mandate!$F$6:$F$50&lt;=$B10)*(Mandate!$G$6:$G$50&gt;=$B10)*Mandate!$L$6:$L$50)</f>
        <v>0</v>
      </c>
      <c r="P10" s="30">
        <f>SUMPRODUCT((Mandate!$D$6:$D$50=P$5)*(Mandate!$F$6:$F$50&lt;=$B10)*(Mandate!$G$6:$G$50&gt;=$B10)*Mandate!$L$6:$L$50)</f>
        <v>0</v>
      </c>
      <c r="Q10" s="30">
        <f>SUMPRODUCT((Mandate!$D$6:$D$50=Q$5)*(Mandate!$F$6:$F$50&lt;=$B10)*(Mandate!$G$6:$G$50&gt;=$B10)*Mandate!$L$6:$L$50)</f>
        <v>0</v>
      </c>
      <c r="R10" s="30">
        <f>SUMPRODUCT((Mandate!$D$6:$D$50=R$5)*(Mandate!$F$6:$F$50&lt;=$B10)*(Mandate!$G$6:$G$50&gt;=$B10)*Mandate!$L$6:$L$50)</f>
        <v>0</v>
      </c>
      <c r="S10" s="30">
        <f>SUMPRODUCT((Mandate!$D$6:$D$50=S$5)*(Mandate!$F$6:$F$50&lt;=$B10)*(Mandate!$G$6:$G$50&gt;=$B10)*Mandate!$L$6:$L$50)</f>
        <v>0</v>
      </c>
      <c r="T10" s="30">
        <f>SUMPRODUCT((Mandate!$D$6:$D$50=T$5)*(Mandate!$F$6:$F$50&lt;=$B10)*(Mandate!$G$6:$G$50&gt;=$B10)*Mandate!$L$6:$L$50)</f>
        <v>0</v>
      </c>
      <c r="U10" s="30">
        <f>SUMPRODUCT((Mandate!$D$6:$D$50=U$5)*(Mandate!$F$6:$F$50&lt;=$B10)*(Mandate!$G$6:$G$50&gt;=$B10)*Mandate!$L$6:$L$50)</f>
        <v>0</v>
      </c>
      <c r="V10" s="30">
        <f>SUMPRODUCT((Mandate!$D$6:$D$50=V$5)*(Mandate!$F$6:$F$50&lt;=$B10)*(Mandate!$G$6:$G$50&gt;=$B10)*Mandate!$L$6:$L$50)</f>
        <v>0</v>
      </c>
      <c r="W10" s="30">
        <f t="shared" si="0"/>
        <v>0</v>
      </c>
      <c r="X10" s="15">
        <f t="shared" si="1"/>
        <v>0</v>
      </c>
      <c r="Y10" s="17" t="str">
        <f t="shared" si="2"/>
        <v>ok</v>
      </c>
    </row>
    <row r="11" spans="2:25" ht="15" customHeight="1">
      <c r="B11" s="29">
        <v>5</v>
      </c>
      <c r="C11" s="30">
        <f>SUMPRODUCT((Mandate!$D$6:$D$50=C$5)*(Mandate!$F$6:$F$50&lt;=$B11)*(Mandate!$G$6:$G$50&gt;=$B11)*Mandate!$L$6:$L$50)</f>
        <v>0</v>
      </c>
      <c r="D11" s="30">
        <f>SUMPRODUCT((Mandate!$D$6:$D$50=D$5)*(Mandate!$F$6:$F$50&lt;=$B11)*(Mandate!$G$6:$G$50&gt;=$B11)*Mandate!$L$6:$L$50)</f>
        <v>0</v>
      </c>
      <c r="E11" s="30">
        <f>SUMPRODUCT((Mandate!$D$6:$D$50=E$5)*(Mandate!$F$6:$F$50&lt;=$B11)*(Mandate!$G$6:$G$50&gt;=$B11)*Mandate!$L$6:$L$50)</f>
        <v>0</v>
      </c>
      <c r="F11" s="30">
        <f>SUMPRODUCT((Mandate!$D$6:$D$50=F$5)*(Mandate!$F$6:$F$50&lt;=$B11)*(Mandate!$G$6:$G$50&gt;=$B11)*Mandate!$L$6:$L$50)</f>
        <v>0</v>
      </c>
      <c r="G11" s="30">
        <f>SUMPRODUCT((Mandate!$D$6:$D$50=G$5)*(Mandate!$F$6:$F$50&lt;=$B11)*(Mandate!$G$6:$G$50&gt;=$B11)*Mandate!$L$6:$L$50)</f>
        <v>0</v>
      </c>
      <c r="H11" s="30">
        <f>SUMPRODUCT((Mandate!$D$6:$D$50=H$5)*(Mandate!$F$6:$F$50&lt;=$B11)*(Mandate!$G$6:$G$50&gt;=$B11)*Mandate!$L$6:$L$50)</f>
        <v>0</v>
      </c>
      <c r="I11" s="30">
        <f>SUMPRODUCT((Mandate!$D$6:$D$50=I$5)*(Mandate!$F$6:$F$50&lt;=$B11)*(Mandate!$G$6:$G$50&gt;=$B11)*Mandate!$L$6:$L$50)</f>
        <v>0</v>
      </c>
      <c r="J11" s="30">
        <f>SUMPRODUCT((Mandate!$D$6:$D$50=J$5)*(Mandate!$F$6:$F$50&lt;=$B11)*(Mandate!$G$6:$G$50&gt;=$B11)*Mandate!$L$6:$L$50)</f>
        <v>0</v>
      </c>
      <c r="K11" s="30">
        <f>SUMPRODUCT((Mandate!$D$6:$D$50=K$5)*(Mandate!$F$6:$F$50&lt;=$B11)*(Mandate!$G$6:$G$50&gt;=$B11)*Mandate!$L$6:$L$50)</f>
        <v>0</v>
      </c>
      <c r="L11" s="30">
        <f>SUMPRODUCT((Mandate!$D$6:$D$50=L$5)*(Mandate!$F$6:$F$50&lt;=$B11)*(Mandate!$G$6:$G$50&gt;=$B11)*Mandate!$L$6:$L$50)</f>
        <v>0</v>
      </c>
      <c r="M11" s="30">
        <f>SUMPRODUCT((Mandate!$D$6:$D$50=M$5)*(Mandate!$F$6:$F$50&lt;=$B11)*(Mandate!$G$6:$G$50&gt;=$B11)*Mandate!$L$6:$L$50)</f>
        <v>0</v>
      </c>
      <c r="N11" s="30">
        <f>SUMPRODUCT((Mandate!$D$6:$D$50=N$5)*(Mandate!$F$6:$F$50&lt;=$B11)*(Mandate!$G$6:$G$50&gt;=$B11)*Mandate!$L$6:$L$50)</f>
        <v>0</v>
      </c>
      <c r="O11" s="30">
        <f>SUMPRODUCT((Mandate!$D$6:$D$50=O$5)*(Mandate!$F$6:$F$50&lt;=$B11)*(Mandate!$G$6:$G$50&gt;=$B11)*Mandate!$L$6:$L$50)</f>
        <v>0</v>
      </c>
      <c r="P11" s="30">
        <f>SUMPRODUCT((Mandate!$D$6:$D$50=P$5)*(Mandate!$F$6:$F$50&lt;=$B11)*(Mandate!$G$6:$G$50&gt;=$B11)*Mandate!$L$6:$L$50)</f>
        <v>0</v>
      </c>
      <c r="Q11" s="30">
        <f>SUMPRODUCT((Mandate!$D$6:$D$50=Q$5)*(Mandate!$F$6:$F$50&lt;=$B11)*(Mandate!$G$6:$G$50&gt;=$B11)*Mandate!$L$6:$L$50)</f>
        <v>0</v>
      </c>
      <c r="R11" s="30">
        <f>SUMPRODUCT((Mandate!$D$6:$D$50=R$5)*(Mandate!$F$6:$F$50&lt;=$B11)*(Mandate!$G$6:$G$50&gt;=$B11)*Mandate!$L$6:$L$50)</f>
        <v>0</v>
      </c>
      <c r="S11" s="30">
        <f>SUMPRODUCT((Mandate!$D$6:$D$50=S$5)*(Mandate!$F$6:$F$50&lt;=$B11)*(Mandate!$G$6:$G$50&gt;=$B11)*Mandate!$L$6:$L$50)</f>
        <v>0</v>
      </c>
      <c r="T11" s="30">
        <f>SUMPRODUCT((Mandate!$D$6:$D$50=T$5)*(Mandate!$F$6:$F$50&lt;=$B11)*(Mandate!$G$6:$G$50&gt;=$B11)*Mandate!$L$6:$L$50)</f>
        <v>0</v>
      </c>
      <c r="U11" s="30">
        <f>SUMPRODUCT((Mandate!$D$6:$D$50=U$5)*(Mandate!$F$6:$F$50&lt;=$B11)*(Mandate!$G$6:$G$50&gt;=$B11)*Mandate!$L$6:$L$50)</f>
        <v>0</v>
      </c>
      <c r="V11" s="30">
        <f>SUMPRODUCT((Mandate!$D$6:$D$50=V$5)*(Mandate!$F$6:$F$50&lt;=$B11)*(Mandate!$G$6:$G$50&gt;=$B11)*Mandate!$L$6:$L$50)</f>
        <v>0</v>
      </c>
      <c r="W11" s="30">
        <f t="shared" si="0"/>
        <v>0</v>
      </c>
      <c r="X11" s="15">
        <f t="shared" si="1"/>
        <v>0</v>
      </c>
      <c r="Y11" s="17" t="str">
        <f t="shared" si="2"/>
        <v>ok</v>
      </c>
    </row>
    <row r="12" spans="2:25" ht="15" customHeight="1">
      <c r="B12" s="29">
        <v>6</v>
      </c>
      <c r="C12" s="30">
        <f>SUMPRODUCT((Mandate!$D$6:$D$50=C$5)*(Mandate!$F$6:$F$50&lt;=$B12)*(Mandate!$G$6:$G$50&gt;=$B12)*Mandate!$L$6:$L$50)</f>
        <v>0</v>
      </c>
      <c r="D12" s="30">
        <f>SUMPRODUCT((Mandate!$D$6:$D$50=D$5)*(Mandate!$F$6:$F$50&lt;=$B12)*(Mandate!$G$6:$G$50&gt;=$B12)*Mandate!$L$6:$L$50)</f>
        <v>0</v>
      </c>
      <c r="E12" s="30">
        <f>SUMPRODUCT((Mandate!$D$6:$D$50=E$5)*(Mandate!$F$6:$F$50&lt;=$B12)*(Mandate!$G$6:$G$50&gt;=$B12)*Mandate!$L$6:$L$50)</f>
        <v>0</v>
      </c>
      <c r="F12" s="30">
        <f>SUMPRODUCT((Mandate!$D$6:$D$50=F$5)*(Mandate!$F$6:$F$50&lt;=$B12)*(Mandate!$G$6:$G$50&gt;=$B12)*Mandate!$L$6:$L$50)</f>
        <v>0</v>
      </c>
      <c r="G12" s="30">
        <f>SUMPRODUCT((Mandate!$D$6:$D$50=G$5)*(Mandate!$F$6:$F$50&lt;=$B12)*(Mandate!$G$6:$G$50&gt;=$B12)*Mandate!$L$6:$L$50)</f>
        <v>0</v>
      </c>
      <c r="H12" s="30">
        <f>SUMPRODUCT((Mandate!$D$6:$D$50=H$5)*(Mandate!$F$6:$F$50&lt;=$B12)*(Mandate!$G$6:$G$50&gt;=$B12)*Mandate!$L$6:$L$50)</f>
        <v>0</v>
      </c>
      <c r="I12" s="30">
        <f>SUMPRODUCT((Mandate!$D$6:$D$50=I$5)*(Mandate!$F$6:$F$50&lt;=$B12)*(Mandate!$G$6:$G$50&gt;=$B12)*Mandate!$L$6:$L$50)</f>
        <v>0</v>
      </c>
      <c r="J12" s="30">
        <f>SUMPRODUCT((Mandate!$D$6:$D$50=J$5)*(Mandate!$F$6:$F$50&lt;=$B12)*(Mandate!$G$6:$G$50&gt;=$B12)*Mandate!$L$6:$L$50)</f>
        <v>0</v>
      </c>
      <c r="K12" s="30">
        <f>SUMPRODUCT((Mandate!$D$6:$D$50=K$5)*(Mandate!$F$6:$F$50&lt;=$B12)*(Mandate!$G$6:$G$50&gt;=$B12)*Mandate!$L$6:$L$50)</f>
        <v>0</v>
      </c>
      <c r="L12" s="30">
        <f>SUMPRODUCT((Mandate!$D$6:$D$50=L$5)*(Mandate!$F$6:$F$50&lt;=$B12)*(Mandate!$G$6:$G$50&gt;=$B12)*Mandate!$L$6:$L$50)</f>
        <v>0</v>
      </c>
      <c r="M12" s="30">
        <f>SUMPRODUCT((Mandate!$D$6:$D$50=M$5)*(Mandate!$F$6:$F$50&lt;=$B12)*(Mandate!$G$6:$G$50&gt;=$B12)*Mandate!$L$6:$L$50)</f>
        <v>0</v>
      </c>
      <c r="N12" s="30">
        <f>SUMPRODUCT((Mandate!$D$6:$D$50=N$5)*(Mandate!$F$6:$F$50&lt;=$B12)*(Mandate!$G$6:$G$50&gt;=$B12)*Mandate!$L$6:$L$50)</f>
        <v>0</v>
      </c>
      <c r="O12" s="30">
        <f>SUMPRODUCT((Mandate!$D$6:$D$50=O$5)*(Mandate!$F$6:$F$50&lt;=$B12)*(Mandate!$G$6:$G$50&gt;=$B12)*Mandate!$L$6:$L$50)</f>
        <v>0</v>
      </c>
      <c r="P12" s="30">
        <f>SUMPRODUCT((Mandate!$D$6:$D$50=P$5)*(Mandate!$F$6:$F$50&lt;=$B12)*(Mandate!$G$6:$G$50&gt;=$B12)*Mandate!$L$6:$L$50)</f>
        <v>0</v>
      </c>
      <c r="Q12" s="30">
        <f>SUMPRODUCT((Mandate!$D$6:$D$50=Q$5)*(Mandate!$F$6:$F$50&lt;=$B12)*(Mandate!$G$6:$G$50&gt;=$B12)*Mandate!$L$6:$L$50)</f>
        <v>0</v>
      </c>
      <c r="R12" s="30">
        <f>SUMPRODUCT((Mandate!$D$6:$D$50=R$5)*(Mandate!$F$6:$F$50&lt;=$B12)*(Mandate!$G$6:$G$50&gt;=$B12)*Mandate!$L$6:$L$50)</f>
        <v>0</v>
      </c>
      <c r="S12" s="30">
        <f>SUMPRODUCT((Mandate!$D$6:$D$50=S$5)*(Mandate!$F$6:$F$50&lt;=$B12)*(Mandate!$G$6:$G$50&gt;=$B12)*Mandate!$L$6:$L$50)</f>
        <v>0</v>
      </c>
      <c r="T12" s="30">
        <f>SUMPRODUCT((Mandate!$D$6:$D$50=T$5)*(Mandate!$F$6:$F$50&lt;=$B12)*(Mandate!$G$6:$G$50&gt;=$B12)*Mandate!$L$6:$L$50)</f>
        <v>0</v>
      </c>
      <c r="U12" s="30">
        <f>SUMPRODUCT((Mandate!$D$6:$D$50=U$5)*(Mandate!$F$6:$F$50&lt;=$B12)*(Mandate!$G$6:$G$50&gt;=$B12)*Mandate!$L$6:$L$50)</f>
        <v>0</v>
      </c>
      <c r="V12" s="30">
        <f>SUMPRODUCT((Mandate!$D$6:$D$50=V$5)*(Mandate!$F$6:$F$50&lt;=$B12)*(Mandate!$G$6:$G$50&gt;=$B12)*Mandate!$L$6:$L$50)</f>
        <v>0</v>
      </c>
      <c r="W12" s="30">
        <f t="shared" si="0"/>
        <v>0</v>
      </c>
      <c r="X12" s="15">
        <f t="shared" si="1"/>
        <v>0</v>
      </c>
      <c r="Y12" s="17" t="str">
        <f t="shared" si="2"/>
        <v>ok</v>
      </c>
    </row>
    <row r="13" spans="2:25" ht="15" customHeight="1">
      <c r="B13" s="29">
        <v>7</v>
      </c>
      <c r="C13" s="30">
        <f>SUMPRODUCT((Mandate!$D$6:$D$50=C$5)*(Mandate!$F$6:$F$50&lt;=$B13)*(Mandate!$G$6:$G$50&gt;=$B13)*Mandate!$L$6:$L$50)</f>
        <v>0</v>
      </c>
      <c r="D13" s="30">
        <f>SUMPRODUCT((Mandate!$D$6:$D$50=D$5)*(Mandate!$F$6:$F$50&lt;=$B13)*(Mandate!$G$6:$G$50&gt;=$B13)*Mandate!$L$6:$L$50)</f>
        <v>0</v>
      </c>
      <c r="E13" s="30">
        <f>SUMPRODUCT((Mandate!$D$6:$D$50=E$5)*(Mandate!$F$6:$F$50&lt;=$B13)*(Mandate!$G$6:$G$50&gt;=$B13)*Mandate!$L$6:$L$50)</f>
        <v>0</v>
      </c>
      <c r="F13" s="30">
        <f>SUMPRODUCT((Mandate!$D$6:$D$50=F$5)*(Mandate!$F$6:$F$50&lt;=$B13)*(Mandate!$G$6:$G$50&gt;=$B13)*Mandate!$L$6:$L$50)</f>
        <v>0</v>
      </c>
      <c r="G13" s="30">
        <f>SUMPRODUCT((Mandate!$D$6:$D$50=G$5)*(Mandate!$F$6:$F$50&lt;=$B13)*(Mandate!$G$6:$G$50&gt;=$B13)*Mandate!$L$6:$L$50)</f>
        <v>0</v>
      </c>
      <c r="H13" s="30">
        <f>SUMPRODUCT((Mandate!$D$6:$D$50=H$5)*(Mandate!$F$6:$F$50&lt;=$B13)*(Mandate!$G$6:$G$50&gt;=$B13)*Mandate!$L$6:$L$50)</f>
        <v>0</v>
      </c>
      <c r="I13" s="30">
        <f>SUMPRODUCT((Mandate!$D$6:$D$50=I$5)*(Mandate!$F$6:$F$50&lt;=$B13)*(Mandate!$G$6:$G$50&gt;=$B13)*Mandate!$L$6:$L$50)</f>
        <v>0</v>
      </c>
      <c r="J13" s="30">
        <f>SUMPRODUCT((Mandate!$D$6:$D$50=J$5)*(Mandate!$F$6:$F$50&lt;=$B13)*(Mandate!$G$6:$G$50&gt;=$B13)*Mandate!$L$6:$L$50)</f>
        <v>0</v>
      </c>
      <c r="K13" s="30">
        <f>SUMPRODUCT((Mandate!$D$6:$D$50=K$5)*(Mandate!$F$6:$F$50&lt;=$B13)*(Mandate!$G$6:$G$50&gt;=$B13)*Mandate!$L$6:$L$50)</f>
        <v>0</v>
      </c>
      <c r="L13" s="30">
        <f>SUMPRODUCT((Mandate!$D$6:$D$50=L$5)*(Mandate!$F$6:$F$50&lt;=$B13)*(Mandate!$G$6:$G$50&gt;=$B13)*Mandate!$L$6:$L$50)</f>
        <v>0</v>
      </c>
      <c r="M13" s="30">
        <f>SUMPRODUCT((Mandate!$D$6:$D$50=M$5)*(Mandate!$F$6:$F$50&lt;=$B13)*(Mandate!$G$6:$G$50&gt;=$B13)*Mandate!$L$6:$L$50)</f>
        <v>0</v>
      </c>
      <c r="N13" s="30">
        <f>SUMPRODUCT((Mandate!$D$6:$D$50=N$5)*(Mandate!$F$6:$F$50&lt;=$B13)*(Mandate!$G$6:$G$50&gt;=$B13)*Mandate!$L$6:$L$50)</f>
        <v>0</v>
      </c>
      <c r="O13" s="30">
        <f>SUMPRODUCT((Mandate!$D$6:$D$50=O$5)*(Mandate!$F$6:$F$50&lt;=$B13)*(Mandate!$G$6:$G$50&gt;=$B13)*Mandate!$L$6:$L$50)</f>
        <v>0</v>
      </c>
      <c r="P13" s="30">
        <f>SUMPRODUCT((Mandate!$D$6:$D$50=P$5)*(Mandate!$F$6:$F$50&lt;=$B13)*(Mandate!$G$6:$G$50&gt;=$B13)*Mandate!$L$6:$L$50)</f>
        <v>0</v>
      </c>
      <c r="Q13" s="30">
        <f>SUMPRODUCT((Mandate!$D$6:$D$50=Q$5)*(Mandate!$F$6:$F$50&lt;=$B13)*(Mandate!$G$6:$G$50&gt;=$B13)*Mandate!$L$6:$L$50)</f>
        <v>0</v>
      </c>
      <c r="R13" s="30">
        <f>SUMPRODUCT((Mandate!$D$6:$D$50=R$5)*(Mandate!$F$6:$F$50&lt;=$B13)*(Mandate!$G$6:$G$50&gt;=$B13)*Mandate!$L$6:$L$50)</f>
        <v>0</v>
      </c>
      <c r="S13" s="30">
        <f>SUMPRODUCT((Mandate!$D$6:$D$50=S$5)*(Mandate!$F$6:$F$50&lt;=$B13)*(Mandate!$G$6:$G$50&gt;=$B13)*Mandate!$L$6:$L$50)</f>
        <v>0</v>
      </c>
      <c r="T13" s="30">
        <f>SUMPRODUCT((Mandate!$D$6:$D$50=T$5)*(Mandate!$F$6:$F$50&lt;=$B13)*(Mandate!$G$6:$G$50&gt;=$B13)*Mandate!$L$6:$L$50)</f>
        <v>0</v>
      </c>
      <c r="U13" s="30">
        <f>SUMPRODUCT((Mandate!$D$6:$D$50=U$5)*(Mandate!$F$6:$F$50&lt;=$B13)*(Mandate!$G$6:$G$50&gt;=$B13)*Mandate!$L$6:$L$50)</f>
        <v>0</v>
      </c>
      <c r="V13" s="30">
        <f>SUMPRODUCT((Mandate!$D$6:$D$50=V$5)*(Mandate!$F$6:$F$50&lt;=$B13)*(Mandate!$G$6:$G$50&gt;=$B13)*Mandate!$L$6:$L$50)</f>
        <v>0</v>
      </c>
      <c r="W13" s="30">
        <f t="shared" si="0"/>
        <v>0</v>
      </c>
      <c r="X13" s="15">
        <f t="shared" si="1"/>
        <v>0</v>
      </c>
      <c r="Y13" s="17" t="str">
        <f t="shared" si="2"/>
        <v>ok</v>
      </c>
    </row>
    <row r="14" spans="2:25" ht="15" customHeight="1">
      <c r="B14" s="29">
        <v>8</v>
      </c>
      <c r="C14" s="30">
        <f>SUMPRODUCT((Mandate!$D$6:$D$50=C$5)*(Mandate!$F$6:$F$50&lt;=$B14)*(Mandate!$G$6:$G$50&gt;=$B14)*Mandate!$L$6:$L$50)</f>
        <v>0</v>
      </c>
      <c r="D14" s="30">
        <f>SUMPRODUCT((Mandate!$D$6:$D$50=D$5)*(Mandate!$F$6:$F$50&lt;=$B14)*(Mandate!$G$6:$G$50&gt;=$B14)*Mandate!$L$6:$L$50)</f>
        <v>0</v>
      </c>
      <c r="E14" s="30">
        <f>SUMPRODUCT((Mandate!$D$6:$D$50=E$5)*(Mandate!$F$6:$F$50&lt;=$B14)*(Mandate!$G$6:$G$50&gt;=$B14)*Mandate!$L$6:$L$50)</f>
        <v>0</v>
      </c>
      <c r="F14" s="30">
        <f>SUMPRODUCT((Mandate!$D$6:$D$50=F$5)*(Mandate!$F$6:$F$50&lt;=$B14)*(Mandate!$G$6:$G$50&gt;=$B14)*Mandate!$L$6:$L$50)</f>
        <v>0</v>
      </c>
      <c r="G14" s="30">
        <f>SUMPRODUCT((Mandate!$D$6:$D$50=G$5)*(Mandate!$F$6:$F$50&lt;=$B14)*(Mandate!$G$6:$G$50&gt;=$B14)*Mandate!$L$6:$L$50)</f>
        <v>0</v>
      </c>
      <c r="H14" s="30">
        <f>SUMPRODUCT((Mandate!$D$6:$D$50=H$5)*(Mandate!$F$6:$F$50&lt;=$B14)*(Mandate!$G$6:$G$50&gt;=$B14)*Mandate!$L$6:$L$50)</f>
        <v>0</v>
      </c>
      <c r="I14" s="30">
        <f>SUMPRODUCT((Mandate!$D$6:$D$50=I$5)*(Mandate!$F$6:$F$50&lt;=$B14)*(Mandate!$G$6:$G$50&gt;=$B14)*Mandate!$L$6:$L$50)</f>
        <v>0</v>
      </c>
      <c r="J14" s="30">
        <f>SUMPRODUCT((Mandate!$D$6:$D$50=J$5)*(Mandate!$F$6:$F$50&lt;=$B14)*(Mandate!$G$6:$G$50&gt;=$B14)*Mandate!$L$6:$L$50)</f>
        <v>0</v>
      </c>
      <c r="K14" s="30">
        <f>SUMPRODUCT((Mandate!$D$6:$D$50=K$5)*(Mandate!$F$6:$F$50&lt;=$B14)*(Mandate!$G$6:$G$50&gt;=$B14)*Mandate!$L$6:$L$50)</f>
        <v>0</v>
      </c>
      <c r="L14" s="30">
        <f>SUMPRODUCT((Mandate!$D$6:$D$50=L$5)*(Mandate!$F$6:$F$50&lt;=$B14)*(Mandate!$G$6:$G$50&gt;=$B14)*Mandate!$L$6:$L$50)</f>
        <v>0</v>
      </c>
      <c r="M14" s="30">
        <f>SUMPRODUCT((Mandate!$D$6:$D$50=M$5)*(Mandate!$F$6:$F$50&lt;=$B14)*(Mandate!$G$6:$G$50&gt;=$B14)*Mandate!$L$6:$L$50)</f>
        <v>0</v>
      </c>
      <c r="N14" s="30">
        <f>SUMPRODUCT((Mandate!$D$6:$D$50=N$5)*(Mandate!$F$6:$F$50&lt;=$B14)*(Mandate!$G$6:$G$50&gt;=$B14)*Mandate!$L$6:$L$50)</f>
        <v>0</v>
      </c>
      <c r="O14" s="30">
        <f>SUMPRODUCT((Mandate!$D$6:$D$50=O$5)*(Mandate!$F$6:$F$50&lt;=$B14)*(Mandate!$G$6:$G$50&gt;=$B14)*Mandate!$L$6:$L$50)</f>
        <v>0</v>
      </c>
      <c r="P14" s="30">
        <f>SUMPRODUCT((Mandate!$D$6:$D$50=P$5)*(Mandate!$F$6:$F$50&lt;=$B14)*(Mandate!$G$6:$G$50&gt;=$B14)*Mandate!$L$6:$L$50)</f>
        <v>0</v>
      </c>
      <c r="Q14" s="30">
        <f>SUMPRODUCT((Mandate!$D$6:$D$50=Q$5)*(Mandate!$F$6:$F$50&lt;=$B14)*(Mandate!$G$6:$G$50&gt;=$B14)*Mandate!$L$6:$L$50)</f>
        <v>0</v>
      </c>
      <c r="R14" s="30">
        <f>SUMPRODUCT((Mandate!$D$6:$D$50=R$5)*(Mandate!$F$6:$F$50&lt;=$B14)*(Mandate!$G$6:$G$50&gt;=$B14)*Mandate!$L$6:$L$50)</f>
        <v>0</v>
      </c>
      <c r="S14" s="30">
        <f>SUMPRODUCT((Mandate!$D$6:$D$50=S$5)*(Mandate!$F$6:$F$50&lt;=$B14)*(Mandate!$G$6:$G$50&gt;=$B14)*Mandate!$L$6:$L$50)</f>
        <v>0</v>
      </c>
      <c r="T14" s="30">
        <f>SUMPRODUCT((Mandate!$D$6:$D$50=T$5)*(Mandate!$F$6:$F$50&lt;=$B14)*(Mandate!$G$6:$G$50&gt;=$B14)*Mandate!$L$6:$L$50)</f>
        <v>0</v>
      </c>
      <c r="U14" s="30">
        <f>SUMPRODUCT((Mandate!$D$6:$D$50=U$5)*(Mandate!$F$6:$F$50&lt;=$B14)*(Mandate!$G$6:$G$50&gt;=$B14)*Mandate!$L$6:$L$50)</f>
        <v>0</v>
      </c>
      <c r="V14" s="30">
        <f>SUMPRODUCT((Mandate!$D$6:$D$50=V$5)*(Mandate!$F$6:$F$50&lt;=$B14)*(Mandate!$G$6:$G$50&gt;=$B14)*Mandate!$L$6:$L$50)</f>
        <v>0</v>
      </c>
      <c r="W14" s="30">
        <f t="shared" si="0"/>
        <v>0</v>
      </c>
      <c r="X14" s="15">
        <f t="shared" si="1"/>
        <v>0</v>
      </c>
      <c r="Y14" s="17" t="str">
        <f t="shared" si="2"/>
        <v>ok</v>
      </c>
    </row>
    <row r="15" spans="2:25" ht="15" customHeight="1">
      <c r="B15" s="29">
        <v>9</v>
      </c>
      <c r="C15" s="30">
        <f>SUMPRODUCT((Mandate!$D$6:$D$50=C$5)*(Mandate!$F$6:$F$50&lt;=$B15)*(Mandate!$G$6:$G$50&gt;=$B15)*Mandate!$L$6:$L$50)</f>
        <v>0</v>
      </c>
      <c r="D15" s="30">
        <f>SUMPRODUCT((Mandate!$D$6:$D$50=D$5)*(Mandate!$F$6:$F$50&lt;=$B15)*(Mandate!$G$6:$G$50&gt;=$B15)*Mandate!$L$6:$L$50)</f>
        <v>0</v>
      </c>
      <c r="E15" s="30">
        <f>SUMPRODUCT((Mandate!$D$6:$D$50=E$5)*(Mandate!$F$6:$F$50&lt;=$B15)*(Mandate!$G$6:$G$50&gt;=$B15)*Mandate!$L$6:$L$50)</f>
        <v>0</v>
      </c>
      <c r="F15" s="30">
        <f>SUMPRODUCT((Mandate!$D$6:$D$50=F$5)*(Mandate!$F$6:$F$50&lt;=$B15)*(Mandate!$G$6:$G$50&gt;=$B15)*Mandate!$L$6:$L$50)</f>
        <v>0</v>
      </c>
      <c r="G15" s="30">
        <f>SUMPRODUCT((Mandate!$D$6:$D$50=G$5)*(Mandate!$F$6:$F$50&lt;=$B15)*(Mandate!$G$6:$G$50&gt;=$B15)*Mandate!$L$6:$L$50)</f>
        <v>0</v>
      </c>
      <c r="H15" s="30">
        <f>SUMPRODUCT((Mandate!$D$6:$D$50=H$5)*(Mandate!$F$6:$F$50&lt;=$B15)*(Mandate!$G$6:$G$50&gt;=$B15)*Mandate!$L$6:$L$50)</f>
        <v>0</v>
      </c>
      <c r="I15" s="30">
        <f>SUMPRODUCT((Mandate!$D$6:$D$50=I$5)*(Mandate!$F$6:$F$50&lt;=$B15)*(Mandate!$G$6:$G$50&gt;=$B15)*Mandate!$L$6:$L$50)</f>
        <v>0</v>
      </c>
      <c r="J15" s="30">
        <f>SUMPRODUCT((Mandate!$D$6:$D$50=J$5)*(Mandate!$F$6:$F$50&lt;=$B15)*(Mandate!$G$6:$G$50&gt;=$B15)*Mandate!$L$6:$L$50)</f>
        <v>0</v>
      </c>
      <c r="K15" s="30">
        <f>SUMPRODUCT((Mandate!$D$6:$D$50=K$5)*(Mandate!$F$6:$F$50&lt;=$B15)*(Mandate!$G$6:$G$50&gt;=$B15)*Mandate!$L$6:$L$50)</f>
        <v>0</v>
      </c>
      <c r="L15" s="30">
        <f>SUMPRODUCT((Mandate!$D$6:$D$50=L$5)*(Mandate!$F$6:$F$50&lt;=$B15)*(Mandate!$G$6:$G$50&gt;=$B15)*Mandate!$L$6:$L$50)</f>
        <v>0</v>
      </c>
      <c r="M15" s="30">
        <f>SUMPRODUCT((Mandate!$D$6:$D$50=M$5)*(Mandate!$F$6:$F$50&lt;=$B15)*(Mandate!$G$6:$G$50&gt;=$B15)*Mandate!$L$6:$L$50)</f>
        <v>0</v>
      </c>
      <c r="N15" s="30">
        <f>SUMPRODUCT((Mandate!$D$6:$D$50=N$5)*(Mandate!$F$6:$F$50&lt;=$B15)*(Mandate!$G$6:$G$50&gt;=$B15)*Mandate!$L$6:$L$50)</f>
        <v>0</v>
      </c>
      <c r="O15" s="30">
        <f>SUMPRODUCT((Mandate!$D$6:$D$50=O$5)*(Mandate!$F$6:$F$50&lt;=$B15)*(Mandate!$G$6:$G$50&gt;=$B15)*Mandate!$L$6:$L$50)</f>
        <v>0</v>
      </c>
      <c r="P15" s="30">
        <f>SUMPRODUCT((Mandate!$D$6:$D$50=P$5)*(Mandate!$F$6:$F$50&lt;=$B15)*(Mandate!$G$6:$G$50&gt;=$B15)*Mandate!$L$6:$L$50)</f>
        <v>0</v>
      </c>
      <c r="Q15" s="30">
        <f>SUMPRODUCT((Mandate!$D$6:$D$50=Q$5)*(Mandate!$F$6:$F$50&lt;=$B15)*(Mandate!$G$6:$G$50&gt;=$B15)*Mandate!$L$6:$L$50)</f>
        <v>0</v>
      </c>
      <c r="R15" s="30">
        <f>SUMPRODUCT((Mandate!$D$6:$D$50=R$5)*(Mandate!$F$6:$F$50&lt;=$B15)*(Mandate!$G$6:$G$50&gt;=$B15)*Mandate!$L$6:$L$50)</f>
        <v>0</v>
      </c>
      <c r="S15" s="30">
        <f>SUMPRODUCT((Mandate!$D$6:$D$50=S$5)*(Mandate!$F$6:$F$50&lt;=$B15)*(Mandate!$G$6:$G$50&gt;=$B15)*Mandate!$L$6:$L$50)</f>
        <v>0</v>
      </c>
      <c r="T15" s="30">
        <f>SUMPRODUCT((Mandate!$D$6:$D$50=T$5)*(Mandate!$F$6:$F$50&lt;=$B15)*(Mandate!$G$6:$G$50&gt;=$B15)*Mandate!$L$6:$L$50)</f>
        <v>0</v>
      </c>
      <c r="U15" s="30">
        <f>SUMPRODUCT((Mandate!$D$6:$D$50=U$5)*(Mandate!$F$6:$F$50&lt;=$B15)*(Mandate!$G$6:$G$50&gt;=$B15)*Mandate!$L$6:$L$50)</f>
        <v>0</v>
      </c>
      <c r="V15" s="30">
        <f>SUMPRODUCT((Mandate!$D$6:$D$50=V$5)*(Mandate!$F$6:$F$50&lt;=$B15)*(Mandate!$G$6:$G$50&gt;=$B15)*Mandate!$L$6:$L$50)</f>
        <v>0</v>
      </c>
      <c r="W15" s="30">
        <f t="shared" si="0"/>
        <v>0</v>
      </c>
      <c r="X15" s="15">
        <f t="shared" si="1"/>
        <v>0</v>
      </c>
      <c r="Y15" s="17" t="str">
        <f t="shared" si="2"/>
        <v>ok</v>
      </c>
    </row>
    <row r="16" spans="2:25" ht="15" customHeight="1">
      <c r="B16" s="29">
        <v>10</v>
      </c>
      <c r="C16" s="30">
        <f>SUMPRODUCT((Mandate!$D$6:$D$50=C$5)*(Mandate!$F$6:$F$50&lt;=$B16)*(Mandate!$G$6:$G$50&gt;=$B16)*Mandate!$L$6:$L$50)</f>
        <v>0</v>
      </c>
      <c r="D16" s="30">
        <f>SUMPRODUCT((Mandate!$D$6:$D$50=D$5)*(Mandate!$F$6:$F$50&lt;=$B16)*(Mandate!$G$6:$G$50&gt;=$B16)*Mandate!$L$6:$L$50)</f>
        <v>0</v>
      </c>
      <c r="E16" s="30">
        <f>SUMPRODUCT((Mandate!$D$6:$D$50=E$5)*(Mandate!$F$6:$F$50&lt;=$B16)*(Mandate!$G$6:$G$50&gt;=$B16)*Mandate!$L$6:$L$50)</f>
        <v>0</v>
      </c>
      <c r="F16" s="30">
        <f>SUMPRODUCT((Mandate!$D$6:$D$50=F$5)*(Mandate!$F$6:$F$50&lt;=$B16)*(Mandate!$G$6:$G$50&gt;=$B16)*Mandate!$L$6:$L$50)</f>
        <v>0</v>
      </c>
      <c r="G16" s="30">
        <f>SUMPRODUCT((Mandate!$D$6:$D$50=G$5)*(Mandate!$F$6:$F$50&lt;=$B16)*(Mandate!$G$6:$G$50&gt;=$B16)*Mandate!$L$6:$L$50)</f>
        <v>0</v>
      </c>
      <c r="H16" s="30">
        <f>SUMPRODUCT((Mandate!$D$6:$D$50=H$5)*(Mandate!$F$6:$F$50&lt;=$B16)*(Mandate!$G$6:$G$50&gt;=$B16)*Mandate!$L$6:$L$50)</f>
        <v>0</v>
      </c>
      <c r="I16" s="30">
        <f>SUMPRODUCT((Mandate!$D$6:$D$50=I$5)*(Mandate!$F$6:$F$50&lt;=$B16)*(Mandate!$G$6:$G$50&gt;=$B16)*Mandate!$L$6:$L$50)</f>
        <v>0</v>
      </c>
      <c r="J16" s="30">
        <f>SUMPRODUCT((Mandate!$D$6:$D$50=J$5)*(Mandate!$F$6:$F$50&lt;=$B16)*(Mandate!$G$6:$G$50&gt;=$B16)*Mandate!$L$6:$L$50)</f>
        <v>0</v>
      </c>
      <c r="K16" s="30">
        <f>SUMPRODUCT((Mandate!$D$6:$D$50=K$5)*(Mandate!$F$6:$F$50&lt;=$B16)*(Mandate!$G$6:$G$50&gt;=$B16)*Mandate!$L$6:$L$50)</f>
        <v>0</v>
      </c>
      <c r="L16" s="30">
        <f>SUMPRODUCT((Mandate!$D$6:$D$50=L$5)*(Mandate!$F$6:$F$50&lt;=$B16)*(Mandate!$G$6:$G$50&gt;=$B16)*Mandate!$L$6:$L$50)</f>
        <v>0</v>
      </c>
      <c r="M16" s="30">
        <f>SUMPRODUCT((Mandate!$D$6:$D$50=M$5)*(Mandate!$F$6:$F$50&lt;=$B16)*(Mandate!$G$6:$G$50&gt;=$B16)*Mandate!$L$6:$L$50)</f>
        <v>0</v>
      </c>
      <c r="N16" s="30">
        <f>SUMPRODUCT((Mandate!$D$6:$D$50=N$5)*(Mandate!$F$6:$F$50&lt;=$B16)*(Mandate!$G$6:$G$50&gt;=$B16)*Mandate!$L$6:$L$50)</f>
        <v>0</v>
      </c>
      <c r="O16" s="30">
        <f>SUMPRODUCT((Mandate!$D$6:$D$50=O$5)*(Mandate!$F$6:$F$50&lt;=$B16)*(Mandate!$G$6:$G$50&gt;=$B16)*Mandate!$L$6:$L$50)</f>
        <v>0</v>
      </c>
      <c r="P16" s="30">
        <f>SUMPRODUCT((Mandate!$D$6:$D$50=P$5)*(Mandate!$F$6:$F$50&lt;=$B16)*(Mandate!$G$6:$G$50&gt;=$B16)*Mandate!$L$6:$L$50)</f>
        <v>0</v>
      </c>
      <c r="Q16" s="30">
        <f>SUMPRODUCT((Mandate!$D$6:$D$50=Q$5)*(Mandate!$F$6:$F$50&lt;=$B16)*(Mandate!$G$6:$G$50&gt;=$B16)*Mandate!$L$6:$L$50)</f>
        <v>0</v>
      </c>
      <c r="R16" s="30">
        <f>SUMPRODUCT((Mandate!$D$6:$D$50=R$5)*(Mandate!$F$6:$F$50&lt;=$B16)*(Mandate!$G$6:$G$50&gt;=$B16)*Mandate!$L$6:$L$50)</f>
        <v>0</v>
      </c>
      <c r="S16" s="30">
        <f>SUMPRODUCT((Mandate!$D$6:$D$50=S$5)*(Mandate!$F$6:$F$50&lt;=$B16)*(Mandate!$G$6:$G$50&gt;=$B16)*Mandate!$L$6:$L$50)</f>
        <v>0</v>
      </c>
      <c r="T16" s="30">
        <f>SUMPRODUCT((Mandate!$D$6:$D$50=T$5)*(Mandate!$F$6:$F$50&lt;=$B16)*(Mandate!$G$6:$G$50&gt;=$B16)*Mandate!$L$6:$L$50)</f>
        <v>0</v>
      </c>
      <c r="U16" s="30">
        <f>SUMPRODUCT((Mandate!$D$6:$D$50=U$5)*(Mandate!$F$6:$F$50&lt;=$B16)*(Mandate!$G$6:$G$50&gt;=$B16)*Mandate!$L$6:$L$50)</f>
        <v>0</v>
      </c>
      <c r="V16" s="30">
        <f>SUMPRODUCT((Mandate!$D$6:$D$50=V$5)*(Mandate!$F$6:$F$50&lt;=$B16)*(Mandate!$G$6:$G$50&gt;=$B16)*Mandate!$L$6:$L$50)</f>
        <v>0</v>
      </c>
      <c r="W16" s="30">
        <f t="shared" si="0"/>
        <v>0</v>
      </c>
      <c r="X16" s="15">
        <f t="shared" si="1"/>
        <v>0</v>
      </c>
      <c r="Y16" s="17" t="str">
        <f t="shared" si="2"/>
        <v>ok</v>
      </c>
    </row>
    <row r="17" spans="2:25" ht="15" customHeight="1">
      <c r="B17" s="29">
        <v>11</v>
      </c>
      <c r="C17" s="30">
        <f>SUMPRODUCT((Mandate!$D$6:$D$50=C$5)*(Mandate!$F$6:$F$50&lt;=$B17)*(Mandate!$G$6:$G$50&gt;=$B17)*Mandate!$L$6:$L$50)</f>
        <v>0</v>
      </c>
      <c r="D17" s="30">
        <f>SUMPRODUCT((Mandate!$D$6:$D$50=D$5)*(Mandate!$F$6:$F$50&lt;=$B17)*(Mandate!$G$6:$G$50&gt;=$B17)*Mandate!$L$6:$L$50)</f>
        <v>0</v>
      </c>
      <c r="E17" s="30">
        <f>SUMPRODUCT((Mandate!$D$6:$D$50=E$5)*(Mandate!$F$6:$F$50&lt;=$B17)*(Mandate!$G$6:$G$50&gt;=$B17)*Mandate!$L$6:$L$50)</f>
        <v>0</v>
      </c>
      <c r="F17" s="30">
        <f>SUMPRODUCT((Mandate!$D$6:$D$50=F$5)*(Mandate!$F$6:$F$50&lt;=$B17)*(Mandate!$G$6:$G$50&gt;=$B17)*Mandate!$L$6:$L$50)</f>
        <v>0</v>
      </c>
      <c r="G17" s="30">
        <f>SUMPRODUCT((Mandate!$D$6:$D$50=G$5)*(Mandate!$F$6:$F$50&lt;=$B17)*(Mandate!$G$6:$G$50&gt;=$B17)*Mandate!$L$6:$L$50)</f>
        <v>0</v>
      </c>
      <c r="H17" s="30">
        <f>SUMPRODUCT((Mandate!$D$6:$D$50=H$5)*(Mandate!$F$6:$F$50&lt;=$B17)*(Mandate!$G$6:$G$50&gt;=$B17)*Mandate!$L$6:$L$50)</f>
        <v>0</v>
      </c>
      <c r="I17" s="30">
        <f>SUMPRODUCT((Mandate!$D$6:$D$50=I$5)*(Mandate!$F$6:$F$50&lt;=$B17)*(Mandate!$G$6:$G$50&gt;=$B17)*Mandate!$L$6:$L$50)</f>
        <v>0</v>
      </c>
      <c r="J17" s="30">
        <f>SUMPRODUCT((Mandate!$D$6:$D$50=J$5)*(Mandate!$F$6:$F$50&lt;=$B17)*(Mandate!$G$6:$G$50&gt;=$B17)*Mandate!$L$6:$L$50)</f>
        <v>0</v>
      </c>
      <c r="K17" s="30">
        <f>SUMPRODUCT((Mandate!$D$6:$D$50=K$5)*(Mandate!$F$6:$F$50&lt;=$B17)*(Mandate!$G$6:$G$50&gt;=$B17)*Mandate!$L$6:$L$50)</f>
        <v>0</v>
      </c>
      <c r="L17" s="30">
        <f>SUMPRODUCT((Mandate!$D$6:$D$50=L$5)*(Mandate!$F$6:$F$50&lt;=$B17)*(Mandate!$G$6:$G$50&gt;=$B17)*Mandate!$L$6:$L$50)</f>
        <v>0</v>
      </c>
      <c r="M17" s="30">
        <f>SUMPRODUCT((Mandate!$D$6:$D$50=M$5)*(Mandate!$F$6:$F$50&lt;=$B17)*(Mandate!$G$6:$G$50&gt;=$B17)*Mandate!$L$6:$L$50)</f>
        <v>0</v>
      </c>
      <c r="N17" s="30">
        <f>SUMPRODUCT((Mandate!$D$6:$D$50=N$5)*(Mandate!$F$6:$F$50&lt;=$B17)*(Mandate!$G$6:$G$50&gt;=$B17)*Mandate!$L$6:$L$50)</f>
        <v>0</v>
      </c>
      <c r="O17" s="30">
        <f>SUMPRODUCT((Mandate!$D$6:$D$50=O$5)*(Mandate!$F$6:$F$50&lt;=$B17)*(Mandate!$G$6:$G$50&gt;=$B17)*Mandate!$L$6:$L$50)</f>
        <v>0</v>
      </c>
      <c r="P17" s="30">
        <f>SUMPRODUCT((Mandate!$D$6:$D$50=P$5)*(Mandate!$F$6:$F$50&lt;=$B17)*(Mandate!$G$6:$G$50&gt;=$B17)*Mandate!$L$6:$L$50)</f>
        <v>0</v>
      </c>
      <c r="Q17" s="30">
        <f>SUMPRODUCT((Mandate!$D$6:$D$50=Q$5)*(Mandate!$F$6:$F$50&lt;=$B17)*(Mandate!$G$6:$G$50&gt;=$B17)*Mandate!$L$6:$L$50)</f>
        <v>0</v>
      </c>
      <c r="R17" s="30">
        <f>SUMPRODUCT((Mandate!$D$6:$D$50=R$5)*(Mandate!$F$6:$F$50&lt;=$B17)*(Mandate!$G$6:$G$50&gt;=$B17)*Mandate!$L$6:$L$50)</f>
        <v>0</v>
      </c>
      <c r="S17" s="30">
        <f>SUMPRODUCT((Mandate!$D$6:$D$50=S$5)*(Mandate!$F$6:$F$50&lt;=$B17)*(Mandate!$G$6:$G$50&gt;=$B17)*Mandate!$L$6:$L$50)</f>
        <v>0</v>
      </c>
      <c r="T17" s="30">
        <f>SUMPRODUCT((Mandate!$D$6:$D$50=T$5)*(Mandate!$F$6:$F$50&lt;=$B17)*(Mandate!$G$6:$G$50&gt;=$B17)*Mandate!$L$6:$L$50)</f>
        <v>0</v>
      </c>
      <c r="U17" s="30">
        <f>SUMPRODUCT((Mandate!$D$6:$D$50=U$5)*(Mandate!$F$6:$F$50&lt;=$B17)*(Mandate!$G$6:$G$50&gt;=$B17)*Mandate!$L$6:$L$50)</f>
        <v>0</v>
      </c>
      <c r="V17" s="30">
        <f>SUMPRODUCT((Mandate!$D$6:$D$50=V$5)*(Mandate!$F$6:$F$50&lt;=$B17)*(Mandate!$G$6:$G$50&gt;=$B17)*Mandate!$L$6:$L$50)</f>
        <v>0</v>
      </c>
      <c r="W17" s="30">
        <f t="shared" si="0"/>
        <v>0</v>
      </c>
      <c r="X17" s="15">
        <f t="shared" si="1"/>
        <v>0</v>
      </c>
      <c r="Y17" s="17" t="str">
        <f t="shared" si="2"/>
        <v>ok</v>
      </c>
    </row>
    <row r="18" spans="2:25" ht="15" customHeight="1">
      <c r="B18" s="29">
        <v>12</v>
      </c>
      <c r="C18" s="30">
        <f>SUMPRODUCT((Mandate!$D$6:$D$50=C$5)*(Mandate!$F$6:$F$50&lt;=$B18)*(Mandate!$G$6:$G$50&gt;=$B18)*Mandate!$L$6:$L$50)</f>
        <v>0</v>
      </c>
      <c r="D18" s="30">
        <f>SUMPRODUCT((Mandate!$D$6:$D$50=D$5)*(Mandate!$F$6:$F$50&lt;=$B18)*(Mandate!$G$6:$G$50&gt;=$B18)*Mandate!$L$6:$L$50)</f>
        <v>0</v>
      </c>
      <c r="E18" s="30">
        <f>SUMPRODUCT((Mandate!$D$6:$D$50=E$5)*(Mandate!$F$6:$F$50&lt;=$B18)*(Mandate!$G$6:$G$50&gt;=$B18)*Mandate!$L$6:$L$50)</f>
        <v>0</v>
      </c>
      <c r="F18" s="30">
        <f>SUMPRODUCT((Mandate!$D$6:$D$50=F$5)*(Mandate!$F$6:$F$50&lt;=$B18)*(Mandate!$G$6:$G$50&gt;=$B18)*Mandate!$L$6:$L$50)</f>
        <v>0</v>
      </c>
      <c r="G18" s="30">
        <f>SUMPRODUCT((Mandate!$D$6:$D$50=G$5)*(Mandate!$F$6:$F$50&lt;=$B18)*(Mandate!$G$6:$G$50&gt;=$B18)*Mandate!$L$6:$L$50)</f>
        <v>0</v>
      </c>
      <c r="H18" s="30">
        <f>SUMPRODUCT((Mandate!$D$6:$D$50=H$5)*(Mandate!$F$6:$F$50&lt;=$B18)*(Mandate!$G$6:$G$50&gt;=$B18)*Mandate!$L$6:$L$50)</f>
        <v>0</v>
      </c>
      <c r="I18" s="30">
        <f>SUMPRODUCT((Mandate!$D$6:$D$50=I$5)*(Mandate!$F$6:$F$50&lt;=$B18)*(Mandate!$G$6:$G$50&gt;=$B18)*Mandate!$L$6:$L$50)</f>
        <v>0</v>
      </c>
      <c r="J18" s="30">
        <f>SUMPRODUCT((Mandate!$D$6:$D$50=J$5)*(Mandate!$F$6:$F$50&lt;=$B18)*(Mandate!$G$6:$G$50&gt;=$B18)*Mandate!$L$6:$L$50)</f>
        <v>0</v>
      </c>
      <c r="K18" s="30">
        <f>SUMPRODUCT((Mandate!$D$6:$D$50=K$5)*(Mandate!$F$6:$F$50&lt;=$B18)*(Mandate!$G$6:$G$50&gt;=$B18)*Mandate!$L$6:$L$50)</f>
        <v>0</v>
      </c>
      <c r="L18" s="30">
        <f>SUMPRODUCT((Mandate!$D$6:$D$50=L$5)*(Mandate!$F$6:$F$50&lt;=$B18)*(Mandate!$G$6:$G$50&gt;=$B18)*Mandate!$L$6:$L$50)</f>
        <v>0</v>
      </c>
      <c r="M18" s="30">
        <f>SUMPRODUCT((Mandate!$D$6:$D$50=M$5)*(Mandate!$F$6:$F$50&lt;=$B18)*(Mandate!$G$6:$G$50&gt;=$B18)*Mandate!$L$6:$L$50)</f>
        <v>0</v>
      </c>
      <c r="N18" s="30">
        <f>SUMPRODUCT((Mandate!$D$6:$D$50=N$5)*(Mandate!$F$6:$F$50&lt;=$B18)*(Mandate!$G$6:$G$50&gt;=$B18)*Mandate!$L$6:$L$50)</f>
        <v>0</v>
      </c>
      <c r="O18" s="30">
        <f>SUMPRODUCT((Mandate!$D$6:$D$50=O$5)*(Mandate!$F$6:$F$50&lt;=$B18)*(Mandate!$G$6:$G$50&gt;=$B18)*Mandate!$L$6:$L$50)</f>
        <v>0</v>
      </c>
      <c r="P18" s="30">
        <f>SUMPRODUCT((Mandate!$D$6:$D$50=P$5)*(Mandate!$F$6:$F$50&lt;=$B18)*(Mandate!$G$6:$G$50&gt;=$B18)*Mandate!$L$6:$L$50)</f>
        <v>0</v>
      </c>
      <c r="Q18" s="30">
        <f>SUMPRODUCT((Mandate!$D$6:$D$50=Q$5)*(Mandate!$F$6:$F$50&lt;=$B18)*(Mandate!$G$6:$G$50&gt;=$B18)*Mandate!$L$6:$L$50)</f>
        <v>0</v>
      </c>
      <c r="R18" s="30">
        <f>SUMPRODUCT((Mandate!$D$6:$D$50=R$5)*(Mandate!$F$6:$F$50&lt;=$B18)*(Mandate!$G$6:$G$50&gt;=$B18)*Mandate!$L$6:$L$50)</f>
        <v>0</v>
      </c>
      <c r="S18" s="30">
        <f>SUMPRODUCT((Mandate!$D$6:$D$50=S$5)*(Mandate!$F$6:$F$50&lt;=$B18)*(Mandate!$G$6:$G$50&gt;=$B18)*Mandate!$L$6:$L$50)</f>
        <v>0</v>
      </c>
      <c r="T18" s="30">
        <f>SUMPRODUCT((Mandate!$D$6:$D$50=T$5)*(Mandate!$F$6:$F$50&lt;=$B18)*(Mandate!$G$6:$G$50&gt;=$B18)*Mandate!$L$6:$L$50)</f>
        <v>0</v>
      </c>
      <c r="U18" s="30">
        <f>SUMPRODUCT((Mandate!$D$6:$D$50=U$5)*(Mandate!$F$6:$F$50&lt;=$B18)*(Mandate!$G$6:$G$50&gt;=$B18)*Mandate!$L$6:$L$50)</f>
        <v>0</v>
      </c>
      <c r="V18" s="30">
        <f>SUMPRODUCT((Mandate!$D$6:$D$50=V$5)*(Mandate!$F$6:$F$50&lt;=$B18)*(Mandate!$G$6:$G$50&gt;=$B18)*Mandate!$L$6:$L$50)</f>
        <v>0</v>
      </c>
      <c r="W18" s="30">
        <f t="shared" si="0"/>
        <v>0</v>
      </c>
      <c r="X18" s="15">
        <f t="shared" si="1"/>
        <v>0</v>
      </c>
      <c r="Y18" s="17" t="str">
        <f t="shared" si="2"/>
        <v>ok</v>
      </c>
    </row>
    <row r="19" spans="2:25" ht="15" customHeight="1">
      <c r="B19" s="29">
        <v>13</v>
      </c>
      <c r="C19" s="30">
        <f>SUMPRODUCT((Mandate!$D$6:$D$50=C$5)*(Mandate!$F$6:$F$50&lt;=$B19)*(Mandate!$G$6:$G$50&gt;=$B19)*Mandate!$L$6:$L$50)</f>
        <v>0</v>
      </c>
      <c r="D19" s="30">
        <f>SUMPRODUCT((Mandate!$D$6:$D$50=D$5)*(Mandate!$F$6:$F$50&lt;=$B19)*(Mandate!$G$6:$G$50&gt;=$B19)*Mandate!$L$6:$L$50)</f>
        <v>0</v>
      </c>
      <c r="E19" s="30">
        <f>SUMPRODUCT((Mandate!$D$6:$D$50=E$5)*(Mandate!$F$6:$F$50&lt;=$B19)*(Mandate!$G$6:$G$50&gt;=$B19)*Mandate!$L$6:$L$50)</f>
        <v>0</v>
      </c>
      <c r="F19" s="30">
        <f>SUMPRODUCT((Mandate!$D$6:$D$50=F$5)*(Mandate!$F$6:$F$50&lt;=$B19)*(Mandate!$G$6:$G$50&gt;=$B19)*Mandate!$L$6:$L$50)</f>
        <v>0</v>
      </c>
      <c r="G19" s="30">
        <f>SUMPRODUCT((Mandate!$D$6:$D$50=G$5)*(Mandate!$F$6:$F$50&lt;=$B19)*(Mandate!$G$6:$G$50&gt;=$B19)*Mandate!$L$6:$L$50)</f>
        <v>0</v>
      </c>
      <c r="H19" s="30">
        <f>SUMPRODUCT((Mandate!$D$6:$D$50=H$5)*(Mandate!$F$6:$F$50&lt;=$B19)*(Mandate!$G$6:$G$50&gt;=$B19)*Mandate!$L$6:$L$50)</f>
        <v>0</v>
      </c>
      <c r="I19" s="30">
        <f>SUMPRODUCT((Mandate!$D$6:$D$50=I$5)*(Mandate!$F$6:$F$50&lt;=$B19)*(Mandate!$G$6:$G$50&gt;=$B19)*Mandate!$L$6:$L$50)</f>
        <v>0</v>
      </c>
      <c r="J19" s="30">
        <f>SUMPRODUCT((Mandate!$D$6:$D$50=J$5)*(Mandate!$F$6:$F$50&lt;=$B19)*(Mandate!$G$6:$G$50&gt;=$B19)*Mandate!$L$6:$L$50)</f>
        <v>0</v>
      </c>
      <c r="K19" s="30">
        <f>SUMPRODUCT((Mandate!$D$6:$D$50=K$5)*(Mandate!$F$6:$F$50&lt;=$B19)*(Mandate!$G$6:$G$50&gt;=$B19)*Mandate!$L$6:$L$50)</f>
        <v>0</v>
      </c>
      <c r="L19" s="30">
        <f>SUMPRODUCT((Mandate!$D$6:$D$50=L$5)*(Mandate!$F$6:$F$50&lt;=$B19)*(Mandate!$G$6:$G$50&gt;=$B19)*Mandate!$L$6:$L$50)</f>
        <v>0</v>
      </c>
      <c r="M19" s="30">
        <f>SUMPRODUCT((Mandate!$D$6:$D$50=M$5)*(Mandate!$F$6:$F$50&lt;=$B19)*(Mandate!$G$6:$G$50&gt;=$B19)*Mandate!$L$6:$L$50)</f>
        <v>0</v>
      </c>
      <c r="N19" s="30">
        <f>SUMPRODUCT((Mandate!$D$6:$D$50=N$5)*(Mandate!$F$6:$F$50&lt;=$B19)*(Mandate!$G$6:$G$50&gt;=$B19)*Mandate!$L$6:$L$50)</f>
        <v>0</v>
      </c>
      <c r="O19" s="30">
        <f>SUMPRODUCT((Mandate!$D$6:$D$50=O$5)*(Mandate!$F$6:$F$50&lt;=$B19)*(Mandate!$G$6:$G$50&gt;=$B19)*Mandate!$L$6:$L$50)</f>
        <v>0</v>
      </c>
      <c r="P19" s="30">
        <f>SUMPRODUCT((Mandate!$D$6:$D$50=P$5)*(Mandate!$F$6:$F$50&lt;=$B19)*(Mandate!$G$6:$G$50&gt;=$B19)*Mandate!$L$6:$L$50)</f>
        <v>0</v>
      </c>
      <c r="Q19" s="30">
        <f>SUMPRODUCT((Mandate!$D$6:$D$50=Q$5)*(Mandate!$F$6:$F$50&lt;=$B19)*(Mandate!$G$6:$G$50&gt;=$B19)*Mandate!$L$6:$L$50)</f>
        <v>0</v>
      </c>
      <c r="R19" s="30">
        <f>SUMPRODUCT((Mandate!$D$6:$D$50=R$5)*(Mandate!$F$6:$F$50&lt;=$B19)*(Mandate!$G$6:$G$50&gt;=$B19)*Mandate!$L$6:$L$50)</f>
        <v>0</v>
      </c>
      <c r="S19" s="30">
        <f>SUMPRODUCT((Mandate!$D$6:$D$50=S$5)*(Mandate!$F$6:$F$50&lt;=$B19)*(Mandate!$G$6:$G$50&gt;=$B19)*Mandate!$L$6:$L$50)</f>
        <v>0</v>
      </c>
      <c r="T19" s="30">
        <f>SUMPRODUCT((Mandate!$D$6:$D$50=T$5)*(Mandate!$F$6:$F$50&lt;=$B19)*(Mandate!$G$6:$G$50&gt;=$B19)*Mandate!$L$6:$L$50)</f>
        <v>0</v>
      </c>
      <c r="U19" s="30">
        <f>SUMPRODUCT((Mandate!$D$6:$D$50=U$5)*(Mandate!$F$6:$F$50&lt;=$B19)*(Mandate!$G$6:$G$50&gt;=$B19)*Mandate!$L$6:$L$50)</f>
        <v>0</v>
      </c>
      <c r="V19" s="30">
        <f>SUMPRODUCT((Mandate!$D$6:$D$50=V$5)*(Mandate!$F$6:$F$50&lt;=$B19)*(Mandate!$G$6:$G$50&gt;=$B19)*Mandate!$L$6:$L$50)</f>
        <v>0</v>
      </c>
      <c r="W19" s="30">
        <f t="shared" si="0"/>
        <v>0</v>
      </c>
      <c r="X19" s="15">
        <f t="shared" si="1"/>
        <v>0</v>
      </c>
      <c r="Y19" s="17" t="str">
        <f t="shared" si="2"/>
        <v>ok</v>
      </c>
    </row>
    <row r="20" spans="2:25" ht="15" customHeight="1">
      <c r="B20" s="29">
        <v>14</v>
      </c>
      <c r="C20" s="30">
        <f>SUMPRODUCT((Mandate!$D$6:$D$50=C$5)*(Mandate!$F$6:$F$50&lt;=$B20)*(Mandate!$G$6:$G$50&gt;=$B20)*Mandate!$L$6:$L$50)</f>
        <v>0</v>
      </c>
      <c r="D20" s="30">
        <f>SUMPRODUCT((Mandate!$D$6:$D$50=D$5)*(Mandate!$F$6:$F$50&lt;=$B20)*(Mandate!$G$6:$G$50&gt;=$B20)*Mandate!$L$6:$L$50)</f>
        <v>0</v>
      </c>
      <c r="E20" s="30">
        <f>SUMPRODUCT((Mandate!$D$6:$D$50=E$5)*(Mandate!$F$6:$F$50&lt;=$B20)*(Mandate!$G$6:$G$50&gt;=$B20)*Mandate!$L$6:$L$50)</f>
        <v>0</v>
      </c>
      <c r="F20" s="30">
        <f>SUMPRODUCT((Mandate!$D$6:$D$50=F$5)*(Mandate!$F$6:$F$50&lt;=$B20)*(Mandate!$G$6:$G$50&gt;=$B20)*Mandate!$L$6:$L$50)</f>
        <v>0</v>
      </c>
      <c r="G20" s="30">
        <f>SUMPRODUCT((Mandate!$D$6:$D$50=G$5)*(Mandate!$F$6:$F$50&lt;=$B20)*(Mandate!$G$6:$G$50&gt;=$B20)*Mandate!$L$6:$L$50)</f>
        <v>0</v>
      </c>
      <c r="H20" s="30">
        <f>SUMPRODUCT((Mandate!$D$6:$D$50=H$5)*(Mandate!$F$6:$F$50&lt;=$B20)*(Mandate!$G$6:$G$50&gt;=$B20)*Mandate!$L$6:$L$50)</f>
        <v>0</v>
      </c>
      <c r="I20" s="30">
        <f>SUMPRODUCT((Mandate!$D$6:$D$50=I$5)*(Mandate!$F$6:$F$50&lt;=$B20)*(Mandate!$G$6:$G$50&gt;=$B20)*Mandate!$L$6:$L$50)</f>
        <v>0</v>
      </c>
      <c r="J20" s="30">
        <f>SUMPRODUCT((Mandate!$D$6:$D$50=J$5)*(Mandate!$F$6:$F$50&lt;=$B20)*(Mandate!$G$6:$G$50&gt;=$B20)*Mandate!$L$6:$L$50)</f>
        <v>0</v>
      </c>
      <c r="K20" s="30">
        <f>SUMPRODUCT((Mandate!$D$6:$D$50=K$5)*(Mandate!$F$6:$F$50&lt;=$B20)*(Mandate!$G$6:$G$50&gt;=$B20)*Mandate!$L$6:$L$50)</f>
        <v>0</v>
      </c>
      <c r="L20" s="30">
        <f>SUMPRODUCT((Mandate!$D$6:$D$50=L$5)*(Mandate!$F$6:$F$50&lt;=$B20)*(Mandate!$G$6:$G$50&gt;=$B20)*Mandate!$L$6:$L$50)</f>
        <v>0</v>
      </c>
      <c r="M20" s="30">
        <f>SUMPRODUCT((Mandate!$D$6:$D$50=M$5)*(Mandate!$F$6:$F$50&lt;=$B20)*(Mandate!$G$6:$G$50&gt;=$B20)*Mandate!$L$6:$L$50)</f>
        <v>0</v>
      </c>
      <c r="N20" s="30">
        <f>SUMPRODUCT((Mandate!$D$6:$D$50=N$5)*(Mandate!$F$6:$F$50&lt;=$B20)*(Mandate!$G$6:$G$50&gt;=$B20)*Mandate!$L$6:$L$50)</f>
        <v>0</v>
      </c>
      <c r="O20" s="30">
        <f>SUMPRODUCT((Mandate!$D$6:$D$50=O$5)*(Mandate!$F$6:$F$50&lt;=$B20)*(Mandate!$G$6:$G$50&gt;=$B20)*Mandate!$L$6:$L$50)</f>
        <v>0</v>
      </c>
      <c r="P20" s="30">
        <f>SUMPRODUCT((Mandate!$D$6:$D$50=P$5)*(Mandate!$F$6:$F$50&lt;=$B20)*(Mandate!$G$6:$G$50&gt;=$B20)*Mandate!$L$6:$L$50)</f>
        <v>0</v>
      </c>
      <c r="Q20" s="30">
        <f>SUMPRODUCT((Mandate!$D$6:$D$50=Q$5)*(Mandate!$F$6:$F$50&lt;=$B20)*(Mandate!$G$6:$G$50&gt;=$B20)*Mandate!$L$6:$L$50)</f>
        <v>0</v>
      </c>
      <c r="R20" s="30">
        <f>SUMPRODUCT((Mandate!$D$6:$D$50=R$5)*(Mandate!$F$6:$F$50&lt;=$B20)*(Mandate!$G$6:$G$50&gt;=$B20)*Mandate!$L$6:$L$50)</f>
        <v>0</v>
      </c>
      <c r="S20" s="30">
        <f>SUMPRODUCT((Mandate!$D$6:$D$50=S$5)*(Mandate!$F$6:$F$50&lt;=$B20)*(Mandate!$G$6:$G$50&gt;=$B20)*Mandate!$L$6:$L$50)</f>
        <v>0</v>
      </c>
      <c r="T20" s="30">
        <f>SUMPRODUCT((Mandate!$D$6:$D$50=T$5)*(Mandate!$F$6:$F$50&lt;=$B20)*(Mandate!$G$6:$G$50&gt;=$B20)*Mandate!$L$6:$L$50)</f>
        <v>0</v>
      </c>
      <c r="U20" s="30">
        <f>SUMPRODUCT((Mandate!$D$6:$D$50=U$5)*(Mandate!$F$6:$F$50&lt;=$B20)*(Mandate!$G$6:$G$50&gt;=$B20)*Mandate!$L$6:$L$50)</f>
        <v>0</v>
      </c>
      <c r="V20" s="30">
        <f>SUMPRODUCT((Mandate!$D$6:$D$50=V$5)*(Mandate!$F$6:$F$50&lt;=$B20)*(Mandate!$G$6:$G$50&gt;=$B20)*Mandate!$L$6:$L$50)</f>
        <v>0</v>
      </c>
      <c r="W20" s="30">
        <f t="shared" si="0"/>
        <v>0</v>
      </c>
      <c r="X20" s="15">
        <f t="shared" si="1"/>
        <v>0</v>
      </c>
      <c r="Y20" s="17" t="str">
        <f t="shared" si="2"/>
        <v>ok</v>
      </c>
    </row>
    <row r="21" spans="2:25" ht="15" customHeight="1">
      <c r="B21" s="29">
        <v>15</v>
      </c>
      <c r="C21" s="30">
        <f>SUMPRODUCT((Mandate!$D$6:$D$50=C$5)*(Mandate!$F$6:$F$50&lt;=$B21)*(Mandate!$G$6:$G$50&gt;=$B21)*Mandate!$L$6:$L$50)</f>
        <v>0</v>
      </c>
      <c r="D21" s="30">
        <f>SUMPRODUCT((Mandate!$D$6:$D$50=D$5)*(Mandate!$F$6:$F$50&lt;=$B21)*(Mandate!$G$6:$G$50&gt;=$B21)*Mandate!$L$6:$L$50)</f>
        <v>0</v>
      </c>
      <c r="E21" s="30">
        <f>SUMPRODUCT((Mandate!$D$6:$D$50=E$5)*(Mandate!$F$6:$F$50&lt;=$B21)*(Mandate!$G$6:$G$50&gt;=$B21)*Mandate!$L$6:$L$50)</f>
        <v>0</v>
      </c>
      <c r="F21" s="30">
        <f>SUMPRODUCT((Mandate!$D$6:$D$50=F$5)*(Mandate!$F$6:$F$50&lt;=$B21)*(Mandate!$G$6:$G$50&gt;=$B21)*Mandate!$L$6:$L$50)</f>
        <v>0</v>
      </c>
      <c r="G21" s="30">
        <f>SUMPRODUCT((Mandate!$D$6:$D$50=G$5)*(Mandate!$F$6:$F$50&lt;=$B21)*(Mandate!$G$6:$G$50&gt;=$B21)*Mandate!$L$6:$L$50)</f>
        <v>0</v>
      </c>
      <c r="H21" s="30">
        <f>SUMPRODUCT((Mandate!$D$6:$D$50=H$5)*(Mandate!$F$6:$F$50&lt;=$B21)*(Mandate!$G$6:$G$50&gt;=$B21)*Mandate!$L$6:$L$50)</f>
        <v>0</v>
      </c>
      <c r="I21" s="30">
        <f>SUMPRODUCT((Mandate!$D$6:$D$50=I$5)*(Mandate!$F$6:$F$50&lt;=$B21)*(Mandate!$G$6:$G$50&gt;=$B21)*Mandate!$L$6:$L$50)</f>
        <v>0</v>
      </c>
      <c r="J21" s="30">
        <f>SUMPRODUCT((Mandate!$D$6:$D$50=J$5)*(Mandate!$F$6:$F$50&lt;=$B21)*(Mandate!$G$6:$G$50&gt;=$B21)*Mandate!$L$6:$L$50)</f>
        <v>0</v>
      </c>
      <c r="K21" s="30">
        <f>SUMPRODUCT((Mandate!$D$6:$D$50=K$5)*(Mandate!$F$6:$F$50&lt;=$B21)*(Mandate!$G$6:$G$50&gt;=$B21)*Mandate!$L$6:$L$50)</f>
        <v>0</v>
      </c>
      <c r="L21" s="30">
        <f>SUMPRODUCT((Mandate!$D$6:$D$50=L$5)*(Mandate!$F$6:$F$50&lt;=$B21)*(Mandate!$G$6:$G$50&gt;=$B21)*Mandate!$L$6:$L$50)</f>
        <v>0</v>
      </c>
      <c r="M21" s="30">
        <f>SUMPRODUCT((Mandate!$D$6:$D$50=M$5)*(Mandate!$F$6:$F$50&lt;=$B21)*(Mandate!$G$6:$G$50&gt;=$B21)*Mandate!$L$6:$L$50)</f>
        <v>0</v>
      </c>
      <c r="N21" s="30">
        <f>SUMPRODUCT((Mandate!$D$6:$D$50=N$5)*(Mandate!$F$6:$F$50&lt;=$B21)*(Mandate!$G$6:$G$50&gt;=$B21)*Mandate!$L$6:$L$50)</f>
        <v>0</v>
      </c>
      <c r="O21" s="30">
        <f>SUMPRODUCT((Mandate!$D$6:$D$50=O$5)*(Mandate!$F$6:$F$50&lt;=$B21)*(Mandate!$G$6:$G$50&gt;=$B21)*Mandate!$L$6:$L$50)</f>
        <v>0</v>
      </c>
      <c r="P21" s="30">
        <f>SUMPRODUCT((Mandate!$D$6:$D$50=P$5)*(Mandate!$F$6:$F$50&lt;=$B21)*(Mandate!$G$6:$G$50&gt;=$B21)*Mandate!$L$6:$L$50)</f>
        <v>0</v>
      </c>
      <c r="Q21" s="30">
        <f>SUMPRODUCT((Mandate!$D$6:$D$50=Q$5)*(Mandate!$F$6:$F$50&lt;=$B21)*(Mandate!$G$6:$G$50&gt;=$B21)*Mandate!$L$6:$L$50)</f>
        <v>0</v>
      </c>
      <c r="R21" s="30">
        <f>SUMPRODUCT((Mandate!$D$6:$D$50=R$5)*(Mandate!$F$6:$F$50&lt;=$B21)*(Mandate!$G$6:$G$50&gt;=$B21)*Mandate!$L$6:$L$50)</f>
        <v>0</v>
      </c>
      <c r="S21" s="30">
        <f>SUMPRODUCT((Mandate!$D$6:$D$50=S$5)*(Mandate!$F$6:$F$50&lt;=$B21)*(Mandate!$G$6:$G$50&gt;=$B21)*Mandate!$L$6:$L$50)</f>
        <v>0</v>
      </c>
      <c r="T21" s="30">
        <f>SUMPRODUCT((Mandate!$D$6:$D$50=T$5)*(Mandate!$F$6:$F$50&lt;=$B21)*(Mandate!$G$6:$G$50&gt;=$B21)*Mandate!$L$6:$L$50)</f>
        <v>0</v>
      </c>
      <c r="U21" s="30">
        <f>SUMPRODUCT((Mandate!$D$6:$D$50=U$5)*(Mandate!$F$6:$F$50&lt;=$B21)*(Mandate!$G$6:$G$50&gt;=$B21)*Mandate!$L$6:$L$50)</f>
        <v>0</v>
      </c>
      <c r="V21" s="30">
        <f>SUMPRODUCT((Mandate!$D$6:$D$50=V$5)*(Mandate!$F$6:$F$50&lt;=$B21)*(Mandate!$G$6:$G$50&gt;=$B21)*Mandate!$L$6:$L$50)</f>
        <v>0</v>
      </c>
      <c r="W21" s="30">
        <f t="shared" si="0"/>
        <v>0</v>
      </c>
      <c r="X21" s="15">
        <f t="shared" si="1"/>
        <v>0</v>
      </c>
      <c r="Y21" s="17" t="str">
        <f t="shared" si="2"/>
        <v>ok</v>
      </c>
    </row>
    <row r="22" spans="2:25" ht="15" customHeight="1">
      <c r="B22" s="29">
        <v>16</v>
      </c>
      <c r="C22" s="30">
        <f>SUMPRODUCT((Mandate!$D$6:$D$50=C$5)*(Mandate!$F$6:$F$50&lt;=$B22)*(Mandate!$G$6:$G$50&gt;=$B22)*Mandate!$L$6:$L$50)</f>
        <v>0</v>
      </c>
      <c r="D22" s="30">
        <f>SUMPRODUCT((Mandate!$D$6:$D$50=D$5)*(Mandate!$F$6:$F$50&lt;=$B22)*(Mandate!$G$6:$G$50&gt;=$B22)*Mandate!$L$6:$L$50)</f>
        <v>0</v>
      </c>
      <c r="E22" s="30">
        <f>SUMPRODUCT((Mandate!$D$6:$D$50=E$5)*(Mandate!$F$6:$F$50&lt;=$B22)*(Mandate!$G$6:$G$50&gt;=$B22)*Mandate!$L$6:$L$50)</f>
        <v>0</v>
      </c>
      <c r="F22" s="30">
        <f>SUMPRODUCT((Mandate!$D$6:$D$50=F$5)*(Mandate!$F$6:$F$50&lt;=$B22)*(Mandate!$G$6:$G$50&gt;=$B22)*Mandate!$L$6:$L$50)</f>
        <v>0</v>
      </c>
      <c r="G22" s="30">
        <f>SUMPRODUCT((Mandate!$D$6:$D$50=G$5)*(Mandate!$F$6:$F$50&lt;=$B22)*(Mandate!$G$6:$G$50&gt;=$B22)*Mandate!$L$6:$L$50)</f>
        <v>0</v>
      </c>
      <c r="H22" s="30">
        <f>SUMPRODUCT((Mandate!$D$6:$D$50=H$5)*(Mandate!$F$6:$F$50&lt;=$B22)*(Mandate!$G$6:$G$50&gt;=$B22)*Mandate!$L$6:$L$50)</f>
        <v>0</v>
      </c>
      <c r="I22" s="30">
        <f>SUMPRODUCT((Mandate!$D$6:$D$50=I$5)*(Mandate!$F$6:$F$50&lt;=$B22)*(Mandate!$G$6:$G$50&gt;=$B22)*Mandate!$L$6:$L$50)</f>
        <v>0</v>
      </c>
      <c r="J22" s="30">
        <f>SUMPRODUCT((Mandate!$D$6:$D$50=J$5)*(Mandate!$F$6:$F$50&lt;=$B22)*(Mandate!$G$6:$G$50&gt;=$B22)*Mandate!$L$6:$L$50)</f>
        <v>0</v>
      </c>
      <c r="K22" s="30">
        <f>SUMPRODUCT((Mandate!$D$6:$D$50=K$5)*(Mandate!$F$6:$F$50&lt;=$B22)*(Mandate!$G$6:$G$50&gt;=$B22)*Mandate!$L$6:$L$50)</f>
        <v>0</v>
      </c>
      <c r="L22" s="30">
        <f>SUMPRODUCT((Mandate!$D$6:$D$50=L$5)*(Mandate!$F$6:$F$50&lt;=$B22)*(Mandate!$G$6:$G$50&gt;=$B22)*Mandate!$L$6:$L$50)</f>
        <v>0</v>
      </c>
      <c r="M22" s="30">
        <f>SUMPRODUCT((Mandate!$D$6:$D$50=M$5)*(Mandate!$F$6:$F$50&lt;=$B22)*(Mandate!$G$6:$G$50&gt;=$B22)*Mandate!$L$6:$L$50)</f>
        <v>0</v>
      </c>
      <c r="N22" s="30">
        <f>SUMPRODUCT((Mandate!$D$6:$D$50=N$5)*(Mandate!$F$6:$F$50&lt;=$B22)*(Mandate!$G$6:$G$50&gt;=$B22)*Mandate!$L$6:$L$50)</f>
        <v>0</v>
      </c>
      <c r="O22" s="30">
        <f>SUMPRODUCT((Mandate!$D$6:$D$50=O$5)*(Mandate!$F$6:$F$50&lt;=$B22)*(Mandate!$G$6:$G$50&gt;=$B22)*Mandate!$L$6:$L$50)</f>
        <v>0</v>
      </c>
      <c r="P22" s="30">
        <f>SUMPRODUCT((Mandate!$D$6:$D$50=P$5)*(Mandate!$F$6:$F$50&lt;=$B22)*(Mandate!$G$6:$G$50&gt;=$B22)*Mandate!$L$6:$L$50)</f>
        <v>0</v>
      </c>
      <c r="Q22" s="30">
        <f>SUMPRODUCT((Mandate!$D$6:$D$50=Q$5)*(Mandate!$F$6:$F$50&lt;=$B22)*(Mandate!$G$6:$G$50&gt;=$B22)*Mandate!$L$6:$L$50)</f>
        <v>0</v>
      </c>
      <c r="R22" s="30">
        <f>SUMPRODUCT((Mandate!$D$6:$D$50=R$5)*(Mandate!$F$6:$F$50&lt;=$B22)*(Mandate!$G$6:$G$50&gt;=$B22)*Mandate!$L$6:$L$50)</f>
        <v>0</v>
      </c>
      <c r="S22" s="30">
        <f>SUMPRODUCT((Mandate!$D$6:$D$50=S$5)*(Mandate!$F$6:$F$50&lt;=$B22)*(Mandate!$G$6:$G$50&gt;=$B22)*Mandate!$L$6:$L$50)</f>
        <v>0</v>
      </c>
      <c r="T22" s="30">
        <f>SUMPRODUCT((Mandate!$D$6:$D$50=T$5)*(Mandate!$F$6:$F$50&lt;=$B22)*(Mandate!$G$6:$G$50&gt;=$B22)*Mandate!$L$6:$L$50)</f>
        <v>0</v>
      </c>
      <c r="U22" s="30">
        <f>SUMPRODUCT((Mandate!$D$6:$D$50=U$5)*(Mandate!$F$6:$F$50&lt;=$B22)*(Mandate!$G$6:$G$50&gt;=$B22)*Mandate!$L$6:$L$50)</f>
        <v>0</v>
      </c>
      <c r="V22" s="30">
        <f>SUMPRODUCT((Mandate!$D$6:$D$50=V$5)*(Mandate!$F$6:$F$50&lt;=$B22)*(Mandate!$G$6:$G$50&gt;=$B22)*Mandate!$L$6:$L$50)</f>
        <v>0</v>
      </c>
      <c r="W22" s="30">
        <f t="shared" si="0"/>
        <v>0</v>
      </c>
      <c r="X22" s="15">
        <f t="shared" si="1"/>
        <v>0</v>
      </c>
      <c r="Y22" s="17" t="str">
        <f t="shared" si="2"/>
        <v>ok</v>
      </c>
    </row>
    <row r="23" spans="2:25" ht="15" customHeight="1">
      <c r="B23" s="29">
        <v>17</v>
      </c>
      <c r="C23" s="30">
        <f>SUMPRODUCT((Mandate!$D$6:$D$50=C$5)*(Mandate!$F$6:$F$50&lt;=$B23)*(Mandate!$G$6:$G$50&gt;=$B23)*Mandate!$L$6:$L$50)</f>
        <v>0</v>
      </c>
      <c r="D23" s="30">
        <f>SUMPRODUCT((Mandate!$D$6:$D$50=D$5)*(Mandate!$F$6:$F$50&lt;=$B23)*(Mandate!$G$6:$G$50&gt;=$B23)*Mandate!$L$6:$L$50)</f>
        <v>0</v>
      </c>
      <c r="E23" s="30">
        <f>SUMPRODUCT((Mandate!$D$6:$D$50=E$5)*(Mandate!$F$6:$F$50&lt;=$B23)*(Mandate!$G$6:$G$50&gt;=$B23)*Mandate!$L$6:$L$50)</f>
        <v>0</v>
      </c>
      <c r="F23" s="30">
        <f>SUMPRODUCT((Mandate!$D$6:$D$50=F$5)*(Mandate!$F$6:$F$50&lt;=$B23)*(Mandate!$G$6:$G$50&gt;=$B23)*Mandate!$L$6:$L$50)</f>
        <v>0</v>
      </c>
      <c r="G23" s="30">
        <f>SUMPRODUCT((Mandate!$D$6:$D$50=G$5)*(Mandate!$F$6:$F$50&lt;=$B23)*(Mandate!$G$6:$G$50&gt;=$B23)*Mandate!$L$6:$L$50)</f>
        <v>0</v>
      </c>
      <c r="H23" s="30">
        <f>SUMPRODUCT((Mandate!$D$6:$D$50=H$5)*(Mandate!$F$6:$F$50&lt;=$B23)*(Mandate!$G$6:$G$50&gt;=$B23)*Mandate!$L$6:$L$50)</f>
        <v>0</v>
      </c>
      <c r="I23" s="30">
        <f>SUMPRODUCT((Mandate!$D$6:$D$50=I$5)*(Mandate!$F$6:$F$50&lt;=$B23)*(Mandate!$G$6:$G$50&gt;=$B23)*Mandate!$L$6:$L$50)</f>
        <v>0</v>
      </c>
      <c r="J23" s="30">
        <f>SUMPRODUCT((Mandate!$D$6:$D$50=J$5)*(Mandate!$F$6:$F$50&lt;=$B23)*(Mandate!$G$6:$G$50&gt;=$B23)*Mandate!$L$6:$L$50)</f>
        <v>0</v>
      </c>
      <c r="K23" s="30">
        <f>SUMPRODUCT((Mandate!$D$6:$D$50=K$5)*(Mandate!$F$6:$F$50&lt;=$B23)*(Mandate!$G$6:$G$50&gt;=$B23)*Mandate!$L$6:$L$50)</f>
        <v>0</v>
      </c>
      <c r="L23" s="30">
        <f>SUMPRODUCT((Mandate!$D$6:$D$50=L$5)*(Mandate!$F$6:$F$50&lt;=$B23)*(Mandate!$G$6:$G$50&gt;=$B23)*Mandate!$L$6:$L$50)</f>
        <v>0</v>
      </c>
      <c r="M23" s="30">
        <f>SUMPRODUCT((Mandate!$D$6:$D$50=M$5)*(Mandate!$F$6:$F$50&lt;=$B23)*(Mandate!$G$6:$G$50&gt;=$B23)*Mandate!$L$6:$L$50)</f>
        <v>0</v>
      </c>
      <c r="N23" s="30">
        <f>SUMPRODUCT((Mandate!$D$6:$D$50=N$5)*(Mandate!$F$6:$F$50&lt;=$B23)*(Mandate!$G$6:$G$50&gt;=$B23)*Mandate!$L$6:$L$50)</f>
        <v>0</v>
      </c>
      <c r="O23" s="30">
        <f>SUMPRODUCT((Mandate!$D$6:$D$50=O$5)*(Mandate!$F$6:$F$50&lt;=$B23)*(Mandate!$G$6:$G$50&gt;=$B23)*Mandate!$L$6:$L$50)</f>
        <v>0</v>
      </c>
      <c r="P23" s="30">
        <f>SUMPRODUCT((Mandate!$D$6:$D$50=P$5)*(Mandate!$F$6:$F$50&lt;=$B23)*(Mandate!$G$6:$G$50&gt;=$B23)*Mandate!$L$6:$L$50)</f>
        <v>0</v>
      </c>
      <c r="Q23" s="30">
        <f>SUMPRODUCT((Mandate!$D$6:$D$50=Q$5)*(Mandate!$F$6:$F$50&lt;=$B23)*(Mandate!$G$6:$G$50&gt;=$B23)*Mandate!$L$6:$L$50)</f>
        <v>0</v>
      </c>
      <c r="R23" s="30">
        <f>SUMPRODUCT((Mandate!$D$6:$D$50=R$5)*(Mandate!$F$6:$F$50&lt;=$B23)*(Mandate!$G$6:$G$50&gt;=$B23)*Mandate!$L$6:$L$50)</f>
        <v>0</v>
      </c>
      <c r="S23" s="30">
        <f>SUMPRODUCT((Mandate!$D$6:$D$50=S$5)*(Mandate!$F$6:$F$50&lt;=$B23)*(Mandate!$G$6:$G$50&gt;=$B23)*Mandate!$L$6:$L$50)</f>
        <v>0</v>
      </c>
      <c r="T23" s="30">
        <f>SUMPRODUCT((Mandate!$D$6:$D$50=T$5)*(Mandate!$F$6:$F$50&lt;=$B23)*(Mandate!$G$6:$G$50&gt;=$B23)*Mandate!$L$6:$L$50)</f>
        <v>0</v>
      </c>
      <c r="U23" s="30">
        <f>SUMPRODUCT((Mandate!$D$6:$D$50=U$5)*(Mandate!$F$6:$F$50&lt;=$B23)*(Mandate!$G$6:$G$50&gt;=$B23)*Mandate!$L$6:$L$50)</f>
        <v>0</v>
      </c>
      <c r="V23" s="30">
        <f>SUMPRODUCT((Mandate!$D$6:$D$50=V$5)*(Mandate!$F$6:$F$50&lt;=$B23)*(Mandate!$G$6:$G$50&gt;=$B23)*Mandate!$L$6:$L$50)</f>
        <v>0</v>
      </c>
      <c r="W23" s="30">
        <f t="shared" si="0"/>
        <v>0</v>
      </c>
      <c r="X23" s="15">
        <f t="shared" si="1"/>
        <v>0</v>
      </c>
      <c r="Y23" s="17" t="str">
        <f t="shared" si="2"/>
        <v>ok</v>
      </c>
    </row>
    <row r="24" spans="2:25" ht="15" customHeight="1">
      <c r="B24" s="29">
        <v>18</v>
      </c>
      <c r="C24" s="30">
        <f>SUMPRODUCT((Mandate!$D$6:$D$50=C$5)*(Mandate!$F$6:$F$50&lt;=$B24)*(Mandate!$G$6:$G$50&gt;=$B24)*Mandate!$L$6:$L$50)</f>
        <v>0</v>
      </c>
      <c r="D24" s="30">
        <f>SUMPRODUCT((Mandate!$D$6:$D$50=D$5)*(Mandate!$F$6:$F$50&lt;=$B24)*(Mandate!$G$6:$G$50&gt;=$B24)*Mandate!$L$6:$L$50)</f>
        <v>0</v>
      </c>
      <c r="E24" s="30">
        <f>SUMPRODUCT((Mandate!$D$6:$D$50=E$5)*(Mandate!$F$6:$F$50&lt;=$B24)*(Mandate!$G$6:$G$50&gt;=$B24)*Mandate!$L$6:$L$50)</f>
        <v>0</v>
      </c>
      <c r="F24" s="30">
        <f>SUMPRODUCT((Mandate!$D$6:$D$50=F$5)*(Mandate!$F$6:$F$50&lt;=$B24)*(Mandate!$G$6:$G$50&gt;=$B24)*Mandate!$L$6:$L$50)</f>
        <v>0</v>
      </c>
      <c r="G24" s="30">
        <f>SUMPRODUCT((Mandate!$D$6:$D$50=G$5)*(Mandate!$F$6:$F$50&lt;=$B24)*(Mandate!$G$6:$G$50&gt;=$B24)*Mandate!$L$6:$L$50)</f>
        <v>0</v>
      </c>
      <c r="H24" s="30">
        <f>SUMPRODUCT((Mandate!$D$6:$D$50=H$5)*(Mandate!$F$6:$F$50&lt;=$B24)*(Mandate!$G$6:$G$50&gt;=$B24)*Mandate!$L$6:$L$50)</f>
        <v>0</v>
      </c>
      <c r="I24" s="30">
        <f>SUMPRODUCT((Mandate!$D$6:$D$50=I$5)*(Mandate!$F$6:$F$50&lt;=$B24)*(Mandate!$G$6:$G$50&gt;=$B24)*Mandate!$L$6:$L$50)</f>
        <v>0</v>
      </c>
      <c r="J24" s="30">
        <f>SUMPRODUCT((Mandate!$D$6:$D$50=J$5)*(Mandate!$F$6:$F$50&lt;=$B24)*(Mandate!$G$6:$G$50&gt;=$B24)*Mandate!$L$6:$L$50)</f>
        <v>0</v>
      </c>
      <c r="K24" s="30">
        <f>SUMPRODUCT((Mandate!$D$6:$D$50=K$5)*(Mandate!$F$6:$F$50&lt;=$B24)*(Mandate!$G$6:$G$50&gt;=$B24)*Mandate!$L$6:$L$50)</f>
        <v>0</v>
      </c>
      <c r="L24" s="30">
        <f>SUMPRODUCT((Mandate!$D$6:$D$50=L$5)*(Mandate!$F$6:$F$50&lt;=$B24)*(Mandate!$G$6:$G$50&gt;=$B24)*Mandate!$L$6:$L$50)</f>
        <v>0</v>
      </c>
      <c r="M24" s="30">
        <f>SUMPRODUCT((Mandate!$D$6:$D$50=M$5)*(Mandate!$F$6:$F$50&lt;=$B24)*(Mandate!$G$6:$G$50&gt;=$B24)*Mandate!$L$6:$L$50)</f>
        <v>0</v>
      </c>
      <c r="N24" s="30">
        <f>SUMPRODUCT((Mandate!$D$6:$D$50=N$5)*(Mandate!$F$6:$F$50&lt;=$B24)*(Mandate!$G$6:$G$50&gt;=$B24)*Mandate!$L$6:$L$50)</f>
        <v>0</v>
      </c>
      <c r="O24" s="30">
        <f>SUMPRODUCT((Mandate!$D$6:$D$50=O$5)*(Mandate!$F$6:$F$50&lt;=$B24)*(Mandate!$G$6:$G$50&gt;=$B24)*Mandate!$L$6:$L$50)</f>
        <v>0</v>
      </c>
      <c r="P24" s="30">
        <f>SUMPRODUCT((Mandate!$D$6:$D$50=P$5)*(Mandate!$F$6:$F$50&lt;=$B24)*(Mandate!$G$6:$G$50&gt;=$B24)*Mandate!$L$6:$L$50)</f>
        <v>0</v>
      </c>
      <c r="Q24" s="30">
        <f>SUMPRODUCT((Mandate!$D$6:$D$50=Q$5)*(Mandate!$F$6:$F$50&lt;=$B24)*(Mandate!$G$6:$G$50&gt;=$B24)*Mandate!$L$6:$L$50)</f>
        <v>0</v>
      </c>
      <c r="R24" s="30">
        <f>SUMPRODUCT((Mandate!$D$6:$D$50=R$5)*(Mandate!$F$6:$F$50&lt;=$B24)*(Mandate!$G$6:$G$50&gt;=$B24)*Mandate!$L$6:$L$50)</f>
        <v>0</v>
      </c>
      <c r="S24" s="30">
        <f>SUMPRODUCT((Mandate!$D$6:$D$50=S$5)*(Mandate!$F$6:$F$50&lt;=$B24)*(Mandate!$G$6:$G$50&gt;=$B24)*Mandate!$L$6:$L$50)</f>
        <v>0</v>
      </c>
      <c r="T24" s="30">
        <f>SUMPRODUCT((Mandate!$D$6:$D$50=T$5)*(Mandate!$F$6:$F$50&lt;=$B24)*(Mandate!$G$6:$G$50&gt;=$B24)*Mandate!$L$6:$L$50)</f>
        <v>0</v>
      </c>
      <c r="U24" s="30">
        <f>SUMPRODUCT((Mandate!$D$6:$D$50=U$5)*(Mandate!$F$6:$F$50&lt;=$B24)*(Mandate!$G$6:$G$50&gt;=$B24)*Mandate!$L$6:$L$50)</f>
        <v>0</v>
      </c>
      <c r="V24" s="30">
        <f>SUMPRODUCT((Mandate!$D$6:$D$50=V$5)*(Mandate!$F$6:$F$50&lt;=$B24)*(Mandate!$G$6:$G$50&gt;=$B24)*Mandate!$L$6:$L$50)</f>
        <v>0</v>
      </c>
      <c r="W24" s="30">
        <f t="shared" si="0"/>
        <v>0</v>
      </c>
      <c r="X24" s="15">
        <f t="shared" si="1"/>
        <v>0</v>
      </c>
      <c r="Y24" s="17" t="str">
        <f t="shared" si="2"/>
        <v>ok</v>
      </c>
    </row>
    <row r="25" spans="2:25" ht="15" customHeight="1">
      <c r="B25" s="29">
        <v>19</v>
      </c>
      <c r="C25" s="30">
        <f>SUMPRODUCT((Mandate!$D$6:$D$50=C$5)*(Mandate!$F$6:$F$50&lt;=$B25)*(Mandate!$G$6:$G$50&gt;=$B25)*Mandate!$L$6:$L$50)</f>
        <v>0</v>
      </c>
      <c r="D25" s="30">
        <f>SUMPRODUCT((Mandate!$D$6:$D$50=D$5)*(Mandate!$F$6:$F$50&lt;=$B25)*(Mandate!$G$6:$G$50&gt;=$B25)*Mandate!$L$6:$L$50)</f>
        <v>0</v>
      </c>
      <c r="E25" s="30">
        <f>SUMPRODUCT((Mandate!$D$6:$D$50=E$5)*(Mandate!$F$6:$F$50&lt;=$B25)*(Mandate!$G$6:$G$50&gt;=$B25)*Mandate!$L$6:$L$50)</f>
        <v>0</v>
      </c>
      <c r="F25" s="30">
        <f>SUMPRODUCT((Mandate!$D$6:$D$50=F$5)*(Mandate!$F$6:$F$50&lt;=$B25)*(Mandate!$G$6:$G$50&gt;=$B25)*Mandate!$L$6:$L$50)</f>
        <v>0</v>
      </c>
      <c r="G25" s="30">
        <f>SUMPRODUCT((Mandate!$D$6:$D$50=G$5)*(Mandate!$F$6:$F$50&lt;=$B25)*(Mandate!$G$6:$G$50&gt;=$B25)*Mandate!$L$6:$L$50)</f>
        <v>0</v>
      </c>
      <c r="H25" s="30">
        <f>SUMPRODUCT((Mandate!$D$6:$D$50=H$5)*(Mandate!$F$6:$F$50&lt;=$B25)*(Mandate!$G$6:$G$50&gt;=$B25)*Mandate!$L$6:$L$50)</f>
        <v>0</v>
      </c>
      <c r="I25" s="30">
        <f>SUMPRODUCT((Mandate!$D$6:$D$50=I$5)*(Mandate!$F$6:$F$50&lt;=$B25)*(Mandate!$G$6:$G$50&gt;=$B25)*Mandate!$L$6:$L$50)</f>
        <v>0</v>
      </c>
      <c r="J25" s="30">
        <f>SUMPRODUCT((Mandate!$D$6:$D$50=J$5)*(Mandate!$F$6:$F$50&lt;=$B25)*(Mandate!$G$6:$G$50&gt;=$B25)*Mandate!$L$6:$L$50)</f>
        <v>0</v>
      </c>
      <c r="K25" s="30">
        <f>SUMPRODUCT((Mandate!$D$6:$D$50=K$5)*(Mandate!$F$6:$F$50&lt;=$B25)*(Mandate!$G$6:$G$50&gt;=$B25)*Mandate!$L$6:$L$50)</f>
        <v>0</v>
      </c>
      <c r="L25" s="30">
        <f>SUMPRODUCT((Mandate!$D$6:$D$50=L$5)*(Mandate!$F$6:$F$50&lt;=$B25)*(Mandate!$G$6:$G$50&gt;=$B25)*Mandate!$L$6:$L$50)</f>
        <v>0</v>
      </c>
      <c r="M25" s="30">
        <f>SUMPRODUCT((Mandate!$D$6:$D$50=M$5)*(Mandate!$F$6:$F$50&lt;=$B25)*(Mandate!$G$6:$G$50&gt;=$B25)*Mandate!$L$6:$L$50)</f>
        <v>0</v>
      </c>
      <c r="N25" s="30">
        <f>SUMPRODUCT((Mandate!$D$6:$D$50=N$5)*(Mandate!$F$6:$F$50&lt;=$B25)*(Mandate!$G$6:$G$50&gt;=$B25)*Mandate!$L$6:$L$50)</f>
        <v>0</v>
      </c>
      <c r="O25" s="30">
        <f>SUMPRODUCT((Mandate!$D$6:$D$50=O$5)*(Mandate!$F$6:$F$50&lt;=$B25)*(Mandate!$G$6:$G$50&gt;=$B25)*Mandate!$L$6:$L$50)</f>
        <v>0</v>
      </c>
      <c r="P25" s="30">
        <f>SUMPRODUCT((Mandate!$D$6:$D$50=P$5)*(Mandate!$F$6:$F$50&lt;=$B25)*(Mandate!$G$6:$G$50&gt;=$B25)*Mandate!$L$6:$L$50)</f>
        <v>0</v>
      </c>
      <c r="Q25" s="30">
        <f>SUMPRODUCT((Mandate!$D$6:$D$50=Q$5)*(Mandate!$F$6:$F$50&lt;=$B25)*(Mandate!$G$6:$G$50&gt;=$B25)*Mandate!$L$6:$L$50)</f>
        <v>0</v>
      </c>
      <c r="R25" s="30">
        <f>SUMPRODUCT((Mandate!$D$6:$D$50=R$5)*(Mandate!$F$6:$F$50&lt;=$B25)*(Mandate!$G$6:$G$50&gt;=$B25)*Mandate!$L$6:$L$50)</f>
        <v>0</v>
      </c>
      <c r="S25" s="30">
        <f>SUMPRODUCT((Mandate!$D$6:$D$50=S$5)*(Mandate!$F$6:$F$50&lt;=$B25)*(Mandate!$G$6:$G$50&gt;=$B25)*Mandate!$L$6:$L$50)</f>
        <v>0</v>
      </c>
      <c r="T25" s="30">
        <f>SUMPRODUCT((Mandate!$D$6:$D$50=T$5)*(Mandate!$F$6:$F$50&lt;=$B25)*(Mandate!$G$6:$G$50&gt;=$B25)*Mandate!$L$6:$L$50)</f>
        <v>0</v>
      </c>
      <c r="U25" s="30">
        <f>SUMPRODUCT((Mandate!$D$6:$D$50=U$5)*(Mandate!$F$6:$F$50&lt;=$B25)*(Mandate!$G$6:$G$50&gt;=$B25)*Mandate!$L$6:$L$50)</f>
        <v>0</v>
      </c>
      <c r="V25" s="30">
        <f>SUMPRODUCT((Mandate!$D$6:$D$50=V$5)*(Mandate!$F$6:$F$50&lt;=$B25)*(Mandate!$G$6:$G$50&gt;=$B25)*Mandate!$L$6:$L$50)</f>
        <v>0</v>
      </c>
      <c r="W25" s="30">
        <f t="shared" si="0"/>
        <v>0</v>
      </c>
      <c r="X25" s="15">
        <f t="shared" si="1"/>
        <v>0</v>
      </c>
      <c r="Y25" s="17" t="str">
        <f t="shared" si="2"/>
        <v>ok</v>
      </c>
    </row>
    <row r="26" spans="2:25" ht="15" customHeight="1">
      <c r="B26" s="29">
        <v>20</v>
      </c>
      <c r="C26" s="30">
        <f>SUMPRODUCT((Mandate!$D$6:$D$50=C$5)*(Mandate!$F$6:$F$50&lt;=$B26)*(Mandate!$G$6:$G$50&gt;=$B26)*Mandate!$L$6:$L$50)</f>
        <v>0</v>
      </c>
      <c r="D26" s="30">
        <f>SUMPRODUCT((Mandate!$D$6:$D$50=D$5)*(Mandate!$F$6:$F$50&lt;=$B26)*(Mandate!$G$6:$G$50&gt;=$B26)*Mandate!$L$6:$L$50)</f>
        <v>0</v>
      </c>
      <c r="E26" s="30">
        <f>SUMPRODUCT((Mandate!$D$6:$D$50=E$5)*(Mandate!$F$6:$F$50&lt;=$B26)*(Mandate!$G$6:$G$50&gt;=$B26)*Mandate!$L$6:$L$50)</f>
        <v>0</v>
      </c>
      <c r="F26" s="30">
        <f>SUMPRODUCT((Mandate!$D$6:$D$50=F$5)*(Mandate!$F$6:$F$50&lt;=$B26)*(Mandate!$G$6:$G$50&gt;=$B26)*Mandate!$L$6:$L$50)</f>
        <v>0</v>
      </c>
      <c r="G26" s="30">
        <f>SUMPRODUCT((Mandate!$D$6:$D$50=G$5)*(Mandate!$F$6:$F$50&lt;=$B26)*(Mandate!$G$6:$G$50&gt;=$B26)*Mandate!$L$6:$L$50)</f>
        <v>0</v>
      </c>
      <c r="H26" s="30">
        <f>SUMPRODUCT((Mandate!$D$6:$D$50=H$5)*(Mandate!$F$6:$F$50&lt;=$B26)*(Mandate!$G$6:$G$50&gt;=$B26)*Mandate!$L$6:$L$50)</f>
        <v>0</v>
      </c>
      <c r="I26" s="30">
        <f>SUMPRODUCT((Mandate!$D$6:$D$50=I$5)*(Mandate!$F$6:$F$50&lt;=$B26)*(Mandate!$G$6:$G$50&gt;=$B26)*Mandate!$L$6:$L$50)</f>
        <v>0</v>
      </c>
      <c r="J26" s="30">
        <f>SUMPRODUCT((Mandate!$D$6:$D$50=J$5)*(Mandate!$F$6:$F$50&lt;=$B26)*(Mandate!$G$6:$G$50&gt;=$B26)*Mandate!$L$6:$L$50)</f>
        <v>0</v>
      </c>
      <c r="K26" s="30">
        <f>SUMPRODUCT((Mandate!$D$6:$D$50=K$5)*(Mandate!$F$6:$F$50&lt;=$B26)*(Mandate!$G$6:$G$50&gt;=$B26)*Mandate!$L$6:$L$50)</f>
        <v>0</v>
      </c>
      <c r="L26" s="30">
        <f>SUMPRODUCT((Mandate!$D$6:$D$50=L$5)*(Mandate!$F$6:$F$50&lt;=$B26)*(Mandate!$G$6:$G$50&gt;=$B26)*Mandate!$L$6:$L$50)</f>
        <v>0</v>
      </c>
      <c r="M26" s="30">
        <f>SUMPRODUCT((Mandate!$D$6:$D$50=M$5)*(Mandate!$F$6:$F$50&lt;=$B26)*(Mandate!$G$6:$G$50&gt;=$B26)*Mandate!$L$6:$L$50)</f>
        <v>0</v>
      </c>
      <c r="N26" s="30">
        <f>SUMPRODUCT((Mandate!$D$6:$D$50=N$5)*(Mandate!$F$6:$F$50&lt;=$B26)*(Mandate!$G$6:$G$50&gt;=$B26)*Mandate!$L$6:$L$50)</f>
        <v>0</v>
      </c>
      <c r="O26" s="30">
        <f>SUMPRODUCT((Mandate!$D$6:$D$50=O$5)*(Mandate!$F$6:$F$50&lt;=$B26)*(Mandate!$G$6:$G$50&gt;=$B26)*Mandate!$L$6:$L$50)</f>
        <v>0</v>
      </c>
      <c r="P26" s="30">
        <f>SUMPRODUCT((Mandate!$D$6:$D$50=P$5)*(Mandate!$F$6:$F$50&lt;=$B26)*(Mandate!$G$6:$G$50&gt;=$B26)*Mandate!$L$6:$L$50)</f>
        <v>0</v>
      </c>
      <c r="Q26" s="30">
        <f>SUMPRODUCT((Mandate!$D$6:$D$50=Q$5)*(Mandate!$F$6:$F$50&lt;=$B26)*(Mandate!$G$6:$G$50&gt;=$B26)*Mandate!$L$6:$L$50)</f>
        <v>0</v>
      </c>
      <c r="R26" s="30">
        <f>SUMPRODUCT((Mandate!$D$6:$D$50=R$5)*(Mandate!$F$6:$F$50&lt;=$B26)*(Mandate!$G$6:$G$50&gt;=$B26)*Mandate!$L$6:$L$50)</f>
        <v>0</v>
      </c>
      <c r="S26" s="30">
        <f>SUMPRODUCT((Mandate!$D$6:$D$50=S$5)*(Mandate!$F$6:$F$50&lt;=$B26)*(Mandate!$G$6:$G$50&gt;=$B26)*Mandate!$L$6:$L$50)</f>
        <v>0</v>
      </c>
      <c r="T26" s="30">
        <f>SUMPRODUCT((Mandate!$D$6:$D$50=T$5)*(Mandate!$F$6:$F$50&lt;=$B26)*(Mandate!$G$6:$G$50&gt;=$B26)*Mandate!$L$6:$L$50)</f>
        <v>0</v>
      </c>
      <c r="U26" s="30">
        <f>SUMPRODUCT((Mandate!$D$6:$D$50=U$5)*(Mandate!$F$6:$F$50&lt;=$B26)*(Mandate!$G$6:$G$50&gt;=$B26)*Mandate!$L$6:$L$50)</f>
        <v>0</v>
      </c>
      <c r="V26" s="30">
        <f>SUMPRODUCT((Mandate!$D$6:$D$50=V$5)*(Mandate!$F$6:$F$50&lt;=$B26)*(Mandate!$G$6:$G$50&gt;=$B26)*Mandate!$L$6:$L$50)</f>
        <v>0</v>
      </c>
      <c r="W26" s="30">
        <f t="shared" si="0"/>
        <v>0</v>
      </c>
      <c r="X26" s="15">
        <f t="shared" si="1"/>
        <v>0</v>
      </c>
      <c r="Y26" s="17" t="str">
        <f t="shared" si="2"/>
        <v>ok</v>
      </c>
    </row>
    <row r="27" spans="2:25" ht="15" customHeight="1">
      <c r="B27" s="29">
        <v>21</v>
      </c>
      <c r="C27" s="30">
        <f>SUMPRODUCT((Mandate!$D$6:$D$50=C$5)*(Mandate!$F$6:$F$50&lt;=$B27)*(Mandate!$G$6:$G$50&gt;=$B27)*Mandate!$L$6:$L$50)</f>
        <v>0</v>
      </c>
      <c r="D27" s="30">
        <f>SUMPRODUCT((Mandate!$D$6:$D$50=D$5)*(Mandate!$F$6:$F$50&lt;=$B27)*(Mandate!$G$6:$G$50&gt;=$B27)*Mandate!$L$6:$L$50)</f>
        <v>0</v>
      </c>
      <c r="E27" s="30">
        <f>SUMPRODUCT((Mandate!$D$6:$D$50=E$5)*(Mandate!$F$6:$F$50&lt;=$B27)*(Mandate!$G$6:$G$50&gt;=$B27)*Mandate!$L$6:$L$50)</f>
        <v>0</v>
      </c>
      <c r="F27" s="30">
        <f>SUMPRODUCT((Mandate!$D$6:$D$50=F$5)*(Mandate!$F$6:$F$50&lt;=$B27)*(Mandate!$G$6:$G$50&gt;=$B27)*Mandate!$L$6:$L$50)</f>
        <v>0</v>
      </c>
      <c r="G27" s="30">
        <f>SUMPRODUCT((Mandate!$D$6:$D$50=G$5)*(Mandate!$F$6:$F$50&lt;=$B27)*(Mandate!$G$6:$G$50&gt;=$B27)*Mandate!$L$6:$L$50)</f>
        <v>0</v>
      </c>
      <c r="H27" s="30">
        <f>SUMPRODUCT((Mandate!$D$6:$D$50=H$5)*(Mandate!$F$6:$F$50&lt;=$B27)*(Mandate!$G$6:$G$50&gt;=$B27)*Mandate!$L$6:$L$50)</f>
        <v>0</v>
      </c>
      <c r="I27" s="30">
        <f>SUMPRODUCT((Mandate!$D$6:$D$50=I$5)*(Mandate!$F$6:$F$50&lt;=$B27)*(Mandate!$G$6:$G$50&gt;=$B27)*Mandate!$L$6:$L$50)</f>
        <v>0</v>
      </c>
      <c r="J27" s="30">
        <f>SUMPRODUCT((Mandate!$D$6:$D$50=J$5)*(Mandate!$F$6:$F$50&lt;=$B27)*(Mandate!$G$6:$G$50&gt;=$B27)*Mandate!$L$6:$L$50)</f>
        <v>0</v>
      </c>
      <c r="K27" s="30">
        <f>SUMPRODUCT((Mandate!$D$6:$D$50=K$5)*(Mandate!$F$6:$F$50&lt;=$B27)*(Mandate!$G$6:$G$50&gt;=$B27)*Mandate!$L$6:$L$50)</f>
        <v>0</v>
      </c>
      <c r="L27" s="30">
        <f>SUMPRODUCT((Mandate!$D$6:$D$50=L$5)*(Mandate!$F$6:$F$50&lt;=$B27)*(Mandate!$G$6:$G$50&gt;=$B27)*Mandate!$L$6:$L$50)</f>
        <v>0</v>
      </c>
      <c r="M27" s="30">
        <f>SUMPRODUCT((Mandate!$D$6:$D$50=M$5)*(Mandate!$F$6:$F$50&lt;=$B27)*(Mandate!$G$6:$G$50&gt;=$B27)*Mandate!$L$6:$L$50)</f>
        <v>0</v>
      </c>
      <c r="N27" s="30">
        <f>SUMPRODUCT((Mandate!$D$6:$D$50=N$5)*(Mandate!$F$6:$F$50&lt;=$B27)*(Mandate!$G$6:$G$50&gt;=$B27)*Mandate!$L$6:$L$50)</f>
        <v>0</v>
      </c>
      <c r="O27" s="30">
        <f>SUMPRODUCT((Mandate!$D$6:$D$50=O$5)*(Mandate!$F$6:$F$50&lt;=$B27)*(Mandate!$G$6:$G$50&gt;=$B27)*Mandate!$L$6:$L$50)</f>
        <v>0</v>
      </c>
      <c r="P27" s="30">
        <f>SUMPRODUCT((Mandate!$D$6:$D$50=P$5)*(Mandate!$F$6:$F$50&lt;=$B27)*(Mandate!$G$6:$G$50&gt;=$B27)*Mandate!$L$6:$L$50)</f>
        <v>0</v>
      </c>
      <c r="Q27" s="30">
        <f>SUMPRODUCT((Mandate!$D$6:$D$50=Q$5)*(Mandate!$F$6:$F$50&lt;=$B27)*(Mandate!$G$6:$G$50&gt;=$B27)*Mandate!$L$6:$L$50)</f>
        <v>0</v>
      </c>
      <c r="R27" s="30">
        <f>SUMPRODUCT((Mandate!$D$6:$D$50=R$5)*(Mandate!$F$6:$F$50&lt;=$B27)*(Mandate!$G$6:$G$50&gt;=$B27)*Mandate!$L$6:$L$50)</f>
        <v>0</v>
      </c>
      <c r="S27" s="30">
        <f>SUMPRODUCT((Mandate!$D$6:$D$50=S$5)*(Mandate!$F$6:$F$50&lt;=$B27)*(Mandate!$G$6:$G$50&gt;=$B27)*Mandate!$L$6:$L$50)</f>
        <v>0</v>
      </c>
      <c r="T27" s="30">
        <f>SUMPRODUCT((Mandate!$D$6:$D$50=T$5)*(Mandate!$F$6:$F$50&lt;=$B27)*(Mandate!$G$6:$G$50&gt;=$B27)*Mandate!$L$6:$L$50)</f>
        <v>0</v>
      </c>
      <c r="U27" s="30">
        <f>SUMPRODUCT((Mandate!$D$6:$D$50=U$5)*(Mandate!$F$6:$F$50&lt;=$B27)*(Mandate!$G$6:$G$50&gt;=$B27)*Mandate!$L$6:$L$50)</f>
        <v>0</v>
      </c>
      <c r="V27" s="30">
        <f>SUMPRODUCT((Mandate!$D$6:$D$50=V$5)*(Mandate!$F$6:$F$50&lt;=$B27)*(Mandate!$G$6:$G$50&gt;=$B27)*Mandate!$L$6:$L$50)</f>
        <v>0</v>
      </c>
      <c r="W27" s="30">
        <f t="shared" si="0"/>
        <v>0</v>
      </c>
      <c r="X27" s="15">
        <f t="shared" si="1"/>
        <v>0</v>
      </c>
      <c r="Y27" s="17" t="str">
        <f t="shared" si="2"/>
        <v>ok</v>
      </c>
    </row>
    <row r="28" spans="2:25" ht="15" customHeight="1">
      <c r="B28" s="29">
        <v>22</v>
      </c>
      <c r="C28" s="30">
        <f>SUMPRODUCT((Mandate!$D$6:$D$50=C$5)*(Mandate!$F$6:$F$50&lt;=$B28)*(Mandate!$G$6:$G$50&gt;=$B28)*Mandate!$L$6:$L$50)</f>
        <v>0</v>
      </c>
      <c r="D28" s="30">
        <f>SUMPRODUCT((Mandate!$D$6:$D$50=D$5)*(Mandate!$F$6:$F$50&lt;=$B28)*(Mandate!$G$6:$G$50&gt;=$B28)*Mandate!$L$6:$L$50)</f>
        <v>0</v>
      </c>
      <c r="E28" s="30">
        <f>SUMPRODUCT((Mandate!$D$6:$D$50=E$5)*(Mandate!$F$6:$F$50&lt;=$B28)*(Mandate!$G$6:$G$50&gt;=$B28)*Mandate!$L$6:$L$50)</f>
        <v>0</v>
      </c>
      <c r="F28" s="30">
        <f>SUMPRODUCT((Mandate!$D$6:$D$50=F$5)*(Mandate!$F$6:$F$50&lt;=$B28)*(Mandate!$G$6:$G$50&gt;=$B28)*Mandate!$L$6:$L$50)</f>
        <v>0</v>
      </c>
      <c r="G28" s="30">
        <f>SUMPRODUCT((Mandate!$D$6:$D$50=G$5)*(Mandate!$F$6:$F$50&lt;=$B28)*(Mandate!$G$6:$G$50&gt;=$B28)*Mandate!$L$6:$L$50)</f>
        <v>0</v>
      </c>
      <c r="H28" s="30">
        <f>SUMPRODUCT((Mandate!$D$6:$D$50=H$5)*(Mandate!$F$6:$F$50&lt;=$B28)*(Mandate!$G$6:$G$50&gt;=$B28)*Mandate!$L$6:$L$50)</f>
        <v>0</v>
      </c>
      <c r="I28" s="30">
        <f>SUMPRODUCT((Mandate!$D$6:$D$50=I$5)*(Mandate!$F$6:$F$50&lt;=$B28)*(Mandate!$G$6:$G$50&gt;=$B28)*Mandate!$L$6:$L$50)</f>
        <v>0</v>
      </c>
      <c r="J28" s="30">
        <f>SUMPRODUCT((Mandate!$D$6:$D$50=J$5)*(Mandate!$F$6:$F$50&lt;=$B28)*(Mandate!$G$6:$G$50&gt;=$B28)*Mandate!$L$6:$L$50)</f>
        <v>0</v>
      </c>
      <c r="K28" s="30">
        <f>SUMPRODUCT((Mandate!$D$6:$D$50=K$5)*(Mandate!$F$6:$F$50&lt;=$B28)*(Mandate!$G$6:$G$50&gt;=$B28)*Mandate!$L$6:$L$50)</f>
        <v>0</v>
      </c>
      <c r="L28" s="30">
        <f>SUMPRODUCT((Mandate!$D$6:$D$50=L$5)*(Mandate!$F$6:$F$50&lt;=$B28)*(Mandate!$G$6:$G$50&gt;=$B28)*Mandate!$L$6:$L$50)</f>
        <v>0</v>
      </c>
      <c r="M28" s="30">
        <f>SUMPRODUCT((Mandate!$D$6:$D$50=M$5)*(Mandate!$F$6:$F$50&lt;=$B28)*(Mandate!$G$6:$G$50&gt;=$B28)*Mandate!$L$6:$L$50)</f>
        <v>0</v>
      </c>
      <c r="N28" s="30">
        <f>SUMPRODUCT((Mandate!$D$6:$D$50=N$5)*(Mandate!$F$6:$F$50&lt;=$B28)*(Mandate!$G$6:$G$50&gt;=$B28)*Mandate!$L$6:$L$50)</f>
        <v>0</v>
      </c>
      <c r="O28" s="30">
        <f>SUMPRODUCT((Mandate!$D$6:$D$50=O$5)*(Mandate!$F$6:$F$50&lt;=$B28)*(Mandate!$G$6:$G$50&gt;=$B28)*Mandate!$L$6:$L$50)</f>
        <v>0</v>
      </c>
      <c r="P28" s="30">
        <f>SUMPRODUCT((Mandate!$D$6:$D$50=P$5)*(Mandate!$F$6:$F$50&lt;=$B28)*(Mandate!$G$6:$G$50&gt;=$B28)*Mandate!$L$6:$L$50)</f>
        <v>0</v>
      </c>
      <c r="Q28" s="30">
        <f>SUMPRODUCT((Mandate!$D$6:$D$50=Q$5)*(Mandate!$F$6:$F$50&lt;=$B28)*(Mandate!$G$6:$G$50&gt;=$B28)*Mandate!$L$6:$L$50)</f>
        <v>0</v>
      </c>
      <c r="R28" s="30">
        <f>SUMPRODUCT((Mandate!$D$6:$D$50=R$5)*(Mandate!$F$6:$F$50&lt;=$B28)*(Mandate!$G$6:$G$50&gt;=$B28)*Mandate!$L$6:$L$50)</f>
        <v>0</v>
      </c>
      <c r="S28" s="30">
        <f>SUMPRODUCT((Mandate!$D$6:$D$50=S$5)*(Mandate!$F$6:$F$50&lt;=$B28)*(Mandate!$G$6:$G$50&gt;=$B28)*Mandate!$L$6:$L$50)</f>
        <v>0</v>
      </c>
      <c r="T28" s="30">
        <f>SUMPRODUCT((Mandate!$D$6:$D$50=T$5)*(Mandate!$F$6:$F$50&lt;=$B28)*(Mandate!$G$6:$G$50&gt;=$B28)*Mandate!$L$6:$L$50)</f>
        <v>0</v>
      </c>
      <c r="U28" s="30">
        <f>SUMPRODUCT((Mandate!$D$6:$D$50=U$5)*(Mandate!$F$6:$F$50&lt;=$B28)*(Mandate!$G$6:$G$50&gt;=$B28)*Mandate!$L$6:$L$50)</f>
        <v>0</v>
      </c>
      <c r="V28" s="30">
        <f>SUMPRODUCT((Mandate!$D$6:$D$50=V$5)*(Mandate!$F$6:$F$50&lt;=$B28)*(Mandate!$G$6:$G$50&gt;=$B28)*Mandate!$L$6:$L$50)</f>
        <v>0</v>
      </c>
      <c r="W28" s="30">
        <f t="shared" si="0"/>
        <v>0</v>
      </c>
      <c r="X28" s="15">
        <f t="shared" si="1"/>
        <v>0</v>
      </c>
      <c r="Y28" s="17" t="str">
        <f t="shared" si="2"/>
        <v>ok</v>
      </c>
    </row>
    <row r="29" spans="2:25" ht="15" customHeight="1">
      <c r="B29" s="29">
        <v>23</v>
      </c>
      <c r="C29" s="30">
        <f>SUMPRODUCT((Mandate!$D$6:$D$50=C$5)*(Mandate!$F$6:$F$50&lt;=$B29)*(Mandate!$G$6:$G$50&gt;=$B29)*Mandate!$L$6:$L$50)</f>
        <v>0</v>
      </c>
      <c r="D29" s="30">
        <f>SUMPRODUCT((Mandate!$D$6:$D$50=D$5)*(Mandate!$F$6:$F$50&lt;=$B29)*(Mandate!$G$6:$G$50&gt;=$B29)*Mandate!$L$6:$L$50)</f>
        <v>0</v>
      </c>
      <c r="E29" s="30">
        <f>SUMPRODUCT((Mandate!$D$6:$D$50=E$5)*(Mandate!$F$6:$F$50&lt;=$B29)*(Mandate!$G$6:$G$50&gt;=$B29)*Mandate!$L$6:$L$50)</f>
        <v>0</v>
      </c>
      <c r="F29" s="30">
        <f>SUMPRODUCT((Mandate!$D$6:$D$50=F$5)*(Mandate!$F$6:$F$50&lt;=$B29)*(Mandate!$G$6:$G$50&gt;=$B29)*Mandate!$L$6:$L$50)</f>
        <v>0</v>
      </c>
      <c r="G29" s="30">
        <f>SUMPRODUCT((Mandate!$D$6:$D$50=G$5)*(Mandate!$F$6:$F$50&lt;=$B29)*(Mandate!$G$6:$G$50&gt;=$B29)*Mandate!$L$6:$L$50)</f>
        <v>0</v>
      </c>
      <c r="H29" s="30">
        <f>SUMPRODUCT((Mandate!$D$6:$D$50=H$5)*(Mandate!$F$6:$F$50&lt;=$B29)*(Mandate!$G$6:$G$50&gt;=$B29)*Mandate!$L$6:$L$50)</f>
        <v>0</v>
      </c>
      <c r="I29" s="30">
        <f>SUMPRODUCT((Mandate!$D$6:$D$50=I$5)*(Mandate!$F$6:$F$50&lt;=$B29)*(Mandate!$G$6:$G$50&gt;=$B29)*Mandate!$L$6:$L$50)</f>
        <v>0</v>
      </c>
      <c r="J29" s="30">
        <f>SUMPRODUCT((Mandate!$D$6:$D$50=J$5)*(Mandate!$F$6:$F$50&lt;=$B29)*(Mandate!$G$6:$G$50&gt;=$B29)*Mandate!$L$6:$L$50)</f>
        <v>0</v>
      </c>
      <c r="K29" s="30">
        <f>SUMPRODUCT((Mandate!$D$6:$D$50=K$5)*(Mandate!$F$6:$F$50&lt;=$B29)*(Mandate!$G$6:$G$50&gt;=$B29)*Mandate!$L$6:$L$50)</f>
        <v>0</v>
      </c>
      <c r="L29" s="30">
        <f>SUMPRODUCT((Mandate!$D$6:$D$50=L$5)*(Mandate!$F$6:$F$50&lt;=$B29)*(Mandate!$G$6:$G$50&gt;=$B29)*Mandate!$L$6:$L$50)</f>
        <v>0</v>
      </c>
      <c r="M29" s="30">
        <f>SUMPRODUCT((Mandate!$D$6:$D$50=M$5)*(Mandate!$F$6:$F$50&lt;=$B29)*(Mandate!$G$6:$G$50&gt;=$B29)*Mandate!$L$6:$L$50)</f>
        <v>0</v>
      </c>
      <c r="N29" s="30">
        <f>SUMPRODUCT((Mandate!$D$6:$D$50=N$5)*(Mandate!$F$6:$F$50&lt;=$B29)*(Mandate!$G$6:$G$50&gt;=$B29)*Mandate!$L$6:$L$50)</f>
        <v>0</v>
      </c>
      <c r="O29" s="30">
        <f>SUMPRODUCT((Mandate!$D$6:$D$50=O$5)*(Mandate!$F$6:$F$50&lt;=$B29)*(Mandate!$G$6:$G$50&gt;=$B29)*Mandate!$L$6:$L$50)</f>
        <v>0</v>
      </c>
      <c r="P29" s="30">
        <f>SUMPRODUCT((Mandate!$D$6:$D$50=P$5)*(Mandate!$F$6:$F$50&lt;=$B29)*(Mandate!$G$6:$G$50&gt;=$B29)*Mandate!$L$6:$L$50)</f>
        <v>0</v>
      </c>
      <c r="Q29" s="30">
        <f>SUMPRODUCT((Mandate!$D$6:$D$50=Q$5)*(Mandate!$F$6:$F$50&lt;=$B29)*(Mandate!$G$6:$G$50&gt;=$B29)*Mandate!$L$6:$L$50)</f>
        <v>0</v>
      </c>
      <c r="R29" s="30">
        <f>SUMPRODUCT((Mandate!$D$6:$D$50=R$5)*(Mandate!$F$6:$F$50&lt;=$B29)*(Mandate!$G$6:$G$50&gt;=$B29)*Mandate!$L$6:$L$50)</f>
        <v>0</v>
      </c>
      <c r="S29" s="30">
        <f>SUMPRODUCT((Mandate!$D$6:$D$50=S$5)*(Mandate!$F$6:$F$50&lt;=$B29)*(Mandate!$G$6:$G$50&gt;=$B29)*Mandate!$L$6:$L$50)</f>
        <v>0</v>
      </c>
      <c r="T29" s="30">
        <f>SUMPRODUCT((Mandate!$D$6:$D$50=T$5)*(Mandate!$F$6:$F$50&lt;=$B29)*(Mandate!$G$6:$G$50&gt;=$B29)*Mandate!$L$6:$L$50)</f>
        <v>0</v>
      </c>
      <c r="U29" s="30">
        <f>SUMPRODUCT((Mandate!$D$6:$D$50=U$5)*(Mandate!$F$6:$F$50&lt;=$B29)*(Mandate!$G$6:$G$50&gt;=$B29)*Mandate!$L$6:$L$50)</f>
        <v>0</v>
      </c>
      <c r="V29" s="30">
        <f>SUMPRODUCT((Mandate!$D$6:$D$50=V$5)*(Mandate!$F$6:$F$50&lt;=$B29)*(Mandate!$G$6:$G$50&gt;=$B29)*Mandate!$L$6:$L$50)</f>
        <v>0</v>
      </c>
      <c r="W29" s="30">
        <f t="shared" si="0"/>
        <v>0</v>
      </c>
      <c r="X29" s="15">
        <f t="shared" si="1"/>
        <v>0</v>
      </c>
      <c r="Y29" s="17" t="str">
        <f t="shared" si="2"/>
        <v>ok</v>
      </c>
    </row>
    <row r="30" spans="2:25" ht="15" customHeight="1">
      <c r="B30" s="29">
        <v>24</v>
      </c>
      <c r="C30" s="30">
        <f>SUMPRODUCT((Mandate!$D$6:$D$50=C$5)*(Mandate!$F$6:$F$50&lt;=$B30)*(Mandate!$G$6:$G$50&gt;=$B30)*Mandate!$L$6:$L$50)</f>
        <v>0</v>
      </c>
      <c r="D30" s="30">
        <f>SUMPRODUCT((Mandate!$D$6:$D$50=D$5)*(Mandate!$F$6:$F$50&lt;=$B30)*(Mandate!$G$6:$G$50&gt;=$B30)*Mandate!$L$6:$L$50)</f>
        <v>0</v>
      </c>
      <c r="E30" s="30">
        <f>SUMPRODUCT((Mandate!$D$6:$D$50=E$5)*(Mandate!$F$6:$F$50&lt;=$B30)*(Mandate!$G$6:$G$50&gt;=$B30)*Mandate!$L$6:$L$50)</f>
        <v>0</v>
      </c>
      <c r="F30" s="30">
        <f>SUMPRODUCT((Mandate!$D$6:$D$50=F$5)*(Mandate!$F$6:$F$50&lt;=$B30)*(Mandate!$G$6:$G$50&gt;=$B30)*Mandate!$L$6:$L$50)</f>
        <v>0</v>
      </c>
      <c r="G30" s="30">
        <f>SUMPRODUCT((Mandate!$D$6:$D$50=G$5)*(Mandate!$F$6:$F$50&lt;=$B30)*(Mandate!$G$6:$G$50&gt;=$B30)*Mandate!$L$6:$L$50)</f>
        <v>0</v>
      </c>
      <c r="H30" s="30">
        <f>SUMPRODUCT((Mandate!$D$6:$D$50=H$5)*(Mandate!$F$6:$F$50&lt;=$B30)*(Mandate!$G$6:$G$50&gt;=$B30)*Mandate!$L$6:$L$50)</f>
        <v>0</v>
      </c>
      <c r="I30" s="30">
        <f>SUMPRODUCT((Mandate!$D$6:$D$50=I$5)*(Mandate!$F$6:$F$50&lt;=$B30)*(Mandate!$G$6:$G$50&gt;=$B30)*Mandate!$L$6:$L$50)</f>
        <v>0</v>
      </c>
      <c r="J30" s="30">
        <f>SUMPRODUCT((Mandate!$D$6:$D$50=J$5)*(Mandate!$F$6:$F$50&lt;=$B30)*(Mandate!$G$6:$G$50&gt;=$B30)*Mandate!$L$6:$L$50)</f>
        <v>0</v>
      </c>
      <c r="K30" s="30">
        <f>SUMPRODUCT((Mandate!$D$6:$D$50=K$5)*(Mandate!$F$6:$F$50&lt;=$B30)*(Mandate!$G$6:$G$50&gt;=$B30)*Mandate!$L$6:$L$50)</f>
        <v>0</v>
      </c>
      <c r="L30" s="30">
        <f>SUMPRODUCT((Mandate!$D$6:$D$50=L$5)*(Mandate!$F$6:$F$50&lt;=$B30)*(Mandate!$G$6:$G$50&gt;=$B30)*Mandate!$L$6:$L$50)</f>
        <v>0</v>
      </c>
      <c r="M30" s="30">
        <f>SUMPRODUCT((Mandate!$D$6:$D$50=M$5)*(Mandate!$F$6:$F$50&lt;=$B30)*(Mandate!$G$6:$G$50&gt;=$B30)*Mandate!$L$6:$L$50)</f>
        <v>0</v>
      </c>
      <c r="N30" s="30">
        <f>SUMPRODUCT((Mandate!$D$6:$D$50=N$5)*(Mandate!$F$6:$F$50&lt;=$B30)*(Mandate!$G$6:$G$50&gt;=$B30)*Mandate!$L$6:$L$50)</f>
        <v>0</v>
      </c>
      <c r="O30" s="30">
        <f>SUMPRODUCT((Mandate!$D$6:$D$50=O$5)*(Mandate!$F$6:$F$50&lt;=$B30)*(Mandate!$G$6:$G$50&gt;=$B30)*Mandate!$L$6:$L$50)</f>
        <v>0</v>
      </c>
      <c r="P30" s="30">
        <f>SUMPRODUCT((Mandate!$D$6:$D$50=P$5)*(Mandate!$F$6:$F$50&lt;=$B30)*(Mandate!$G$6:$G$50&gt;=$B30)*Mandate!$L$6:$L$50)</f>
        <v>0</v>
      </c>
      <c r="Q30" s="30">
        <f>SUMPRODUCT((Mandate!$D$6:$D$50=Q$5)*(Mandate!$F$6:$F$50&lt;=$B30)*(Mandate!$G$6:$G$50&gt;=$B30)*Mandate!$L$6:$L$50)</f>
        <v>0</v>
      </c>
      <c r="R30" s="30">
        <f>SUMPRODUCT((Mandate!$D$6:$D$50=R$5)*(Mandate!$F$6:$F$50&lt;=$B30)*(Mandate!$G$6:$G$50&gt;=$B30)*Mandate!$L$6:$L$50)</f>
        <v>0</v>
      </c>
      <c r="S30" s="30">
        <f>SUMPRODUCT((Mandate!$D$6:$D$50=S$5)*(Mandate!$F$6:$F$50&lt;=$B30)*(Mandate!$G$6:$G$50&gt;=$B30)*Mandate!$L$6:$L$50)</f>
        <v>0</v>
      </c>
      <c r="T30" s="30">
        <f>SUMPRODUCT((Mandate!$D$6:$D$50=T$5)*(Mandate!$F$6:$F$50&lt;=$B30)*(Mandate!$G$6:$G$50&gt;=$B30)*Mandate!$L$6:$L$50)</f>
        <v>0</v>
      </c>
      <c r="U30" s="30">
        <f>SUMPRODUCT((Mandate!$D$6:$D$50=U$5)*(Mandate!$F$6:$F$50&lt;=$B30)*(Mandate!$G$6:$G$50&gt;=$B30)*Mandate!$L$6:$L$50)</f>
        <v>0</v>
      </c>
      <c r="V30" s="30">
        <f>SUMPRODUCT((Mandate!$D$6:$D$50=V$5)*(Mandate!$F$6:$F$50&lt;=$B30)*(Mandate!$G$6:$G$50&gt;=$B30)*Mandate!$L$6:$L$50)</f>
        <v>0</v>
      </c>
      <c r="W30" s="30">
        <f t="shared" si="0"/>
        <v>0</v>
      </c>
      <c r="X30" s="15">
        <f t="shared" si="1"/>
        <v>0</v>
      </c>
      <c r="Y30" s="17" t="str">
        <f t="shared" si="2"/>
        <v>ok</v>
      </c>
    </row>
    <row r="31" spans="2:25" ht="15" customHeight="1">
      <c r="B31" s="29">
        <v>25</v>
      </c>
      <c r="C31" s="30">
        <f>SUMPRODUCT((Mandate!$D$6:$D$50=C$5)*(Mandate!$F$6:$F$50&lt;=$B31)*(Mandate!$G$6:$G$50&gt;=$B31)*Mandate!$L$6:$L$50)</f>
        <v>0</v>
      </c>
      <c r="D31" s="30">
        <f>SUMPRODUCT((Mandate!$D$6:$D$50=D$5)*(Mandate!$F$6:$F$50&lt;=$B31)*(Mandate!$G$6:$G$50&gt;=$B31)*Mandate!$L$6:$L$50)</f>
        <v>0</v>
      </c>
      <c r="E31" s="30">
        <f>SUMPRODUCT((Mandate!$D$6:$D$50=E$5)*(Mandate!$F$6:$F$50&lt;=$B31)*(Mandate!$G$6:$G$50&gt;=$B31)*Mandate!$L$6:$L$50)</f>
        <v>0</v>
      </c>
      <c r="F31" s="30">
        <f>SUMPRODUCT((Mandate!$D$6:$D$50=F$5)*(Mandate!$F$6:$F$50&lt;=$B31)*(Mandate!$G$6:$G$50&gt;=$B31)*Mandate!$L$6:$L$50)</f>
        <v>0</v>
      </c>
      <c r="G31" s="30">
        <f>SUMPRODUCT((Mandate!$D$6:$D$50=G$5)*(Mandate!$F$6:$F$50&lt;=$B31)*(Mandate!$G$6:$G$50&gt;=$B31)*Mandate!$L$6:$L$50)</f>
        <v>0</v>
      </c>
      <c r="H31" s="30">
        <f>SUMPRODUCT((Mandate!$D$6:$D$50=H$5)*(Mandate!$F$6:$F$50&lt;=$B31)*(Mandate!$G$6:$G$50&gt;=$B31)*Mandate!$L$6:$L$50)</f>
        <v>0</v>
      </c>
      <c r="I31" s="30">
        <f>SUMPRODUCT((Mandate!$D$6:$D$50=I$5)*(Mandate!$F$6:$F$50&lt;=$B31)*(Mandate!$G$6:$G$50&gt;=$B31)*Mandate!$L$6:$L$50)</f>
        <v>0</v>
      </c>
      <c r="J31" s="30">
        <f>SUMPRODUCT((Mandate!$D$6:$D$50=J$5)*(Mandate!$F$6:$F$50&lt;=$B31)*(Mandate!$G$6:$G$50&gt;=$B31)*Mandate!$L$6:$L$50)</f>
        <v>0</v>
      </c>
      <c r="K31" s="30">
        <f>SUMPRODUCT((Mandate!$D$6:$D$50=K$5)*(Mandate!$F$6:$F$50&lt;=$B31)*(Mandate!$G$6:$G$50&gt;=$B31)*Mandate!$L$6:$L$50)</f>
        <v>0</v>
      </c>
      <c r="L31" s="30">
        <f>SUMPRODUCT((Mandate!$D$6:$D$50=L$5)*(Mandate!$F$6:$F$50&lt;=$B31)*(Mandate!$G$6:$G$50&gt;=$B31)*Mandate!$L$6:$L$50)</f>
        <v>0</v>
      </c>
      <c r="M31" s="30">
        <f>SUMPRODUCT((Mandate!$D$6:$D$50=M$5)*(Mandate!$F$6:$F$50&lt;=$B31)*(Mandate!$G$6:$G$50&gt;=$B31)*Mandate!$L$6:$L$50)</f>
        <v>0</v>
      </c>
      <c r="N31" s="30">
        <f>SUMPRODUCT((Mandate!$D$6:$D$50=N$5)*(Mandate!$F$6:$F$50&lt;=$B31)*(Mandate!$G$6:$G$50&gt;=$B31)*Mandate!$L$6:$L$50)</f>
        <v>0</v>
      </c>
      <c r="O31" s="30">
        <f>SUMPRODUCT((Mandate!$D$6:$D$50=O$5)*(Mandate!$F$6:$F$50&lt;=$B31)*(Mandate!$G$6:$G$50&gt;=$B31)*Mandate!$L$6:$L$50)</f>
        <v>0</v>
      </c>
      <c r="P31" s="30">
        <f>SUMPRODUCT((Mandate!$D$6:$D$50=P$5)*(Mandate!$F$6:$F$50&lt;=$B31)*(Mandate!$G$6:$G$50&gt;=$B31)*Mandate!$L$6:$L$50)</f>
        <v>0</v>
      </c>
      <c r="Q31" s="30">
        <f>SUMPRODUCT((Mandate!$D$6:$D$50=Q$5)*(Mandate!$F$6:$F$50&lt;=$B31)*(Mandate!$G$6:$G$50&gt;=$B31)*Mandate!$L$6:$L$50)</f>
        <v>0</v>
      </c>
      <c r="R31" s="30">
        <f>SUMPRODUCT((Mandate!$D$6:$D$50=R$5)*(Mandate!$F$6:$F$50&lt;=$B31)*(Mandate!$G$6:$G$50&gt;=$B31)*Mandate!$L$6:$L$50)</f>
        <v>0</v>
      </c>
      <c r="S31" s="30">
        <f>SUMPRODUCT((Mandate!$D$6:$D$50=S$5)*(Mandate!$F$6:$F$50&lt;=$B31)*(Mandate!$G$6:$G$50&gt;=$B31)*Mandate!$L$6:$L$50)</f>
        <v>0</v>
      </c>
      <c r="T31" s="30">
        <f>SUMPRODUCT((Mandate!$D$6:$D$50=T$5)*(Mandate!$F$6:$F$50&lt;=$B31)*(Mandate!$G$6:$G$50&gt;=$B31)*Mandate!$L$6:$L$50)</f>
        <v>0</v>
      </c>
      <c r="U31" s="30">
        <f>SUMPRODUCT((Mandate!$D$6:$D$50=U$5)*(Mandate!$F$6:$F$50&lt;=$B31)*(Mandate!$G$6:$G$50&gt;=$B31)*Mandate!$L$6:$L$50)</f>
        <v>0</v>
      </c>
      <c r="V31" s="30">
        <f>SUMPRODUCT((Mandate!$D$6:$D$50=V$5)*(Mandate!$F$6:$F$50&lt;=$B31)*(Mandate!$G$6:$G$50&gt;=$B31)*Mandate!$L$6:$L$50)</f>
        <v>0</v>
      </c>
      <c r="W31" s="30">
        <f t="shared" si="0"/>
        <v>0</v>
      </c>
      <c r="X31" s="15">
        <f t="shared" si="1"/>
        <v>0</v>
      </c>
      <c r="Y31" s="17" t="str">
        <f t="shared" si="2"/>
        <v>ok</v>
      </c>
    </row>
    <row r="32" spans="2:25" ht="15" customHeight="1">
      <c r="B32" s="29">
        <v>26</v>
      </c>
      <c r="C32" s="30">
        <f>SUMPRODUCT((Mandate!$D$6:$D$50=C$5)*(Mandate!$F$6:$F$50&lt;=$B32)*(Mandate!$G$6:$G$50&gt;=$B32)*Mandate!$L$6:$L$50)</f>
        <v>0</v>
      </c>
      <c r="D32" s="30">
        <f>SUMPRODUCT((Mandate!$D$6:$D$50=D$5)*(Mandate!$F$6:$F$50&lt;=$B32)*(Mandate!$G$6:$G$50&gt;=$B32)*Mandate!$L$6:$L$50)</f>
        <v>0</v>
      </c>
      <c r="E32" s="30">
        <f>SUMPRODUCT((Mandate!$D$6:$D$50=E$5)*(Mandate!$F$6:$F$50&lt;=$B32)*(Mandate!$G$6:$G$50&gt;=$B32)*Mandate!$L$6:$L$50)</f>
        <v>0</v>
      </c>
      <c r="F32" s="30">
        <f>SUMPRODUCT((Mandate!$D$6:$D$50=F$5)*(Mandate!$F$6:$F$50&lt;=$B32)*(Mandate!$G$6:$G$50&gt;=$B32)*Mandate!$L$6:$L$50)</f>
        <v>0</v>
      </c>
      <c r="G32" s="30">
        <f>SUMPRODUCT((Mandate!$D$6:$D$50=G$5)*(Mandate!$F$6:$F$50&lt;=$B32)*(Mandate!$G$6:$G$50&gt;=$B32)*Mandate!$L$6:$L$50)</f>
        <v>0</v>
      </c>
      <c r="H32" s="30">
        <f>SUMPRODUCT((Mandate!$D$6:$D$50=H$5)*(Mandate!$F$6:$F$50&lt;=$B32)*(Mandate!$G$6:$G$50&gt;=$B32)*Mandate!$L$6:$L$50)</f>
        <v>0</v>
      </c>
      <c r="I32" s="30">
        <f>SUMPRODUCT((Mandate!$D$6:$D$50=I$5)*(Mandate!$F$6:$F$50&lt;=$B32)*(Mandate!$G$6:$G$50&gt;=$B32)*Mandate!$L$6:$L$50)</f>
        <v>0</v>
      </c>
      <c r="J32" s="30">
        <f>SUMPRODUCT((Mandate!$D$6:$D$50=J$5)*(Mandate!$F$6:$F$50&lt;=$B32)*(Mandate!$G$6:$G$50&gt;=$B32)*Mandate!$L$6:$L$50)</f>
        <v>0</v>
      </c>
      <c r="K32" s="30">
        <f>SUMPRODUCT((Mandate!$D$6:$D$50=K$5)*(Mandate!$F$6:$F$50&lt;=$B32)*(Mandate!$G$6:$G$50&gt;=$B32)*Mandate!$L$6:$L$50)</f>
        <v>0</v>
      </c>
      <c r="L32" s="30">
        <f>SUMPRODUCT((Mandate!$D$6:$D$50=L$5)*(Mandate!$F$6:$F$50&lt;=$B32)*(Mandate!$G$6:$G$50&gt;=$B32)*Mandate!$L$6:$L$50)</f>
        <v>0</v>
      </c>
      <c r="M32" s="30">
        <f>SUMPRODUCT((Mandate!$D$6:$D$50=M$5)*(Mandate!$F$6:$F$50&lt;=$B32)*(Mandate!$G$6:$G$50&gt;=$B32)*Mandate!$L$6:$L$50)</f>
        <v>0</v>
      </c>
      <c r="N32" s="30">
        <f>SUMPRODUCT((Mandate!$D$6:$D$50=N$5)*(Mandate!$F$6:$F$50&lt;=$B32)*(Mandate!$G$6:$G$50&gt;=$B32)*Mandate!$L$6:$L$50)</f>
        <v>0</v>
      </c>
      <c r="O32" s="30">
        <f>SUMPRODUCT((Mandate!$D$6:$D$50=O$5)*(Mandate!$F$6:$F$50&lt;=$B32)*(Mandate!$G$6:$G$50&gt;=$B32)*Mandate!$L$6:$L$50)</f>
        <v>0</v>
      </c>
      <c r="P32" s="30">
        <f>SUMPRODUCT((Mandate!$D$6:$D$50=P$5)*(Mandate!$F$6:$F$50&lt;=$B32)*(Mandate!$G$6:$G$50&gt;=$B32)*Mandate!$L$6:$L$50)</f>
        <v>0</v>
      </c>
      <c r="Q32" s="30">
        <f>SUMPRODUCT((Mandate!$D$6:$D$50=Q$5)*(Mandate!$F$6:$F$50&lt;=$B32)*(Mandate!$G$6:$G$50&gt;=$B32)*Mandate!$L$6:$L$50)</f>
        <v>0</v>
      </c>
      <c r="R32" s="30">
        <f>SUMPRODUCT((Mandate!$D$6:$D$50=R$5)*(Mandate!$F$6:$F$50&lt;=$B32)*(Mandate!$G$6:$G$50&gt;=$B32)*Mandate!$L$6:$L$50)</f>
        <v>0</v>
      </c>
      <c r="S32" s="30">
        <f>SUMPRODUCT((Mandate!$D$6:$D$50=S$5)*(Mandate!$F$6:$F$50&lt;=$B32)*(Mandate!$G$6:$G$50&gt;=$B32)*Mandate!$L$6:$L$50)</f>
        <v>0</v>
      </c>
      <c r="T32" s="30">
        <f>SUMPRODUCT((Mandate!$D$6:$D$50=T$5)*(Mandate!$F$6:$F$50&lt;=$B32)*(Mandate!$G$6:$G$50&gt;=$B32)*Mandate!$L$6:$L$50)</f>
        <v>0</v>
      </c>
      <c r="U32" s="30">
        <f>SUMPRODUCT((Mandate!$D$6:$D$50=U$5)*(Mandate!$F$6:$F$50&lt;=$B32)*(Mandate!$G$6:$G$50&gt;=$B32)*Mandate!$L$6:$L$50)</f>
        <v>0</v>
      </c>
      <c r="V32" s="30">
        <f>SUMPRODUCT((Mandate!$D$6:$D$50=V$5)*(Mandate!$F$6:$F$50&lt;=$B32)*(Mandate!$G$6:$G$50&gt;=$B32)*Mandate!$L$6:$L$50)</f>
        <v>0</v>
      </c>
      <c r="W32" s="30">
        <f t="shared" si="0"/>
        <v>0</v>
      </c>
      <c r="X32" s="15">
        <f t="shared" si="1"/>
        <v>0</v>
      </c>
      <c r="Y32" s="17" t="str">
        <f t="shared" si="2"/>
        <v>ok</v>
      </c>
    </row>
    <row r="33" spans="2:25" ht="15" customHeight="1">
      <c r="B33" s="29">
        <v>27</v>
      </c>
      <c r="C33" s="30">
        <f>SUMPRODUCT((Mandate!$D$6:$D$50=C$5)*(Mandate!$F$6:$F$50&lt;=$B33)*(Mandate!$G$6:$G$50&gt;=$B33)*Mandate!$L$6:$L$50)</f>
        <v>6</v>
      </c>
      <c r="D33" s="30">
        <f>SUMPRODUCT((Mandate!$D$6:$D$50=D$5)*(Mandate!$F$6:$F$50&lt;=$B33)*(Mandate!$G$6:$G$50&gt;=$B33)*Mandate!$L$6:$L$50)</f>
        <v>5.416666666666667</v>
      </c>
      <c r="E33" s="30">
        <f>SUMPRODUCT((Mandate!$D$6:$D$50=E$5)*(Mandate!$F$6:$F$50&lt;=$B33)*(Mandate!$G$6:$G$50&gt;=$B33)*Mandate!$L$6:$L$50)</f>
        <v>0</v>
      </c>
      <c r="F33" s="30">
        <f>SUMPRODUCT((Mandate!$D$6:$D$50=F$5)*(Mandate!$F$6:$F$50&lt;=$B33)*(Mandate!$G$6:$G$50&gt;=$B33)*Mandate!$L$6:$L$50)</f>
        <v>5</v>
      </c>
      <c r="G33" s="30">
        <f>SUMPRODUCT((Mandate!$D$6:$D$50=G$5)*(Mandate!$F$6:$F$50&lt;=$B33)*(Mandate!$G$6:$G$50&gt;=$B33)*Mandate!$L$6:$L$50)</f>
        <v>0</v>
      </c>
      <c r="H33" s="30">
        <f>SUMPRODUCT((Mandate!$D$6:$D$50=H$5)*(Mandate!$F$6:$F$50&lt;=$B33)*(Mandate!$G$6:$G$50&gt;=$B33)*Mandate!$L$6:$L$50)</f>
        <v>3.6</v>
      </c>
      <c r="I33" s="30">
        <f>SUMPRODUCT((Mandate!$D$6:$D$50=I$5)*(Mandate!$F$6:$F$50&lt;=$B33)*(Mandate!$G$6:$G$50&gt;=$B33)*Mandate!$L$6:$L$50)</f>
        <v>0</v>
      </c>
      <c r="J33" s="30">
        <f>SUMPRODUCT((Mandate!$D$6:$D$50=J$5)*(Mandate!$F$6:$F$50&lt;=$B33)*(Mandate!$G$6:$G$50&gt;=$B33)*Mandate!$L$6:$L$50)</f>
        <v>0</v>
      </c>
      <c r="K33" s="30">
        <f>SUMPRODUCT((Mandate!$D$6:$D$50=K$5)*(Mandate!$F$6:$F$50&lt;=$B33)*(Mandate!$G$6:$G$50&gt;=$B33)*Mandate!$L$6:$L$50)</f>
        <v>0</v>
      </c>
      <c r="L33" s="30">
        <f>SUMPRODUCT((Mandate!$D$6:$D$50=L$5)*(Mandate!$F$6:$F$50&lt;=$B33)*(Mandate!$G$6:$G$50&gt;=$B33)*Mandate!$L$6:$L$50)</f>
        <v>0</v>
      </c>
      <c r="M33" s="30">
        <f>SUMPRODUCT((Mandate!$D$6:$D$50=M$5)*(Mandate!$F$6:$F$50&lt;=$B33)*(Mandate!$G$6:$G$50&gt;=$B33)*Mandate!$L$6:$L$50)</f>
        <v>0</v>
      </c>
      <c r="N33" s="30">
        <f>SUMPRODUCT((Mandate!$D$6:$D$50=N$5)*(Mandate!$F$6:$F$50&lt;=$B33)*(Mandate!$G$6:$G$50&gt;=$B33)*Mandate!$L$6:$L$50)</f>
        <v>0</v>
      </c>
      <c r="O33" s="30">
        <f>SUMPRODUCT((Mandate!$D$6:$D$50=O$5)*(Mandate!$F$6:$F$50&lt;=$B33)*(Mandate!$G$6:$G$50&gt;=$B33)*Mandate!$L$6:$L$50)</f>
        <v>0</v>
      </c>
      <c r="P33" s="30">
        <f>SUMPRODUCT((Mandate!$D$6:$D$50=P$5)*(Mandate!$F$6:$F$50&lt;=$B33)*(Mandate!$G$6:$G$50&gt;=$B33)*Mandate!$L$6:$L$50)</f>
        <v>0</v>
      </c>
      <c r="Q33" s="30">
        <f>SUMPRODUCT((Mandate!$D$6:$D$50=Q$5)*(Mandate!$F$6:$F$50&lt;=$B33)*(Mandate!$G$6:$G$50&gt;=$B33)*Mandate!$L$6:$L$50)</f>
        <v>0</v>
      </c>
      <c r="R33" s="30">
        <f>SUMPRODUCT((Mandate!$D$6:$D$50=R$5)*(Mandate!$F$6:$F$50&lt;=$B33)*(Mandate!$G$6:$G$50&gt;=$B33)*Mandate!$L$6:$L$50)</f>
        <v>0</v>
      </c>
      <c r="S33" s="30">
        <f>SUMPRODUCT((Mandate!$D$6:$D$50=S$5)*(Mandate!$F$6:$F$50&lt;=$B33)*(Mandate!$G$6:$G$50&gt;=$B33)*Mandate!$L$6:$L$50)</f>
        <v>0</v>
      </c>
      <c r="T33" s="30">
        <f>SUMPRODUCT((Mandate!$D$6:$D$50=T$5)*(Mandate!$F$6:$F$50&lt;=$B33)*(Mandate!$G$6:$G$50&gt;=$B33)*Mandate!$L$6:$L$50)</f>
        <v>0</v>
      </c>
      <c r="U33" s="30">
        <f>SUMPRODUCT((Mandate!$D$6:$D$50=U$5)*(Mandate!$F$6:$F$50&lt;=$B33)*(Mandate!$G$6:$G$50&gt;=$B33)*Mandate!$L$6:$L$50)</f>
        <v>0</v>
      </c>
      <c r="V33" s="30">
        <f>SUMPRODUCT((Mandate!$D$6:$D$50=V$5)*(Mandate!$F$6:$F$50&lt;=$B33)*(Mandate!$G$6:$G$50&gt;=$B33)*Mandate!$L$6:$L$50)</f>
        <v>0</v>
      </c>
      <c r="W33" s="30">
        <f t="shared" si="0"/>
        <v>20.016666666666669</v>
      </c>
      <c r="X33" s="15">
        <f t="shared" si="1"/>
        <v>0.13804597701149426</v>
      </c>
      <c r="Y33" s="17" t="str">
        <f t="shared" si="2"/>
        <v>ok</v>
      </c>
    </row>
    <row r="34" spans="2:25" ht="15" customHeight="1">
      <c r="B34" s="29">
        <v>28</v>
      </c>
      <c r="C34" s="30">
        <f>SUMPRODUCT((Mandate!$D$6:$D$50=C$5)*(Mandate!$F$6:$F$50&lt;=$B34)*(Mandate!$G$6:$G$50&gt;=$B34)*Mandate!$L$6:$L$50)</f>
        <v>6</v>
      </c>
      <c r="D34" s="30">
        <f>SUMPRODUCT((Mandate!$D$6:$D$50=D$5)*(Mandate!$F$6:$F$50&lt;=$B34)*(Mandate!$G$6:$G$50&gt;=$B34)*Mandate!$L$6:$L$50)</f>
        <v>5.416666666666667</v>
      </c>
      <c r="E34" s="30">
        <f>SUMPRODUCT((Mandate!$D$6:$D$50=E$5)*(Mandate!$F$6:$F$50&lt;=$B34)*(Mandate!$G$6:$G$50&gt;=$B34)*Mandate!$L$6:$L$50)</f>
        <v>4.7272727272727275</v>
      </c>
      <c r="F34" s="30">
        <f>SUMPRODUCT((Mandate!$D$6:$D$50=F$5)*(Mandate!$F$6:$F$50&lt;=$B34)*(Mandate!$G$6:$G$50&gt;=$B34)*Mandate!$L$6:$L$50)</f>
        <v>5</v>
      </c>
      <c r="G34" s="30">
        <f>SUMPRODUCT((Mandate!$D$6:$D$50=G$5)*(Mandate!$F$6:$F$50&lt;=$B34)*(Mandate!$G$6:$G$50&gt;=$B34)*Mandate!$L$6:$L$50)</f>
        <v>0</v>
      </c>
      <c r="H34" s="30">
        <f>SUMPRODUCT((Mandate!$D$6:$D$50=H$5)*(Mandate!$F$6:$F$50&lt;=$B34)*(Mandate!$G$6:$G$50&gt;=$B34)*Mandate!$L$6:$L$50)</f>
        <v>3.6</v>
      </c>
      <c r="I34" s="30">
        <f>SUMPRODUCT((Mandate!$D$6:$D$50=I$5)*(Mandate!$F$6:$F$50&lt;=$B34)*(Mandate!$G$6:$G$50&gt;=$B34)*Mandate!$L$6:$L$50)</f>
        <v>3</v>
      </c>
      <c r="J34" s="30">
        <f>SUMPRODUCT((Mandate!$D$6:$D$50=J$5)*(Mandate!$F$6:$F$50&lt;=$B34)*(Mandate!$G$6:$G$50&gt;=$B34)*Mandate!$L$6:$L$50)</f>
        <v>0</v>
      </c>
      <c r="K34" s="30">
        <f>SUMPRODUCT((Mandate!$D$6:$D$50=K$5)*(Mandate!$F$6:$F$50&lt;=$B34)*(Mandate!$G$6:$G$50&gt;=$B34)*Mandate!$L$6:$L$50)</f>
        <v>0</v>
      </c>
      <c r="L34" s="30">
        <f>SUMPRODUCT((Mandate!$D$6:$D$50=L$5)*(Mandate!$F$6:$F$50&lt;=$B34)*(Mandate!$G$6:$G$50&gt;=$B34)*Mandate!$L$6:$L$50)</f>
        <v>0</v>
      </c>
      <c r="M34" s="30">
        <f>SUMPRODUCT((Mandate!$D$6:$D$50=M$5)*(Mandate!$F$6:$F$50&lt;=$B34)*(Mandate!$G$6:$G$50&gt;=$B34)*Mandate!$L$6:$L$50)</f>
        <v>0</v>
      </c>
      <c r="N34" s="30">
        <f>SUMPRODUCT((Mandate!$D$6:$D$50=N$5)*(Mandate!$F$6:$F$50&lt;=$B34)*(Mandate!$G$6:$G$50&gt;=$B34)*Mandate!$L$6:$L$50)</f>
        <v>0</v>
      </c>
      <c r="O34" s="30">
        <f>SUMPRODUCT((Mandate!$D$6:$D$50=O$5)*(Mandate!$F$6:$F$50&lt;=$B34)*(Mandate!$G$6:$G$50&gt;=$B34)*Mandate!$L$6:$L$50)</f>
        <v>0</v>
      </c>
      <c r="P34" s="30">
        <f>SUMPRODUCT((Mandate!$D$6:$D$50=P$5)*(Mandate!$F$6:$F$50&lt;=$B34)*(Mandate!$G$6:$G$50&gt;=$B34)*Mandate!$L$6:$L$50)</f>
        <v>0</v>
      </c>
      <c r="Q34" s="30">
        <f>SUMPRODUCT((Mandate!$D$6:$D$50=Q$5)*(Mandate!$F$6:$F$50&lt;=$B34)*(Mandate!$G$6:$G$50&gt;=$B34)*Mandate!$L$6:$L$50)</f>
        <v>0</v>
      </c>
      <c r="R34" s="30">
        <f>SUMPRODUCT((Mandate!$D$6:$D$50=R$5)*(Mandate!$F$6:$F$50&lt;=$B34)*(Mandate!$G$6:$G$50&gt;=$B34)*Mandate!$L$6:$L$50)</f>
        <v>0</v>
      </c>
      <c r="S34" s="30">
        <f>SUMPRODUCT((Mandate!$D$6:$D$50=S$5)*(Mandate!$F$6:$F$50&lt;=$B34)*(Mandate!$G$6:$G$50&gt;=$B34)*Mandate!$L$6:$L$50)</f>
        <v>0</v>
      </c>
      <c r="T34" s="30">
        <f>SUMPRODUCT((Mandate!$D$6:$D$50=T$5)*(Mandate!$F$6:$F$50&lt;=$B34)*(Mandate!$G$6:$G$50&gt;=$B34)*Mandate!$L$6:$L$50)</f>
        <v>0</v>
      </c>
      <c r="U34" s="30">
        <f>SUMPRODUCT((Mandate!$D$6:$D$50=U$5)*(Mandate!$F$6:$F$50&lt;=$B34)*(Mandate!$G$6:$G$50&gt;=$B34)*Mandate!$L$6:$L$50)</f>
        <v>0</v>
      </c>
      <c r="V34" s="30">
        <f>SUMPRODUCT((Mandate!$D$6:$D$50=V$5)*(Mandate!$F$6:$F$50&lt;=$B34)*(Mandate!$G$6:$G$50&gt;=$B34)*Mandate!$L$6:$L$50)</f>
        <v>0</v>
      </c>
      <c r="W34" s="30">
        <f t="shared" si="0"/>
        <v>27.743939393939396</v>
      </c>
      <c r="X34" s="15">
        <f t="shared" si="1"/>
        <v>0.191337513061651</v>
      </c>
      <c r="Y34" s="17" t="str">
        <f t="shared" si="2"/>
        <v>ok</v>
      </c>
    </row>
    <row r="35" spans="2:25" ht="15" customHeight="1">
      <c r="B35" s="29">
        <v>29</v>
      </c>
      <c r="C35" s="30">
        <f>SUMPRODUCT((Mandate!$D$6:$D$50=C$5)*(Mandate!$F$6:$F$50&lt;=$B35)*(Mandate!$G$6:$G$50&gt;=$B35)*Mandate!$L$6:$L$50)</f>
        <v>6</v>
      </c>
      <c r="D35" s="30">
        <f>SUMPRODUCT((Mandate!$D$6:$D$50=D$5)*(Mandate!$F$6:$F$50&lt;=$B35)*(Mandate!$G$6:$G$50&gt;=$B35)*Mandate!$L$6:$L$50)</f>
        <v>5.416666666666667</v>
      </c>
      <c r="E35" s="30">
        <f>SUMPRODUCT((Mandate!$D$6:$D$50=E$5)*(Mandate!$F$6:$F$50&lt;=$B35)*(Mandate!$G$6:$G$50&gt;=$B35)*Mandate!$L$6:$L$50)</f>
        <v>4.7272727272727275</v>
      </c>
      <c r="F35" s="30">
        <f>SUMPRODUCT((Mandate!$D$6:$D$50=F$5)*(Mandate!$F$6:$F$50&lt;=$B35)*(Mandate!$G$6:$G$50&gt;=$B35)*Mandate!$L$6:$L$50)</f>
        <v>5</v>
      </c>
      <c r="G35" s="30">
        <f>SUMPRODUCT((Mandate!$D$6:$D$50=G$5)*(Mandate!$F$6:$F$50&lt;=$B35)*(Mandate!$G$6:$G$50&gt;=$B35)*Mandate!$L$6:$L$50)</f>
        <v>3.75</v>
      </c>
      <c r="H35" s="30">
        <f>SUMPRODUCT((Mandate!$D$6:$D$50=H$5)*(Mandate!$F$6:$F$50&lt;=$B35)*(Mandate!$G$6:$G$50&gt;=$B35)*Mandate!$L$6:$L$50)</f>
        <v>3.6</v>
      </c>
      <c r="I35" s="30">
        <f>SUMPRODUCT((Mandate!$D$6:$D$50=I$5)*(Mandate!$F$6:$F$50&lt;=$B35)*(Mandate!$G$6:$G$50&gt;=$B35)*Mandate!$L$6:$L$50)</f>
        <v>3</v>
      </c>
      <c r="J35" s="30">
        <f>SUMPRODUCT((Mandate!$D$6:$D$50=J$5)*(Mandate!$F$6:$F$50&lt;=$B35)*(Mandate!$G$6:$G$50&gt;=$B35)*Mandate!$L$6:$L$50)</f>
        <v>2.8333333333333335</v>
      </c>
      <c r="K35" s="30">
        <f>SUMPRODUCT((Mandate!$D$6:$D$50=K$5)*(Mandate!$F$6:$F$50&lt;=$B35)*(Mandate!$G$6:$G$50&gt;=$B35)*Mandate!$L$6:$L$50)</f>
        <v>0</v>
      </c>
      <c r="L35" s="30">
        <f>SUMPRODUCT((Mandate!$D$6:$D$50=L$5)*(Mandate!$F$6:$F$50&lt;=$B35)*(Mandate!$G$6:$G$50&gt;=$B35)*Mandate!$L$6:$L$50)</f>
        <v>0</v>
      </c>
      <c r="M35" s="30">
        <f>SUMPRODUCT((Mandate!$D$6:$D$50=M$5)*(Mandate!$F$6:$F$50&lt;=$B35)*(Mandate!$G$6:$G$50&gt;=$B35)*Mandate!$L$6:$L$50)</f>
        <v>0</v>
      </c>
      <c r="N35" s="30">
        <f>SUMPRODUCT((Mandate!$D$6:$D$50=N$5)*(Mandate!$F$6:$F$50&lt;=$B35)*(Mandate!$G$6:$G$50&gt;=$B35)*Mandate!$L$6:$L$50)</f>
        <v>0</v>
      </c>
      <c r="O35" s="30">
        <f>SUMPRODUCT((Mandate!$D$6:$D$50=O$5)*(Mandate!$F$6:$F$50&lt;=$B35)*(Mandate!$G$6:$G$50&gt;=$B35)*Mandate!$L$6:$L$50)</f>
        <v>0</v>
      </c>
      <c r="P35" s="30">
        <f>SUMPRODUCT((Mandate!$D$6:$D$50=P$5)*(Mandate!$F$6:$F$50&lt;=$B35)*(Mandate!$G$6:$G$50&gt;=$B35)*Mandate!$L$6:$L$50)</f>
        <v>0</v>
      </c>
      <c r="Q35" s="30">
        <f>SUMPRODUCT((Mandate!$D$6:$D$50=Q$5)*(Mandate!$F$6:$F$50&lt;=$B35)*(Mandate!$G$6:$G$50&gt;=$B35)*Mandate!$L$6:$L$50)</f>
        <v>0</v>
      </c>
      <c r="R35" s="30">
        <f>SUMPRODUCT((Mandate!$D$6:$D$50=R$5)*(Mandate!$F$6:$F$50&lt;=$B35)*(Mandate!$G$6:$G$50&gt;=$B35)*Mandate!$L$6:$L$50)</f>
        <v>0</v>
      </c>
      <c r="S35" s="30">
        <f>SUMPRODUCT((Mandate!$D$6:$D$50=S$5)*(Mandate!$F$6:$F$50&lt;=$B35)*(Mandate!$G$6:$G$50&gt;=$B35)*Mandate!$L$6:$L$50)</f>
        <v>0</v>
      </c>
      <c r="T35" s="30">
        <f>SUMPRODUCT((Mandate!$D$6:$D$50=T$5)*(Mandate!$F$6:$F$50&lt;=$B35)*(Mandate!$G$6:$G$50&gt;=$B35)*Mandate!$L$6:$L$50)</f>
        <v>0</v>
      </c>
      <c r="U35" s="30">
        <f>SUMPRODUCT((Mandate!$D$6:$D$50=U$5)*(Mandate!$F$6:$F$50&lt;=$B35)*(Mandate!$G$6:$G$50&gt;=$B35)*Mandate!$L$6:$L$50)</f>
        <v>0</v>
      </c>
      <c r="V35" s="30">
        <f>SUMPRODUCT((Mandate!$D$6:$D$50=V$5)*(Mandate!$F$6:$F$50&lt;=$B35)*(Mandate!$G$6:$G$50&gt;=$B35)*Mandate!$L$6:$L$50)</f>
        <v>0</v>
      </c>
      <c r="W35" s="30">
        <f t="shared" si="0"/>
        <v>34.327272727272728</v>
      </c>
      <c r="X35" s="15">
        <f t="shared" si="1"/>
        <v>0.23673981191222571</v>
      </c>
      <c r="Y35" s="17" t="str">
        <f t="shared" si="2"/>
        <v>ok</v>
      </c>
    </row>
    <row r="36" spans="2:25" ht="15" customHeight="1">
      <c r="B36" s="29">
        <v>30</v>
      </c>
      <c r="C36" s="30">
        <f>SUMPRODUCT((Mandate!$D$6:$D$50=C$5)*(Mandate!$F$6:$F$50&lt;=$B36)*(Mandate!$G$6:$G$50&gt;=$B36)*Mandate!$L$6:$L$50)</f>
        <v>11</v>
      </c>
      <c r="D36" s="30">
        <f>SUMPRODUCT((Mandate!$D$6:$D$50=D$5)*(Mandate!$F$6:$F$50&lt;=$B36)*(Mandate!$G$6:$G$50&gt;=$B36)*Mandate!$L$6:$L$50)</f>
        <v>5.416666666666667</v>
      </c>
      <c r="E36" s="30">
        <f>SUMPRODUCT((Mandate!$D$6:$D$50=E$5)*(Mandate!$F$6:$F$50&lt;=$B36)*(Mandate!$G$6:$G$50&gt;=$B36)*Mandate!$L$6:$L$50)</f>
        <v>4.7272727272727275</v>
      </c>
      <c r="F36" s="30">
        <f>SUMPRODUCT((Mandate!$D$6:$D$50=F$5)*(Mandate!$F$6:$F$50&lt;=$B36)*(Mandate!$G$6:$G$50&gt;=$B36)*Mandate!$L$6:$L$50)</f>
        <v>8.7777777777777786</v>
      </c>
      <c r="G36" s="30">
        <f>SUMPRODUCT((Mandate!$D$6:$D$50=G$5)*(Mandate!$F$6:$F$50&lt;=$B36)*(Mandate!$G$6:$G$50&gt;=$B36)*Mandate!$L$6:$L$50)</f>
        <v>3.75</v>
      </c>
      <c r="H36" s="30">
        <f>SUMPRODUCT((Mandate!$D$6:$D$50=H$5)*(Mandate!$F$6:$F$50&lt;=$B36)*(Mandate!$G$6:$G$50&gt;=$B36)*Mandate!$L$6:$L$50)</f>
        <v>3.6</v>
      </c>
      <c r="I36" s="30">
        <f>SUMPRODUCT((Mandate!$D$6:$D$50=I$5)*(Mandate!$F$6:$F$50&lt;=$B36)*(Mandate!$G$6:$G$50&gt;=$B36)*Mandate!$L$6:$L$50)</f>
        <v>3</v>
      </c>
      <c r="J36" s="30">
        <f>SUMPRODUCT((Mandate!$D$6:$D$50=J$5)*(Mandate!$F$6:$F$50&lt;=$B36)*(Mandate!$G$6:$G$50&gt;=$B36)*Mandate!$L$6:$L$50)</f>
        <v>2.8333333333333335</v>
      </c>
      <c r="K36" s="30">
        <f>SUMPRODUCT((Mandate!$D$6:$D$50=K$5)*(Mandate!$F$6:$F$50&lt;=$B36)*(Mandate!$G$6:$G$50&gt;=$B36)*Mandate!$L$6:$L$50)</f>
        <v>2.3333333333333335</v>
      </c>
      <c r="L36" s="30">
        <f>SUMPRODUCT((Mandate!$D$6:$D$50=L$5)*(Mandate!$F$6:$F$50&lt;=$B36)*(Mandate!$G$6:$G$50&gt;=$B36)*Mandate!$L$6:$L$50)</f>
        <v>0</v>
      </c>
      <c r="M36" s="30">
        <f>SUMPRODUCT((Mandate!$D$6:$D$50=M$5)*(Mandate!$F$6:$F$50&lt;=$B36)*(Mandate!$G$6:$G$50&gt;=$B36)*Mandate!$L$6:$L$50)</f>
        <v>0</v>
      </c>
      <c r="N36" s="30">
        <f>SUMPRODUCT((Mandate!$D$6:$D$50=N$5)*(Mandate!$F$6:$F$50&lt;=$B36)*(Mandate!$G$6:$G$50&gt;=$B36)*Mandate!$L$6:$L$50)</f>
        <v>0</v>
      </c>
      <c r="O36" s="30">
        <f>SUMPRODUCT((Mandate!$D$6:$D$50=O$5)*(Mandate!$F$6:$F$50&lt;=$B36)*(Mandate!$G$6:$G$50&gt;=$B36)*Mandate!$L$6:$L$50)</f>
        <v>0</v>
      </c>
      <c r="P36" s="30">
        <f>SUMPRODUCT((Mandate!$D$6:$D$50=P$5)*(Mandate!$F$6:$F$50&lt;=$B36)*(Mandate!$G$6:$G$50&gt;=$B36)*Mandate!$L$6:$L$50)</f>
        <v>0</v>
      </c>
      <c r="Q36" s="30">
        <f>SUMPRODUCT((Mandate!$D$6:$D$50=Q$5)*(Mandate!$F$6:$F$50&lt;=$B36)*(Mandate!$G$6:$G$50&gt;=$B36)*Mandate!$L$6:$L$50)</f>
        <v>0</v>
      </c>
      <c r="R36" s="30">
        <f>SUMPRODUCT((Mandate!$D$6:$D$50=R$5)*(Mandate!$F$6:$F$50&lt;=$B36)*(Mandate!$G$6:$G$50&gt;=$B36)*Mandate!$L$6:$L$50)</f>
        <v>0</v>
      </c>
      <c r="S36" s="30">
        <f>SUMPRODUCT((Mandate!$D$6:$D$50=S$5)*(Mandate!$F$6:$F$50&lt;=$B36)*(Mandate!$G$6:$G$50&gt;=$B36)*Mandate!$L$6:$L$50)</f>
        <v>0</v>
      </c>
      <c r="T36" s="30">
        <f>SUMPRODUCT((Mandate!$D$6:$D$50=T$5)*(Mandate!$F$6:$F$50&lt;=$B36)*(Mandate!$G$6:$G$50&gt;=$B36)*Mandate!$L$6:$L$50)</f>
        <v>0</v>
      </c>
      <c r="U36" s="30">
        <f>SUMPRODUCT((Mandate!$D$6:$D$50=U$5)*(Mandate!$F$6:$F$50&lt;=$B36)*(Mandate!$G$6:$G$50&gt;=$B36)*Mandate!$L$6:$L$50)</f>
        <v>0</v>
      </c>
      <c r="V36" s="30">
        <f>SUMPRODUCT((Mandate!$D$6:$D$50=V$5)*(Mandate!$F$6:$F$50&lt;=$B36)*(Mandate!$G$6:$G$50&gt;=$B36)*Mandate!$L$6:$L$50)</f>
        <v>0</v>
      </c>
      <c r="W36" s="30">
        <f t="shared" si="0"/>
        <v>45.438383838383849</v>
      </c>
      <c r="X36" s="15">
        <f t="shared" si="1"/>
        <v>0.31336816440264725</v>
      </c>
      <c r="Y36" s="17" t="str">
        <f t="shared" si="2"/>
        <v>ok</v>
      </c>
    </row>
    <row r="37" spans="2:25" ht="15" customHeight="1">
      <c r="B37" s="29">
        <v>31</v>
      </c>
      <c r="C37" s="30">
        <f>SUMPRODUCT((Mandate!$D$6:$D$50=C$5)*(Mandate!$F$6:$F$50&lt;=$B37)*(Mandate!$G$6:$G$50&gt;=$B37)*Mandate!$L$6:$L$50)</f>
        <v>11</v>
      </c>
      <c r="D37" s="30">
        <f>SUMPRODUCT((Mandate!$D$6:$D$50=D$5)*(Mandate!$F$6:$F$50&lt;=$B37)*(Mandate!$G$6:$G$50&gt;=$B37)*Mandate!$L$6:$L$50)</f>
        <v>5.416666666666667</v>
      </c>
      <c r="E37" s="30">
        <f>SUMPRODUCT((Mandate!$D$6:$D$50=E$5)*(Mandate!$F$6:$F$50&lt;=$B37)*(Mandate!$G$6:$G$50&gt;=$B37)*Mandate!$L$6:$L$50)</f>
        <v>9.327272727272728</v>
      </c>
      <c r="F37" s="30">
        <f>SUMPRODUCT((Mandate!$D$6:$D$50=F$5)*(Mandate!$F$6:$F$50&lt;=$B37)*(Mandate!$G$6:$G$50&gt;=$B37)*Mandate!$L$6:$L$50)</f>
        <v>8.7777777777777786</v>
      </c>
      <c r="G37" s="30">
        <f>SUMPRODUCT((Mandate!$D$6:$D$50=G$5)*(Mandate!$F$6:$F$50&lt;=$B37)*(Mandate!$G$6:$G$50&gt;=$B37)*Mandate!$L$6:$L$50)</f>
        <v>3.75</v>
      </c>
      <c r="H37" s="30">
        <f>SUMPRODUCT((Mandate!$D$6:$D$50=H$5)*(Mandate!$F$6:$F$50&lt;=$B37)*(Mandate!$G$6:$G$50&gt;=$B37)*Mandate!$L$6:$L$50)</f>
        <v>3.6</v>
      </c>
      <c r="I37" s="30">
        <f>SUMPRODUCT((Mandate!$D$6:$D$50=I$5)*(Mandate!$F$6:$F$50&lt;=$B37)*(Mandate!$G$6:$G$50&gt;=$B37)*Mandate!$L$6:$L$50)</f>
        <v>3</v>
      </c>
      <c r="J37" s="30">
        <f>SUMPRODUCT((Mandate!$D$6:$D$50=J$5)*(Mandate!$F$6:$F$50&lt;=$B37)*(Mandate!$G$6:$G$50&gt;=$B37)*Mandate!$L$6:$L$50)</f>
        <v>2.8333333333333335</v>
      </c>
      <c r="K37" s="30">
        <f>SUMPRODUCT((Mandate!$D$6:$D$50=K$5)*(Mandate!$F$6:$F$50&lt;=$B37)*(Mandate!$G$6:$G$50&gt;=$B37)*Mandate!$L$6:$L$50)</f>
        <v>2.3333333333333335</v>
      </c>
      <c r="L37" s="30">
        <f>SUMPRODUCT((Mandate!$D$6:$D$50=L$5)*(Mandate!$F$6:$F$50&lt;=$B37)*(Mandate!$G$6:$G$50&gt;=$B37)*Mandate!$L$6:$L$50)</f>
        <v>1.6666666666666667</v>
      </c>
      <c r="M37" s="30">
        <f>SUMPRODUCT((Mandate!$D$6:$D$50=M$5)*(Mandate!$F$6:$F$50&lt;=$B37)*(Mandate!$G$6:$G$50&gt;=$B37)*Mandate!$L$6:$L$50)</f>
        <v>0</v>
      </c>
      <c r="N37" s="30">
        <f>SUMPRODUCT((Mandate!$D$6:$D$50=N$5)*(Mandate!$F$6:$F$50&lt;=$B37)*(Mandate!$G$6:$G$50&gt;=$B37)*Mandate!$L$6:$L$50)</f>
        <v>0</v>
      </c>
      <c r="O37" s="30">
        <f>SUMPRODUCT((Mandate!$D$6:$D$50=O$5)*(Mandate!$F$6:$F$50&lt;=$B37)*(Mandate!$G$6:$G$50&gt;=$B37)*Mandate!$L$6:$L$50)</f>
        <v>0</v>
      </c>
      <c r="P37" s="30">
        <f>SUMPRODUCT((Mandate!$D$6:$D$50=P$5)*(Mandate!$F$6:$F$50&lt;=$B37)*(Mandate!$G$6:$G$50&gt;=$B37)*Mandate!$L$6:$L$50)</f>
        <v>0</v>
      </c>
      <c r="Q37" s="30">
        <f>SUMPRODUCT((Mandate!$D$6:$D$50=Q$5)*(Mandate!$F$6:$F$50&lt;=$B37)*(Mandate!$G$6:$G$50&gt;=$B37)*Mandate!$L$6:$L$50)</f>
        <v>0</v>
      </c>
      <c r="R37" s="30">
        <f>SUMPRODUCT((Mandate!$D$6:$D$50=R$5)*(Mandate!$F$6:$F$50&lt;=$B37)*(Mandate!$G$6:$G$50&gt;=$B37)*Mandate!$L$6:$L$50)</f>
        <v>0</v>
      </c>
      <c r="S37" s="30">
        <f>SUMPRODUCT((Mandate!$D$6:$D$50=S$5)*(Mandate!$F$6:$F$50&lt;=$B37)*(Mandate!$G$6:$G$50&gt;=$B37)*Mandate!$L$6:$L$50)</f>
        <v>0</v>
      </c>
      <c r="T37" s="30">
        <f>SUMPRODUCT((Mandate!$D$6:$D$50=T$5)*(Mandate!$F$6:$F$50&lt;=$B37)*(Mandate!$G$6:$G$50&gt;=$B37)*Mandate!$L$6:$L$50)</f>
        <v>0</v>
      </c>
      <c r="U37" s="30">
        <f>SUMPRODUCT((Mandate!$D$6:$D$50=U$5)*(Mandate!$F$6:$F$50&lt;=$B37)*(Mandate!$G$6:$G$50&gt;=$B37)*Mandate!$L$6:$L$50)</f>
        <v>0</v>
      </c>
      <c r="V37" s="30">
        <f>SUMPRODUCT((Mandate!$D$6:$D$50=V$5)*(Mandate!$F$6:$F$50&lt;=$B37)*(Mandate!$G$6:$G$50&gt;=$B37)*Mandate!$L$6:$L$50)</f>
        <v>0</v>
      </c>
      <c r="W37" s="30">
        <f t="shared" si="0"/>
        <v>51.705050505050508</v>
      </c>
      <c r="X37" s="15">
        <f t="shared" si="1"/>
        <v>0.35658655520724486</v>
      </c>
      <c r="Y37" s="17" t="str">
        <f t="shared" si="2"/>
        <v>ok</v>
      </c>
    </row>
    <row r="38" spans="2:25" ht="15" customHeight="1">
      <c r="B38" s="29">
        <v>32</v>
      </c>
      <c r="C38" s="30">
        <f>SUMPRODUCT((Mandate!$D$6:$D$50=C$5)*(Mandate!$F$6:$F$50&lt;=$B38)*(Mandate!$G$6:$G$50&gt;=$B38)*Mandate!$L$6:$L$50)</f>
        <v>11</v>
      </c>
      <c r="D38" s="30">
        <f>SUMPRODUCT((Mandate!$D$6:$D$50=D$5)*(Mandate!$F$6:$F$50&lt;=$B38)*(Mandate!$G$6:$G$50&gt;=$B38)*Mandate!$L$6:$L$50)</f>
        <v>5.416666666666667</v>
      </c>
      <c r="E38" s="30">
        <f>SUMPRODUCT((Mandate!$D$6:$D$50=E$5)*(Mandate!$F$6:$F$50&lt;=$B38)*(Mandate!$G$6:$G$50&gt;=$B38)*Mandate!$L$6:$L$50)</f>
        <v>9.327272727272728</v>
      </c>
      <c r="F38" s="30">
        <f>SUMPRODUCT((Mandate!$D$6:$D$50=F$5)*(Mandate!$F$6:$F$50&lt;=$B38)*(Mandate!$G$6:$G$50&gt;=$B38)*Mandate!$L$6:$L$50)</f>
        <v>8.7777777777777786</v>
      </c>
      <c r="G38" s="30">
        <f>SUMPRODUCT((Mandate!$D$6:$D$50=G$5)*(Mandate!$F$6:$F$50&lt;=$B38)*(Mandate!$G$6:$G$50&gt;=$B38)*Mandate!$L$6:$L$50)</f>
        <v>3.75</v>
      </c>
      <c r="H38" s="30">
        <f>SUMPRODUCT((Mandate!$D$6:$D$50=H$5)*(Mandate!$F$6:$F$50&lt;=$B38)*(Mandate!$G$6:$G$50&gt;=$B38)*Mandate!$L$6:$L$50)</f>
        <v>7.418181818181818</v>
      </c>
      <c r="I38" s="30">
        <f>SUMPRODUCT((Mandate!$D$6:$D$50=I$5)*(Mandate!$F$6:$F$50&lt;=$B38)*(Mandate!$G$6:$G$50&gt;=$B38)*Mandate!$L$6:$L$50)</f>
        <v>3</v>
      </c>
      <c r="J38" s="30">
        <f>SUMPRODUCT((Mandate!$D$6:$D$50=J$5)*(Mandate!$F$6:$F$50&lt;=$B38)*(Mandate!$G$6:$G$50&gt;=$B38)*Mandate!$L$6:$L$50)</f>
        <v>2.8333333333333335</v>
      </c>
      <c r="K38" s="30">
        <f>SUMPRODUCT((Mandate!$D$6:$D$50=K$5)*(Mandate!$F$6:$F$50&lt;=$B38)*(Mandate!$G$6:$G$50&gt;=$B38)*Mandate!$L$6:$L$50)</f>
        <v>2.3333333333333335</v>
      </c>
      <c r="L38" s="30">
        <f>SUMPRODUCT((Mandate!$D$6:$D$50=L$5)*(Mandate!$F$6:$F$50&lt;=$B38)*(Mandate!$G$6:$G$50&gt;=$B38)*Mandate!$L$6:$L$50)</f>
        <v>1.6666666666666667</v>
      </c>
      <c r="M38" s="30">
        <f>SUMPRODUCT((Mandate!$D$6:$D$50=M$5)*(Mandate!$F$6:$F$50&lt;=$B38)*(Mandate!$G$6:$G$50&gt;=$B38)*Mandate!$L$6:$L$50)</f>
        <v>0</v>
      </c>
      <c r="N38" s="30">
        <f>SUMPRODUCT((Mandate!$D$6:$D$50=N$5)*(Mandate!$F$6:$F$50&lt;=$B38)*(Mandate!$G$6:$G$50&gt;=$B38)*Mandate!$L$6:$L$50)</f>
        <v>0</v>
      </c>
      <c r="O38" s="30">
        <f>SUMPRODUCT((Mandate!$D$6:$D$50=O$5)*(Mandate!$F$6:$F$50&lt;=$B38)*(Mandate!$G$6:$G$50&gt;=$B38)*Mandate!$L$6:$L$50)</f>
        <v>0</v>
      </c>
      <c r="P38" s="30">
        <f>SUMPRODUCT((Mandate!$D$6:$D$50=P$5)*(Mandate!$F$6:$F$50&lt;=$B38)*(Mandate!$G$6:$G$50&gt;=$B38)*Mandate!$L$6:$L$50)</f>
        <v>0</v>
      </c>
      <c r="Q38" s="30">
        <f>SUMPRODUCT((Mandate!$D$6:$D$50=Q$5)*(Mandate!$F$6:$F$50&lt;=$B38)*(Mandate!$G$6:$G$50&gt;=$B38)*Mandate!$L$6:$L$50)</f>
        <v>0</v>
      </c>
      <c r="R38" s="30">
        <f>SUMPRODUCT((Mandate!$D$6:$D$50=R$5)*(Mandate!$F$6:$F$50&lt;=$B38)*(Mandate!$G$6:$G$50&gt;=$B38)*Mandate!$L$6:$L$50)</f>
        <v>0</v>
      </c>
      <c r="S38" s="30">
        <f>SUMPRODUCT((Mandate!$D$6:$D$50=S$5)*(Mandate!$F$6:$F$50&lt;=$B38)*(Mandate!$G$6:$G$50&gt;=$B38)*Mandate!$L$6:$L$50)</f>
        <v>0</v>
      </c>
      <c r="T38" s="30">
        <f>SUMPRODUCT((Mandate!$D$6:$D$50=T$5)*(Mandate!$F$6:$F$50&lt;=$B38)*(Mandate!$G$6:$G$50&gt;=$B38)*Mandate!$L$6:$L$50)</f>
        <v>0</v>
      </c>
      <c r="U38" s="30">
        <f>SUMPRODUCT((Mandate!$D$6:$D$50=U$5)*(Mandate!$F$6:$F$50&lt;=$B38)*(Mandate!$G$6:$G$50&gt;=$B38)*Mandate!$L$6:$L$50)</f>
        <v>0</v>
      </c>
      <c r="V38" s="30">
        <f>SUMPRODUCT((Mandate!$D$6:$D$50=V$5)*(Mandate!$F$6:$F$50&lt;=$B38)*(Mandate!$G$6:$G$50&gt;=$B38)*Mandate!$L$6:$L$50)</f>
        <v>0</v>
      </c>
      <c r="W38" s="30">
        <f t="shared" si="0"/>
        <v>55.523232323232328</v>
      </c>
      <c r="X38" s="15">
        <f t="shared" si="1"/>
        <v>0.38291884360849882</v>
      </c>
      <c r="Y38" s="17" t="str">
        <f t="shared" si="2"/>
        <v>ok</v>
      </c>
    </row>
    <row r="39" spans="2:25" ht="15" customHeight="1">
      <c r="B39" s="29">
        <v>33</v>
      </c>
      <c r="C39" s="30">
        <f>SUMPRODUCT((Mandate!$D$6:$D$50=C$5)*(Mandate!$F$6:$F$50&lt;=$B39)*(Mandate!$G$6:$G$50&gt;=$B39)*Mandate!$L$6:$L$50)</f>
        <v>11</v>
      </c>
      <c r="D39" s="30">
        <f>SUMPRODUCT((Mandate!$D$6:$D$50=D$5)*(Mandate!$F$6:$F$50&lt;=$B39)*(Mandate!$G$6:$G$50&gt;=$B39)*Mandate!$L$6:$L$50)</f>
        <v>10.416666666666668</v>
      </c>
      <c r="E39" s="30">
        <f>SUMPRODUCT((Mandate!$D$6:$D$50=E$5)*(Mandate!$F$6:$F$50&lt;=$B39)*(Mandate!$G$6:$G$50&gt;=$B39)*Mandate!$L$6:$L$50)</f>
        <v>9.327272727272728</v>
      </c>
      <c r="F39" s="30">
        <f>SUMPRODUCT((Mandate!$D$6:$D$50=F$5)*(Mandate!$F$6:$F$50&lt;=$B39)*(Mandate!$G$6:$G$50&gt;=$B39)*Mandate!$L$6:$L$50)</f>
        <v>8.7777777777777786</v>
      </c>
      <c r="G39" s="30">
        <f>SUMPRODUCT((Mandate!$D$6:$D$50=G$5)*(Mandate!$F$6:$F$50&lt;=$B39)*(Mandate!$G$6:$G$50&gt;=$B39)*Mandate!$L$6:$L$50)</f>
        <v>3.75</v>
      </c>
      <c r="H39" s="30">
        <f>SUMPRODUCT((Mandate!$D$6:$D$50=H$5)*(Mandate!$F$6:$F$50&lt;=$B39)*(Mandate!$G$6:$G$50&gt;=$B39)*Mandate!$L$6:$L$50)</f>
        <v>7.418181818181818</v>
      </c>
      <c r="I39" s="30">
        <f>SUMPRODUCT((Mandate!$D$6:$D$50=I$5)*(Mandate!$F$6:$F$50&lt;=$B39)*(Mandate!$G$6:$G$50&gt;=$B39)*Mandate!$L$6:$L$50)</f>
        <v>6.25</v>
      </c>
      <c r="J39" s="30">
        <f>SUMPRODUCT((Mandate!$D$6:$D$50=J$5)*(Mandate!$F$6:$F$50&lt;=$B39)*(Mandate!$G$6:$G$50&gt;=$B39)*Mandate!$L$6:$L$50)</f>
        <v>2.8333333333333335</v>
      </c>
      <c r="K39" s="30">
        <f>SUMPRODUCT((Mandate!$D$6:$D$50=K$5)*(Mandate!$F$6:$F$50&lt;=$B39)*(Mandate!$G$6:$G$50&gt;=$B39)*Mandate!$L$6:$L$50)</f>
        <v>2.3333333333333335</v>
      </c>
      <c r="L39" s="30">
        <f>SUMPRODUCT((Mandate!$D$6:$D$50=L$5)*(Mandate!$F$6:$F$50&lt;=$B39)*(Mandate!$G$6:$G$50&gt;=$B39)*Mandate!$L$6:$L$50)</f>
        <v>1.6666666666666667</v>
      </c>
      <c r="M39" s="30">
        <f>SUMPRODUCT((Mandate!$D$6:$D$50=M$5)*(Mandate!$F$6:$F$50&lt;=$B39)*(Mandate!$G$6:$G$50&gt;=$B39)*Mandate!$L$6:$L$50)</f>
        <v>0</v>
      </c>
      <c r="N39" s="30">
        <f>SUMPRODUCT((Mandate!$D$6:$D$50=N$5)*(Mandate!$F$6:$F$50&lt;=$B39)*(Mandate!$G$6:$G$50&gt;=$B39)*Mandate!$L$6:$L$50)</f>
        <v>0</v>
      </c>
      <c r="O39" s="30">
        <f>SUMPRODUCT((Mandate!$D$6:$D$50=O$5)*(Mandate!$F$6:$F$50&lt;=$B39)*(Mandate!$G$6:$G$50&gt;=$B39)*Mandate!$L$6:$L$50)</f>
        <v>0</v>
      </c>
      <c r="P39" s="30">
        <f>SUMPRODUCT((Mandate!$D$6:$D$50=P$5)*(Mandate!$F$6:$F$50&lt;=$B39)*(Mandate!$G$6:$G$50&gt;=$B39)*Mandate!$L$6:$L$50)</f>
        <v>0</v>
      </c>
      <c r="Q39" s="30">
        <f>SUMPRODUCT((Mandate!$D$6:$D$50=Q$5)*(Mandate!$F$6:$F$50&lt;=$B39)*(Mandate!$G$6:$G$50&gt;=$B39)*Mandate!$L$6:$L$50)</f>
        <v>0</v>
      </c>
      <c r="R39" s="30">
        <f>SUMPRODUCT((Mandate!$D$6:$D$50=R$5)*(Mandate!$F$6:$F$50&lt;=$B39)*(Mandate!$G$6:$G$50&gt;=$B39)*Mandate!$L$6:$L$50)</f>
        <v>0</v>
      </c>
      <c r="S39" s="30">
        <f>SUMPRODUCT((Mandate!$D$6:$D$50=S$5)*(Mandate!$F$6:$F$50&lt;=$B39)*(Mandate!$G$6:$G$50&gt;=$B39)*Mandate!$L$6:$L$50)</f>
        <v>0</v>
      </c>
      <c r="T39" s="30">
        <f>SUMPRODUCT((Mandate!$D$6:$D$50=T$5)*(Mandate!$F$6:$F$50&lt;=$B39)*(Mandate!$G$6:$G$50&gt;=$B39)*Mandate!$L$6:$L$50)</f>
        <v>0</v>
      </c>
      <c r="U39" s="30">
        <f>SUMPRODUCT((Mandate!$D$6:$D$50=U$5)*(Mandate!$F$6:$F$50&lt;=$B39)*(Mandate!$G$6:$G$50&gt;=$B39)*Mandate!$L$6:$L$50)</f>
        <v>0</v>
      </c>
      <c r="V39" s="30">
        <f>SUMPRODUCT((Mandate!$D$6:$D$50=V$5)*(Mandate!$F$6:$F$50&lt;=$B39)*(Mandate!$G$6:$G$50&gt;=$B39)*Mandate!$L$6:$L$50)</f>
        <v>0</v>
      </c>
      <c r="W39" s="30">
        <f t="shared" ref="W39:W70" si="3">SUM(C39:V39)</f>
        <v>63.773232323232328</v>
      </c>
      <c r="X39" s="15">
        <f t="shared" ref="X39:X58" si="4">IFERROR(SUM(C39:V39)/SUM($C$6:$V$6),0)</f>
        <v>0.43981539533263675</v>
      </c>
      <c r="Y39" s="17" t="str">
        <f t="shared" ref="Y39:Y58" si="5">IF(SUMPRODUCT((C39:V39&gt;C$6:V$6)*ISNUMBER(C$6:V$6))&gt;0,"Engpass",IF(SUMPRODUCT((C39:V39&gt;0.85*N(C$6:V$6))*ISNUMBER(C$6:V$6))&gt;0,"eng","ok"))</f>
        <v>ok</v>
      </c>
    </row>
    <row r="40" spans="2:25" ht="15" customHeight="1">
      <c r="B40" s="29">
        <v>34</v>
      </c>
      <c r="C40" s="30">
        <f>SUMPRODUCT((Mandate!$D$6:$D$50=C$5)*(Mandate!$F$6:$F$50&lt;=$B40)*(Mandate!$G$6:$G$50&gt;=$B40)*Mandate!$L$6:$L$50)</f>
        <v>11</v>
      </c>
      <c r="D40" s="30">
        <f>SUMPRODUCT((Mandate!$D$6:$D$50=D$5)*(Mandate!$F$6:$F$50&lt;=$B40)*(Mandate!$G$6:$G$50&gt;=$B40)*Mandate!$L$6:$L$50)</f>
        <v>10.416666666666668</v>
      </c>
      <c r="E40" s="30">
        <f>SUMPRODUCT((Mandate!$D$6:$D$50=E$5)*(Mandate!$F$6:$F$50&lt;=$B40)*(Mandate!$G$6:$G$50&gt;=$B40)*Mandate!$L$6:$L$50)</f>
        <v>9.327272727272728</v>
      </c>
      <c r="F40" s="30">
        <f>SUMPRODUCT((Mandate!$D$6:$D$50=F$5)*(Mandate!$F$6:$F$50&lt;=$B40)*(Mandate!$G$6:$G$50&gt;=$B40)*Mandate!$L$6:$L$50)</f>
        <v>8.7777777777777786</v>
      </c>
      <c r="G40" s="30">
        <f>SUMPRODUCT((Mandate!$D$6:$D$50=G$5)*(Mandate!$F$6:$F$50&lt;=$B40)*(Mandate!$G$6:$G$50&gt;=$B40)*Mandate!$L$6:$L$50)</f>
        <v>7.55</v>
      </c>
      <c r="H40" s="30">
        <f>SUMPRODUCT((Mandate!$D$6:$D$50=H$5)*(Mandate!$F$6:$F$50&lt;=$B40)*(Mandate!$G$6:$G$50&gt;=$B40)*Mandate!$L$6:$L$50)</f>
        <v>7.418181818181818</v>
      </c>
      <c r="I40" s="30">
        <f>SUMPRODUCT((Mandate!$D$6:$D$50=I$5)*(Mandate!$F$6:$F$50&lt;=$B40)*(Mandate!$G$6:$G$50&gt;=$B40)*Mandate!$L$6:$L$50)</f>
        <v>6.25</v>
      </c>
      <c r="J40" s="30">
        <f>SUMPRODUCT((Mandate!$D$6:$D$50=J$5)*(Mandate!$F$6:$F$50&lt;=$B40)*(Mandate!$G$6:$G$50&gt;=$B40)*Mandate!$L$6:$L$50)</f>
        <v>2.8333333333333335</v>
      </c>
      <c r="K40" s="30">
        <f>SUMPRODUCT((Mandate!$D$6:$D$50=K$5)*(Mandate!$F$6:$F$50&lt;=$B40)*(Mandate!$G$6:$G$50&gt;=$B40)*Mandate!$L$6:$L$50)</f>
        <v>2.3333333333333335</v>
      </c>
      <c r="L40" s="30">
        <f>SUMPRODUCT((Mandate!$D$6:$D$50=L$5)*(Mandate!$F$6:$F$50&lt;=$B40)*(Mandate!$G$6:$G$50&gt;=$B40)*Mandate!$L$6:$L$50)</f>
        <v>1.6666666666666667</v>
      </c>
      <c r="M40" s="30">
        <f>SUMPRODUCT((Mandate!$D$6:$D$50=M$5)*(Mandate!$F$6:$F$50&lt;=$B40)*(Mandate!$G$6:$G$50&gt;=$B40)*Mandate!$L$6:$L$50)</f>
        <v>0</v>
      </c>
      <c r="N40" s="30">
        <f>SUMPRODUCT((Mandate!$D$6:$D$50=N$5)*(Mandate!$F$6:$F$50&lt;=$B40)*(Mandate!$G$6:$G$50&gt;=$B40)*Mandate!$L$6:$L$50)</f>
        <v>0</v>
      </c>
      <c r="O40" s="30">
        <f>SUMPRODUCT((Mandate!$D$6:$D$50=O$5)*(Mandate!$F$6:$F$50&lt;=$B40)*(Mandate!$G$6:$G$50&gt;=$B40)*Mandate!$L$6:$L$50)</f>
        <v>0</v>
      </c>
      <c r="P40" s="30">
        <f>SUMPRODUCT((Mandate!$D$6:$D$50=P$5)*(Mandate!$F$6:$F$50&lt;=$B40)*(Mandate!$G$6:$G$50&gt;=$B40)*Mandate!$L$6:$L$50)</f>
        <v>0</v>
      </c>
      <c r="Q40" s="30">
        <f>SUMPRODUCT((Mandate!$D$6:$D$50=Q$5)*(Mandate!$F$6:$F$50&lt;=$B40)*(Mandate!$G$6:$G$50&gt;=$B40)*Mandate!$L$6:$L$50)</f>
        <v>0</v>
      </c>
      <c r="R40" s="30">
        <f>SUMPRODUCT((Mandate!$D$6:$D$50=R$5)*(Mandate!$F$6:$F$50&lt;=$B40)*(Mandate!$G$6:$G$50&gt;=$B40)*Mandate!$L$6:$L$50)</f>
        <v>0</v>
      </c>
      <c r="S40" s="30">
        <f>SUMPRODUCT((Mandate!$D$6:$D$50=S$5)*(Mandate!$F$6:$F$50&lt;=$B40)*(Mandate!$G$6:$G$50&gt;=$B40)*Mandate!$L$6:$L$50)</f>
        <v>0</v>
      </c>
      <c r="T40" s="30">
        <f>SUMPRODUCT((Mandate!$D$6:$D$50=T$5)*(Mandate!$F$6:$F$50&lt;=$B40)*(Mandate!$G$6:$G$50&gt;=$B40)*Mandate!$L$6:$L$50)</f>
        <v>0</v>
      </c>
      <c r="U40" s="30">
        <f>SUMPRODUCT((Mandate!$D$6:$D$50=U$5)*(Mandate!$F$6:$F$50&lt;=$B40)*(Mandate!$G$6:$G$50&gt;=$B40)*Mandate!$L$6:$L$50)</f>
        <v>0</v>
      </c>
      <c r="V40" s="30">
        <f>SUMPRODUCT((Mandate!$D$6:$D$50=V$5)*(Mandate!$F$6:$F$50&lt;=$B40)*(Mandate!$G$6:$G$50&gt;=$B40)*Mandate!$L$6:$L$50)</f>
        <v>0</v>
      </c>
      <c r="W40" s="30">
        <f t="shared" si="3"/>
        <v>67.573232323232332</v>
      </c>
      <c r="X40" s="15">
        <f t="shared" si="4"/>
        <v>0.4660222918843609</v>
      </c>
      <c r="Y40" s="17" t="str">
        <f t="shared" si="5"/>
        <v>ok</v>
      </c>
    </row>
    <row r="41" spans="2:25" ht="15" customHeight="1">
      <c r="B41" s="29">
        <v>35</v>
      </c>
      <c r="C41" s="30">
        <f>SUMPRODUCT((Mandate!$D$6:$D$50=C$5)*(Mandate!$F$6:$F$50&lt;=$B41)*(Mandate!$G$6:$G$50&gt;=$B41)*Mandate!$L$6:$L$50)</f>
        <v>11</v>
      </c>
      <c r="D41" s="30">
        <f>SUMPRODUCT((Mandate!$D$6:$D$50=D$5)*(Mandate!$F$6:$F$50&lt;=$B41)*(Mandate!$G$6:$G$50&gt;=$B41)*Mandate!$L$6:$L$50)</f>
        <v>10.416666666666668</v>
      </c>
      <c r="E41" s="30">
        <f>SUMPRODUCT((Mandate!$D$6:$D$50=E$5)*(Mandate!$F$6:$F$50&lt;=$B41)*(Mandate!$G$6:$G$50&gt;=$B41)*Mandate!$L$6:$L$50)</f>
        <v>9.327272727272728</v>
      </c>
      <c r="F41" s="30">
        <f>SUMPRODUCT((Mandate!$D$6:$D$50=F$5)*(Mandate!$F$6:$F$50&lt;=$B41)*(Mandate!$G$6:$G$50&gt;=$B41)*Mandate!$L$6:$L$50)</f>
        <v>3.7777777777777777</v>
      </c>
      <c r="G41" s="30">
        <f>SUMPRODUCT((Mandate!$D$6:$D$50=G$5)*(Mandate!$F$6:$F$50&lt;=$B41)*(Mandate!$G$6:$G$50&gt;=$B41)*Mandate!$L$6:$L$50)</f>
        <v>7.55</v>
      </c>
      <c r="H41" s="30">
        <f>SUMPRODUCT((Mandate!$D$6:$D$50=H$5)*(Mandate!$F$6:$F$50&lt;=$B41)*(Mandate!$G$6:$G$50&gt;=$B41)*Mandate!$L$6:$L$50)</f>
        <v>7.418181818181818</v>
      </c>
      <c r="I41" s="30">
        <f>SUMPRODUCT((Mandate!$D$6:$D$50=I$5)*(Mandate!$F$6:$F$50&lt;=$B41)*(Mandate!$G$6:$G$50&gt;=$B41)*Mandate!$L$6:$L$50)</f>
        <v>6.25</v>
      </c>
      <c r="J41" s="30">
        <f>SUMPRODUCT((Mandate!$D$6:$D$50=J$5)*(Mandate!$F$6:$F$50&lt;=$B41)*(Mandate!$G$6:$G$50&gt;=$B41)*Mandate!$L$6:$L$50)</f>
        <v>6.8333333333333339</v>
      </c>
      <c r="K41" s="30">
        <f>SUMPRODUCT((Mandate!$D$6:$D$50=K$5)*(Mandate!$F$6:$F$50&lt;=$B41)*(Mandate!$G$6:$G$50&gt;=$B41)*Mandate!$L$6:$L$50)</f>
        <v>2.3333333333333335</v>
      </c>
      <c r="L41" s="30">
        <f>SUMPRODUCT((Mandate!$D$6:$D$50=L$5)*(Mandate!$F$6:$F$50&lt;=$B41)*(Mandate!$G$6:$G$50&gt;=$B41)*Mandate!$L$6:$L$50)</f>
        <v>1.6666666666666667</v>
      </c>
      <c r="M41" s="30">
        <f>SUMPRODUCT((Mandate!$D$6:$D$50=M$5)*(Mandate!$F$6:$F$50&lt;=$B41)*(Mandate!$G$6:$G$50&gt;=$B41)*Mandate!$L$6:$L$50)</f>
        <v>0</v>
      </c>
      <c r="N41" s="30">
        <f>SUMPRODUCT((Mandate!$D$6:$D$50=N$5)*(Mandate!$F$6:$F$50&lt;=$B41)*(Mandate!$G$6:$G$50&gt;=$B41)*Mandate!$L$6:$L$50)</f>
        <v>0</v>
      </c>
      <c r="O41" s="30">
        <f>SUMPRODUCT((Mandate!$D$6:$D$50=O$5)*(Mandate!$F$6:$F$50&lt;=$B41)*(Mandate!$G$6:$G$50&gt;=$B41)*Mandate!$L$6:$L$50)</f>
        <v>0</v>
      </c>
      <c r="P41" s="30">
        <f>SUMPRODUCT((Mandate!$D$6:$D$50=P$5)*(Mandate!$F$6:$F$50&lt;=$B41)*(Mandate!$G$6:$G$50&gt;=$B41)*Mandate!$L$6:$L$50)</f>
        <v>0</v>
      </c>
      <c r="Q41" s="30">
        <f>SUMPRODUCT((Mandate!$D$6:$D$50=Q$5)*(Mandate!$F$6:$F$50&lt;=$B41)*(Mandate!$G$6:$G$50&gt;=$B41)*Mandate!$L$6:$L$50)</f>
        <v>0</v>
      </c>
      <c r="R41" s="30">
        <f>SUMPRODUCT((Mandate!$D$6:$D$50=R$5)*(Mandate!$F$6:$F$50&lt;=$B41)*(Mandate!$G$6:$G$50&gt;=$B41)*Mandate!$L$6:$L$50)</f>
        <v>0</v>
      </c>
      <c r="S41" s="30">
        <f>SUMPRODUCT((Mandate!$D$6:$D$50=S$5)*(Mandate!$F$6:$F$50&lt;=$B41)*(Mandate!$G$6:$G$50&gt;=$B41)*Mandate!$L$6:$L$50)</f>
        <v>0</v>
      </c>
      <c r="T41" s="30">
        <f>SUMPRODUCT((Mandate!$D$6:$D$50=T$5)*(Mandate!$F$6:$F$50&lt;=$B41)*(Mandate!$G$6:$G$50&gt;=$B41)*Mandate!$L$6:$L$50)</f>
        <v>0</v>
      </c>
      <c r="U41" s="30">
        <f>SUMPRODUCT((Mandate!$D$6:$D$50=U$5)*(Mandate!$F$6:$F$50&lt;=$B41)*(Mandate!$G$6:$G$50&gt;=$B41)*Mandate!$L$6:$L$50)</f>
        <v>0</v>
      </c>
      <c r="V41" s="30">
        <f>SUMPRODUCT((Mandate!$D$6:$D$50=V$5)*(Mandate!$F$6:$F$50&lt;=$B41)*(Mandate!$G$6:$G$50&gt;=$B41)*Mandate!$L$6:$L$50)</f>
        <v>0</v>
      </c>
      <c r="W41" s="30">
        <f t="shared" si="3"/>
        <v>66.573232323232332</v>
      </c>
      <c r="X41" s="15">
        <f t="shared" si="4"/>
        <v>0.45912574016022301</v>
      </c>
      <c r="Y41" s="17" t="str">
        <f t="shared" si="5"/>
        <v>ok</v>
      </c>
    </row>
    <row r="42" spans="2:25" ht="15" customHeight="1">
      <c r="B42" s="29">
        <v>36</v>
      </c>
      <c r="C42" s="30">
        <f>SUMPRODUCT((Mandate!$D$6:$D$50=C$5)*(Mandate!$F$6:$F$50&lt;=$B42)*(Mandate!$G$6:$G$50&gt;=$B42)*Mandate!$L$6:$L$50)</f>
        <v>11</v>
      </c>
      <c r="D42" s="30">
        <f>SUMPRODUCT((Mandate!$D$6:$D$50=D$5)*(Mandate!$F$6:$F$50&lt;=$B42)*(Mandate!$G$6:$G$50&gt;=$B42)*Mandate!$L$6:$L$50)</f>
        <v>10.416666666666668</v>
      </c>
      <c r="E42" s="30">
        <f>SUMPRODUCT((Mandate!$D$6:$D$50=E$5)*(Mandate!$F$6:$F$50&lt;=$B42)*(Mandate!$G$6:$G$50&gt;=$B42)*Mandate!$L$6:$L$50)</f>
        <v>9.327272727272728</v>
      </c>
      <c r="F42" s="30">
        <f>SUMPRODUCT((Mandate!$D$6:$D$50=F$5)*(Mandate!$F$6:$F$50&lt;=$B42)*(Mandate!$G$6:$G$50&gt;=$B42)*Mandate!$L$6:$L$50)</f>
        <v>8.5777777777777775</v>
      </c>
      <c r="G42" s="30">
        <f>SUMPRODUCT((Mandate!$D$6:$D$50=G$5)*(Mandate!$F$6:$F$50&lt;=$B42)*(Mandate!$G$6:$G$50&gt;=$B42)*Mandate!$L$6:$L$50)</f>
        <v>7.55</v>
      </c>
      <c r="H42" s="30">
        <f>SUMPRODUCT((Mandate!$D$6:$D$50=H$5)*(Mandate!$F$6:$F$50&lt;=$B42)*(Mandate!$G$6:$G$50&gt;=$B42)*Mandate!$L$6:$L$50)</f>
        <v>7.418181818181818</v>
      </c>
      <c r="I42" s="30">
        <f>SUMPRODUCT((Mandate!$D$6:$D$50=I$5)*(Mandate!$F$6:$F$50&lt;=$B42)*(Mandate!$G$6:$G$50&gt;=$B42)*Mandate!$L$6:$L$50)</f>
        <v>6.25</v>
      </c>
      <c r="J42" s="30">
        <f>SUMPRODUCT((Mandate!$D$6:$D$50=J$5)*(Mandate!$F$6:$F$50&lt;=$B42)*(Mandate!$G$6:$G$50&gt;=$B42)*Mandate!$L$6:$L$50)</f>
        <v>6.8333333333333339</v>
      </c>
      <c r="K42" s="30">
        <f>SUMPRODUCT((Mandate!$D$6:$D$50=K$5)*(Mandate!$F$6:$F$50&lt;=$B42)*(Mandate!$G$6:$G$50&gt;=$B42)*Mandate!$L$6:$L$50)</f>
        <v>5</v>
      </c>
      <c r="L42" s="30">
        <f>SUMPRODUCT((Mandate!$D$6:$D$50=L$5)*(Mandate!$F$6:$F$50&lt;=$B42)*(Mandate!$G$6:$G$50&gt;=$B42)*Mandate!$L$6:$L$50)</f>
        <v>1.6666666666666667</v>
      </c>
      <c r="M42" s="30">
        <f>SUMPRODUCT((Mandate!$D$6:$D$50=M$5)*(Mandate!$F$6:$F$50&lt;=$B42)*(Mandate!$G$6:$G$50&gt;=$B42)*Mandate!$L$6:$L$50)</f>
        <v>0</v>
      </c>
      <c r="N42" s="30">
        <f>SUMPRODUCT((Mandate!$D$6:$D$50=N$5)*(Mandate!$F$6:$F$50&lt;=$B42)*(Mandate!$G$6:$G$50&gt;=$B42)*Mandate!$L$6:$L$50)</f>
        <v>0</v>
      </c>
      <c r="O42" s="30">
        <f>SUMPRODUCT((Mandate!$D$6:$D$50=O$5)*(Mandate!$F$6:$F$50&lt;=$B42)*(Mandate!$G$6:$G$50&gt;=$B42)*Mandate!$L$6:$L$50)</f>
        <v>0</v>
      </c>
      <c r="P42" s="30">
        <f>SUMPRODUCT((Mandate!$D$6:$D$50=P$5)*(Mandate!$F$6:$F$50&lt;=$B42)*(Mandate!$G$6:$G$50&gt;=$B42)*Mandate!$L$6:$L$50)</f>
        <v>0</v>
      </c>
      <c r="Q42" s="30">
        <f>SUMPRODUCT((Mandate!$D$6:$D$50=Q$5)*(Mandate!$F$6:$F$50&lt;=$B42)*(Mandate!$G$6:$G$50&gt;=$B42)*Mandate!$L$6:$L$50)</f>
        <v>0</v>
      </c>
      <c r="R42" s="30">
        <f>SUMPRODUCT((Mandate!$D$6:$D$50=R$5)*(Mandate!$F$6:$F$50&lt;=$B42)*(Mandate!$G$6:$G$50&gt;=$B42)*Mandate!$L$6:$L$50)</f>
        <v>0</v>
      </c>
      <c r="S42" s="30">
        <f>SUMPRODUCT((Mandate!$D$6:$D$50=S$5)*(Mandate!$F$6:$F$50&lt;=$B42)*(Mandate!$G$6:$G$50&gt;=$B42)*Mandate!$L$6:$L$50)</f>
        <v>0</v>
      </c>
      <c r="T42" s="30">
        <f>SUMPRODUCT((Mandate!$D$6:$D$50=T$5)*(Mandate!$F$6:$F$50&lt;=$B42)*(Mandate!$G$6:$G$50&gt;=$B42)*Mandate!$L$6:$L$50)</f>
        <v>0</v>
      </c>
      <c r="U42" s="30">
        <f>SUMPRODUCT((Mandate!$D$6:$D$50=U$5)*(Mandate!$F$6:$F$50&lt;=$B42)*(Mandate!$G$6:$G$50&gt;=$B42)*Mandate!$L$6:$L$50)</f>
        <v>0</v>
      </c>
      <c r="V42" s="30">
        <f>SUMPRODUCT((Mandate!$D$6:$D$50=V$5)*(Mandate!$F$6:$F$50&lt;=$B42)*(Mandate!$G$6:$G$50&gt;=$B42)*Mandate!$L$6:$L$50)</f>
        <v>0</v>
      </c>
      <c r="W42" s="30">
        <f t="shared" si="3"/>
        <v>74.039898989898987</v>
      </c>
      <c r="X42" s="15">
        <f t="shared" si="4"/>
        <v>0.51061999303378613</v>
      </c>
      <c r="Y42" s="17" t="str">
        <f t="shared" si="5"/>
        <v>ok</v>
      </c>
    </row>
    <row r="43" spans="2:25" ht="15" customHeight="1">
      <c r="B43" s="29">
        <v>37</v>
      </c>
      <c r="C43" s="30">
        <f>SUMPRODUCT((Mandate!$D$6:$D$50=C$5)*(Mandate!$F$6:$F$50&lt;=$B43)*(Mandate!$G$6:$G$50&gt;=$B43)*Mandate!$L$6:$L$50)</f>
        <v>5</v>
      </c>
      <c r="D43" s="30">
        <f>SUMPRODUCT((Mandate!$D$6:$D$50=D$5)*(Mandate!$F$6:$F$50&lt;=$B43)*(Mandate!$G$6:$G$50&gt;=$B43)*Mandate!$L$6:$L$50)</f>
        <v>10.416666666666668</v>
      </c>
      <c r="E43" s="30">
        <f>SUMPRODUCT((Mandate!$D$6:$D$50=E$5)*(Mandate!$F$6:$F$50&lt;=$B43)*(Mandate!$G$6:$G$50&gt;=$B43)*Mandate!$L$6:$L$50)</f>
        <v>9.327272727272728</v>
      </c>
      <c r="F43" s="30">
        <f>SUMPRODUCT((Mandate!$D$6:$D$50=F$5)*(Mandate!$F$6:$F$50&lt;=$B43)*(Mandate!$G$6:$G$50&gt;=$B43)*Mandate!$L$6:$L$50)</f>
        <v>8.5777777777777775</v>
      </c>
      <c r="G43" s="30">
        <f>SUMPRODUCT((Mandate!$D$6:$D$50=G$5)*(Mandate!$F$6:$F$50&lt;=$B43)*(Mandate!$G$6:$G$50&gt;=$B43)*Mandate!$L$6:$L$50)</f>
        <v>7.55</v>
      </c>
      <c r="H43" s="30">
        <f>SUMPRODUCT((Mandate!$D$6:$D$50=H$5)*(Mandate!$F$6:$F$50&lt;=$B43)*(Mandate!$G$6:$G$50&gt;=$B43)*Mandate!$L$6:$L$50)</f>
        <v>3.8181818181818183</v>
      </c>
      <c r="I43" s="30">
        <f>SUMPRODUCT((Mandate!$D$6:$D$50=I$5)*(Mandate!$F$6:$F$50&lt;=$B43)*(Mandate!$G$6:$G$50&gt;=$B43)*Mandate!$L$6:$L$50)</f>
        <v>6.25</v>
      </c>
      <c r="J43" s="30">
        <f>SUMPRODUCT((Mandate!$D$6:$D$50=J$5)*(Mandate!$F$6:$F$50&lt;=$B43)*(Mandate!$G$6:$G$50&gt;=$B43)*Mandate!$L$6:$L$50)</f>
        <v>6.8333333333333339</v>
      </c>
      <c r="K43" s="30">
        <f>SUMPRODUCT((Mandate!$D$6:$D$50=K$5)*(Mandate!$F$6:$F$50&lt;=$B43)*(Mandate!$G$6:$G$50&gt;=$B43)*Mandate!$L$6:$L$50)</f>
        <v>5</v>
      </c>
      <c r="L43" s="30">
        <f>SUMPRODUCT((Mandate!$D$6:$D$50=L$5)*(Mandate!$F$6:$F$50&lt;=$B43)*(Mandate!$G$6:$G$50&gt;=$B43)*Mandate!$L$6:$L$50)</f>
        <v>1.6666666666666667</v>
      </c>
      <c r="M43" s="30">
        <f>SUMPRODUCT((Mandate!$D$6:$D$50=M$5)*(Mandate!$F$6:$F$50&lt;=$B43)*(Mandate!$G$6:$G$50&gt;=$B43)*Mandate!$L$6:$L$50)</f>
        <v>0</v>
      </c>
      <c r="N43" s="30">
        <f>SUMPRODUCT((Mandate!$D$6:$D$50=N$5)*(Mandate!$F$6:$F$50&lt;=$B43)*(Mandate!$G$6:$G$50&gt;=$B43)*Mandate!$L$6:$L$50)</f>
        <v>0</v>
      </c>
      <c r="O43" s="30">
        <f>SUMPRODUCT((Mandate!$D$6:$D$50=O$5)*(Mandate!$F$6:$F$50&lt;=$B43)*(Mandate!$G$6:$G$50&gt;=$B43)*Mandate!$L$6:$L$50)</f>
        <v>0</v>
      </c>
      <c r="P43" s="30">
        <f>SUMPRODUCT((Mandate!$D$6:$D$50=P$5)*(Mandate!$F$6:$F$50&lt;=$B43)*(Mandate!$G$6:$G$50&gt;=$B43)*Mandate!$L$6:$L$50)</f>
        <v>0</v>
      </c>
      <c r="Q43" s="30">
        <f>SUMPRODUCT((Mandate!$D$6:$D$50=Q$5)*(Mandate!$F$6:$F$50&lt;=$B43)*(Mandate!$G$6:$G$50&gt;=$B43)*Mandate!$L$6:$L$50)</f>
        <v>0</v>
      </c>
      <c r="R43" s="30">
        <f>SUMPRODUCT((Mandate!$D$6:$D$50=R$5)*(Mandate!$F$6:$F$50&lt;=$B43)*(Mandate!$G$6:$G$50&gt;=$B43)*Mandate!$L$6:$L$50)</f>
        <v>0</v>
      </c>
      <c r="S43" s="30">
        <f>SUMPRODUCT((Mandate!$D$6:$D$50=S$5)*(Mandate!$F$6:$F$50&lt;=$B43)*(Mandate!$G$6:$G$50&gt;=$B43)*Mandate!$L$6:$L$50)</f>
        <v>0</v>
      </c>
      <c r="T43" s="30">
        <f>SUMPRODUCT((Mandate!$D$6:$D$50=T$5)*(Mandate!$F$6:$F$50&lt;=$B43)*(Mandate!$G$6:$G$50&gt;=$B43)*Mandate!$L$6:$L$50)</f>
        <v>0</v>
      </c>
      <c r="U43" s="30">
        <f>SUMPRODUCT((Mandate!$D$6:$D$50=U$5)*(Mandate!$F$6:$F$50&lt;=$B43)*(Mandate!$G$6:$G$50&gt;=$B43)*Mandate!$L$6:$L$50)</f>
        <v>0</v>
      </c>
      <c r="V43" s="30">
        <f>SUMPRODUCT((Mandate!$D$6:$D$50=V$5)*(Mandate!$F$6:$F$50&lt;=$B43)*(Mandate!$G$6:$G$50&gt;=$B43)*Mandate!$L$6:$L$50)</f>
        <v>0</v>
      </c>
      <c r="W43" s="30">
        <f t="shared" si="3"/>
        <v>64.439898989898992</v>
      </c>
      <c r="X43" s="15">
        <f t="shared" si="4"/>
        <v>0.44441309648206201</v>
      </c>
      <c r="Y43" s="17" t="str">
        <f t="shared" si="5"/>
        <v>ok</v>
      </c>
    </row>
    <row r="44" spans="2:25" ht="15" customHeight="1">
      <c r="B44" s="29">
        <v>38</v>
      </c>
      <c r="C44" s="30">
        <f>SUMPRODUCT((Mandate!$D$6:$D$50=C$5)*(Mandate!$F$6:$F$50&lt;=$B44)*(Mandate!$G$6:$G$50&gt;=$B44)*Mandate!$L$6:$L$50)</f>
        <v>12.777777777777779</v>
      </c>
      <c r="D44" s="30">
        <f>SUMPRODUCT((Mandate!$D$6:$D$50=D$5)*(Mandate!$F$6:$F$50&lt;=$B44)*(Mandate!$G$6:$G$50&gt;=$B44)*Mandate!$L$6:$L$50)</f>
        <v>10.416666666666668</v>
      </c>
      <c r="E44" s="30">
        <f>SUMPRODUCT((Mandate!$D$6:$D$50=E$5)*(Mandate!$F$6:$F$50&lt;=$B44)*(Mandate!$G$6:$G$50&gt;=$B44)*Mandate!$L$6:$L$50)</f>
        <v>9.327272727272728</v>
      </c>
      <c r="F44" s="30">
        <f>SUMPRODUCT((Mandate!$D$6:$D$50=F$5)*(Mandate!$F$6:$F$50&lt;=$B44)*(Mandate!$G$6:$G$50&gt;=$B44)*Mandate!$L$6:$L$50)</f>
        <v>8.5777777777777775</v>
      </c>
      <c r="G44" s="30">
        <f>SUMPRODUCT((Mandate!$D$6:$D$50=G$5)*(Mandate!$F$6:$F$50&lt;=$B44)*(Mandate!$G$6:$G$50&gt;=$B44)*Mandate!$L$6:$L$50)</f>
        <v>7.55</v>
      </c>
      <c r="H44" s="30">
        <f>SUMPRODUCT((Mandate!$D$6:$D$50=H$5)*(Mandate!$F$6:$F$50&lt;=$B44)*(Mandate!$G$6:$G$50&gt;=$B44)*Mandate!$L$6:$L$50)</f>
        <v>7.5681818181818183</v>
      </c>
      <c r="I44" s="30">
        <f>SUMPRODUCT((Mandate!$D$6:$D$50=I$5)*(Mandate!$F$6:$F$50&lt;=$B44)*(Mandate!$G$6:$G$50&gt;=$B44)*Mandate!$L$6:$L$50)</f>
        <v>3.25</v>
      </c>
      <c r="J44" s="30">
        <f>SUMPRODUCT((Mandate!$D$6:$D$50=J$5)*(Mandate!$F$6:$F$50&lt;=$B44)*(Mandate!$G$6:$G$50&gt;=$B44)*Mandate!$L$6:$L$50)</f>
        <v>6.8333333333333339</v>
      </c>
      <c r="K44" s="30">
        <f>SUMPRODUCT((Mandate!$D$6:$D$50=K$5)*(Mandate!$F$6:$F$50&lt;=$B44)*(Mandate!$G$6:$G$50&gt;=$B44)*Mandate!$L$6:$L$50)</f>
        <v>5</v>
      </c>
      <c r="L44" s="30">
        <f>SUMPRODUCT((Mandate!$D$6:$D$50=L$5)*(Mandate!$F$6:$F$50&lt;=$B44)*(Mandate!$G$6:$G$50&gt;=$B44)*Mandate!$L$6:$L$50)</f>
        <v>3.666666666666667</v>
      </c>
      <c r="M44" s="30">
        <f>SUMPRODUCT((Mandate!$D$6:$D$50=M$5)*(Mandate!$F$6:$F$50&lt;=$B44)*(Mandate!$G$6:$G$50&gt;=$B44)*Mandate!$L$6:$L$50)</f>
        <v>0</v>
      </c>
      <c r="N44" s="30">
        <f>SUMPRODUCT((Mandate!$D$6:$D$50=N$5)*(Mandate!$F$6:$F$50&lt;=$B44)*(Mandate!$G$6:$G$50&gt;=$B44)*Mandate!$L$6:$L$50)</f>
        <v>0</v>
      </c>
      <c r="O44" s="30">
        <f>SUMPRODUCT((Mandate!$D$6:$D$50=O$5)*(Mandate!$F$6:$F$50&lt;=$B44)*(Mandate!$G$6:$G$50&gt;=$B44)*Mandate!$L$6:$L$50)</f>
        <v>0</v>
      </c>
      <c r="P44" s="30">
        <f>SUMPRODUCT((Mandate!$D$6:$D$50=P$5)*(Mandate!$F$6:$F$50&lt;=$B44)*(Mandate!$G$6:$G$50&gt;=$B44)*Mandate!$L$6:$L$50)</f>
        <v>0</v>
      </c>
      <c r="Q44" s="30">
        <f>SUMPRODUCT((Mandate!$D$6:$D$50=Q$5)*(Mandate!$F$6:$F$50&lt;=$B44)*(Mandate!$G$6:$G$50&gt;=$B44)*Mandate!$L$6:$L$50)</f>
        <v>0</v>
      </c>
      <c r="R44" s="30">
        <f>SUMPRODUCT((Mandate!$D$6:$D$50=R$5)*(Mandate!$F$6:$F$50&lt;=$B44)*(Mandate!$G$6:$G$50&gt;=$B44)*Mandate!$L$6:$L$50)</f>
        <v>0</v>
      </c>
      <c r="S44" s="30">
        <f>SUMPRODUCT((Mandate!$D$6:$D$50=S$5)*(Mandate!$F$6:$F$50&lt;=$B44)*(Mandate!$G$6:$G$50&gt;=$B44)*Mandate!$L$6:$L$50)</f>
        <v>0</v>
      </c>
      <c r="T44" s="30">
        <f>SUMPRODUCT((Mandate!$D$6:$D$50=T$5)*(Mandate!$F$6:$F$50&lt;=$B44)*(Mandate!$G$6:$G$50&gt;=$B44)*Mandate!$L$6:$L$50)</f>
        <v>0</v>
      </c>
      <c r="U44" s="30">
        <f>SUMPRODUCT((Mandate!$D$6:$D$50=U$5)*(Mandate!$F$6:$F$50&lt;=$B44)*(Mandate!$G$6:$G$50&gt;=$B44)*Mandate!$L$6:$L$50)</f>
        <v>0</v>
      </c>
      <c r="V44" s="30">
        <f>SUMPRODUCT((Mandate!$D$6:$D$50=V$5)*(Mandate!$F$6:$F$50&lt;=$B44)*(Mandate!$G$6:$G$50&gt;=$B44)*Mandate!$L$6:$L$50)</f>
        <v>0</v>
      </c>
      <c r="W44" s="30">
        <f t="shared" si="3"/>
        <v>74.967676767676764</v>
      </c>
      <c r="X44" s="15">
        <f t="shared" si="4"/>
        <v>0.51701846046673627</v>
      </c>
      <c r="Y44" s="17" t="str">
        <f t="shared" si="5"/>
        <v>ok</v>
      </c>
    </row>
    <row r="45" spans="2:25" ht="15" customHeight="1">
      <c r="B45" s="29">
        <v>39</v>
      </c>
      <c r="C45" s="30">
        <f>SUMPRODUCT((Mandate!$D$6:$D$50=C$5)*(Mandate!$F$6:$F$50&lt;=$B45)*(Mandate!$G$6:$G$50&gt;=$B45)*Mandate!$L$6:$L$50)</f>
        <v>12.777777777777779</v>
      </c>
      <c r="D45" s="30">
        <f>SUMPRODUCT((Mandate!$D$6:$D$50=D$5)*(Mandate!$F$6:$F$50&lt;=$B45)*(Mandate!$G$6:$G$50&gt;=$B45)*Mandate!$L$6:$L$50)</f>
        <v>5</v>
      </c>
      <c r="E45" s="30">
        <f>SUMPRODUCT((Mandate!$D$6:$D$50=E$5)*(Mandate!$F$6:$F$50&lt;=$B45)*(Mandate!$G$6:$G$50&gt;=$B45)*Mandate!$L$6:$L$50)</f>
        <v>10.6</v>
      </c>
      <c r="F45" s="30">
        <f>SUMPRODUCT((Mandate!$D$6:$D$50=F$5)*(Mandate!$F$6:$F$50&lt;=$B45)*(Mandate!$G$6:$G$50&gt;=$B45)*Mandate!$L$6:$L$50)</f>
        <v>4.8</v>
      </c>
      <c r="G45" s="30">
        <f>SUMPRODUCT((Mandate!$D$6:$D$50=G$5)*(Mandate!$F$6:$F$50&lt;=$B45)*(Mandate!$G$6:$G$50&gt;=$B45)*Mandate!$L$6:$L$50)</f>
        <v>7.55</v>
      </c>
      <c r="H45" s="30">
        <f>SUMPRODUCT((Mandate!$D$6:$D$50=H$5)*(Mandate!$F$6:$F$50&lt;=$B45)*(Mandate!$G$6:$G$50&gt;=$B45)*Mandate!$L$6:$L$50)</f>
        <v>7.5681818181818183</v>
      </c>
      <c r="I45" s="30">
        <f>SUMPRODUCT((Mandate!$D$6:$D$50=I$5)*(Mandate!$F$6:$F$50&lt;=$B45)*(Mandate!$G$6:$G$50&gt;=$B45)*Mandate!$L$6:$L$50)</f>
        <v>7.25</v>
      </c>
      <c r="J45" s="30">
        <f>SUMPRODUCT((Mandate!$D$6:$D$50=J$5)*(Mandate!$F$6:$F$50&lt;=$B45)*(Mandate!$G$6:$G$50&gt;=$B45)*Mandate!$L$6:$L$50)</f>
        <v>6.8333333333333339</v>
      </c>
      <c r="K45" s="30">
        <f>SUMPRODUCT((Mandate!$D$6:$D$50=K$5)*(Mandate!$F$6:$F$50&lt;=$B45)*(Mandate!$G$6:$G$50&gt;=$B45)*Mandate!$L$6:$L$50)</f>
        <v>5</v>
      </c>
      <c r="L45" s="30">
        <f>SUMPRODUCT((Mandate!$D$6:$D$50=L$5)*(Mandate!$F$6:$F$50&lt;=$B45)*(Mandate!$G$6:$G$50&gt;=$B45)*Mandate!$L$6:$L$50)</f>
        <v>3.666666666666667</v>
      </c>
      <c r="M45" s="30">
        <f>SUMPRODUCT((Mandate!$D$6:$D$50=M$5)*(Mandate!$F$6:$F$50&lt;=$B45)*(Mandate!$G$6:$G$50&gt;=$B45)*Mandate!$L$6:$L$50)</f>
        <v>0</v>
      </c>
      <c r="N45" s="30">
        <f>SUMPRODUCT((Mandate!$D$6:$D$50=N$5)*(Mandate!$F$6:$F$50&lt;=$B45)*(Mandate!$G$6:$G$50&gt;=$B45)*Mandate!$L$6:$L$50)</f>
        <v>0</v>
      </c>
      <c r="O45" s="30">
        <f>SUMPRODUCT((Mandate!$D$6:$D$50=O$5)*(Mandate!$F$6:$F$50&lt;=$B45)*(Mandate!$G$6:$G$50&gt;=$B45)*Mandate!$L$6:$L$50)</f>
        <v>0</v>
      </c>
      <c r="P45" s="30">
        <f>SUMPRODUCT((Mandate!$D$6:$D$50=P$5)*(Mandate!$F$6:$F$50&lt;=$B45)*(Mandate!$G$6:$G$50&gt;=$B45)*Mandate!$L$6:$L$50)</f>
        <v>0</v>
      </c>
      <c r="Q45" s="30">
        <f>SUMPRODUCT((Mandate!$D$6:$D$50=Q$5)*(Mandate!$F$6:$F$50&lt;=$B45)*(Mandate!$G$6:$G$50&gt;=$B45)*Mandate!$L$6:$L$50)</f>
        <v>0</v>
      </c>
      <c r="R45" s="30">
        <f>SUMPRODUCT((Mandate!$D$6:$D$50=R$5)*(Mandate!$F$6:$F$50&lt;=$B45)*(Mandate!$G$6:$G$50&gt;=$B45)*Mandate!$L$6:$L$50)</f>
        <v>0</v>
      </c>
      <c r="S45" s="30">
        <f>SUMPRODUCT((Mandate!$D$6:$D$50=S$5)*(Mandate!$F$6:$F$50&lt;=$B45)*(Mandate!$G$6:$G$50&gt;=$B45)*Mandate!$L$6:$L$50)</f>
        <v>0</v>
      </c>
      <c r="T45" s="30">
        <f>SUMPRODUCT((Mandate!$D$6:$D$50=T$5)*(Mandate!$F$6:$F$50&lt;=$B45)*(Mandate!$G$6:$G$50&gt;=$B45)*Mandate!$L$6:$L$50)</f>
        <v>0</v>
      </c>
      <c r="U45" s="30">
        <f>SUMPRODUCT((Mandate!$D$6:$D$50=U$5)*(Mandate!$F$6:$F$50&lt;=$B45)*(Mandate!$G$6:$G$50&gt;=$B45)*Mandate!$L$6:$L$50)</f>
        <v>0</v>
      </c>
      <c r="V45" s="30">
        <f>SUMPRODUCT((Mandate!$D$6:$D$50=V$5)*(Mandate!$F$6:$F$50&lt;=$B45)*(Mandate!$G$6:$G$50&gt;=$B45)*Mandate!$L$6:$L$50)</f>
        <v>0</v>
      </c>
      <c r="W45" s="30">
        <f t="shared" si="3"/>
        <v>71.045959595959602</v>
      </c>
      <c r="X45" s="15">
        <f t="shared" si="4"/>
        <v>0.48997213514454896</v>
      </c>
      <c r="Y45" s="17" t="str">
        <f t="shared" si="5"/>
        <v>ok</v>
      </c>
    </row>
    <row r="46" spans="2:25" ht="15" customHeight="1">
      <c r="B46" s="29">
        <v>40</v>
      </c>
      <c r="C46" s="30">
        <f>SUMPRODUCT((Mandate!$D$6:$D$50=C$5)*(Mandate!$F$6:$F$50&lt;=$B46)*(Mandate!$G$6:$G$50&gt;=$B46)*Mandate!$L$6:$L$50)</f>
        <v>12.777777777777779</v>
      </c>
      <c r="D46" s="30">
        <f>SUMPRODUCT((Mandate!$D$6:$D$50=D$5)*(Mandate!$F$6:$F$50&lt;=$B46)*(Mandate!$G$6:$G$50&gt;=$B46)*Mandate!$L$6:$L$50)</f>
        <v>10.8</v>
      </c>
      <c r="E46" s="30">
        <f>SUMPRODUCT((Mandate!$D$6:$D$50=E$5)*(Mandate!$F$6:$F$50&lt;=$B46)*(Mandate!$G$6:$G$50&gt;=$B46)*Mandate!$L$6:$L$50)</f>
        <v>10.6</v>
      </c>
      <c r="F46" s="30">
        <f>SUMPRODUCT((Mandate!$D$6:$D$50=F$5)*(Mandate!$F$6:$F$50&lt;=$B46)*(Mandate!$G$6:$G$50&gt;=$B46)*Mandate!$L$6:$L$50)</f>
        <v>4.8</v>
      </c>
      <c r="G46" s="30">
        <f>SUMPRODUCT((Mandate!$D$6:$D$50=G$5)*(Mandate!$F$6:$F$50&lt;=$B46)*(Mandate!$G$6:$G$50&gt;=$B46)*Mandate!$L$6:$L$50)</f>
        <v>7.55</v>
      </c>
      <c r="H46" s="30">
        <f>SUMPRODUCT((Mandate!$D$6:$D$50=H$5)*(Mandate!$F$6:$F$50&lt;=$B46)*(Mandate!$G$6:$G$50&gt;=$B46)*Mandate!$L$6:$L$50)</f>
        <v>7.5681818181818183</v>
      </c>
      <c r="I46" s="30">
        <f>SUMPRODUCT((Mandate!$D$6:$D$50=I$5)*(Mandate!$F$6:$F$50&lt;=$B46)*(Mandate!$G$6:$G$50&gt;=$B46)*Mandate!$L$6:$L$50)</f>
        <v>7.25</v>
      </c>
      <c r="J46" s="30">
        <f>SUMPRODUCT((Mandate!$D$6:$D$50=J$5)*(Mandate!$F$6:$F$50&lt;=$B46)*(Mandate!$G$6:$G$50&gt;=$B46)*Mandate!$L$6:$L$50)</f>
        <v>6.8333333333333339</v>
      </c>
      <c r="K46" s="30">
        <f>SUMPRODUCT((Mandate!$D$6:$D$50=K$5)*(Mandate!$F$6:$F$50&lt;=$B46)*(Mandate!$G$6:$G$50&gt;=$B46)*Mandate!$L$6:$L$50)</f>
        <v>5</v>
      </c>
      <c r="L46" s="30">
        <f>SUMPRODUCT((Mandate!$D$6:$D$50=L$5)*(Mandate!$F$6:$F$50&lt;=$B46)*(Mandate!$G$6:$G$50&gt;=$B46)*Mandate!$L$6:$L$50)</f>
        <v>3.666666666666667</v>
      </c>
      <c r="M46" s="30">
        <f>SUMPRODUCT((Mandate!$D$6:$D$50=M$5)*(Mandate!$F$6:$F$50&lt;=$B46)*(Mandate!$G$6:$G$50&gt;=$B46)*Mandate!$L$6:$L$50)</f>
        <v>0</v>
      </c>
      <c r="N46" s="30">
        <f>SUMPRODUCT((Mandate!$D$6:$D$50=N$5)*(Mandate!$F$6:$F$50&lt;=$B46)*(Mandate!$G$6:$G$50&gt;=$B46)*Mandate!$L$6:$L$50)</f>
        <v>0</v>
      </c>
      <c r="O46" s="30">
        <f>SUMPRODUCT((Mandate!$D$6:$D$50=O$5)*(Mandate!$F$6:$F$50&lt;=$B46)*(Mandate!$G$6:$G$50&gt;=$B46)*Mandate!$L$6:$L$50)</f>
        <v>0</v>
      </c>
      <c r="P46" s="30">
        <f>SUMPRODUCT((Mandate!$D$6:$D$50=P$5)*(Mandate!$F$6:$F$50&lt;=$B46)*(Mandate!$G$6:$G$50&gt;=$B46)*Mandate!$L$6:$L$50)</f>
        <v>0</v>
      </c>
      <c r="Q46" s="30">
        <f>SUMPRODUCT((Mandate!$D$6:$D$50=Q$5)*(Mandate!$F$6:$F$50&lt;=$B46)*(Mandate!$G$6:$G$50&gt;=$B46)*Mandate!$L$6:$L$50)</f>
        <v>0</v>
      </c>
      <c r="R46" s="30">
        <f>SUMPRODUCT((Mandate!$D$6:$D$50=R$5)*(Mandate!$F$6:$F$50&lt;=$B46)*(Mandate!$G$6:$G$50&gt;=$B46)*Mandate!$L$6:$L$50)</f>
        <v>0</v>
      </c>
      <c r="S46" s="30">
        <f>SUMPRODUCT((Mandate!$D$6:$D$50=S$5)*(Mandate!$F$6:$F$50&lt;=$B46)*(Mandate!$G$6:$G$50&gt;=$B46)*Mandate!$L$6:$L$50)</f>
        <v>0</v>
      </c>
      <c r="T46" s="30">
        <f>SUMPRODUCT((Mandate!$D$6:$D$50=T$5)*(Mandate!$F$6:$F$50&lt;=$B46)*(Mandate!$G$6:$G$50&gt;=$B46)*Mandate!$L$6:$L$50)</f>
        <v>0</v>
      </c>
      <c r="U46" s="30">
        <f>SUMPRODUCT((Mandate!$D$6:$D$50=U$5)*(Mandate!$F$6:$F$50&lt;=$B46)*(Mandate!$G$6:$G$50&gt;=$B46)*Mandate!$L$6:$L$50)</f>
        <v>0</v>
      </c>
      <c r="V46" s="30">
        <f>SUMPRODUCT((Mandate!$D$6:$D$50=V$5)*(Mandate!$F$6:$F$50&lt;=$B46)*(Mandate!$G$6:$G$50&gt;=$B46)*Mandate!$L$6:$L$50)</f>
        <v>0</v>
      </c>
      <c r="W46" s="30">
        <f t="shared" si="3"/>
        <v>76.845959595959599</v>
      </c>
      <c r="X46" s="15">
        <f t="shared" si="4"/>
        <v>0.52997213514454899</v>
      </c>
      <c r="Y46" s="17" t="str">
        <f t="shared" si="5"/>
        <v>ok</v>
      </c>
    </row>
    <row r="47" spans="2:25" ht="15" customHeight="1">
      <c r="B47" s="29">
        <v>41</v>
      </c>
      <c r="C47" s="30">
        <f>SUMPRODUCT((Mandate!$D$6:$D$50=C$5)*(Mandate!$F$6:$F$50&lt;=$B47)*(Mandate!$G$6:$G$50&gt;=$B47)*Mandate!$L$6:$L$50)</f>
        <v>7.7777777777777777</v>
      </c>
      <c r="D47" s="30">
        <f>SUMPRODUCT((Mandate!$D$6:$D$50=D$5)*(Mandate!$F$6:$F$50&lt;=$B47)*(Mandate!$G$6:$G$50&gt;=$B47)*Mandate!$L$6:$L$50)</f>
        <v>10.8</v>
      </c>
      <c r="E47" s="30">
        <f>SUMPRODUCT((Mandate!$D$6:$D$50=E$5)*(Mandate!$F$6:$F$50&lt;=$B47)*(Mandate!$G$6:$G$50&gt;=$B47)*Mandate!$L$6:$L$50)</f>
        <v>6</v>
      </c>
      <c r="F47" s="30">
        <f>SUMPRODUCT((Mandate!$D$6:$D$50=F$5)*(Mandate!$F$6:$F$50&lt;=$B47)*(Mandate!$G$6:$G$50&gt;=$B47)*Mandate!$L$6:$L$50)</f>
        <v>8.5500000000000007</v>
      </c>
      <c r="G47" s="30">
        <f>SUMPRODUCT((Mandate!$D$6:$D$50=G$5)*(Mandate!$F$6:$F$50&lt;=$B47)*(Mandate!$G$6:$G$50&gt;=$B47)*Mandate!$L$6:$L$50)</f>
        <v>8.8000000000000007</v>
      </c>
      <c r="H47" s="30">
        <f>SUMPRODUCT((Mandate!$D$6:$D$50=H$5)*(Mandate!$F$6:$F$50&lt;=$B47)*(Mandate!$G$6:$G$50&gt;=$B47)*Mandate!$L$6:$L$50)</f>
        <v>7.5681818181818183</v>
      </c>
      <c r="I47" s="30">
        <f>SUMPRODUCT((Mandate!$D$6:$D$50=I$5)*(Mandate!$F$6:$F$50&lt;=$B47)*(Mandate!$G$6:$G$50&gt;=$B47)*Mandate!$L$6:$L$50)</f>
        <v>4</v>
      </c>
      <c r="J47" s="30">
        <f>SUMPRODUCT((Mandate!$D$6:$D$50=J$5)*(Mandate!$F$6:$F$50&lt;=$B47)*(Mandate!$G$6:$G$50&gt;=$B47)*Mandate!$L$6:$L$50)</f>
        <v>4</v>
      </c>
      <c r="K47" s="30">
        <f>SUMPRODUCT((Mandate!$D$6:$D$50=K$5)*(Mandate!$F$6:$F$50&lt;=$B47)*(Mandate!$G$6:$G$50&gt;=$B47)*Mandate!$L$6:$L$50)</f>
        <v>5</v>
      </c>
      <c r="L47" s="30">
        <f>SUMPRODUCT((Mandate!$D$6:$D$50=L$5)*(Mandate!$F$6:$F$50&lt;=$B47)*(Mandate!$G$6:$G$50&gt;=$B47)*Mandate!$L$6:$L$50)</f>
        <v>3.666666666666667</v>
      </c>
      <c r="M47" s="30">
        <f>SUMPRODUCT((Mandate!$D$6:$D$50=M$5)*(Mandate!$F$6:$F$50&lt;=$B47)*(Mandate!$G$6:$G$50&gt;=$B47)*Mandate!$L$6:$L$50)</f>
        <v>0</v>
      </c>
      <c r="N47" s="30">
        <f>SUMPRODUCT((Mandate!$D$6:$D$50=N$5)*(Mandate!$F$6:$F$50&lt;=$B47)*(Mandate!$G$6:$G$50&gt;=$B47)*Mandate!$L$6:$L$50)</f>
        <v>0</v>
      </c>
      <c r="O47" s="30">
        <f>SUMPRODUCT((Mandate!$D$6:$D$50=O$5)*(Mandate!$F$6:$F$50&lt;=$B47)*(Mandate!$G$6:$G$50&gt;=$B47)*Mandate!$L$6:$L$50)</f>
        <v>0</v>
      </c>
      <c r="P47" s="30">
        <f>SUMPRODUCT((Mandate!$D$6:$D$50=P$5)*(Mandate!$F$6:$F$50&lt;=$B47)*(Mandate!$G$6:$G$50&gt;=$B47)*Mandate!$L$6:$L$50)</f>
        <v>0</v>
      </c>
      <c r="Q47" s="30">
        <f>SUMPRODUCT((Mandate!$D$6:$D$50=Q$5)*(Mandate!$F$6:$F$50&lt;=$B47)*(Mandate!$G$6:$G$50&gt;=$B47)*Mandate!$L$6:$L$50)</f>
        <v>0</v>
      </c>
      <c r="R47" s="30">
        <f>SUMPRODUCT((Mandate!$D$6:$D$50=R$5)*(Mandate!$F$6:$F$50&lt;=$B47)*(Mandate!$G$6:$G$50&gt;=$B47)*Mandate!$L$6:$L$50)</f>
        <v>0</v>
      </c>
      <c r="S47" s="30">
        <f>SUMPRODUCT((Mandate!$D$6:$D$50=S$5)*(Mandate!$F$6:$F$50&lt;=$B47)*(Mandate!$G$6:$G$50&gt;=$B47)*Mandate!$L$6:$L$50)</f>
        <v>0</v>
      </c>
      <c r="T47" s="30">
        <f>SUMPRODUCT((Mandate!$D$6:$D$50=T$5)*(Mandate!$F$6:$F$50&lt;=$B47)*(Mandate!$G$6:$G$50&gt;=$B47)*Mandate!$L$6:$L$50)</f>
        <v>0</v>
      </c>
      <c r="U47" s="30">
        <f>SUMPRODUCT((Mandate!$D$6:$D$50=U$5)*(Mandate!$F$6:$F$50&lt;=$B47)*(Mandate!$G$6:$G$50&gt;=$B47)*Mandate!$L$6:$L$50)</f>
        <v>0</v>
      </c>
      <c r="V47" s="30">
        <f>SUMPRODUCT((Mandate!$D$6:$D$50=V$5)*(Mandate!$F$6:$F$50&lt;=$B47)*(Mandate!$G$6:$G$50&gt;=$B47)*Mandate!$L$6:$L$50)</f>
        <v>0</v>
      </c>
      <c r="W47" s="30">
        <f t="shared" si="3"/>
        <v>66.162626262626262</v>
      </c>
      <c r="X47" s="15">
        <f t="shared" si="4"/>
        <v>0.45629397422500872</v>
      </c>
      <c r="Y47" s="17" t="str">
        <f t="shared" si="5"/>
        <v>ok</v>
      </c>
    </row>
    <row r="48" spans="2:25" ht="15" customHeight="1">
      <c r="B48" s="29">
        <v>42</v>
      </c>
      <c r="C48" s="30">
        <f>SUMPRODUCT((Mandate!$D$6:$D$50=C$5)*(Mandate!$F$6:$F$50&lt;=$B48)*(Mandate!$G$6:$G$50&gt;=$B48)*Mandate!$L$6:$L$50)</f>
        <v>14.634920634920634</v>
      </c>
      <c r="D48" s="30">
        <f>SUMPRODUCT((Mandate!$D$6:$D$50=D$5)*(Mandate!$F$6:$F$50&lt;=$B48)*(Mandate!$G$6:$G$50&gt;=$B48)*Mandate!$L$6:$L$50)</f>
        <v>10.8</v>
      </c>
      <c r="E48" s="30">
        <f>SUMPRODUCT((Mandate!$D$6:$D$50=E$5)*(Mandate!$F$6:$F$50&lt;=$B48)*(Mandate!$G$6:$G$50&gt;=$B48)*Mandate!$L$6:$L$50)</f>
        <v>6</v>
      </c>
      <c r="F48" s="30">
        <f>SUMPRODUCT((Mandate!$D$6:$D$50=F$5)*(Mandate!$F$6:$F$50&lt;=$B48)*(Mandate!$G$6:$G$50&gt;=$B48)*Mandate!$L$6:$L$50)</f>
        <v>8.5500000000000007</v>
      </c>
      <c r="G48" s="30">
        <f>SUMPRODUCT((Mandate!$D$6:$D$50=G$5)*(Mandate!$F$6:$F$50&lt;=$B48)*(Mandate!$G$6:$G$50&gt;=$B48)*Mandate!$L$6:$L$50)</f>
        <v>8.8000000000000007</v>
      </c>
      <c r="H48" s="30">
        <f>SUMPRODUCT((Mandate!$D$6:$D$50=H$5)*(Mandate!$F$6:$F$50&lt;=$B48)*(Mandate!$G$6:$G$50&gt;=$B48)*Mandate!$L$6:$L$50)</f>
        <v>7.5681818181818183</v>
      </c>
      <c r="I48" s="30">
        <f>SUMPRODUCT((Mandate!$D$6:$D$50=I$5)*(Mandate!$F$6:$F$50&lt;=$B48)*(Mandate!$G$6:$G$50&gt;=$B48)*Mandate!$L$6:$L$50)</f>
        <v>4</v>
      </c>
      <c r="J48" s="30">
        <f>SUMPRODUCT((Mandate!$D$6:$D$50=J$5)*(Mandate!$F$6:$F$50&lt;=$B48)*(Mandate!$G$6:$G$50&gt;=$B48)*Mandate!$L$6:$L$50)</f>
        <v>7.75</v>
      </c>
      <c r="K48" s="30">
        <f>SUMPRODUCT((Mandate!$D$6:$D$50=K$5)*(Mandate!$F$6:$F$50&lt;=$B48)*(Mandate!$G$6:$G$50&gt;=$B48)*Mandate!$L$6:$L$50)</f>
        <v>2.6666666666666665</v>
      </c>
      <c r="L48" s="30">
        <f>SUMPRODUCT((Mandate!$D$6:$D$50=L$5)*(Mandate!$F$6:$F$50&lt;=$B48)*(Mandate!$G$6:$G$50&gt;=$B48)*Mandate!$L$6:$L$50)</f>
        <v>3.666666666666667</v>
      </c>
      <c r="M48" s="30">
        <f>SUMPRODUCT((Mandate!$D$6:$D$50=M$5)*(Mandate!$F$6:$F$50&lt;=$B48)*(Mandate!$G$6:$G$50&gt;=$B48)*Mandate!$L$6:$L$50)</f>
        <v>0</v>
      </c>
      <c r="N48" s="30">
        <f>SUMPRODUCT((Mandate!$D$6:$D$50=N$5)*(Mandate!$F$6:$F$50&lt;=$B48)*(Mandate!$G$6:$G$50&gt;=$B48)*Mandate!$L$6:$L$50)</f>
        <v>0</v>
      </c>
      <c r="O48" s="30">
        <f>SUMPRODUCT((Mandate!$D$6:$D$50=O$5)*(Mandate!$F$6:$F$50&lt;=$B48)*(Mandate!$G$6:$G$50&gt;=$B48)*Mandate!$L$6:$L$50)</f>
        <v>0</v>
      </c>
      <c r="P48" s="30">
        <f>SUMPRODUCT((Mandate!$D$6:$D$50=P$5)*(Mandate!$F$6:$F$50&lt;=$B48)*(Mandate!$G$6:$G$50&gt;=$B48)*Mandate!$L$6:$L$50)</f>
        <v>0</v>
      </c>
      <c r="Q48" s="30">
        <f>SUMPRODUCT((Mandate!$D$6:$D$50=Q$5)*(Mandate!$F$6:$F$50&lt;=$B48)*(Mandate!$G$6:$G$50&gt;=$B48)*Mandate!$L$6:$L$50)</f>
        <v>0</v>
      </c>
      <c r="R48" s="30">
        <f>SUMPRODUCT((Mandate!$D$6:$D$50=R$5)*(Mandate!$F$6:$F$50&lt;=$B48)*(Mandate!$G$6:$G$50&gt;=$B48)*Mandate!$L$6:$L$50)</f>
        <v>0</v>
      </c>
      <c r="S48" s="30">
        <f>SUMPRODUCT((Mandate!$D$6:$D$50=S$5)*(Mandate!$F$6:$F$50&lt;=$B48)*(Mandate!$G$6:$G$50&gt;=$B48)*Mandate!$L$6:$L$50)</f>
        <v>0</v>
      </c>
      <c r="T48" s="30">
        <f>SUMPRODUCT((Mandate!$D$6:$D$50=T$5)*(Mandate!$F$6:$F$50&lt;=$B48)*(Mandate!$G$6:$G$50&gt;=$B48)*Mandate!$L$6:$L$50)</f>
        <v>0</v>
      </c>
      <c r="U48" s="30">
        <f>SUMPRODUCT((Mandate!$D$6:$D$50=U$5)*(Mandate!$F$6:$F$50&lt;=$B48)*(Mandate!$G$6:$G$50&gt;=$B48)*Mandate!$L$6:$L$50)</f>
        <v>0</v>
      </c>
      <c r="V48" s="30">
        <f>SUMPRODUCT((Mandate!$D$6:$D$50=V$5)*(Mandate!$F$6:$F$50&lt;=$B48)*(Mandate!$G$6:$G$50&gt;=$B48)*Mandate!$L$6:$L$50)</f>
        <v>0</v>
      </c>
      <c r="W48" s="30">
        <f t="shared" si="3"/>
        <v>74.436435786435794</v>
      </c>
      <c r="X48" s="15">
        <f t="shared" si="4"/>
        <v>0.5133547295616262</v>
      </c>
      <c r="Y48" s="17" t="str">
        <f t="shared" si="5"/>
        <v>ok</v>
      </c>
    </row>
    <row r="49" spans="2:25" ht="15" customHeight="1">
      <c r="B49" s="29">
        <v>43</v>
      </c>
      <c r="C49" s="30">
        <f>SUMPRODUCT((Mandate!$D$6:$D$50=C$5)*(Mandate!$F$6:$F$50&lt;=$B49)*(Mandate!$G$6:$G$50&gt;=$B49)*Mandate!$L$6:$L$50)</f>
        <v>14.634920634920634</v>
      </c>
      <c r="D49" s="30">
        <f>SUMPRODUCT((Mandate!$D$6:$D$50=D$5)*(Mandate!$F$6:$F$50&lt;=$B49)*(Mandate!$G$6:$G$50&gt;=$B49)*Mandate!$L$6:$L$50)</f>
        <v>5.8</v>
      </c>
      <c r="E49" s="30">
        <f>SUMPRODUCT((Mandate!$D$6:$D$50=E$5)*(Mandate!$F$6:$F$50&lt;=$B49)*(Mandate!$G$6:$G$50&gt;=$B49)*Mandate!$L$6:$L$50)</f>
        <v>11</v>
      </c>
      <c r="F49" s="30">
        <f>SUMPRODUCT((Mandate!$D$6:$D$50=F$5)*(Mandate!$F$6:$F$50&lt;=$B49)*(Mandate!$G$6:$G$50&gt;=$B49)*Mandate!$L$6:$L$50)</f>
        <v>8.5500000000000007</v>
      </c>
      <c r="G49" s="30">
        <f>SUMPRODUCT((Mandate!$D$6:$D$50=G$5)*(Mandate!$F$6:$F$50&lt;=$B49)*(Mandate!$G$6:$G$50&gt;=$B49)*Mandate!$L$6:$L$50)</f>
        <v>8.8000000000000007</v>
      </c>
      <c r="H49" s="30">
        <f>SUMPRODUCT((Mandate!$D$6:$D$50=H$5)*(Mandate!$F$6:$F$50&lt;=$B49)*(Mandate!$G$6:$G$50&gt;=$B49)*Mandate!$L$6:$L$50)</f>
        <v>8.75</v>
      </c>
      <c r="I49" s="30">
        <f>SUMPRODUCT((Mandate!$D$6:$D$50=I$5)*(Mandate!$F$6:$F$50&lt;=$B49)*(Mandate!$G$6:$G$50&gt;=$B49)*Mandate!$L$6:$L$50)</f>
        <v>4</v>
      </c>
      <c r="J49" s="30">
        <f>SUMPRODUCT((Mandate!$D$6:$D$50=J$5)*(Mandate!$F$6:$F$50&lt;=$B49)*(Mandate!$G$6:$G$50&gt;=$B49)*Mandate!$L$6:$L$50)</f>
        <v>7.75</v>
      </c>
      <c r="K49" s="30">
        <f>SUMPRODUCT((Mandate!$D$6:$D$50=K$5)*(Mandate!$F$6:$F$50&lt;=$B49)*(Mandate!$G$6:$G$50&gt;=$B49)*Mandate!$L$6:$L$50)</f>
        <v>2.6666666666666665</v>
      </c>
      <c r="L49" s="30">
        <f>SUMPRODUCT((Mandate!$D$6:$D$50=L$5)*(Mandate!$F$6:$F$50&lt;=$B49)*(Mandate!$G$6:$G$50&gt;=$B49)*Mandate!$L$6:$L$50)</f>
        <v>2</v>
      </c>
      <c r="M49" s="30">
        <f>SUMPRODUCT((Mandate!$D$6:$D$50=M$5)*(Mandate!$F$6:$F$50&lt;=$B49)*(Mandate!$G$6:$G$50&gt;=$B49)*Mandate!$L$6:$L$50)</f>
        <v>0</v>
      </c>
      <c r="N49" s="30">
        <f>SUMPRODUCT((Mandate!$D$6:$D$50=N$5)*(Mandate!$F$6:$F$50&lt;=$B49)*(Mandate!$G$6:$G$50&gt;=$B49)*Mandate!$L$6:$L$50)</f>
        <v>0</v>
      </c>
      <c r="O49" s="30">
        <f>SUMPRODUCT((Mandate!$D$6:$D$50=O$5)*(Mandate!$F$6:$F$50&lt;=$B49)*(Mandate!$G$6:$G$50&gt;=$B49)*Mandate!$L$6:$L$50)</f>
        <v>0</v>
      </c>
      <c r="P49" s="30">
        <f>SUMPRODUCT((Mandate!$D$6:$D$50=P$5)*(Mandate!$F$6:$F$50&lt;=$B49)*(Mandate!$G$6:$G$50&gt;=$B49)*Mandate!$L$6:$L$50)</f>
        <v>0</v>
      </c>
      <c r="Q49" s="30">
        <f>SUMPRODUCT((Mandate!$D$6:$D$50=Q$5)*(Mandate!$F$6:$F$50&lt;=$B49)*(Mandate!$G$6:$G$50&gt;=$B49)*Mandate!$L$6:$L$50)</f>
        <v>0</v>
      </c>
      <c r="R49" s="30">
        <f>SUMPRODUCT((Mandate!$D$6:$D$50=R$5)*(Mandate!$F$6:$F$50&lt;=$B49)*(Mandate!$G$6:$G$50&gt;=$B49)*Mandate!$L$6:$L$50)</f>
        <v>0</v>
      </c>
      <c r="S49" s="30">
        <f>SUMPRODUCT((Mandate!$D$6:$D$50=S$5)*(Mandate!$F$6:$F$50&lt;=$B49)*(Mandate!$G$6:$G$50&gt;=$B49)*Mandate!$L$6:$L$50)</f>
        <v>0</v>
      </c>
      <c r="T49" s="30">
        <f>SUMPRODUCT((Mandate!$D$6:$D$50=T$5)*(Mandate!$F$6:$F$50&lt;=$B49)*(Mandate!$G$6:$G$50&gt;=$B49)*Mandate!$L$6:$L$50)</f>
        <v>0</v>
      </c>
      <c r="U49" s="30">
        <f>SUMPRODUCT((Mandate!$D$6:$D$50=U$5)*(Mandate!$F$6:$F$50&lt;=$B49)*(Mandate!$G$6:$G$50&gt;=$B49)*Mandate!$L$6:$L$50)</f>
        <v>0</v>
      </c>
      <c r="V49" s="30">
        <f>SUMPRODUCT((Mandate!$D$6:$D$50=V$5)*(Mandate!$F$6:$F$50&lt;=$B49)*(Mandate!$G$6:$G$50&gt;=$B49)*Mandate!$L$6:$L$50)</f>
        <v>0</v>
      </c>
      <c r="W49" s="30">
        <f t="shared" si="3"/>
        <v>73.95158730158731</v>
      </c>
      <c r="X49" s="15">
        <f t="shared" si="4"/>
        <v>0.51001094690749871</v>
      </c>
      <c r="Y49" s="17" t="str">
        <f t="shared" si="5"/>
        <v>ok</v>
      </c>
    </row>
    <row r="50" spans="2:25" ht="15" customHeight="1">
      <c r="B50" s="29">
        <v>44</v>
      </c>
      <c r="C50" s="30">
        <f>SUMPRODUCT((Mandate!$D$6:$D$50=C$5)*(Mandate!$F$6:$F$50&lt;=$B50)*(Mandate!$G$6:$G$50&gt;=$B50)*Mandate!$L$6:$L$50)</f>
        <v>20.349206349206348</v>
      </c>
      <c r="D50" s="30">
        <f>SUMPRODUCT((Mandate!$D$6:$D$50=D$5)*(Mandate!$F$6:$F$50&lt;=$B50)*(Mandate!$G$6:$G$50&gt;=$B50)*Mandate!$L$6:$L$50)</f>
        <v>12.228571428571428</v>
      </c>
      <c r="E50" s="30">
        <f>SUMPRODUCT((Mandate!$D$6:$D$50=E$5)*(Mandate!$F$6:$F$50&lt;=$B50)*(Mandate!$G$6:$G$50&gt;=$B50)*Mandate!$L$6:$L$50)</f>
        <v>11</v>
      </c>
      <c r="F50" s="30">
        <f>SUMPRODUCT((Mandate!$D$6:$D$50=F$5)*(Mandate!$F$6:$F$50&lt;=$B50)*(Mandate!$G$6:$G$50&gt;=$B50)*Mandate!$L$6:$L$50)</f>
        <v>8.5500000000000007</v>
      </c>
      <c r="G50" s="30">
        <f>SUMPRODUCT((Mandate!$D$6:$D$50=G$5)*(Mandate!$F$6:$F$50&lt;=$B50)*(Mandate!$G$6:$G$50&gt;=$B50)*Mandate!$L$6:$L$50)</f>
        <v>5</v>
      </c>
      <c r="H50" s="30">
        <f>SUMPRODUCT((Mandate!$D$6:$D$50=H$5)*(Mandate!$F$6:$F$50&lt;=$B50)*(Mandate!$G$6:$G$50&gt;=$B50)*Mandate!$L$6:$L$50)</f>
        <v>8.75</v>
      </c>
      <c r="I50" s="30">
        <f>SUMPRODUCT((Mandate!$D$6:$D$50=I$5)*(Mandate!$F$6:$F$50&lt;=$B50)*(Mandate!$G$6:$G$50&gt;=$B50)*Mandate!$L$6:$L$50)</f>
        <v>7.4285714285714288</v>
      </c>
      <c r="J50" s="30">
        <f>SUMPRODUCT((Mandate!$D$6:$D$50=J$5)*(Mandate!$F$6:$F$50&lt;=$B50)*(Mandate!$G$6:$G$50&gt;=$B50)*Mandate!$L$6:$L$50)</f>
        <v>7.75</v>
      </c>
      <c r="K50" s="30">
        <f>SUMPRODUCT((Mandate!$D$6:$D$50=K$5)*(Mandate!$F$6:$F$50&lt;=$B50)*(Mandate!$G$6:$G$50&gt;=$B50)*Mandate!$L$6:$L$50)</f>
        <v>5.6666666666666661</v>
      </c>
      <c r="L50" s="30">
        <f>SUMPRODUCT((Mandate!$D$6:$D$50=L$5)*(Mandate!$F$6:$F$50&lt;=$B50)*(Mandate!$G$6:$G$50&gt;=$B50)*Mandate!$L$6:$L$50)</f>
        <v>2</v>
      </c>
      <c r="M50" s="30">
        <f>SUMPRODUCT((Mandate!$D$6:$D$50=M$5)*(Mandate!$F$6:$F$50&lt;=$B50)*(Mandate!$G$6:$G$50&gt;=$B50)*Mandate!$L$6:$L$50)</f>
        <v>0</v>
      </c>
      <c r="N50" s="30">
        <f>SUMPRODUCT((Mandate!$D$6:$D$50=N$5)*(Mandate!$F$6:$F$50&lt;=$B50)*(Mandate!$G$6:$G$50&gt;=$B50)*Mandate!$L$6:$L$50)</f>
        <v>0</v>
      </c>
      <c r="O50" s="30">
        <f>SUMPRODUCT((Mandate!$D$6:$D$50=O$5)*(Mandate!$F$6:$F$50&lt;=$B50)*(Mandate!$G$6:$G$50&gt;=$B50)*Mandate!$L$6:$L$50)</f>
        <v>0</v>
      </c>
      <c r="P50" s="30">
        <f>SUMPRODUCT((Mandate!$D$6:$D$50=P$5)*(Mandate!$F$6:$F$50&lt;=$B50)*(Mandate!$G$6:$G$50&gt;=$B50)*Mandate!$L$6:$L$50)</f>
        <v>0</v>
      </c>
      <c r="Q50" s="30">
        <f>SUMPRODUCT((Mandate!$D$6:$D$50=Q$5)*(Mandate!$F$6:$F$50&lt;=$B50)*(Mandate!$G$6:$G$50&gt;=$B50)*Mandate!$L$6:$L$50)</f>
        <v>0</v>
      </c>
      <c r="R50" s="30">
        <f>SUMPRODUCT((Mandate!$D$6:$D$50=R$5)*(Mandate!$F$6:$F$50&lt;=$B50)*(Mandate!$G$6:$G$50&gt;=$B50)*Mandate!$L$6:$L$50)</f>
        <v>0</v>
      </c>
      <c r="S50" s="30">
        <f>SUMPRODUCT((Mandate!$D$6:$D$50=S$5)*(Mandate!$F$6:$F$50&lt;=$B50)*(Mandate!$G$6:$G$50&gt;=$B50)*Mandate!$L$6:$L$50)</f>
        <v>0</v>
      </c>
      <c r="T50" s="30">
        <f>SUMPRODUCT((Mandate!$D$6:$D$50=T$5)*(Mandate!$F$6:$F$50&lt;=$B50)*(Mandate!$G$6:$G$50&gt;=$B50)*Mandate!$L$6:$L$50)</f>
        <v>0</v>
      </c>
      <c r="U50" s="30">
        <f>SUMPRODUCT((Mandate!$D$6:$D$50=U$5)*(Mandate!$F$6:$F$50&lt;=$B50)*(Mandate!$G$6:$G$50&gt;=$B50)*Mandate!$L$6:$L$50)</f>
        <v>0</v>
      </c>
      <c r="V50" s="30">
        <f>SUMPRODUCT((Mandate!$D$6:$D$50=V$5)*(Mandate!$F$6:$F$50&lt;=$B50)*(Mandate!$G$6:$G$50&gt;=$B50)*Mandate!$L$6:$L$50)</f>
        <v>0</v>
      </c>
      <c r="W50" s="30">
        <f t="shared" si="3"/>
        <v>88.723015873015882</v>
      </c>
      <c r="X50" s="15">
        <f t="shared" si="4"/>
        <v>0.61188286808976466</v>
      </c>
      <c r="Y50" s="17" t="str">
        <f t="shared" si="5"/>
        <v>Engpass</v>
      </c>
    </row>
    <row r="51" spans="2:25" ht="15" customHeight="1">
      <c r="B51" s="29">
        <v>45</v>
      </c>
      <c r="C51" s="30">
        <f>SUMPRODUCT((Mandate!$D$6:$D$50=C$5)*(Mandate!$F$6:$F$50&lt;=$B51)*(Mandate!$G$6:$G$50&gt;=$B51)*Mandate!$L$6:$L$50)</f>
        <v>20.349206349206348</v>
      </c>
      <c r="D51" s="30">
        <f>SUMPRODUCT((Mandate!$D$6:$D$50=D$5)*(Mandate!$F$6:$F$50&lt;=$B51)*(Mandate!$G$6:$G$50&gt;=$B51)*Mandate!$L$6:$L$50)</f>
        <v>12.228571428571428</v>
      </c>
      <c r="E51" s="30">
        <f>SUMPRODUCT((Mandate!$D$6:$D$50=E$5)*(Mandate!$F$6:$F$50&lt;=$B51)*(Mandate!$G$6:$G$50&gt;=$B51)*Mandate!$L$6:$L$50)</f>
        <v>18.5</v>
      </c>
      <c r="F51" s="30">
        <f>SUMPRODUCT((Mandate!$D$6:$D$50=F$5)*(Mandate!$F$6:$F$50&lt;=$B51)*(Mandate!$G$6:$G$50&gt;=$B51)*Mandate!$L$6:$L$50)</f>
        <v>8.5500000000000007</v>
      </c>
      <c r="G51" s="30">
        <f>SUMPRODUCT((Mandate!$D$6:$D$50=G$5)*(Mandate!$F$6:$F$50&lt;=$B51)*(Mandate!$G$6:$G$50&gt;=$B51)*Mandate!$L$6:$L$50)</f>
        <v>8.5</v>
      </c>
      <c r="H51" s="30">
        <f>SUMPRODUCT((Mandate!$D$6:$D$50=H$5)*(Mandate!$F$6:$F$50&lt;=$B51)*(Mandate!$G$6:$G$50&gt;=$B51)*Mandate!$L$6:$L$50)</f>
        <v>8.75</v>
      </c>
      <c r="I51" s="30">
        <f>SUMPRODUCT((Mandate!$D$6:$D$50=I$5)*(Mandate!$F$6:$F$50&lt;=$B51)*(Mandate!$G$6:$G$50&gt;=$B51)*Mandate!$L$6:$L$50)</f>
        <v>7.4285714285714288</v>
      </c>
      <c r="J51" s="30">
        <f>SUMPRODUCT((Mandate!$D$6:$D$50=J$5)*(Mandate!$F$6:$F$50&lt;=$B51)*(Mandate!$G$6:$G$50&gt;=$B51)*Mandate!$L$6:$L$50)</f>
        <v>3.75</v>
      </c>
      <c r="K51" s="30">
        <f>SUMPRODUCT((Mandate!$D$6:$D$50=K$5)*(Mandate!$F$6:$F$50&lt;=$B51)*(Mandate!$G$6:$G$50&gt;=$B51)*Mandate!$L$6:$L$50)</f>
        <v>5.6666666666666661</v>
      </c>
      <c r="L51" s="30">
        <f>SUMPRODUCT((Mandate!$D$6:$D$50=L$5)*(Mandate!$F$6:$F$50&lt;=$B51)*(Mandate!$G$6:$G$50&gt;=$B51)*Mandate!$L$6:$L$50)</f>
        <v>2</v>
      </c>
      <c r="M51" s="30">
        <f>SUMPRODUCT((Mandate!$D$6:$D$50=M$5)*(Mandate!$F$6:$F$50&lt;=$B51)*(Mandate!$G$6:$G$50&gt;=$B51)*Mandate!$L$6:$L$50)</f>
        <v>0</v>
      </c>
      <c r="N51" s="30">
        <f>SUMPRODUCT((Mandate!$D$6:$D$50=N$5)*(Mandate!$F$6:$F$50&lt;=$B51)*(Mandate!$G$6:$G$50&gt;=$B51)*Mandate!$L$6:$L$50)</f>
        <v>0</v>
      </c>
      <c r="O51" s="30">
        <f>SUMPRODUCT((Mandate!$D$6:$D$50=O$5)*(Mandate!$F$6:$F$50&lt;=$B51)*(Mandate!$G$6:$G$50&gt;=$B51)*Mandate!$L$6:$L$50)</f>
        <v>0</v>
      </c>
      <c r="P51" s="30">
        <f>SUMPRODUCT((Mandate!$D$6:$D$50=P$5)*(Mandate!$F$6:$F$50&lt;=$B51)*(Mandate!$G$6:$G$50&gt;=$B51)*Mandate!$L$6:$L$50)</f>
        <v>0</v>
      </c>
      <c r="Q51" s="30">
        <f>SUMPRODUCT((Mandate!$D$6:$D$50=Q$5)*(Mandate!$F$6:$F$50&lt;=$B51)*(Mandate!$G$6:$G$50&gt;=$B51)*Mandate!$L$6:$L$50)</f>
        <v>0</v>
      </c>
      <c r="R51" s="30">
        <f>SUMPRODUCT((Mandate!$D$6:$D$50=R$5)*(Mandate!$F$6:$F$50&lt;=$B51)*(Mandate!$G$6:$G$50&gt;=$B51)*Mandate!$L$6:$L$50)</f>
        <v>0</v>
      </c>
      <c r="S51" s="30">
        <f>SUMPRODUCT((Mandate!$D$6:$D$50=S$5)*(Mandate!$F$6:$F$50&lt;=$B51)*(Mandate!$G$6:$G$50&gt;=$B51)*Mandate!$L$6:$L$50)</f>
        <v>0</v>
      </c>
      <c r="T51" s="30">
        <f>SUMPRODUCT((Mandate!$D$6:$D$50=T$5)*(Mandate!$F$6:$F$50&lt;=$B51)*(Mandate!$G$6:$G$50&gt;=$B51)*Mandate!$L$6:$L$50)</f>
        <v>0</v>
      </c>
      <c r="U51" s="30">
        <f>SUMPRODUCT((Mandate!$D$6:$D$50=U$5)*(Mandate!$F$6:$F$50&lt;=$B51)*(Mandate!$G$6:$G$50&gt;=$B51)*Mandate!$L$6:$L$50)</f>
        <v>0</v>
      </c>
      <c r="V51" s="30">
        <f>SUMPRODUCT((Mandate!$D$6:$D$50=V$5)*(Mandate!$F$6:$F$50&lt;=$B51)*(Mandate!$G$6:$G$50&gt;=$B51)*Mandate!$L$6:$L$50)</f>
        <v>0</v>
      </c>
      <c r="W51" s="30">
        <f t="shared" si="3"/>
        <v>95.723015873015882</v>
      </c>
      <c r="X51" s="15">
        <f t="shared" si="4"/>
        <v>0.66015873015873017</v>
      </c>
      <c r="Y51" s="17" t="str">
        <f t="shared" si="5"/>
        <v>Engpass</v>
      </c>
    </row>
    <row r="52" spans="2:25" ht="15" customHeight="1">
      <c r="B52" s="29">
        <v>46</v>
      </c>
      <c r="C52" s="30">
        <f>SUMPRODUCT((Mandate!$D$6:$D$50=C$5)*(Mandate!$F$6:$F$50&lt;=$B52)*(Mandate!$G$6:$G$50&gt;=$B52)*Mandate!$L$6:$L$50)</f>
        <v>20.349206349206348</v>
      </c>
      <c r="D52" s="30">
        <f>SUMPRODUCT((Mandate!$D$6:$D$50=D$5)*(Mandate!$F$6:$F$50&lt;=$B52)*(Mandate!$G$6:$G$50&gt;=$B52)*Mandate!$L$6:$L$50)</f>
        <v>12.228571428571428</v>
      </c>
      <c r="E52" s="30">
        <f>SUMPRODUCT((Mandate!$D$6:$D$50=E$5)*(Mandate!$F$6:$F$50&lt;=$B52)*(Mandate!$G$6:$G$50&gt;=$B52)*Mandate!$L$6:$L$50)</f>
        <v>18.5</v>
      </c>
      <c r="F52" s="30">
        <f>SUMPRODUCT((Mandate!$D$6:$D$50=F$5)*(Mandate!$F$6:$F$50&lt;=$B52)*(Mandate!$G$6:$G$50&gt;=$B52)*Mandate!$L$6:$L$50)</f>
        <v>7.4642857142857144</v>
      </c>
      <c r="G52" s="30">
        <f>SUMPRODUCT((Mandate!$D$6:$D$50=G$5)*(Mandate!$F$6:$F$50&lt;=$B52)*(Mandate!$G$6:$G$50&gt;=$B52)*Mandate!$L$6:$L$50)</f>
        <v>8.5</v>
      </c>
      <c r="H52" s="30">
        <f>SUMPRODUCT((Mandate!$D$6:$D$50=H$5)*(Mandate!$F$6:$F$50&lt;=$B52)*(Mandate!$G$6:$G$50&gt;=$B52)*Mandate!$L$6:$L$50)</f>
        <v>9.5714285714285712</v>
      </c>
      <c r="I52" s="30">
        <f>SUMPRODUCT((Mandate!$D$6:$D$50=I$5)*(Mandate!$F$6:$F$50&lt;=$B52)*(Mandate!$G$6:$G$50&gt;=$B52)*Mandate!$L$6:$L$50)</f>
        <v>7.4285714285714288</v>
      </c>
      <c r="J52" s="30">
        <f>SUMPRODUCT((Mandate!$D$6:$D$50=J$5)*(Mandate!$F$6:$F$50&lt;=$B52)*(Mandate!$G$6:$G$50&gt;=$B52)*Mandate!$L$6:$L$50)</f>
        <v>7.75</v>
      </c>
      <c r="K52" s="30">
        <f>SUMPRODUCT((Mandate!$D$6:$D$50=K$5)*(Mandate!$F$6:$F$50&lt;=$B52)*(Mandate!$G$6:$G$50&gt;=$B52)*Mandate!$L$6:$L$50)</f>
        <v>5.6666666666666661</v>
      </c>
      <c r="L52" s="30">
        <f>SUMPRODUCT((Mandate!$D$6:$D$50=L$5)*(Mandate!$F$6:$F$50&lt;=$B52)*(Mandate!$G$6:$G$50&gt;=$B52)*Mandate!$L$6:$L$50)</f>
        <v>2</v>
      </c>
      <c r="M52" s="30">
        <f>SUMPRODUCT((Mandate!$D$6:$D$50=M$5)*(Mandate!$F$6:$F$50&lt;=$B52)*(Mandate!$G$6:$G$50&gt;=$B52)*Mandate!$L$6:$L$50)</f>
        <v>0</v>
      </c>
      <c r="N52" s="30">
        <f>SUMPRODUCT((Mandate!$D$6:$D$50=N$5)*(Mandate!$F$6:$F$50&lt;=$B52)*(Mandate!$G$6:$G$50&gt;=$B52)*Mandate!$L$6:$L$50)</f>
        <v>0</v>
      </c>
      <c r="O52" s="30">
        <f>SUMPRODUCT((Mandate!$D$6:$D$50=O$5)*(Mandate!$F$6:$F$50&lt;=$B52)*(Mandate!$G$6:$G$50&gt;=$B52)*Mandate!$L$6:$L$50)</f>
        <v>0</v>
      </c>
      <c r="P52" s="30">
        <f>SUMPRODUCT((Mandate!$D$6:$D$50=P$5)*(Mandate!$F$6:$F$50&lt;=$B52)*(Mandate!$G$6:$G$50&gt;=$B52)*Mandate!$L$6:$L$50)</f>
        <v>0</v>
      </c>
      <c r="Q52" s="30">
        <f>SUMPRODUCT((Mandate!$D$6:$D$50=Q$5)*(Mandate!$F$6:$F$50&lt;=$B52)*(Mandate!$G$6:$G$50&gt;=$B52)*Mandate!$L$6:$L$50)</f>
        <v>0</v>
      </c>
      <c r="R52" s="30">
        <f>SUMPRODUCT((Mandate!$D$6:$D$50=R$5)*(Mandate!$F$6:$F$50&lt;=$B52)*(Mandate!$G$6:$G$50&gt;=$B52)*Mandate!$L$6:$L$50)</f>
        <v>0</v>
      </c>
      <c r="S52" s="30">
        <f>SUMPRODUCT((Mandate!$D$6:$D$50=S$5)*(Mandate!$F$6:$F$50&lt;=$B52)*(Mandate!$G$6:$G$50&gt;=$B52)*Mandate!$L$6:$L$50)</f>
        <v>0</v>
      </c>
      <c r="T52" s="30">
        <f>SUMPRODUCT((Mandate!$D$6:$D$50=T$5)*(Mandate!$F$6:$F$50&lt;=$B52)*(Mandate!$G$6:$G$50&gt;=$B52)*Mandate!$L$6:$L$50)</f>
        <v>0</v>
      </c>
      <c r="U52" s="30">
        <f>SUMPRODUCT((Mandate!$D$6:$D$50=U$5)*(Mandate!$F$6:$F$50&lt;=$B52)*(Mandate!$G$6:$G$50&gt;=$B52)*Mandate!$L$6:$L$50)</f>
        <v>0</v>
      </c>
      <c r="V52" s="30">
        <f>SUMPRODUCT((Mandate!$D$6:$D$50=V$5)*(Mandate!$F$6:$F$50&lt;=$B52)*(Mandate!$G$6:$G$50&gt;=$B52)*Mandate!$L$6:$L$50)</f>
        <v>0</v>
      </c>
      <c r="W52" s="30">
        <f t="shared" si="3"/>
        <v>99.458730158730162</v>
      </c>
      <c r="X52" s="15">
        <f t="shared" si="4"/>
        <v>0.68592227695675978</v>
      </c>
      <c r="Y52" s="17" t="str">
        <f t="shared" si="5"/>
        <v>Engpass</v>
      </c>
    </row>
    <row r="53" spans="2:25" ht="15" customHeight="1">
      <c r="B53" s="29">
        <v>47</v>
      </c>
      <c r="C53" s="30">
        <f>SUMPRODUCT((Mandate!$D$6:$D$50=C$5)*(Mandate!$F$6:$F$50&lt;=$B53)*(Mandate!$G$6:$G$50&gt;=$B53)*Mandate!$L$6:$L$50)</f>
        <v>12.571428571428571</v>
      </c>
      <c r="D53" s="30">
        <f>SUMPRODUCT((Mandate!$D$6:$D$50=D$5)*(Mandate!$F$6:$F$50&lt;=$B53)*(Mandate!$G$6:$G$50&gt;=$B53)*Mandate!$L$6:$L$50)</f>
        <v>17.228571428571428</v>
      </c>
      <c r="E53" s="30">
        <f>SUMPRODUCT((Mandate!$D$6:$D$50=E$5)*(Mandate!$F$6:$F$50&lt;=$B53)*(Mandate!$G$6:$G$50&gt;=$B53)*Mandate!$L$6:$L$50)</f>
        <v>18.5</v>
      </c>
      <c r="F53" s="30">
        <f>SUMPRODUCT((Mandate!$D$6:$D$50=F$5)*(Mandate!$F$6:$F$50&lt;=$B53)*(Mandate!$G$6:$G$50&gt;=$B53)*Mandate!$L$6:$L$50)</f>
        <v>7.4642857142857144</v>
      </c>
      <c r="G53" s="30">
        <f>SUMPRODUCT((Mandate!$D$6:$D$50=G$5)*(Mandate!$F$6:$F$50&lt;=$B53)*(Mandate!$G$6:$G$50&gt;=$B53)*Mandate!$L$6:$L$50)</f>
        <v>8.5</v>
      </c>
      <c r="H53" s="30">
        <f>SUMPRODUCT((Mandate!$D$6:$D$50=H$5)*(Mandate!$F$6:$F$50&lt;=$B53)*(Mandate!$G$6:$G$50&gt;=$B53)*Mandate!$L$6:$L$50)</f>
        <v>9.5714285714285712</v>
      </c>
      <c r="I53" s="30">
        <f>SUMPRODUCT((Mandate!$D$6:$D$50=I$5)*(Mandate!$F$6:$F$50&lt;=$B53)*(Mandate!$G$6:$G$50&gt;=$B53)*Mandate!$L$6:$L$50)</f>
        <v>7.4285714285714288</v>
      </c>
      <c r="J53" s="30">
        <f>SUMPRODUCT((Mandate!$D$6:$D$50=J$5)*(Mandate!$F$6:$F$50&lt;=$B53)*(Mandate!$G$6:$G$50&gt;=$B53)*Mandate!$L$6:$L$50)</f>
        <v>7.75</v>
      </c>
      <c r="K53" s="30">
        <f>SUMPRODUCT((Mandate!$D$6:$D$50=K$5)*(Mandate!$F$6:$F$50&lt;=$B53)*(Mandate!$G$6:$G$50&gt;=$B53)*Mandate!$L$6:$L$50)</f>
        <v>5.6666666666666661</v>
      </c>
      <c r="L53" s="30">
        <f>SUMPRODUCT((Mandate!$D$6:$D$50=L$5)*(Mandate!$F$6:$F$50&lt;=$B53)*(Mandate!$G$6:$G$50&gt;=$B53)*Mandate!$L$6:$L$50)</f>
        <v>2</v>
      </c>
      <c r="M53" s="30">
        <f>SUMPRODUCT((Mandate!$D$6:$D$50=M$5)*(Mandate!$F$6:$F$50&lt;=$B53)*(Mandate!$G$6:$G$50&gt;=$B53)*Mandate!$L$6:$L$50)</f>
        <v>0</v>
      </c>
      <c r="N53" s="30">
        <f>SUMPRODUCT((Mandate!$D$6:$D$50=N$5)*(Mandate!$F$6:$F$50&lt;=$B53)*(Mandate!$G$6:$G$50&gt;=$B53)*Mandate!$L$6:$L$50)</f>
        <v>0</v>
      </c>
      <c r="O53" s="30">
        <f>SUMPRODUCT((Mandate!$D$6:$D$50=O$5)*(Mandate!$F$6:$F$50&lt;=$B53)*(Mandate!$G$6:$G$50&gt;=$B53)*Mandate!$L$6:$L$50)</f>
        <v>0</v>
      </c>
      <c r="P53" s="30">
        <f>SUMPRODUCT((Mandate!$D$6:$D$50=P$5)*(Mandate!$F$6:$F$50&lt;=$B53)*(Mandate!$G$6:$G$50&gt;=$B53)*Mandate!$L$6:$L$50)</f>
        <v>0</v>
      </c>
      <c r="Q53" s="30">
        <f>SUMPRODUCT((Mandate!$D$6:$D$50=Q$5)*(Mandate!$F$6:$F$50&lt;=$B53)*(Mandate!$G$6:$G$50&gt;=$B53)*Mandate!$L$6:$L$50)</f>
        <v>0</v>
      </c>
      <c r="R53" s="30">
        <f>SUMPRODUCT((Mandate!$D$6:$D$50=R$5)*(Mandate!$F$6:$F$50&lt;=$B53)*(Mandate!$G$6:$G$50&gt;=$B53)*Mandate!$L$6:$L$50)</f>
        <v>0</v>
      </c>
      <c r="S53" s="30">
        <f>SUMPRODUCT((Mandate!$D$6:$D$50=S$5)*(Mandate!$F$6:$F$50&lt;=$B53)*(Mandate!$G$6:$G$50&gt;=$B53)*Mandate!$L$6:$L$50)</f>
        <v>0</v>
      </c>
      <c r="T53" s="30">
        <f>SUMPRODUCT((Mandate!$D$6:$D$50=T$5)*(Mandate!$F$6:$F$50&lt;=$B53)*(Mandate!$G$6:$G$50&gt;=$B53)*Mandate!$L$6:$L$50)</f>
        <v>0</v>
      </c>
      <c r="U53" s="30">
        <f>SUMPRODUCT((Mandate!$D$6:$D$50=U$5)*(Mandate!$F$6:$F$50&lt;=$B53)*(Mandate!$G$6:$G$50&gt;=$B53)*Mandate!$L$6:$L$50)</f>
        <v>0</v>
      </c>
      <c r="V53" s="30">
        <f>SUMPRODUCT((Mandate!$D$6:$D$50=V$5)*(Mandate!$F$6:$F$50&lt;=$B53)*(Mandate!$G$6:$G$50&gt;=$B53)*Mandate!$L$6:$L$50)</f>
        <v>0</v>
      </c>
      <c r="W53" s="30">
        <f t="shared" si="3"/>
        <v>96.680952380952377</v>
      </c>
      <c r="X53" s="15">
        <f t="shared" si="4"/>
        <v>0.66676518883415437</v>
      </c>
      <c r="Y53" s="17" t="str">
        <f t="shared" si="5"/>
        <v>Engpass</v>
      </c>
    </row>
    <row r="54" spans="2:25" ht="15" customHeight="1">
      <c r="B54" s="29">
        <v>48</v>
      </c>
      <c r="C54" s="30">
        <f>SUMPRODUCT((Mandate!$D$6:$D$50=C$5)*(Mandate!$F$6:$F$50&lt;=$B54)*(Mandate!$G$6:$G$50&gt;=$B54)*Mandate!$L$6:$L$50)</f>
        <v>12.571428571428571</v>
      </c>
      <c r="D54" s="30">
        <f>SUMPRODUCT((Mandate!$D$6:$D$50=D$5)*(Mandate!$F$6:$F$50&lt;=$B54)*(Mandate!$G$6:$G$50&gt;=$B54)*Mandate!$L$6:$L$50)</f>
        <v>17.228571428571428</v>
      </c>
      <c r="E54" s="30">
        <f>SUMPRODUCT((Mandate!$D$6:$D$50=E$5)*(Mandate!$F$6:$F$50&lt;=$B54)*(Mandate!$G$6:$G$50&gt;=$B54)*Mandate!$L$6:$L$50)</f>
        <v>18.5</v>
      </c>
      <c r="F54" s="30">
        <f>SUMPRODUCT((Mandate!$D$6:$D$50=F$5)*(Mandate!$F$6:$F$50&lt;=$B54)*(Mandate!$G$6:$G$50&gt;=$B54)*Mandate!$L$6:$L$50)</f>
        <v>7.4642857142857144</v>
      </c>
      <c r="G54" s="30">
        <f>SUMPRODUCT((Mandate!$D$6:$D$50=G$5)*(Mandate!$F$6:$F$50&lt;=$B54)*(Mandate!$G$6:$G$50&gt;=$B54)*Mandate!$L$6:$L$50)</f>
        <v>13.3</v>
      </c>
      <c r="H54" s="30">
        <f>SUMPRODUCT((Mandate!$D$6:$D$50=H$5)*(Mandate!$F$6:$F$50&lt;=$B54)*(Mandate!$G$6:$G$50&gt;=$B54)*Mandate!$L$6:$L$50)</f>
        <v>9.5714285714285712</v>
      </c>
      <c r="I54" s="30">
        <f>SUMPRODUCT((Mandate!$D$6:$D$50=I$5)*(Mandate!$F$6:$F$50&lt;=$B54)*(Mandate!$G$6:$G$50&gt;=$B54)*Mandate!$L$6:$L$50)</f>
        <v>3.4285714285714284</v>
      </c>
      <c r="J54" s="30">
        <f>SUMPRODUCT((Mandate!$D$6:$D$50=J$5)*(Mandate!$F$6:$F$50&lt;=$B54)*(Mandate!$G$6:$G$50&gt;=$B54)*Mandate!$L$6:$L$50)</f>
        <v>7.75</v>
      </c>
      <c r="K54" s="30">
        <f>SUMPRODUCT((Mandate!$D$6:$D$50=K$5)*(Mandate!$F$6:$F$50&lt;=$B54)*(Mandate!$G$6:$G$50&gt;=$B54)*Mandate!$L$6:$L$50)</f>
        <v>6.6</v>
      </c>
      <c r="L54" s="30">
        <f>SUMPRODUCT((Mandate!$D$6:$D$50=L$5)*(Mandate!$F$6:$F$50&lt;=$B54)*(Mandate!$G$6:$G$50&gt;=$B54)*Mandate!$L$6:$L$50)</f>
        <v>2</v>
      </c>
      <c r="M54" s="30">
        <f>SUMPRODUCT((Mandate!$D$6:$D$50=M$5)*(Mandate!$F$6:$F$50&lt;=$B54)*(Mandate!$G$6:$G$50&gt;=$B54)*Mandate!$L$6:$L$50)</f>
        <v>0</v>
      </c>
      <c r="N54" s="30">
        <f>SUMPRODUCT((Mandate!$D$6:$D$50=N$5)*(Mandate!$F$6:$F$50&lt;=$B54)*(Mandate!$G$6:$G$50&gt;=$B54)*Mandate!$L$6:$L$50)</f>
        <v>0</v>
      </c>
      <c r="O54" s="30">
        <f>SUMPRODUCT((Mandate!$D$6:$D$50=O$5)*(Mandate!$F$6:$F$50&lt;=$B54)*(Mandate!$G$6:$G$50&gt;=$B54)*Mandate!$L$6:$L$50)</f>
        <v>0</v>
      </c>
      <c r="P54" s="30">
        <f>SUMPRODUCT((Mandate!$D$6:$D$50=P$5)*(Mandate!$F$6:$F$50&lt;=$B54)*(Mandate!$G$6:$G$50&gt;=$B54)*Mandate!$L$6:$L$50)</f>
        <v>0</v>
      </c>
      <c r="Q54" s="30">
        <f>SUMPRODUCT((Mandate!$D$6:$D$50=Q$5)*(Mandate!$F$6:$F$50&lt;=$B54)*(Mandate!$G$6:$G$50&gt;=$B54)*Mandate!$L$6:$L$50)</f>
        <v>0</v>
      </c>
      <c r="R54" s="30">
        <f>SUMPRODUCT((Mandate!$D$6:$D$50=R$5)*(Mandate!$F$6:$F$50&lt;=$B54)*(Mandate!$G$6:$G$50&gt;=$B54)*Mandate!$L$6:$L$50)</f>
        <v>0</v>
      </c>
      <c r="S54" s="30">
        <f>SUMPRODUCT((Mandate!$D$6:$D$50=S$5)*(Mandate!$F$6:$F$50&lt;=$B54)*(Mandate!$G$6:$G$50&gt;=$B54)*Mandate!$L$6:$L$50)</f>
        <v>0</v>
      </c>
      <c r="T54" s="30">
        <f>SUMPRODUCT((Mandate!$D$6:$D$50=T$5)*(Mandate!$F$6:$F$50&lt;=$B54)*(Mandate!$G$6:$G$50&gt;=$B54)*Mandate!$L$6:$L$50)</f>
        <v>0</v>
      </c>
      <c r="U54" s="30">
        <f>SUMPRODUCT((Mandate!$D$6:$D$50=U$5)*(Mandate!$F$6:$F$50&lt;=$B54)*(Mandate!$G$6:$G$50&gt;=$B54)*Mandate!$L$6:$L$50)</f>
        <v>0</v>
      </c>
      <c r="V54" s="30">
        <f>SUMPRODUCT((Mandate!$D$6:$D$50=V$5)*(Mandate!$F$6:$F$50&lt;=$B54)*(Mandate!$G$6:$G$50&gt;=$B54)*Mandate!$L$6:$L$50)</f>
        <v>0</v>
      </c>
      <c r="W54" s="30">
        <f t="shared" si="3"/>
        <v>98.414285714285711</v>
      </c>
      <c r="X54" s="15">
        <f t="shared" si="4"/>
        <v>0.67871921182266004</v>
      </c>
      <c r="Y54" s="17" t="str">
        <f t="shared" si="5"/>
        <v>Engpass</v>
      </c>
    </row>
    <row r="55" spans="2:25" ht="15" customHeight="1">
      <c r="B55" s="29">
        <v>49</v>
      </c>
      <c r="C55" s="30">
        <f>SUMPRODUCT((Mandate!$D$6:$D$50=C$5)*(Mandate!$F$6:$F$50&lt;=$B55)*(Mandate!$G$6:$G$50&gt;=$B55)*Mandate!$L$6:$L$50)</f>
        <v>5.7142857142857144</v>
      </c>
      <c r="D55" s="30">
        <f>SUMPRODUCT((Mandate!$D$6:$D$50=D$5)*(Mandate!$F$6:$F$50&lt;=$B55)*(Mandate!$G$6:$G$50&gt;=$B55)*Mandate!$L$6:$L$50)</f>
        <v>17.228571428571428</v>
      </c>
      <c r="E55" s="30">
        <f>SUMPRODUCT((Mandate!$D$6:$D$50=E$5)*(Mandate!$F$6:$F$50&lt;=$B55)*(Mandate!$G$6:$G$50&gt;=$B55)*Mandate!$L$6:$L$50)</f>
        <v>12.5</v>
      </c>
      <c r="F55" s="30">
        <f>SUMPRODUCT((Mandate!$D$6:$D$50=F$5)*(Mandate!$F$6:$F$50&lt;=$B55)*(Mandate!$G$6:$G$50&gt;=$B55)*Mandate!$L$6:$L$50)</f>
        <v>3.7142857142857144</v>
      </c>
      <c r="G55" s="30">
        <f>SUMPRODUCT((Mandate!$D$6:$D$50=G$5)*(Mandate!$F$6:$F$50&lt;=$B55)*(Mandate!$G$6:$G$50&gt;=$B55)*Mandate!$L$6:$L$50)</f>
        <v>13.3</v>
      </c>
      <c r="H55" s="30">
        <f>SUMPRODUCT((Mandate!$D$6:$D$50=H$5)*(Mandate!$F$6:$F$50&lt;=$B55)*(Mandate!$G$6:$G$50&gt;=$B55)*Mandate!$L$6:$L$50)</f>
        <v>9.5714285714285712</v>
      </c>
      <c r="I55" s="30">
        <f>SUMPRODUCT((Mandate!$D$6:$D$50=I$5)*(Mandate!$F$6:$F$50&lt;=$B55)*(Mandate!$G$6:$G$50&gt;=$B55)*Mandate!$L$6:$L$50)</f>
        <v>3.4285714285714284</v>
      </c>
      <c r="J55" s="30">
        <f>SUMPRODUCT((Mandate!$D$6:$D$50=J$5)*(Mandate!$F$6:$F$50&lt;=$B55)*(Mandate!$G$6:$G$50&gt;=$B55)*Mandate!$L$6:$L$50)</f>
        <v>7.75</v>
      </c>
      <c r="K55" s="30">
        <f>SUMPRODUCT((Mandate!$D$6:$D$50=K$5)*(Mandate!$F$6:$F$50&lt;=$B55)*(Mandate!$G$6:$G$50&gt;=$B55)*Mandate!$L$6:$L$50)</f>
        <v>6.6</v>
      </c>
      <c r="L55" s="30">
        <f>SUMPRODUCT((Mandate!$D$6:$D$50=L$5)*(Mandate!$F$6:$F$50&lt;=$B55)*(Mandate!$G$6:$G$50&gt;=$B55)*Mandate!$L$6:$L$50)</f>
        <v>2</v>
      </c>
      <c r="M55" s="30">
        <f>SUMPRODUCT((Mandate!$D$6:$D$50=M$5)*(Mandate!$F$6:$F$50&lt;=$B55)*(Mandate!$G$6:$G$50&gt;=$B55)*Mandate!$L$6:$L$50)</f>
        <v>0</v>
      </c>
      <c r="N55" s="30">
        <f>SUMPRODUCT((Mandate!$D$6:$D$50=N$5)*(Mandate!$F$6:$F$50&lt;=$B55)*(Mandate!$G$6:$G$50&gt;=$B55)*Mandate!$L$6:$L$50)</f>
        <v>0</v>
      </c>
      <c r="O55" s="30">
        <f>SUMPRODUCT((Mandate!$D$6:$D$50=O$5)*(Mandate!$F$6:$F$50&lt;=$B55)*(Mandate!$G$6:$G$50&gt;=$B55)*Mandate!$L$6:$L$50)</f>
        <v>0</v>
      </c>
      <c r="P55" s="30">
        <f>SUMPRODUCT((Mandate!$D$6:$D$50=P$5)*(Mandate!$F$6:$F$50&lt;=$B55)*(Mandate!$G$6:$G$50&gt;=$B55)*Mandate!$L$6:$L$50)</f>
        <v>0</v>
      </c>
      <c r="Q55" s="30">
        <f>SUMPRODUCT((Mandate!$D$6:$D$50=Q$5)*(Mandate!$F$6:$F$50&lt;=$B55)*(Mandate!$G$6:$G$50&gt;=$B55)*Mandate!$L$6:$L$50)</f>
        <v>0</v>
      </c>
      <c r="R55" s="30">
        <f>SUMPRODUCT((Mandate!$D$6:$D$50=R$5)*(Mandate!$F$6:$F$50&lt;=$B55)*(Mandate!$G$6:$G$50&gt;=$B55)*Mandate!$L$6:$L$50)</f>
        <v>0</v>
      </c>
      <c r="S55" s="30">
        <f>SUMPRODUCT((Mandate!$D$6:$D$50=S$5)*(Mandate!$F$6:$F$50&lt;=$B55)*(Mandate!$G$6:$G$50&gt;=$B55)*Mandate!$L$6:$L$50)</f>
        <v>0</v>
      </c>
      <c r="T55" s="30">
        <f>SUMPRODUCT((Mandate!$D$6:$D$50=T$5)*(Mandate!$F$6:$F$50&lt;=$B55)*(Mandate!$G$6:$G$50&gt;=$B55)*Mandate!$L$6:$L$50)</f>
        <v>0</v>
      </c>
      <c r="U55" s="30">
        <f>SUMPRODUCT((Mandate!$D$6:$D$50=U$5)*(Mandate!$F$6:$F$50&lt;=$B55)*(Mandate!$G$6:$G$50&gt;=$B55)*Mandate!$L$6:$L$50)</f>
        <v>0</v>
      </c>
      <c r="V55" s="30">
        <f>SUMPRODUCT((Mandate!$D$6:$D$50=V$5)*(Mandate!$F$6:$F$50&lt;=$B55)*(Mandate!$G$6:$G$50&gt;=$B55)*Mandate!$L$6:$L$50)</f>
        <v>0</v>
      </c>
      <c r="W55" s="30">
        <f t="shared" si="3"/>
        <v>81.80714285714285</v>
      </c>
      <c r="X55" s="15">
        <f t="shared" si="4"/>
        <v>0.56418719211822654</v>
      </c>
      <c r="Y55" s="17" t="str">
        <f t="shared" si="5"/>
        <v>eng</v>
      </c>
    </row>
    <row r="56" spans="2:25" ht="15" customHeight="1">
      <c r="B56" s="29">
        <v>50</v>
      </c>
      <c r="C56" s="30">
        <f>SUMPRODUCT((Mandate!$D$6:$D$50=C$5)*(Mandate!$F$6:$F$50&lt;=$B56)*(Mandate!$G$6:$G$50&gt;=$B56)*Mandate!$L$6:$L$50)</f>
        <v>5.7142857142857144</v>
      </c>
      <c r="D56" s="30">
        <f>SUMPRODUCT((Mandate!$D$6:$D$50=D$5)*(Mandate!$F$6:$F$50&lt;=$B56)*(Mandate!$G$6:$G$50&gt;=$B56)*Mandate!$L$6:$L$50)</f>
        <v>11.428571428571429</v>
      </c>
      <c r="E56" s="30">
        <f>SUMPRODUCT((Mandate!$D$6:$D$50=E$5)*(Mandate!$F$6:$F$50&lt;=$B56)*(Mandate!$G$6:$G$50&gt;=$B56)*Mandate!$L$6:$L$50)</f>
        <v>12.5</v>
      </c>
      <c r="F56" s="30">
        <f>SUMPRODUCT((Mandate!$D$6:$D$50=F$5)*(Mandate!$F$6:$F$50&lt;=$B56)*(Mandate!$G$6:$G$50&gt;=$B56)*Mandate!$L$6:$L$50)</f>
        <v>3.7142857142857144</v>
      </c>
      <c r="G56" s="30">
        <f>SUMPRODUCT((Mandate!$D$6:$D$50=G$5)*(Mandate!$F$6:$F$50&lt;=$B56)*(Mandate!$G$6:$G$50&gt;=$B56)*Mandate!$L$6:$L$50)</f>
        <v>13.3</v>
      </c>
      <c r="H56" s="30">
        <f>SUMPRODUCT((Mandate!$D$6:$D$50=H$5)*(Mandate!$F$6:$F$50&lt;=$B56)*(Mandate!$G$6:$G$50&gt;=$B56)*Mandate!$L$6:$L$50)</f>
        <v>9.5714285714285712</v>
      </c>
      <c r="I56" s="30">
        <f>SUMPRODUCT((Mandate!$D$6:$D$50=I$5)*(Mandate!$F$6:$F$50&lt;=$B56)*(Mandate!$G$6:$G$50&gt;=$B56)*Mandate!$L$6:$L$50)</f>
        <v>3.4285714285714284</v>
      </c>
      <c r="J56" s="30">
        <f>SUMPRODUCT((Mandate!$D$6:$D$50=J$5)*(Mandate!$F$6:$F$50&lt;=$B56)*(Mandate!$G$6:$G$50&gt;=$B56)*Mandate!$L$6:$L$50)</f>
        <v>17.333333333333336</v>
      </c>
      <c r="K56" s="30">
        <f>SUMPRODUCT((Mandate!$D$6:$D$50=K$5)*(Mandate!$F$6:$F$50&lt;=$B56)*(Mandate!$G$6:$G$50&gt;=$B56)*Mandate!$L$6:$L$50)</f>
        <v>6.6</v>
      </c>
      <c r="L56" s="30">
        <f>SUMPRODUCT((Mandate!$D$6:$D$50=L$5)*(Mandate!$F$6:$F$50&lt;=$B56)*(Mandate!$G$6:$G$50&gt;=$B56)*Mandate!$L$6:$L$50)</f>
        <v>0</v>
      </c>
      <c r="M56" s="30">
        <f>SUMPRODUCT((Mandate!$D$6:$D$50=M$5)*(Mandate!$F$6:$F$50&lt;=$B56)*(Mandate!$G$6:$G$50&gt;=$B56)*Mandate!$L$6:$L$50)</f>
        <v>0</v>
      </c>
      <c r="N56" s="30">
        <f>SUMPRODUCT((Mandate!$D$6:$D$50=N$5)*(Mandate!$F$6:$F$50&lt;=$B56)*(Mandate!$G$6:$G$50&gt;=$B56)*Mandate!$L$6:$L$50)</f>
        <v>0</v>
      </c>
      <c r="O56" s="30">
        <f>SUMPRODUCT((Mandate!$D$6:$D$50=O$5)*(Mandate!$F$6:$F$50&lt;=$B56)*(Mandate!$G$6:$G$50&gt;=$B56)*Mandate!$L$6:$L$50)</f>
        <v>0</v>
      </c>
      <c r="P56" s="30">
        <f>SUMPRODUCT((Mandate!$D$6:$D$50=P$5)*(Mandate!$F$6:$F$50&lt;=$B56)*(Mandate!$G$6:$G$50&gt;=$B56)*Mandate!$L$6:$L$50)</f>
        <v>0</v>
      </c>
      <c r="Q56" s="30">
        <f>SUMPRODUCT((Mandate!$D$6:$D$50=Q$5)*(Mandate!$F$6:$F$50&lt;=$B56)*(Mandate!$G$6:$G$50&gt;=$B56)*Mandate!$L$6:$L$50)</f>
        <v>0</v>
      </c>
      <c r="R56" s="30">
        <f>SUMPRODUCT((Mandate!$D$6:$D$50=R$5)*(Mandate!$F$6:$F$50&lt;=$B56)*(Mandate!$G$6:$G$50&gt;=$B56)*Mandate!$L$6:$L$50)</f>
        <v>0</v>
      </c>
      <c r="S56" s="30">
        <f>SUMPRODUCT((Mandate!$D$6:$D$50=S$5)*(Mandate!$F$6:$F$50&lt;=$B56)*(Mandate!$G$6:$G$50&gt;=$B56)*Mandate!$L$6:$L$50)</f>
        <v>0</v>
      </c>
      <c r="T56" s="30">
        <f>SUMPRODUCT((Mandate!$D$6:$D$50=T$5)*(Mandate!$F$6:$F$50&lt;=$B56)*(Mandate!$G$6:$G$50&gt;=$B56)*Mandate!$L$6:$L$50)</f>
        <v>0</v>
      </c>
      <c r="U56" s="30">
        <f>SUMPRODUCT((Mandate!$D$6:$D$50=U$5)*(Mandate!$F$6:$F$50&lt;=$B56)*(Mandate!$G$6:$G$50&gt;=$B56)*Mandate!$L$6:$L$50)</f>
        <v>0</v>
      </c>
      <c r="V56" s="30">
        <f>SUMPRODUCT((Mandate!$D$6:$D$50=V$5)*(Mandate!$F$6:$F$50&lt;=$B56)*(Mandate!$G$6:$G$50&gt;=$B56)*Mandate!$L$6:$L$50)</f>
        <v>0</v>
      </c>
      <c r="W56" s="30">
        <f t="shared" si="3"/>
        <v>83.590476190476181</v>
      </c>
      <c r="X56" s="15">
        <f t="shared" si="4"/>
        <v>0.57648604269293913</v>
      </c>
      <c r="Y56" s="17" t="str">
        <f t="shared" si="5"/>
        <v>Engpass</v>
      </c>
    </row>
    <row r="57" spans="2:25" ht="15" customHeight="1">
      <c r="B57" s="29">
        <v>51</v>
      </c>
      <c r="C57" s="30">
        <f>SUMPRODUCT((Mandate!$D$6:$D$50=C$5)*(Mandate!$F$6:$F$50&lt;=$B57)*(Mandate!$G$6:$G$50&gt;=$B57)*Mandate!$L$6:$L$50)</f>
        <v>0</v>
      </c>
      <c r="D57" s="30">
        <f>SUMPRODUCT((Mandate!$D$6:$D$50=D$5)*(Mandate!$F$6:$F$50&lt;=$B57)*(Mandate!$G$6:$G$50&gt;=$B57)*Mandate!$L$6:$L$50)</f>
        <v>5</v>
      </c>
      <c r="E57" s="30">
        <f>SUMPRODUCT((Mandate!$D$6:$D$50=E$5)*(Mandate!$F$6:$F$50&lt;=$B57)*(Mandate!$G$6:$G$50&gt;=$B57)*Mandate!$L$6:$L$50)</f>
        <v>7.5</v>
      </c>
      <c r="F57" s="30">
        <f>SUMPRODUCT((Mandate!$D$6:$D$50=F$5)*(Mandate!$F$6:$F$50&lt;=$B57)*(Mandate!$G$6:$G$50&gt;=$B57)*Mandate!$L$6:$L$50)</f>
        <v>3.7142857142857144</v>
      </c>
      <c r="G57" s="30">
        <f>SUMPRODUCT((Mandate!$D$6:$D$50=G$5)*(Mandate!$F$6:$F$50&lt;=$B57)*(Mandate!$G$6:$G$50&gt;=$B57)*Mandate!$L$6:$L$50)</f>
        <v>8.3000000000000007</v>
      </c>
      <c r="H57" s="30">
        <f>SUMPRODUCT((Mandate!$D$6:$D$50=H$5)*(Mandate!$F$6:$F$50&lt;=$B57)*(Mandate!$G$6:$G$50&gt;=$B57)*Mandate!$L$6:$L$50)</f>
        <v>4.5714285714285712</v>
      </c>
      <c r="I57" s="30">
        <f>SUMPRODUCT((Mandate!$D$6:$D$50=I$5)*(Mandate!$F$6:$F$50&lt;=$B57)*(Mandate!$G$6:$G$50&gt;=$B57)*Mandate!$L$6:$L$50)</f>
        <v>0</v>
      </c>
      <c r="J57" s="30">
        <f>SUMPRODUCT((Mandate!$D$6:$D$50=J$5)*(Mandate!$F$6:$F$50&lt;=$B57)*(Mandate!$G$6:$G$50&gt;=$B57)*Mandate!$L$6:$L$50)</f>
        <v>17.333333333333336</v>
      </c>
      <c r="K57" s="30">
        <f>SUMPRODUCT((Mandate!$D$6:$D$50=K$5)*(Mandate!$F$6:$F$50&lt;=$B57)*(Mandate!$G$6:$G$50&gt;=$B57)*Mandate!$L$6:$L$50)</f>
        <v>6.6</v>
      </c>
      <c r="L57" s="30">
        <f>SUMPRODUCT((Mandate!$D$6:$D$50=L$5)*(Mandate!$F$6:$F$50&lt;=$B57)*(Mandate!$G$6:$G$50&gt;=$B57)*Mandate!$L$6:$L$50)</f>
        <v>0</v>
      </c>
      <c r="M57" s="30">
        <f>SUMPRODUCT((Mandate!$D$6:$D$50=M$5)*(Mandate!$F$6:$F$50&lt;=$B57)*(Mandate!$G$6:$G$50&gt;=$B57)*Mandate!$L$6:$L$50)</f>
        <v>0</v>
      </c>
      <c r="N57" s="30">
        <f>SUMPRODUCT((Mandate!$D$6:$D$50=N$5)*(Mandate!$F$6:$F$50&lt;=$B57)*(Mandate!$G$6:$G$50&gt;=$B57)*Mandate!$L$6:$L$50)</f>
        <v>0</v>
      </c>
      <c r="O57" s="30">
        <f>SUMPRODUCT((Mandate!$D$6:$D$50=O$5)*(Mandate!$F$6:$F$50&lt;=$B57)*(Mandate!$G$6:$G$50&gt;=$B57)*Mandate!$L$6:$L$50)</f>
        <v>0</v>
      </c>
      <c r="P57" s="30">
        <f>SUMPRODUCT((Mandate!$D$6:$D$50=P$5)*(Mandate!$F$6:$F$50&lt;=$B57)*(Mandate!$G$6:$G$50&gt;=$B57)*Mandate!$L$6:$L$50)</f>
        <v>0</v>
      </c>
      <c r="Q57" s="30">
        <f>SUMPRODUCT((Mandate!$D$6:$D$50=Q$5)*(Mandate!$F$6:$F$50&lt;=$B57)*(Mandate!$G$6:$G$50&gt;=$B57)*Mandate!$L$6:$L$50)</f>
        <v>0</v>
      </c>
      <c r="R57" s="30">
        <f>SUMPRODUCT((Mandate!$D$6:$D$50=R$5)*(Mandate!$F$6:$F$50&lt;=$B57)*(Mandate!$G$6:$G$50&gt;=$B57)*Mandate!$L$6:$L$50)</f>
        <v>0</v>
      </c>
      <c r="S57" s="30">
        <f>SUMPRODUCT((Mandate!$D$6:$D$50=S$5)*(Mandate!$F$6:$F$50&lt;=$B57)*(Mandate!$G$6:$G$50&gt;=$B57)*Mandate!$L$6:$L$50)</f>
        <v>0</v>
      </c>
      <c r="T57" s="30">
        <f>SUMPRODUCT((Mandate!$D$6:$D$50=T$5)*(Mandate!$F$6:$F$50&lt;=$B57)*(Mandate!$G$6:$G$50&gt;=$B57)*Mandate!$L$6:$L$50)</f>
        <v>0</v>
      </c>
      <c r="U57" s="30">
        <f>SUMPRODUCT((Mandate!$D$6:$D$50=U$5)*(Mandate!$F$6:$F$50&lt;=$B57)*(Mandate!$G$6:$G$50&gt;=$B57)*Mandate!$L$6:$L$50)</f>
        <v>0</v>
      </c>
      <c r="V57" s="30">
        <f>SUMPRODUCT((Mandate!$D$6:$D$50=V$5)*(Mandate!$F$6:$F$50&lt;=$B57)*(Mandate!$G$6:$G$50&gt;=$B57)*Mandate!$L$6:$L$50)</f>
        <v>0</v>
      </c>
      <c r="W57" s="30">
        <f t="shared" si="3"/>
        <v>53.019047619047626</v>
      </c>
      <c r="X57" s="15">
        <f t="shared" si="4"/>
        <v>0.36564860426929396</v>
      </c>
      <c r="Y57" s="17" t="str">
        <f t="shared" si="5"/>
        <v>Engpass</v>
      </c>
    </row>
    <row r="58" spans="2:25" ht="15" customHeight="1">
      <c r="B58" s="29">
        <v>52</v>
      </c>
      <c r="C58" s="30">
        <f>SUMPRODUCT((Mandate!$D$6:$D$50=C$5)*(Mandate!$F$6:$F$50&lt;=$B58)*(Mandate!$G$6:$G$50&gt;=$B58)*Mandate!$L$6:$L$50)</f>
        <v>0</v>
      </c>
      <c r="D58" s="30">
        <f>SUMPRODUCT((Mandate!$D$6:$D$50=D$5)*(Mandate!$F$6:$F$50&lt;=$B58)*(Mandate!$G$6:$G$50&gt;=$B58)*Mandate!$L$6:$L$50)</f>
        <v>5</v>
      </c>
      <c r="E58" s="30">
        <f>SUMPRODUCT((Mandate!$D$6:$D$50=E$5)*(Mandate!$F$6:$F$50&lt;=$B58)*(Mandate!$G$6:$G$50&gt;=$B58)*Mandate!$L$6:$L$50)</f>
        <v>7.5</v>
      </c>
      <c r="F58" s="30">
        <f>SUMPRODUCT((Mandate!$D$6:$D$50=F$5)*(Mandate!$F$6:$F$50&lt;=$B58)*(Mandate!$G$6:$G$50&gt;=$B58)*Mandate!$L$6:$L$50)</f>
        <v>3.7142857142857144</v>
      </c>
      <c r="G58" s="30">
        <f>SUMPRODUCT((Mandate!$D$6:$D$50=G$5)*(Mandate!$F$6:$F$50&lt;=$B58)*(Mandate!$G$6:$G$50&gt;=$B58)*Mandate!$L$6:$L$50)</f>
        <v>8.3000000000000007</v>
      </c>
      <c r="H58" s="30">
        <f>SUMPRODUCT((Mandate!$D$6:$D$50=H$5)*(Mandate!$F$6:$F$50&lt;=$B58)*(Mandate!$G$6:$G$50&gt;=$B58)*Mandate!$L$6:$L$50)</f>
        <v>4.5714285714285712</v>
      </c>
      <c r="I58" s="30">
        <f>SUMPRODUCT((Mandate!$D$6:$D$50=I$5)*(Mandate!$F$6:$F$50&lt;=$B58)*(Mandate!$G$6:$G$50&gt;=$B58)*Mandate!$L$6:$L$50)</f>
        <v>0</v>
      </c>
      <c r="J58" s="30">
        <f>SUMPRODUCT((Mandate!$D$6:$D$50=J$5)*(Mandate!$F$6:$F$50&lt;=$B58)*(Mandate!$G$6:$G$50&gt;=$B58)*Mandate!$L$6:$L$50)</f>
        <v>17.333333333333336</v>
      </c>
      <c r="K58" s="30">
        <f>SUMPRODUCT((Mandate!$D$6:$D$50=K$5)*(Mandate!$F$6:$F$50&lt;=$B58)*(Mandate!$G$6:$G$50&gt;=$B58)*Mandate!$L$6:$L$50)</f>
        <v>3.6</v>
      </c>
      <c r="L58" s="30">
        <f>SUMPRODUCT((Mandate!$D$6:$D$50=L$5)*(Mandate!$F$6:$F$50&lt;=$B58)*(Mandate!$G$6:$G$50&gt;=$B58)*Mandate!$L$6:$L$50)</f>
        <v>0</v>
      </c>
      <c r="M58" s="30">
        <f>SUMPRODUCT((Mandate!$D$6:$D$50=M$5)*(Mandate!$F$6:$F$50&lt;=$B58)*(Mandate!$G$6:$G$50&gt;=$B58)*Mandate!$L$6:$L$50)</f>
        <v>0</v>
      </c>
      <c r="N58" s="30">
        <f>SUMPRODUCT((Mandate!$D$6:$D$50=N$5)*(Mandate!$F$6:$F$50&lt;=$B58)*(Mandate!$G$6:$G$50&gt;=$B58)*Mandate!$L$6:$L$50)</f>
        <v>0</v>
      </c>
      <c r="O58" s="30">
        <f>SUMPRODUCT((Mandate!$D$6:$D$50=O$5)*(Mandate!$F$6:$F$50&lt;=$B58)*(Mandate!$G$6:$G$50&gt;=$B58)*Mandate!$L$6:$L$50)</f>
        <v>0</v>
      </c>
      <c r="P58" s="30">
        <f>SUMPRODUCT((Mandate!$D$6:$D$50=P$5)*(Mandate!$F$6:$F$50&lt;=$B58)*(Mandate!$G$6:$G$50&gt;=$B58)*Mandate!$L$6:$L$50)</f>
        <v>0</v>
      </c>
      <c r="Q58" s="30">
        <f>SUMPRODUCT((Mandate!$D$6:$D$50=Q$5)*(Mandate!$F$6:$F$50&lt;=$B58)*(Mandate!$G$6:$G$50&gt;=$B58)*Mandate!$L$6:$L$50)</f>
        <v>0</v>
      </c>
      <c r="R58" s="30">
        <f>SUMPRODUCT((Mandate!$D$6:$D$50=R$5)*(Mandate!$F$6:$F$50&lt;=$B58)*(Mandate!$G$6:$G$50&gt;=$B58)*Mandate!$L$6:$L$50)</f>
        <v>0</v>
      </c>
      <c r="S58" s="30">
        <f>SUMPRODUCT((Mandate!$D$6:$D$50=S$5)*(Mandate!$F$6:$F$50&lt;=$B58)*(Mandate!$G$6:$G$50&gt;=$B58)*Mandate!$L$6:$L$50)</f>
        <v>0</v>
      </c>
      <c r="T58" s="30">
        <f>SUMPRODUCT((Mandate!$D$6:$D$50=T$5)*(Mandate!$F$6:$F$50&lt;=$B58)*(Mandate!$G$6:$G$50&gt;=$B58)*Mandate!$L$6:$L$50)</f>
        <v>0</v>
      </c>
      <c r="U58" s="30">
        <f>SUMPRODUCT((Mandate!$D$6:$D$50=U$5)*(Mandate!$F$6:$F$50&lt;=$B58)*(Mandate!$G$6:$G$50&gt;=$B58)*Mandate!$L$6:$L$50)</f>
        <v>0</v>
      </c>
      <c r="V58" s="30">
        <f>SUMPRODUCT((Mandate!$D$6:$D$50=V$5)*(Mandate!$F$6:$F$50&lt;=$B58)*(Mandate!$G$6:$G$50&gt;=$B58)*Mandate!$L$6:$L$50)</f>
        <v>0</v>
      </c>
      <c r="W58" s="30">
        <f t="shared" si="3"/>
        <v>50.019047619047626</v>
      </c>
      <c r="X58" s="15">
        <f t="shared" si="4"/>
        <v>0.34495894909688019</v>
      </c>
      <c r="Y58" s="17" t="str">
        <f t="shared" si="5"/>
        <v>Engpass</v>
      </c>
    </row>
  </sheetData>
  <conditionalFormatting sqref="C7:V58">
    <cfRule type="expression" dxfId="8" priority="2">
      <formula>AND(C7&lt;&gt;"",ISNUMBER(C$6),C7&gt;C$6)</formula>
    </cfRule>
    <cfRule type="expression" dxfId="7" priority="3">
      <formula>AND(C7&lt;&gt;"",ISNUMBER(C$6),C7&gt;0.85*C$6)</formula>
    </cfRule>
  </conditionalFormatting>
  <conditionalFormatting sqref="X7:X58">
    <cfRule type="cellIs" dxfId="6" priority="4" operator="greaterThan">
      <formula>1</formula>
    </cfRule>
    <cfRule type="cellIs" dxfId="5" priority="5" operator="between">
      <formula>0.85</formula>
      <formula>1</formula>
    </cfRule>
    <cfRule type="cellIs" dxfId="4" priority="6" operator="lessThan">
      <formula>0.85</formula>
    </cfRule>
  </conditionalFormatting>
  <conditionalFormatting sqref="Y7:Y58">
    <cfRule type="cellIs" dxfId="3" priority="7" operator="equal">
      <formula>"Engpass"</formula>
    </cfRule>
    <cfRule type="cellIs" dxfId="2" priority="8" operator="equal">
      <formula>"eng"</formula>
    </cfRule>
    <cfRule type="cellIs" dxfId="1" priority="9" operator="equal">
      <formula>"ok"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63"/>
  <sheetViews>
    <sheetView showGridLines="0" tabSelected="1" topLeftCell="A4" zoomScaleNormal="100" workbookViewId="0">
      <selection activeCell="D9" sqref="D9"/>
    </sheetView>
  </sheetViews>
  <sheetFormatPr defaultColWidth="8.85546875" defaultRowHeight="15"/>
  <cols>
    <col min="1" max="1" width="2" customWidth="1"/>
    <col min="2" max="2" width="18" customWidth="1"/>
    <col min="3" max="5" width="22" customWidth="1"/>
    <col min="6" max="6" width="16" customWidth="1"/>
  </cols>
  <sheetData>
    <row r="2" spans="2:6" ht="15.75" customHeight="1">
      <c r="B2" s="1" t="s">
        <v>0</v>
      </c>
    </row>
    <row r="4" spans="2:6" ht="25.5" customHeight="1">
      <c r="B4" s="2" t="s">
        <v>109</v>
      </c>
    </row>
    <row r="5" spans="2:6" ht="15" customHeight="1">
      <c r="B5" s="3" t="s">
        <v>110</v>
      </c>
    </row>
    <row r="7" spans="2:6" ht="18.75" customHeight="1">
      <c r="B7" s="31" t="s">
        <v>111</v>
      </c>
      <c r="C7" s="3"/>
      <c r="D7" s="32">
        <f>SUM(Mandate!$E$6:$E$50)</f>
        <v>1756</v>
      </c>
      <c r="E7" s="3"/>
      <c r="F7" s="3"/>
    </row>
    <row r="8" spans="2:6" ht="18.75" customHeight="1">
      <c r="B8" s="31" t="s">
        <v>112</v>
      </c>
      <c r="C8" s="3"/>
      <c r="D8" s="33">
        <v>38</v>
      </c>
      <c r="E8" s="13" t="s">
        <v>113</v>
      </c>
      <c r="F8" s="3"/>
    </row>
    <row r="9" spans="2:6" ht="18.75" customHeight="1">
      <c r="B9" s="31" t="s">
        <v>114</v>
      </c>
      <c r="C9" s="3"/>
      <c r="D9" s="32">
        <f>SUM(Mandate!$H$6:$H$50)</f>
        <v>397</v>
      </c>
      <c r="E9" s="3"/>
      <c r="F9" s="3"/>
    </row>
    <row r="10" spans="2:6" ht="15" customHeight="1">
      <c r="B10" s="3"/>
      <c r="C10" s="3"/>
      <c r="D10" s="3"/>
      <c r="E10" s="3"/>
      <c r="F10" s="3"/>
    </row>
    <row r="11" spans="2:6" ht="15" customHeight="1">
      <c r="B11" s="4" t="s">
        <v>104</v>
      </c>
      <c r="C11" s="4" t="s">
        <v>115</v>
      </c>
      <c r="D11" s="4" t="s">
        <v>116</v>
      </c>
      <c r="E11" s="4" t="s">
        <v>117</v>
      </c>
      <c r="F11" s="4" t="s">
        <v>118</v>
      </c>
    </row>
    <row r="12" spans="2:6" ht="15" customHeight="1">
      <c r="B12" s="17">
        <v>1</v>
      </c>
      <c r="C12" s="8">
        <f>SUMPRODUCT(($B12&gt;=Mandate!$F$6:$F$50)*Mandate!$L$6:$L$50*(($B12&lt;=Mandate!$G$6:$G$50)*($B12-Mandate!$F$6:$F$50+1)+($B12&gt;Mandate!$G$6:$G$50)*(Mandate!$G$6:$G$50-Mandate!$F$6:$F$50+1)))</f>
        <v>0</v>
      </c>
      <c r="D12" s="8">
        <f>IF($B12&gt;$D$8,NA(),SUMPRODUCT(($B12&gt;=Mandate!$F$6:$F$50)*Mandate!$O$6:$O$50*(($B12&lt;=Mandate!$N$6:$N$50)*($B12-Mandate!$F$6:$F$50+1)+($B12&gt;Mandate!$N$6:$N$50)*(Mandate!$N$6:$N$50-Mandate!$F$6:$F$50+1))))</f>
        <v>0</v>
      </c>
      <c r="E12" s="8">
        <f t="shared" ref="E12:E43" si="0">$D$7-C12</f>
        <v>1756</v>
      </c>
      <c r="F12" s="8">
        <f t="shared" ref="F12:F43" si="1">IF($B12&gt;$D$8,NA(),$D$7-D12)</f>
        <v>1756</v>
      </c>
    </row>
    <row r="13" spans="2:6" ht="15" customHeight="1">
      <c r="B13" s="17">
        <v>2</v>
      </c>
      <c r="C13" s="8">
        <f>SUMPRODUCT(($B13&gt;=Mandate!$F$6:$F$50)*Mandate!$L$6:$L$50*(($B13&lt;=Mandate!$G$6:$G$50)*($B13-Mandate!$F$6:$F$50+1)+($B13&gt;Mandate!$G$6:$G$50)*(Mandate!$G$6:$G$50-Mandate!$F$6:$F$50+1)))</f>
        <v>0</v>
      </c>
      <c r="D13" s="8">
        <f>IF($B13&gt;$D$8,NA(),SUMPRODUCT(($B13&gt;=Mandate!$F$6:$F$50)*Mandate!$O$6:$O$50*(($B13&lt;=Mandate!$N$6:$N$50)*($B13-Mandate!$F$6:$F$50+1)+($B13&gt;Mandate!$N$6:$N$50)*(Mandate!$N$6:$N$50-Mandate!$F$6:$F$50+1))))</f>
        <v>0</v>
      </c>
      <c r="E13" s="8">
        <f t="shared" si="0"/>
        <v>1756</v>
      </c>
      <c r="F13" s="8">
        <f t="shared" si="1"/>
        <v>1756</v>
      </c>
    </row>
    <row r="14" spans="2:6" ht="15" customHeight="1">
      <c r="B14" s="17">
        <v>3</v>
      </c>
      <c r="C14" s="8">
        <f>SUMPRODUCT(($B14&gt;=Mandate!$F$6:$F$50)*Mandate!$L$6:$L$50*(($B14&lt;=Mandate!$G$6:$G$50)*($B14-Mandate!$F$6:$F$50+1)+($B14&gt;Mandate!$G$6:$G$50)*(Mandate!$G$6:$G$50-Mandate!$F$6:$F$50+1)))</f>
        <v>0</v>
      </c>
      <c r="D14" s="8">
        <f>IF($B14&gt;$D$8,NA(),SUMPRODUCT(($B14&gt;=Mandate!$F$6:$F$50)*Mandate!$O$6:$O$50*(($B14&lt;=Mandate!$N$6:$N$50)*($B14-Mandate!$F$6:$F$50+1)+($B14&gt;Mandate!$N$6:$N$50)*(Mandate!$N$6:$N$50-Mandate!$F$6:$F$50+1))))</f>
        <v>0</v>
      </c>
      <c r="E14" s="8">
        <f t="shared" si="0"/>
        <v>1756</v>
      </c>
      <c r="F14" s="8">
        <f t="shared" si="1"/>
        <v>1756</v>
      </c>
    </row>
    <row r="15" spans="2:6" ht="15" customHeight="1">
      <c r="B15" s="17">
        <v>4</v>
      </c>
      <c r="C15" s="8">
        <f>SUMPRODUCT(($B15&gt;=Mandate!$F$6:$F$50)*Mandate!$L$6:$L$50*(($B15&lt;=Mandate!$G$6:$G$50)*($B15-Mandate!$F$6:$F$50+1)+($B15&gt;Mandate!$G$6:$G$50)*(Mandate!$G$6:$G$50-Mandate!$F$6:$F$50+1)))</f>
        <v>0</v>
      </c>
      <c r="D15" s="8">
        <f>IF($B15&gt;$D$8,NA(),SUMPRODUCT(($B15&gt;=Mandate!$F$6:$F$50)*Mandate!$O$6:$O$50*(($B15&lt;=Mandate!$N$6:$N$50)*($B15-Mandate!$F$6:$F$50+1)+($B15&gt;Mandate!$N$6:$N$50)*(Mandate!$N$6:$N$50-Mandate!$F$6:$F$50+1))))</f>
        <v>0</v>
      </c>
      <c r="E15" s="8">
        <f t="shared" si="0"/>
        <v>1756</v>
      </c>
      <c r="F15" s="8">
        <f t="shared" si="1"/>
        <v>1756</v>
      </c>
    </row>
    <row r="16" spans="2:6" ht="15" customHeight="1">
      <c r="B16" s="17">
        <v>5</v>
      </c>
      <c r="C16" s="8">
        <f>SUMPRODUCT(($B16&gt;=Mandate!$F$6:$F$50)*Mandate!$L$6:$L$50*(($B16&lt;=Mandate!$G$6:$G$50)*($B16-Mandate!$F$6:$F$50+1)+($B16&gt;Mandate!$G$6:$G$50)*(Mandate!$G$6:$G$50-Mandate!$F$6:$F$50+1)))</f>
        <v>0</v>
      </c>
      <c r="D16" s="8">
        <f>IF($B16&gt;$D$8,NA(),SUMPRODUCT(($B16&gt;=Mandate!$F$6:$F$50)*Mandate!$O$6:$O$50*(($B16&lt;=Mandate!$N$6:$N$50)*($B16-Mandate!$F$6:$F$50+1)+($B16&gt;Mandate!$N$6:$N$50)*(Mandate!$N$6:$N$50-Mandate!$F$6:$F$50+1))))</f>
        <v>0</v>
      </c>
      <c r="E16" s="8">
        <f t="shared" si="0"/>
        <v>1756</v>
      </c>
      <c r="F16" s="8">
        <f t="shared" si="1"/>
        <v>1756</v>
      </c>
    </row>
    <row r="17" spans="2:6" ht="15" customHeight="1">
      <c r="B17" s="17">
        <v>6</v>
      </c>
      <c r="C17" s="8">
        <f>SUMPRODUCT(($B17&gt;=Mandate!$F$6:$F$50)*Mandate!$L$6:$L$50*(($B17&lt;=Mandate!$G$6:$G$50)*($B17-Mandate!$F$6:$F$50+1)+($B17&gt;Mandate!$G$6:$G$50)*(Mandate!$G$6:$G$50-Mandate!$F$6:$F$50+1)))</f>
        <v>0</v>
      </c>
      <c r="D17" s="8">
        <f>IF($B17&gt;$D$8,NA(),SUMPRODUCT(($B17&gt;=Mandate!$F$6:$F$50)*Mandate!$O$6:$O$50*(($B17&lt;=Mandate!$N$6:$N$50)*($B17-Mandate!$F$6:$F$50+1)+($B17&gt;Mandate!$N$6:$N$50)*(Mandate!$N$6:$N$50-Mandate!$F$6:$F$50+1))))</f>
        <v>0</v>
      </c>
      <c r="E17" s="8">
        <f t="shared" si="0"/>
        <v>1756</v>
      </c>
      <c r="F17" s="8">
        <f t="shared" si="1"/>
        <v>1756</v>
      </c>
    </row>
    <row r="18" spans="2:6" ht="15" customHeight="1">
      <c r="B18" s="17">
        <v>7</v>
      </c>
      <c r="C18" s="8">
        <f>SUMPRODUCT(($B18&gt;=Mandate!$F$6:$F$50)*Mandate!$L$6:$L$50*(($B18&lt;=Mandate!$G$6:$G$50)*($B18-Mandate!$F$6:$F$50+1)+($B18&gt;Mandate!$G$6:$G$50)*(Mandate!$G$6:$G$50-Mandate!$F$6:$F$50+1)))</f>
        <v>0</v>
      </c>
      <c r="D18" s="8">
        <f>IF($B18&gt;$D$8,NA(),SUMPRODUCT(($B18&gt;=Mandate!$F$6:$F$50)*Mandate!$O$6:$O$50*(($B18&lt;=Mandate!$N$6:$N$50)*($B18-Mandate!$F$6:$F$50+1)+($B18&gt;Mandate!$N$6:$N$50)*(Mandate!$N$6:$N$50-Mandate!$F$6:$F$50+1))))</f>
        <v>0</v>
      </c>
      <c r="E18" s="8">
        <f t="shared" si="0"/>
        <v>1756</v>
      </c>
      <c r="F18" s="8">
        <f t="shared" si="1"/>
        <v>1756</v>
      </c>
    </row>
    <row r="19" spans="2:6" ht="15" customHeight="1">
      <c r="B19" s="17">
        <v>8</v>
      </c>
      <c r="C19" s="8">
        <f>SUMPRODUCT(($B19&gt;=Mandate!$F$6:$F$50)*Mandate!$L$6:$L$50*(($B19&lt;=Mandate!$G$6:$G$50)*($B19-Mandate!$F$6:$F$50+1)+($B19&gt;Mandate!$G$6:$G$50)*(Mandate!$G$6:$G$50-Mandate!$F$6:$F$50+1)))</f>
        <v>0</v>
      </c>
      <c r="D19" s="8">
        <f>IF($B19&gt;$D$8,NA(),SUMPRODUCT(($B19&gt;=Mandate!$F$6:$F$50)*Mandate!$O$6:$O$50*(($B19&lt;=Mandate!$N$6:$N$50)*($B19-Mandate!$F$6:$F$50+1)+($B19&gt;Mandate!$N$6:$N$50)*(Mandate!$N$6:$N$50-Mandate!$F$6:$F$50+1))))</f>
        <v>0</v>
      </c>
      <c r="E19" s="8">
        <f t="shared" si="0"/>
        <v>1756</v>
      </c>
      <c r="F19" s="8">
        <f t="shared" si="1"/>
        <v>1756</v>
      </c>
    </row>
    <row r="20" spans="2:6" ht="15" customHeight="1">
      <c r="B20" s="17">
        <v>9</v>
      </c>
      <c r="C20" s="8">
        <f>SUMPRODUCT(($B20&gt;=Mandate!$F$6:$F$50)*Mandate!$L$6:$L$50*(($B20&lt;=Mandate!$G$6:$G$50)*($B20-Mandate!$F$6:$F$50+1)+($B20&gt;Mandate!$G$6:$G$50)*(Mandate!$G$6:$G$50-Mandate!$F$6:$F$50+1)))</f>
        <v>0</v>
      </c>
      <c r="D20" s="8">
        <f>IF($B20&gt;$D$8,NA(),SUMPRODUCT(($B20&gt;=Mandate!$F$6:$F$50)*Mandate!$O$6:$O$50*(($B20&lt;=Mandate!$N$6:$N$50)*($B20-Mandate!$F$6:$F$50+1)+($B20&gt;Mandate!$N$6:$N$50)*(Mandate!$N$6:$N$50-Mandate!$F$6:$F$50+1))))</f>
        <v>0</v>
      </c>
      <c r="E20" s="8">
        <f t="shared" si="0"/>
        <v>1756</v>
      </c>
      <c r="F20" s="8">
        <f t="shared" si="1"/>
        <v>1756</v>
      </c>
    </row>
    <row r="21" spans="2:6" ht="15" customHeight="1">
      <c r="B21" s="17">
        <v>10</v>
      </c>
      <c r="C21" s="8">
        <f>SUMPRODUCT(($B21&gt;=Mandate!$F$6:$F$50)*Mandate!$L$6:$L$50*(($B21&lt;=Mandate!$G$6:$G$50)*($B21-Mandate!$F$6:$F$50+1)+($B21&gt;Mandate!$G$6:$G$50)*(Mandate!$G$6:$G$50-Mandate!$F$6:$F$50+1)))</f>
        <v>0</v>
      </c>
      <c r="D21" s="8">
        <f>IF($B21&gt;$D$8,NA(),SUMPRODUCT(($B21&gt;=Mandate!$F$6:$F$50)*Mandate!$O$6:$O$50*(($B21&lt;=Mandate!$N$6:$N$50)*($B21-Mandate!$F$6:$F$50+1)+($B21&gt;Mandate!$N$6:$N$50)*(Mandate!$N$6:$N$50-Mandate!$F$6:$F$50+1))))</f>
        <v>0</v>
      </c>
      <c r="E21" s="8">
        <f t="shared" si="0"/>
        <v>1756</v>
      </c>
      <c r="F21" s="8">
        <f t="shared" si="1"/>
        <v>1756</v>
      </c>
    </row>
    <row r="22" spans="2:6" ht="15" customHeight="1">
      <c r="B22" s="17">
        <v>11</v>
      </c>
      <c r="C22" s="8">
        <f>SUMPRODUCT(($B22&gt;=Mandate!$F$6:$F$50)*Mandate!$L$6:$L$50*(($B22&lt;=Mandate!$G$6:$G$50)*($B22-Mandate!$F$6:$F$50+1)+($B22&gt;Mandate!$G$6:$G$50)*(Mandate!$G$6:$G$50-Mandate!$F$6:$F$50+1)))</f>
        <v>0</v>
      </c>
      <c r="D22" s="8">
        <f>IF($B22&gt;$D$8,NA(),SUMPRODUCT(($B22&gt;=Mandate!$F$6:$F$50)*Mandate!$O$6:$O$50*(($B22&lt;=Mandate!$N$6:$N$50)*($B22-Mandate!$F$6:$F$50+1)+($B22&gt;Mandate!$N$6:$N$50)*(Mandate!$N$6:$N$50-Mandate!$F$6:$F$50+1))))</f>
        <v>0</v>
      </c>
      <c r="E22" s="8">
        <f t="shared" si="0"/>
        <v>1756</v>
      </c>
      <c r="F22" s="8">
        <f t="shared" si="1"/>
        <v>1756</v>
      </c>
    </row>
    <row r="23" spans="2:6" ht="15" customHeight="1">
      <c r="B23" s="17">
        <v>12</v>
      </c>
      <c r="C23" s="8">
        <f>SUMPRODUCT(($B23&gt;=Mandate!$F$6:$F$50)*Mandate!$L$6:$L$50*(($B23&lt;=Mandate!$G$6:$G$50)*($B23-Mandate!$F$6:$F$50+1)+($B23&gt;Mandate!$G$6:$G$50)*(Mandate!$G$6:$G$50-Mandate!$F$6:$F$50+1)))</f>
        <v>0</v>
      </c>
      <c r="D23" s="8">
        <f>IF($B23&gt;$D$8,NA(),SUMPRODUCT(($B23&gt;=Mandate!$F$6:$F$50)*Mandate!$O$6:$O$50*(($B23&lt;=Mandate!$N$6:$N$50)*($B23-Mandate!$F$6:$F$50+1)+($B23&gt;Mandate!$N$6:$N$50)*(Mandate!$N$6:$N$50-Mandate!$F$6:$F$50+1))))</f>
        <v>0</v>
      </c>
      <c r="E23" s="8">
        <f t="shared" si="0"/>
        <v>1756</v>
      </c>
      <c r="F23" s="8">
        <f t="shared" si="1"/>
        <v>1756</v>
      </c>
    </row>
    <row r="24" spans="2:6" ht="15" customHeight="1">
      <c r="B24" s="17">
        <v>13</v>
      </c>
      <c r="C24" s="8">
        <f>SUMPRODUCT(($B24&gt;=Mandate!$F$6:$F$50)*Mandate!$L$6:$L$50*(($B24&lt;=Mandate!$G$6:$G$50)*($B24-Mandate!$F$6:$F$50+1)+($B24&gt;Mandate!$G$6:$G$50)*(Mandate!$G$6:$G$50-Mandate!$F$6:$F$50+1)))</f>
        <v>0</v>
      </c>
      <c r="D24" s="8">
        <f>IF($B24&gt;$D$8,NA(),SUMPRODUCT(($B24&gt;=Mandate!$F$6:$F$50)*Mandate!$O$6:$O$50*(($B24&lt;=Mandate!$N$6:$N$50)*($B24-Mandate!$F$6:$F$50+1)+($B24&gt;Mandate!$N$6:$N$50)*(Mandate!$N$6:$N$50-Mandate!$F$6:$F$50+1))))</f>
        <v>0</v>
      </c>
      <c r="E24" s="8">
        <f t="shared" si="0"/>
        <v>1756</v>
      </c>
      <c r="F24" s="8">
        <f t="shared" si="1"/>
        <v>1756</v>
      </c>
    </row>
    <row r="25" spans="2:6" ht="15" customHeight="1">
      <c r="B25" s="17">
        <v>14</v>
      </c>
      <c r="C25" s="8">
        <f>SUMPRODUCT(($B25&gt;=Mandate!$F$6:$F$50)*Mandate!$L$6:$L$50*(($B25&lt;=Mandate!$G$6:$G$50)*($B25-Mandate!$F$6:$F$50+1)+($B25&gt;Mandate!$G$6:$G$50)*(Mandate!$G$6:$G$50-Mandate!$F$6:$F$50+1)))</f>
        <v>0</v>
      </c>
      <c r="D25" s="8">
        <f>IF($B25&gt;$D$8,NA(),SUMPRODUCT(($B25&gt;=Mandate!$F$6:$F$50)*Mandate!$O$6:$O$50*(($B25&lt;=Mandate!$N$6:$N$50)*($B25-Mandate!$F$6:$F$50+1)+($B25&gt;Mandate!$N$6:$N$50)*(Mandate!$N$6:$N$50-Mandate!$F$6:$F$50+1))))</f>
        <v>0</v>
      </c>
      <c r="E25" s="8">
        <f t="shared" si="0"/>
        <v>1756</v>
      </c>
      <c r="F25" s="8">
        <f t="shared" si="1"/>
        <v>1756</v>
      </c>
    </row>
    <row r="26" spans="2:6" ht="15" customHeight="1">
      <c r="B26" s="17">
        <v>15</v>
      </c>
      <c r="C26" s="8">
        <f>SUMPRODUCT(($B26&gt;=Mandate!$F$6:$F$50)*Mandate!$L$6:$L$50*(($B26&lt;=Mandate!$G$6:$G$50)*($B26-Mandate!$F$6:$F$50+1)+($B26&gt;Mandate!$G$6:$G$50)*(Mandate!$G$6:$G$50-Mandate!$F$6:$F$50+1)))</f>
        <v>0</v>
      </c>
      <c r="D26" s="8">
        <f>IF($B26&gt;$D$8,NA(),SUMPRODUCT(($B26&gt;=Mandate!$F$6:$F$50)*Mandate!$O$6:$O$50*(($B26&lt;=Mandate!$N$6:$N$50)*($B26-Mandate!$F$6:$F$50+1)+($B26&gt;Mandate!$N$6:$N$50)*(Mandate!$N$6:$N$50-Mandate!$F$6:$F$50+1))))</f>
        <v>0</v>
      </c>
      <c r="E26" s="8">
        <f t="shared" si="0"/>
        <v>1756</v>
      </c>
      <c r="F26" s="8">
        <f t="shared" si="1"/>
        <v>1756</v>
      </c>
    </row>
    <row r="27" spans="2:6" ht="15" customHeight="1">
      <c r="B27" s="17">
        <v>16</v>
      </c>
      <c r="C27" s="8">
        <f>SUMPRODUCT(($B27&gt;=Mandate!$F$6:$F$50)*Mandate!$L$6:$L$50*(($B27&lt;=Mandate!$G$6:$G$50)*($B27-Mandate!$F$6:$F$50+1)+($B27&gt;Mandate!$G$6:$G$50)*(Mandate!$G$6:$G$50-Mandate!$F$6:$F$50+1)))</f>
        <v>0</v>
      </c>
      <c r="D27" s="8">
        <f>IF($B27&gt;$D$8,NA(),SUMPRODUCT(($B27&gt;=Mandate!$F$6:$F$50)*Mandate!$O$6:$O$50*(($B27&lt;=Mandate!$N$6:$N$50)*($B27-Mandate!$F$6:$F$50+1)+($B27&gt;Mandate!$N$6:$N$50)*(Mandate!$N$6:$N$50-Mandate!$F$6:$F$50+1))))</f>
        <v>0</v>
      </c>
      <c r="E27" s="8">
        <f t="shared" si="0"/>
        <v>1756</v>
      </c>
      <c r="F27" s="8">
        <f t="shared" si="1"/>
        <v>1756</v>
      </c>
    </row>
    <row r="28" spans="2:6" ht="15" customHeight="1">
      <c r="B28" s="17">
        <v>17</v>
      </c>
      <c r="C28" s="8">
        <f>SUMPRODUCT(($B28&gt;=Mandate!$F$6:$F$50)*Mandate!$L$6:$L$50*(($B28&lt;=Mandate!$G$6:$G$50)*($B28-Mandate!$F$6:$F$50+1)+($B28&gt;Mandate!$G$6:$G$50)*(Mandate!$G$6:$G$50-Mandate!$F$6:$F$50+1)))</f>
        <v>0</v>
      </c>
      <c r="D28" s="8">
        <f>IF($B28&gt;$D$8,NA(),SUMPRODUCT(($B28&gt;=Mandate!$F$6:$F$50)*Mandate!$O$6:$O$50*(($B28&lt;=Mandate!$N$6:$N$50)*($B28-Mandate!$F$6:$F$50+1)+($B28&gt;Mandate!$N$6:$N$50)*(Mandate!$N$6:$N$50-Mandate!$F$6:$F$50+1))))</f>
        <v>0</v>
      </c>
      <c r="E28" s="8">
        <f t="shared" si="0"/>
        <v>1756</v>
      </c>
      <c r="F28" s="8">
        <f t="shared" si="1"/>
        <v>1756</v>
      </c>
    </row>
    <row r="29" spans="2:6" ht="15" customHeight="1">
      <c r="B29" s="17">
        <v>18</v>
      </c>
      <c r="C29" s="8">
        <f>SUMPRODUCT(($B29&gt;=Mandate!$F$6:$F$50)*Mandate!$L$6:$L$50*(($B29&lt;=Mandate!$G$6:$G$50)*($B29-Mandate!$F$6:$F$50+1)+($B29&gt;Mandate!$G$6:$G$50)*(Mandate!$G$6:$G$50-Mandate!$F$6:$F$50+1)))</f>
        <v>0</v>
      </c>
      <c r="D29" s="8">
        <f>IF($B29&gt;$D$8,NA(),SUMPRODUCT(($B29&gt;=Mandate!$F$6:$F$50)*Mandate!$O$6:$O$50*(($B29&lt;=Mandate!$N$6:$N$50)*($B29-Mandate!$F$6:$F$50+1)+($B29&gt;Mandate!$N$6:$N$50)*(Mandate!$N$6:$N$50-Mandate!$F$6:$F$50+1))))</f>
        <v>0</v>
      </c>
      <c r="E29" s="8">
        <f t="shared" si="0"/>
        <v>1756</v>
      </c>
      <c r="F29" s="8">
        <f t="shared" si="1"/>
        <v>1756</v>
      </c>
    </row>
    <row r="30" spans="2:6" ht="15" customHeight="1">
      <c r="B30" s="17">
        <v>19</v>
      </c>
      <c r="C30" s="8">
        <f>SUMPRODUCT(($B30&gt;=Mandate!$F$6:$F$50)*Mandate!$L$6:$L$50*(($B30&lt;=Mandate!$G$6:$G$50)*($B30-Mandate!$F$6:$F$50+1)+($B30&gt;Mandate!$G$6:$G$50)*(Mandate!$G$6:$G$50-Mandate!$F$6:$F$50+1)))</f>
        <v>0</v>
      </c>
      <c r="D30" s="8">
        <f>IF($B30&gt;$D$8,NA(),SUMPRODUCT(($B30&gt;=Mandate!$F$6:$F$50)*Mandate!$O$6:$O$50*(($B30&lt;=Mandate!$N$6:$N$50)*($B30-Mandate!$F$6:$F$50+1)+($B30&gt;Mandate!$N$6:$N$50)*(Mandate!$N$6:$N$50-Mandate!$F$6:$F$50+1))))</f>
        <v>0</v>
      </c>
      <c r="E30" s="8">
        <f t="shared" si="0"/>
        <v>1756</v>
      </c>
      <c r="F30" s="8">
        <f t="shared" si="1"/>
        <v>1756</v>
      </c>
    </row>
    <row r="31" spans="2:6" ht="15" customHeight="1">
      <c r="B31" s="17">
        <v>20</v>
      </c>
      <c r="C31" s="8">
        <f>SUMPRODUCT(($B31&gt;=Mandate!$F$6:$F$50)*Mandate!$L$6:$L$50*(($B31&lt;=Mandate!$G$6:$G$50)*($B31-Mandate!$F$6:$F$50+1)+($B31&gt;Mandate!$G$6:$G$50)*(Mandate!$G$6:$G$50-Mandate!$F$6:$F$50+1)))</f>
        <v>0</v>
      </c>
      <c r="D31" s="8">
        <f>IF($B31&gt;$D$8,NA(),SUMPRODUCT(($B31&gt;=Mandate!$F$6:$F$50)*Mandate!$O$6:$O$50*(($B31&lt;=Mandate!$N$6:$N$50)*($B31-Mandate!$F$6:$F$50+1)+($B31&gt;Mandate!$N$6:$N$50)*(Mandate!$N$6:$N$50-Mandate!$F$6:$F$50+1))))</f>
        <v>0</v>
      </c>
      <c r="E31" s="8">
        <f t="shared" si="0"/>
        <v>1756</v>
      </c>
      <c r="F31" s="8">
        <f t="shared" si="1"/>
        <v>1756</v>
      </c>
    </row>
    <row r="32" spans="2:6" ht="15" customHeight="1">
      <c r="B32" s="17">
        <v>21</v>
      </c>
      <c r="C32" s="8">
        <f>SUMPRODUCT(($B32&gt;=Mandate!$F$6:$F$50)*Mandate!$L$6:$L$50*(($B32&lt;=Mandate!$G$6:$G$50)*($B32-Mandate!$F$6:$F$50+1)+($B32&gt;Mandate!$G$6:$G$50)*(Mandate!$G$6:$G$50-Mandate!$F$6:$F$50+1)))</f>
        <v>0</v>
      </c>
      <c r="D32" s="8">
        <f>IF($B32&gt;$D$8,NA(),SUMPRODUCT(($B32&gt;=Mandate!$F$6:$F$50)*Mandate!$O$6:$O$50*(($B32&lt;=Mandate!$N$6:$N$50)*($B32-Mandate!$F$6:$F$50+1)+($B32&gt;Mandate!$N$6:$N$50)*(Mandate!$N$6:$N$50-Mandate!$F$6:$F$50+1))))</f>
        <v>0</v>
      </c>
      <c r="E32" s="8">
        <f t="shared" si="0"/>
        <v>1756</v>
      </c>
      <c r="F32" s="8">
        <f t="shared" si="1"/>
        <v>1756</v>
      </c>
    </row>
    <row r="33" spans="2:6" ht="15" customHeight="1">
      <c r="B33" s="17">
        <v>22</v>
      </c>
      <c r="C33" s="8">
        <f>SUMPRODUCT(($B33&gt;=Mandate!$F$6:$F$50)*Mandate!$L$6:$L$50*(($B33&lt;=Mandate!$G$6:$G$50)*($B33-Mandate!$F$6:$F$50+1)+($B33&gt;Mandate!$G$6:$G$50)*(Mandate!$G$6:$G$50-Mandate!$F$6:$F$50+1)))</f>
        <v>0</v>
      </c>
      <c r="D33" s="8">
        <f>IF($B33&gt;$D$8,NA(),SUMPRODUCT(($B33&gt;=Mandate!$F$6:$F$50)*Mandate!$O$6:$O$50*(($B33&lt;=Mandate!$N$6:$N$50)*($B33-Mandate!$F$6:$F$50+1)+($B33&gt;Mandate!$N$6:$N$50)*(Mandate!$N$6:$N$50-Mandate!$F$6:$F$50+1))))</f>
        <v>0</v>
      </c>
      <c r="E33" s="8">
        <f t="shared" si="0"/>
        <v>1756</v>
      </c>
      <c r="F33" s="8">
        <f t="shared" si="1"/>
        <v>1756</v>
      </c>
    </row>
    <row r="34" spans="2:6" ht="15" customHeight="1">
      <c r="B34" s="17">
        <v>23</v>
      </c>
      <c r="C34" s="8">
        <f>SUMPRODUCT(($B34&gt;=Mandate!$F$6:$F$50)*Mandate!$L$6:$L$50*(($B34&lt;=Mandate!$G$6:$G$50)*($B34-Mandate!$F$6:$F$50+1)+($B34&gt;Mandate!$G$6:$G$50)*(Mandate!$G$6:$G$50-Mandate!$F$6:$F$50+1)))</f>
        <v>0</v>
      </c>
      <c r="D34" s="8">
        <f>IF($B34&gt;$D$8,NA(),SUMPRODUCT(($B34&gt;=Mandate!$F$6:$F$50)*Mandate!$O$6:$O$50*(($B34&lt;=Mandate!$N$6:$N$50)*($B34-Mandate!$F$6:$F$50+1)+($B34&gt;Mandate!$N$6:$N$50)*(Mandate!$N$6:$N$50-Mandate!$F$6:$F$50+1))))</f>
        <v>0</v>
      </c>
      <c r="E34" s="8">
        <f t="shared" si="0"/>
        <v>1756</v>
      </c>
      <c r="F34" s="8">
        <f t="shared" si="1"/>
        <v>1756</v>
      </c>
    </row>
    <row r="35" spans="2:6" ht="15" customHeight="1">
      <c r="B35" s="17">
        <v>24</v>
      </c>
      <c r="C35" s="8">
        <f>SUMPRODUCT(($B35&gt;=Mandate!$F$6:$F$50)*Mandate!$L$6:$L$50*(($B35&lt;=Mandate!$G$6:$G$50)*($B35-Mandate!$F$6:$F$50+1)+($B35&gt;Mandate!$G$6:$G$50)*(Mandate!$G$6:$G$50-Mandate!$F$6:$F$50+1)))</f>
        <v>0</v>
      </c>
      <c r="D35" s="8">
        <f>IF($B35&gt;$D$8,NA(),SUMPRODUCT(($B35&gt;=Mandate!$F$6:$F$50)*Mandate!$O$6:$O$50*(($B35&lt;=Mandate!$N$6:$N$50)*($B35-Mandate!$F$6:$F$50+1)+($B35&gt;Mandate!$N$6:$N$50)*(Mandate!$N$6:$N$50-Mandate!$F$6:$F$50+1))))</f>
        <v>0</v>
      </c>
      <c r="E35" s="8">
        <f t="shared" si="0"/>
        <v>1756</v>
      </c>
      <c r="F35" s="8">
        <f t="shared" si="1"/>
        <v>1756</v>
      </c>
    </row>
    <row r="36" spans="2:6" ht="15" customHeight="1">
      <c r="B36" s="17">
        <v>25</v>
      </c>
      <c r="C36" s="8">
        <f>SUMPRODUCT(($B36&gt;=Mandate!$F$6:$F$50)*Mandate!$L$6:$L$50*(($B36&lt;=Mandate!$G$6:$G$50)*($B36-Mandate!$F$6:$F$50+1)+($B36&gt;Mandate!$G$6:$G$50)*(Mandate!$G$6:$G$50-Mandate!$F$6:$F$50+1)))</f>
        <v>0</v>
      </c>
      <c r="D36" s="8">
        <f>IF($B36&gt;$D$8,NA(),SUMPRODUCT(($B36&gt;=Mandate!$F$6:$F$50)*Mandate!$O$6:$O$50*(($B36&lt;=Mandate!$N$6:$N$50)*($B36-Mandate!$F$6:$F$50+1)+($B36&gt;Mandate!$N$6:$N$50)*(Mandate!$N$6:$N$50-Mandate!$F$6:$F$50+1))))</f>
        <v>0</v>
      </c>
      <c r="E36" s="8">
        <f t="shared" si="0"/>
        <v>1756</v>
      </c>
      <c r="F36" s="8">
        <f t="shared" si="1"/>
        <v>1756</v>
      </c>
    </row>
    <row r="37" spans="2:6" ht="15" customHeight="1">
      <c r="B37" s="17">
        <v>26</v>
      </c>
      <c r="C37" s="8">
        <f>SUMPRODUCT(($B37&gt;=Mandate!$F$6:$F$50)*Mandate!$L$6:$L$50*(($B37&lt;=Mandate!$G$6:$G$50)*($B37-Mandate!$F$6:$F$50+1)+($B37&gt;Mandate!$G$6:$G$50)*(Mandate!$G$6:$G$50-Mandate!$F$6:$F$50+1)))</f>
        <v>0</v>
      </c>
      <c r="D37" s="8">
        <f>IF($B37&gt;$D$8,NA(),SUMPRODUCT(($B37&gt;=Mandate!$F$6:$F$50)*Mandate!$O$6:$O$50*(($B37&lt;=Mandate!$N$6:$N$50)*($B37-Mandate!$F$6:$F$50+1)+($B37&gt;Mandate!$N$6:$N$50)*(Mandate!$N$6:$N$50-Mandate!$F$6:$F$50+1))))</f>
        <v>0</v>
      </c>
      <c r="E37" s="8">
        <f t="shared" si="0"/>
        <v>1756</v>
      </c>
      <c r="F37" s="8">
        <f t="shared" si="1"/>
        <v>1756</v>
      </c>
    </row>
    <row r="38" spans="2:6" ht="15" customHeight="1">
      <c r="B38" s="17">
        <v>27</v>
      </c>
      <c r="C38" s="8">
        <f>SUMPRODUCT(($B38&gt;=Mandate!$F$6:$F$50)*Mandate!$L$6:$L$50*(($B38&lt;=Mandate!$G$6:$G$50)*($B38-Mandate!$F$6:$F$50+1)+($B38&gt;Mandate!$G$6:$G$50)*(Mandate!$G$6:$G$50-Mandate!$F$6:$F$50+1)))</f>
        <v>20.016666666666669</v>
      </c>
      <c r="D38" s="8">
        <f>IF($B38&gt;$D$8,NA(),SUMPRODUCT(($B38&gt;=Mandate!$F$6:$F$50)*Mandate!$O$6:$O$50*(($B38&lt;=Mandate!$N$6:$N$50)*($B38-Mandate!$F$6:$F$50+1)+($B38&gt;Mandate!$N$6:$N$50)*(Mandate!$N$6:$N$50-Mandate!$F$6:$F$50+1))))</f>
        <v>13.116666666666667</v>
      </c>
      <c r="E38" s="8">
        <f t="shared" si="0"/>
        <v>1735.9833333333333</v>
      </c>
      <c r="F38" s="8">
        <f t="shared" si="1"/>
        <v>1742.8833333333334</v>
      </c>
    </row>
    <row r="39" spans="2:6" ht="15" customHeight="1">
      <c r="B39" s="17">
        <v>28</v>
      </c>
      <c r="C39" s="8">
        <f>SUMPRODUCT(($B39&gt;=Mandate!$F$6:$F$50)*Mandate!$L$6:$L$50*(($B39&lt;=Mandate!$G$6:$G$50)*($B39-Mandate!$F$6:$F$50+1)+($B39&gt;Mandate!$G$6:$G$50)*(Mandate!$G$6:$G$50-Mandate!$F$6:$F$50+1)))</f>
        <v>47.760606060606065</v>
      </c>
      <c r="D39" s="8">
        <f>IF($B39&gt;$D$8,NA(),SUMPRODUCT(($B39&gt;=Mandate!$F$6:$F$50)*Mandate!$O$6:$O$50*(($B39&lt;=Mandate!$N$6:$N$50)*($B39-Mandate!$F$6:$F$50+1)+($B39&gt;Mandate!$N$6:$N$50)*(Mandate!$N$6:$N$50-Mandate!$F$6:$F$50+1))))</f>
        <v>31.324242424242428</v>
      </c>
      <c r="E39" s="8">
        <f t="shared" si="0"/>
        <v>1708.2393939393939</v>
      </c>
      <c r="F39" s="8">
        <f t="shared" si="1"/>
        <v>1724.6757575757576</v>
      </c>
    </row>
    <row r="40" spans="2:6" ht="15" customHeight="1">
      <c r="B40" s="17">
        <v>29</v>
      </c>
      <c r="C40" s="8">
        <f>SUMPRODUCT(($B40&gt;=Mandate!$F$6:$F$50)*Mandate!$L$6:$L$50*(($B40&lt;=Mandate!$G$6:$G$50)*($B40-Mandate!$F$6:$F$50+1)+($B40&gt;Mandate!$G$6:$G$50)*(Mandate!$G$6:$G$50-Mandate!$F$6:$F$50+1)))</f>
        <v>82.087878787878779</v>
      </c>
      <c r="D40" s="8">
        <f>IF($B40&gt;$D$8,NA(),SUMPRODUCT(($B40&gt;=Mandate!$F$6:$F$50)*Mandate!$O$6:$O$50*(($B40&lt;=Mandate!$N$6:$N$50)*($B40-Mandate!$F$6:$F$50+1)+($B40&gt;Mandate!$N$6:$N$50)*(Mandate!$N$6:$N$50-Mandate!$F$6:$F$50+1))))</f>
        <v>53.231818181818177</v>
      </c>
      <c r="E40" s="8">
        <f t="shared" si="0"/>
        <v>1673.9121212121213</v>
      </c>
      <c r="F40" s="8">
        <f t="shared" si="1"/>
        <v>1702.7681818181818</v>
      </c>
    </row>
    <row r="41" spans="2:6" ht="15" customHeight="1">
      <c r="B41" s="17">
        <v>30</v>
      </c>
      <c r="C41" s="8">
        <f>SUMPRODUCT(($B41&gt;=Mandate!$F$6:$F$50)*Mandate!$L$6:$L$50*(($B41&lt;=Mandate!$G$6:$G$50)*($B41-Mandate!$F$6:$F$50+1)+($B41&gt;Mandate!$G$6:$G$50)*(Mandate!$G$6:$G$50-Mandate!$F$6:$F$50+1)))</f>
        <v>127.52626262626264</v>
      </c>
      <c r="D41" s="8">
        <f>IF($B41&gt;$D$8,NA(),SUMPRODUCT(($B41&gt;=Mandate!$F$6:$F$50)*Mandate!$O$6:$O$50*(($B41&lt;=Mandate!$N$6:$N$50)*($B41-Mandate!$F$6:$F$50+1)+($B41&gt;Mandate!$N$6:$N$50)*(Mandate!$N$6:$N$50-Mandate!$F$6:$F$50+1))))</f>
        <v>81.139393939393941</v>
      </c>
      <c r="E41" s="8">
        <f t="shared" si="0"/>
        <v>1628.4737373737373</v>
      </c>
      <c r="F41" s="8">
        <f t="shared" si="1"/>
        <v>1674.860606060606</v>
      </c>
    </row>
    <row r="42" spans="2:6" ht="15" customHeight="1">
      <c r="B42" s="17">
        <v>31</v>
      </c>
      <c r="C42" s="8">
        <f>SUMPRODUCT(($B42&gt;=Mandate!$F$6:$F$50)*Mandate!$L$6:$L$50*(($B42&lt;=Mandate!$G$6:$G$50)*($B42-Mandate!$F$6:$F$50+1)+($B42&gt;Mandate!$G$6:$G$50)*(Mandate!$G$6:$G$50-Mandate!$F$6:$F$50+1)))</f>
        <v>179.23131313131313</v>
      </c>
      <c r="D42" s="8">
        <f>IF($B42&gt;$D$8,NA(),SUMPRODUCT(($B42&gt;=Mandate!$F$6:$F$50)*Mandate!$O$6:$O$50*(($B42&lt;=Mandate!$N$6:$N$50)*($B42-Mandate!$F$6:$F$50+1)+($B42&gt;Mandate!$N$6:$N$50)*(Mandate!$N$6:$N$50-Mandate!$F$6:$F$50+1))))</f>
        <v>114.29696969696973</v>
      </c>
      <c r="E42" s="8">
        <f t="shared" si="0"/>
        <v>1576.7686868686869</v>
      </c>
      <c r="F42" s="8">
        <f t="shared" si="1"/>
        <v>1641.7030303030303</v>
      </c>
    </row>
    <row r="43" spans="2:6" ht="15" customHeight="1">
      <c r="B43" s="17">
        <v>32</v>
      </c>
      <c r="C43" s="8">
        <f>SUMPRODUCT(($B43&gt;=Mandate!$F$6:$F$50)*Mandate!$L$6:$L$50*(($B43&lt;=Mandate!$G$6:$G$50)*($B43-Mandate!$F$6:$F$50+1)+($B43&gt;Mandate!$G$6:$G$50)*(Mandate!$G$6:$G$50-Mandate!$F$6:$F$50+1)))</f>
        <v>234.75454545454548</v>
      </c>
      <c r="D43" s="8">
        <f>IF($B43&gt;$D$8,NA(),SUMPRODUCT(($B43&gt;=Mandate!$F$6:$F$50)*Mandate!$O$6:$O$50*(($B43&lt;=Mandate!$N$6:$N$50)*($B43-Mandate!$F$6:$F$50+1)+($B43&gt;Mandate!$N$6:$N$50)*(Mandate!$N$6:$N$50-Mandate!$F$6:$F$50+1))))</f>
        <v>149.59740259740258</v>
      </c>
      <c r="E43" s="8">
        <f t="shared" si="0"/>
        <v>1521.2454545454545</v>
      </c>
      <c r="F43" s="8">
        <f t="shared" si="1"/>
        <v>1606.4025974025974</v>
      </c>
    </row>
    <row r="44" spans="2:6" ht="15" customHeight="1">
      <c r="B44" s="17">
        <v>33</v>
      </c>
      <c r="C44" s="8">
        <f>SUMPRODUCT(($B44&gt;=Mandate!$F$6:$F$50)*Mandate!$L$6:$L$50*(($B44&lt;=Mandate!$G$6:$G$50)*($B44-Mandate!$F$6:$F$50+1)+($B44&gt;Mandate!$G$6:$G$50)*(Mandate!$G$6:$G$50-Mandate!$F$6:$F$50+1)))</f>
        <v>298.52777777777777</v>
      </c>
      <c r="D44" s="8">
        <f>IF($B44&gt;$D$8,NA(),SUMPRODUCT(($B44&gt;=Mandate!$F$6:$F$50)*Mandate!$O$6:$O$50*(($B44&lt;=Mandate!$N$6:$N$50)*($B44-Mandate!$F$6:$F$50+1)+($B44&gt;Mandate!$N$6:$N$50)*(Mandate!$N$6:$N$50-Mandate!$F$6:$F$50+1))))</f>
        <v>189.3978354978355</v>
      </c>
      <c r="E44" s="8">
        <f t="shared" ref="E44:E63" si="2">$D$7-C44</f>
        <v>1457.4722222222222</v>
      </c>
      <c r="F44" s="8">
        <f t="shared" ref="F44:F63" si="3">IF($B44&gt;$D$8,NA(),$D$7-D44)</f>
        <v>1566.6021645021644</v>
      </c>
    </row>
    <row r="45" spans="2:6" ht="15" customHeight="1">
      <c r="B45" s="17">
        <v>34</v>
      </c>
      <c r="C45" s="8">
        <f>SUMPRODUCT(($B45&gt;=Mandate!$F$6:$F$50)*Mandate!$L$6:$L$50*(($B45&lt;=Mandate!$G$6:$G$50)*($B45-Mandate!$F$6:$F$50+1)+($B45&gt;Mandate!$G$6:$G$50)*(Mandate!$G$6:$G$50-Mandate!$F$6:$F$50+1)))</f>
        <v>366.10101010101016</v>
      </c>
      <c r="D45" s="8">
        <f>IF($B45&gt;$D$8,NA(),SUMPRODUCT(($B45&gt;=Mandate!$F$6:$F$50)*Mandate!$O$6:$O$50*(($B45&lt;=Mandate!$N$6:$N$50)*($B45-Mandate!$F$6:$F$50+1)+($B45&gt;Mandate!$N$6:$N$50)*(Mandate!$N$6:$N$50-Mandate!$F$6:$F$50+1))))</f>
        <v>231.39826839826839</v>
      </c>
      <c r="E45" s="8">
        <f t="shared" si="2"/>
        <v>1389.8989898989898</v>
      </c>
      <c r="F45" s="8">
        <f t="shared" si="3"/>
        <v>1524.6017316017317</v>
      </c>
    </row>
    <row r="46" spans="2:6" ht="15" customHeight="1">
      <c r="B46" s="17">
        <v>35</v>
      </c>
      <c r="C46" s="8">
        <f>SUMPRODUCT(($B46&gt;=Mandate!$F$6:$F$50)*Mandate!$L$6:$L$50*(($B46&lt;=Mandate!$G$6:$G$50)*($B46-Mandate!$F$6:$F$50+1)+($B46&gt;Mandate!$G$6:$G$50)*(Mandate!$G$6:$G$50-Mandate!$F$6:$F$50+1)))</f>
        <v>432.67424242424238</v>
      </c>
      <c r="D46" s="8">
        <f>IF($B46&gt;$D$8,NA(),SUMPRODUCT(($B46&gt;=Mandate!$F$6:$F$50)*Mandate!$O$6:$O$50*(($B46&lt;=Mandate!$N$6:$N$50)*($B46-Mandate!$F$6:$F$50+1)+($B46&gt;Mandate!$N$6:$N$50)*(Mandate!$N$6:$N$50-Mandate!$F$6:$F$50+1))))</f>
        <v>272.14870129870133</v>
      </c>
      <c r="E46" s="8">
        <f t="shared" si="2"/>
        <v>1323.3257575757575</v>
      </c>
      <c r="F46" s="8">
        <f t="shared" si="3"/>
        <v>1483.8512987012987</v>
      </c>
    </row>
    <row r="47" spans="2:6" ht="15" customHeight="1">
      <c r="B47" s="17">
        <v>36</v>
      </c>
      <c r="C47" s="8">
        <f>SUMPRODUCT(($B47&gt;=Mandate!$F$6:$F$50)*Mandate!$L$6:$L$50*(($B47&lt;=Mandate!$G$6:$G$50)*($B47-Mandate!$F$6:$F$50+1)+($B47&gt;Mandate!$G$6:$G$50)*(Mandate!$G$6:$G$50-Mandate!$F$6:$F$50+1)))</f>
        <v>506.71414141414147</v>
      </c>
      <c r="D47" s="8">
        <f>IF($B47&gt;$D$8,NA(),SUMPRODUCT(($B47&gt;=Mandate!$F$6:$F$50)*Mandate!$O$6:$O$50*(($B47&lt;=Mandate!$N$6:$N$50)*($B47-Mandate!$F$6:$F$50+1)+($B47&gt;Mandate!$N$6:$N$50)*(Mandate!$N$6:$N$50-Mandate!$F$6:$F$50+1))))</f>
        <v>316.89913419913421</v>
      </c>
      <c r="E47" s="8">
        <f t="shared" si="2"/>
        <v>1249.2858585858585</v>
      </c>
      <c r="F47" s="8">
        <f t="shared" si="3"/>
        <v>1439.1008658008659</v>
      </c>
    </row>
    <row r="48" spans="2:6" ht="15" customHeight="1">
      <c r="B48" s="17">
        <v>37</v>
      </c>
      <c r="C48" s="8">
        <f>SUMPRODUCT(($B48&gt;=Mandate!$F$6:$F$50)*Mandate!$L$6:$L$50*(($B48&lt;=Mandate!$G$6:$G$50)*($B48-Mandate!$F$6:$F$50+1)+($B48&gt;Mandate!$G$6:$G$50)*(Mandate!$G$6:$G$50-Mandate!$F$6:$F$50+1)))</f>
        <v>571.15404040404042</v>
      </c>
      <c r="D48" s="8">
        <f>IF($B48&gt;$D$8,NA(),SUMPRODUCT(($B48&gt;=Mandate!$F$6:$F$50)*Mandate!$O$6:$O$50*(($B48&lt;=Mandate!$N$6:$N$50)*($B48-Mandate!$F$6:$F$50+1)+($B48&gt;Mandate!$N$6:$N$50)*(Mandate!$N$6:$N$50-Mandate!$F$6:$F$50+1))))</f>
        <v>353.44956709956705</v>
      </c>
      <c r="E48" s="8">
        <f t="shared" si="2"/>
        <v>1184.8459595959596</v>
      </c>
      <c r="F48" s="8">
        <f t="shared" si="3"/>
        <v>1402.550432900433</v>
      </c>
    </row>
    <row r="49" spans="2:6" ht="15" customHeight="1">
      <c r="B49" s="17">
        <v>38</v>
      </c>
      <c r="C49" s="8">
        <f>SUMPRODUCT(($B49&gt;=Mandate!$F$6:$F$50)*Mandate!$L$6:$L$50*(($B49&lt;=Mandate!$G$6:$G$50)*($B49-Mandate!$F$6:$F$50+1)+($B49&gt;Mandate!$G$6:$G$50)*(Mandate!$G$6:$G$50-Mandate!$F$6:$F$50+1)))</f>
        <v>646.12171717171725</v>
      </c>
      <c r="D49" s="8">
        <f>IF($B49&gt;$D$8,NA(),SUMPRODUCT(($B49&gt;=Mandate!$F$6:$F$50)*Mandate!$O$6:$O$50*(($B49&lt;=Mandate!$N$6:$N$50)*($B49-Mandate!$F$6:$F$50+1)+($B49&gt;Mandate!$N$6:$N$50)*(Mandate!$N$6:$N$50-Mandate!$F$6:$F$50+1))))</f>
        <v>397</v>
      </c>
      <c r="E49" s="8">
        <f t="shared" si="2"/>
        <v>1109.8782828282829</v>
      </c>
      <c r="F49" s="8">
        <f t="shared" si="3"/>
        <v>1359</v>
      </c>
    </row>
    <row r="50" spans="2:6" ht="15" customHeight="1">
      <c r="B50" s="17">
        <v>39</v>
      </c>
      <c r="C50" s="8">
        <f>SUMPRODUCT(($B50&gt;=Mandate!$F$6:$F$50)*Mandate!$L$6:$L$50*(($B50&lt;=Mandate!$G$6:$G$50)*($B50-Mandate!$F$6:$F$50+1)+($B50&gt;Mandate!$G$6:$G$50)*(Mandate!$G$6:$G$50-Mandate!$F$6:$F$50+1)))</f>
        <v>717.16767676767665</v>
      </c>
      <c r="D50" s="8" t="e">
        <f>IF($B50&gt;$D$8,NA(),SUMPRODUCT(($B50&gt;=Mandate!$F$6:$F$50)*Mandate!$O$6:$O$50*(($B50&lt;=Mandate!$N$6:$N$50)*($B50-Mandate!$F$6:$F$50+1)+($B50&gt;Mandate!$N$6:$N$50)*(Mandate!$N$6:$N$50-Mandate!$F$6:$F$50+1))))</f>
        <v>#N/A</v>
      </c>
      <c r="E50" s="8">
        <f t="shared" si="2"/>
        <v>1038.8323232323232</v>
      </c>
      <c r="F50" s="8" t="e">
        <f t="shared" si="3"/>
        <v>#N/A</v>
      </c>
    </row>
    <row r="51" spans="2:6" ht="15" customHeight="1">
      <c r="B51" s="17">
        <v>40</v>
      </c>
      <c r="C51" s="8">
        <f>SUMPRODUCT(($B51&gt;=Mandate!$F$6:$F$50)*Mandate!$L$6:$L$50*(($B51&lt;=Mandate!$G$6:$G$50)*($B51-Mandate!$F$6:$F$50+1)+($B51&gt;Mandate!$G$6:$G$50)*(Mandate!$G$6:$G$50-Mandate!$F$6:$F$50+1)))</f>
        <v>794.01363636363635</v>
      </c>
      <c r="D51" s="8" t="e">
        <f>IF($B51&gt;$D$8,NA(),SUMPRODUCT(($B51&gt;=Mandate!$F$6:$F$50)*Mandate!$O$6:$O$50*(($B51&lt;=Mandate!$N$6:$N$50)*($B51-Mandate!$F$6:$F$50+1)+($B51&gt;Mandate!$N$6:$N$50)*(Mandate!$N$6:$N$50-Mandate!$F$6:$F$50+1))))</f>
        <v>#N/A</v>
      </c>
      <c r="E51" s="8">
        <f t="shared" si="2"/>
        <v>961.98636363636365</v>
      </c>
      <c r="F51" s="8" t="e">
        <f t="shared" si="3"/>
        <v>#N/A</v>
      </c>
    </row>
    <row r="52" spans="2:6" ht="15" customHeight="1">
      <c r="B52" s="17">
        <v>41</v>
      </c>
      <c r="C52" s="8">
        <f>SUMPRODUCT(($B52&gt;=Mandate!$F$6:$F$50)*Mandate!$L$6:$L$50*(($B52&lt;=Mandate!$G$6:$G$50)*($B52-Mandate!$F$6:$F$50+1)+($B52&gt;Mandate!$G$6:$G$50)*(Mandate!$G$6:$G$50-Mandate!$F$6:$F$50+1)))</f>
        <v>860.17626262626266</v>
      </c>
      <c r="D52" s="8" t="e">
        <f>IF($B52&gt;$D$8,NA(),SUMPRODUCT(($B52&gt;=Mandate!$F$6:$F$50)*Mandate!$O$6:$O$50*(($B52&lt;=Mandate!$N$6:$N$50)*($B52-Mandate!$F$6:$F$50+1)+($B52&gt;Mandate!$N$6:$N$50)*(Mandate!$N$6:$N$50-Mandate!$F$6:$F$50+1))))</f>
        <v>#N/A</v>
      </c>
      <c r="E52" s="8">
        <f t="shared" si="2"/>
        <v>895.82373737373734</v>
      </c>
      <c r="F52" s="8" t="e">
        <f t="shared" si="3"/>
        <v>#N/A</v>
      </c>
    </row>
    <row r="53" spans="2:6" ht="15" customHeight="1">
      <c r="B53" s="17">
        <v>42</v>
      </c>
      <c r="C53" s="8">
        <f>SUMPRODUCT(($B53&gt;=Mandate!$F$6:$F$50)*Mandate!$L$6:$L$50*(($B53&lt;=Mandate!$G$6:$G$50)*($B53-Mandate!$F$6:$F$50+1)+($B53&gt;Mandate!$G$6:$G$50)*(Mandate!$G$6:$G$50-Mandate!$F$6:$F$50+1)))</f>
        <v>934.61269841269836</v>
      </c>
      <c r="D53" s="8" t="e">
        <f>IF($B53&gt;$D$8,NA(),SUMPRODUCT(($B53&gt;=Mandate!$F$6:$F$50)*Mandate!$O$6:$O$50*(($B53&lt;=Mandate!$N$6:$N$50)*($B53-Mandate!$F$6:$F$50+1)+($B53&gt;Mandate!$N$6:$N$50)*(Mandate!$N$6:$N$50-Mandate!$F$6:$F$50+1))))</f>
        <v>#N/A</v>
      </c>
      <c r="E53" s="8">
        <f t="shared" si="2"/>
        <v>821.38730158730164</v>
      </c>
      <c r="F53" s="8" t="e">
        <f t="shared" si="3"/>
        <v>#N/A</v>
      </c>
    </row>
    <row r="54" spans="2:6" ht="15" customHeight="1">
      <c r="B54" s="17">
        <v>43</v>
      </c>
      <c r="C54" s="8">
        <f>SUMPRODUCT(($B54&gt;=Mandate!$F$6:$F$50)*Mandate!$L$6:$L$50*(($B54&lt;=Mandate!$G$6:$G$50)*($B54-Mandate!$F$6:$F$50+1)+($B54&gt;Mandate!$G$6:$G$50)*(Mandate!$G$6:$G$50-Mandate!$F$6:$F$50+1)))</f>
        <v>1008.5642857142857</v>
      </c>
      <c r="D54" s="8" t="e">
        <f>IF($B54&gt;$D$8,NA(),SUMPRODUCT(($B54&gt;=Mandate!$F$6:$F$50)*Mandate!$O$6:$O$50*(($B54&lt;=Mandate!$N$6:$N$50)*($B54-Mandate!$F$6:$F$50+1)+($B54&gt;Mandate!$N$6:$N$50)*(Mandate!$N$6:$N$50-Mandate!$F$6:$F$50+1))))</f>
        <v>#N/A</v>
      </c>
      <c r="E54" s="8">
        <f t="shared" si="2"/>
        <v>747.43571428571431</v>
      </c>
      <c r="F54" s="8" t="e">
        <f t="shared" si="3"/>
        <v>#N/A</v>
      </c>
    </row>
    <row r="55" spans="2:6" ht="15" customHeight="1">
      <c r="B55" s="17">
        <v>44</v>
      </c>
      <c r="C55" s="8">
        <f>SUMPRODUCT(($B55&gt;=Mandate!$F$6:$F$50)*Mandate!$L$6:$L$50*(($B55&lt;=Mandate!$G$6:$G$50)*($B55-Mandate!$F$6:$F$50+1)+($B55&gt;Mandate!$G$6:$G$50)*(Mandate!$G$6:$G$50-Mandate!$F$6:$F$50+1)))</f>
        <v>1097.2873015873015</v>
      </c>
      <c r="D55" s="8" t="e">
        <f>IF($B55&gt;$D$8,NA(),SUMPRODUCT(($B55&gt;=Mandate!$F$6:$F$50)*Mandate!$O$6:$O$50*(($B55&lt;=Mandate!$N$6:$N$50)*($B55-Mandate!$F$6:$F$50+1)+($B55&gt;Mandate!$N$6:$N$50)*(Mandate!$N$6:$N$50-Mandate!$F$6:$F$50+1))))</f>
        <v>#N/A</v>
      </c>
      <c r="E55" s="8">
        <f t="shared" si="2"/>
        <v>658.7126984126985</v>
      </c>
      <c r="F55" s="8" t="e">
        <f t="shared" si="3"/>
        <v>#N/A</v>
      </c>
    </row>
    <row r="56" spans="2:6" ht="15" customHeight="1">
      <c r="B56" s="17">
        <v>45</v>
      </c>
      <c r="C56" s="8">
        <f>SUMPRODUCT(($B56&gt;=Mandate!$F$6:$F$50)*Mandate!$L$6:$L$50*(($B56&lt;=Mandate!$G$6:$G$50)*($B56-Mandate!$F$6:$F$50+1)+($B56&gt;Mandate!$G$6:$G$50)*(Mandate!$G$6:$G$50-Mandate!$F$6:$F$50+1)))</f>
        <v>1193.0103174603175</v>
      </c>
      <c r="D56" s="8" t="e">
        <f>IF($B56&gt;$D$8,NA(),SUMPRODUCT(($B56&gt;=Mandate!$F$6:$F$50)*Mandate!$O$6:$O$50*(($B56&lt;=Mandate!$N$6:$N$50)*($B56-Mandate!$F$6:$F$50+1)+($B56&gt;Mandate!$N$6:$N$50)*(Mandate!$N$6:$N$50-Mandate!$F$6:$F$50+1))))</f>
        <v>#N/A</v>
      </c>
      <c r="E56" s="8">
        <f t="shared" si="2"/>
        <v>562.98968253968246</v>
      </c>
      <c r="F56" s="8" t="e">
        <f t="shared" si="3"/>
        <v>#N/A</v>
      </c>
    </row>
    <row r="57" spans="2:6" ht="15" customHeight="1">
      <c r="B57" s="17">
        <v>46</v>
      </c>
      <c r="C57" s="8">
        <f>SUMPRODUCT(($B57&gt;=Mandate!$F$6:$F$50)*Mandate!$L$6:$L$50*(($B57&lt;=Mandate!$G$6:$G$50)*($B57-Mandate!$F$6:$F$50+1)+($B57&gt;Mandate!$G$6:$G$50)*(Mandate!$G$6:$G$50-Mandate!$F$6:$F$50+1)))</f>
        <v>1292.4690476190474</v>
      </c>
      <c r="D57" s="8" t="e">
        <f>IF($B57&gt;$D$8,NA(),SUMPRODUCT(($B57&gt;=Mandate!$F$6:$F$50)*Mandate!$O$6:$O$50*(($B57&lt;=Mandate!$N$6:$N$50)*($B57-Mandate!$F$6:$F$50+1)+($B57&gt;Mandate!$N$6:$N$50)*(Mandate!$N$6:$N$50-Mandate!$F$6:$F$50+1))))</f>
        <v>#N/A</v>
      </c>
      <c r="E57" s="8">
        <f t="shared" si="2"/>
        <v>463.53095238095261</v>
      </c>
      <c r="F57" s="8" t="e">
        <f t="shared" si="3"/>
        <v>#N/A</v>
      </c>
    </row>
    <row r="58" spans="2:6" ht="15" customHeight="1">
      <c r="B58" s="17">
        <v>47</v>
      </c>
      <c r="C58" s="8">
        <f>SUMPRODUCT(($B58&gt;=Mandate!$F$6:$F$50)*Mandate!$L$6:$L$50*(($B58&lt;=Mandate!$G$6:$G$50)*($B58-Mandate!$F$6:$F$50+1)+($B58&gt;Mandate!$G$6:$G$50)*(Mandate!$G$6:$G$50-Mandate!$F$6:$F$50+1)))</f>
        <v>1389.1499999999999</v>
      </c>
      <c r="D58" s="8" t="e">
        <f>IF($B58&gt;$D$8,NA(),SUMPRODUCT(($B58&gt;=Mandate!$F$6:$F$50)*Mandate!$O$6:$O$50*(($B58&lt;=Mandate!$N$6:$N$50)*($B58-Mandate!$F$6:$F$50+1)+($B58&gt;Mandate!$N$6:$N$50)*(Mandate!$N$6:$N$50-Mandate!$F$6:$F$50+1))))</f>
        <v>#N/A</v>
      </c>
      <c r="E58" s="8">
        <f t="shared" si="2"/>
        <v>366.85000000000014</v>
      </c>
      <c r="F58" s="8" t="e">
        <f t="shared" si="3"/>
        <v>#N/A</v>
      </c>
    </row>
    <row r="59" spans="2:6" ht="15" customHeight="1">
      <c r="B59" s="17">
        <v>48</v>
      </c>
      <c r="C59" s="8">
        <f>SUMPRODUCT(($B59&gt;=Mandate!$F$6:$F$50)*Mandate!$L$6:$L$50*(($B59&lt;=Mandate!$G$6:$G$50)*($B59-Mandate!$F$6:$F$50+1)+($B59&gt;Mandate!$G$6:$G$50)*(Mandate!$G$6:$G$50-Mandate!$F$6:$F$50+1)))</f>
        <v>1487.5642857142855</v>
      </c>
      <c r="D59" s="8" t="e">
        <f>IF($B59&gt;$D$8,NA(),SUMPRODUCT(($B59&gt;=Mandate!$F$6:$F$50)*Mandate!$O$6:$O$50*(($B59&lt;=Mandate!$N$6:$N$50)*($B59-Mandate!$F$6:$F$50+1)+($B59&gt;Mandate!$N$6:$N$50)*(Mandate!$N$6:$N$50-Mandate!$F$6:$F$50+1))))</f>
        <v>#N/A</v>
      </c>
      <c r="E59" s="8">
        <f t="shared" si="2"/>
        <v>268.43571428571454</v>
      </c>
      <c r="F59" s="8" t="e">
        <f t="shared" si="3"/>
        <v>#N/A</v>
      </c>
    </row>
    <row r="60" spans="2:6" ht="15" customHeight="1">
      <c r="B60" s="17">
        <v>49</v>
      </c>
      <c r="C60" s="8">
        <f>SUMPRODUCT(($B60&gt;=Mandate!$F$6:$F$50)*Mandate!$L$6:$L$50*(($B60&lt;=Mandate!$G$6:$G$50)*($B60-Mandate!$F$6:$F$50+1)+($B60&gt;Mandate!$G$6:$G$50)*(Mandate!$G$6:$G$50-Mandate!$F$6:$F$50+1)))</f>
        <v>1569.3714285714286</v>
      </c>
      <c r="D60" s="8" t="e">
        <f>IF($B60&gt;$D$8,NA(),SUMPRODUCT(($B60&gt;=Mandate!$F$6:$F$50)*Mandate!$O$6:$O$50*(($B60&lt;=Mandate!$N$6:$N$50)*($B60-Mandate!$F$6:$F$50+1)+($B60&gt;Mandate!$N$6:$N$50)*(Mandate!$N$6:$N$50-Mandate!$F$6:$F$50+1))))</f>
        <v>#N/A</v>
      </c>
      <c r="E60" s="8">
        <f t="shared" si="2"/>
        <v>186.62857142857138</v>
      </c>
      <c r="F60" s="8" t="e">
        <f t="shared" si="3"/>
        <v>#N/A</v>
      </c>
    </row>
    <row r="61" spans="2:6" ht="15" customHeight="1">
      <c r="B61" s="17">
        <v>50</v>
      </c>
      <c r="C61" s="8">
        <f>SUMPRODUCT(($B61&gt;=Mandate!$F$6:$F$50)*Mandate!$L$6:$L$50*(($B61&lt;=Mandate!$G$6:$G$50)*($B61-Mandate!$F$6:$F$50+1)+($B61&gt;Mandate!$G$6:$G$50)*(Mandate!$G$6:$G$50-Mandate!$F$6:$F$50+1)))</f>
        <v>1652.9619047619046</v>
      </c>
      <c r="D61" s="8" t="e">
        <f>IF($B61&gt;$D$8,NA(),SUMPRODUCT(($B61&gt;=Mandate!$F$6:$F$50)*Mandate!$O$6:$O$50*(($B61&lt;=Mandate!$N$6:$N$50)*($B61-Mandate!$F$6:$F$50+1)+($B61&gt;Mandate!$N$6:$N$50)*(Mandate!$N$6:$N$50-Mandate!$F$6:$F$50+1))))</f>
        <v>#N/A</v>
      </c>
      <c r="E61" s="8">
        <f t="shared" si="2"/>
        <v>103.03809523809537</v>
      </c>
      <c r="F61" s="8" t="e">
        <f t="shared" si="3"/>
        <v>#N/A</v>
      </c>
    </row>
    <row r="62" spans="2:6" ht="15" customHeight="1">
      <c r="B62" s="17">
        <v>51</v>
      </c>
      <c r="C62" s="8">
        <f>SUMPRODUCT(($B62&gt;=Mandate!$F$6:$F$50)*Mandate!$L$6:$L$50*(($B62&lt;=Mandate!$G$6:$G$50)*($B62-Mandate!$F$6:$F$50+1)+($B62&gt;Mandate!$G$6:$G$50)*(Mandate!$G$6:$G$50-Mandate!$F$6:$F$50+1)))</f>
        <v>1705.9809523809524</v>
      </c>
      <c r="D62" s="8" t="e">
        <f>IF($B62&gt;$D$8,NA(),SUMPRODUCT(($B62&gt;=Mandate!$F$6:$F$50)*Mandate!$O$6:$O$50*(($B62&lt;=Mandate!$N$6:$N$50)*($B62-Mandate!$F$6:$F$50+1)+($B62&gt;Mandate!$N$6:$N$50)*(Mandate!$N$6:$N$50-Mandate!$F$6:$F$50+1))))</f>
        <v>#N/A</v>
      </c>
      <c r="E62" s="8">
        <f t="shared" si="2"/>
        <v>50.019047619047569</v>
      </c>
      <c r="F62" s="8" t="e">
        <f t="shared" si="3"/>
        <v>#N/A</v>
      </c>
    </row>
    <row r="63" spans="2:6" ht="15" customHeight="1">
      <c r="B63" s="17">
        <v>52</v>
      </c>
      <c r="C63" s="8">
        <f>SUMPRODUCT(($B63&gt;=Mandate!$F$6:$F$50)*Mandate!$L$6:$L$50*(($B63&lt;=Mandate!$G$6:$G$50)*($B63-Mandate!$F$6:$F$50+1)+($B63&gt;Mandate!$G$6:$G$50)*(Mandate!$G$6:$G$50-Mandate!$F$6:$F$50+1)))</f>
        <v>1756</v>
      </c>
      <c r="D63" s="8" t="e">
        <f>IF($B63&gt;$D$8,NA(),SUMPRODUCT(($B63&gt;=Mandate!$F$6:$F$50)*Mandate!$O$6:$O$50*(($B63&lt;=Mandate!$N$6:$N$50)*($B63-Mandate!$F$6:$F$50+1)+($B63&gt;Mandate!$N$6:$N$50)*(Mandate!$N$6:$N$50-Mandate!$F$6:$F$50+1))))</f>
        <v>#N/A</v>
      </c>
      <c r="E63" s="8">
        <f t="shared" si="2"/>
        <v>0</v>
      </c>
      <c r="F63" s="8" t="e">
        <f t="shared" si="3"/>
        <v>#N/A</v>
      </c>
    </row>
  </sheetData>
  <conditionalFormatting sqref="C12:F63">
    <cfRule type="expression" dxfId="0" priority="2">
      <formula>ISNA(C12)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2026-06-24T15:20:25Z</dcterms:created>
  <dcterms:modified xsi:type="dcterms:W3CDTF">2026-08-10T06:49:01Z</dcterms:modified>
  <cp:category/>
  <cp:contentStatus/>
</cp:coreProperties>
</file>