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geim\.claude\skills\ratgeber-artikel\articles\kalkhub\out\"/>
    </mc:Choice>
  </mc:AlternateContent>
  <xr:revisionPtr revIDLastSave="0" documentId="13_ncr:1_{2E55DCDB-A17C-418F-A7E4-4DECE6551167}" xr6:coauthVersionLast="47" xr6:coauthVersionMax="47" xr10:uidLastSave="{00000000-0000-0000-0000-000000000000}"/>
  <bookViews>
    <workbookView xWindow="28680" yWindow="-120" windowWidth="29040" windowHeight="15720" xr2:uid="{00000000-000D-0000-FFFF-FFFF00000000}"/>
  </bookViews>
  <sheets>
    <sheet name="Anleitung" sheetId="1" r:id="rId1"/>
    <sheet name="Stundensatz" sheetId="2" r:id="rId2"/>
    <sheet name="Kalkulation" sheetId="3" r:id="rId3"/>
    <sheet name="Nachkalkulation" sheetId="4" r:id="rId4"/>
    <sheet name="Richtwerte 2026"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2" i="4" l="1"/>
  <c r="G22" i="4"/>
  <c r="F22" i="4"/>
  <c r="E22" i="4"/>
  <c r="D22" i="4"/>
  <c r="C22" i="4"/>
  <c r="H21" i="4"/>
  <c r="G21" i="4"/>
  <c r="F21" i="4"/>
  <c r="E21" i="4"/>
  <c r="D21" i="4"/>
  <c r="C21" i="4"/>
  <c r="H20" i="4"/>
  <c r="G20" i="4"/>
  <c r="F20" i="4"/>
  <c r="E20" i="4"/>
  <c r="D20" i="4"/>
  <c r="C20" i="4"/>
  <c r="H19" i="4"/>
  <c r="G19" i="4"/>
  <c r="F19" i="4"/>
  <c r="E19" i="4"/>
  <c r="D19" i="4"/>
  <c r="C19" i="4"/>
  <c r="H18" i="4"/>
  <c r="G18" i="4"/>
  <c r="F18" i="4"/>
  <c r="E18" i="4"/>
  <c r="D18" i="4"/>
  <c r="C18" i="4"/>
  <c r="H17" i="4"/>
  <c r="G17" i="4"/>
  <c r="F17" i="4"/>
  <c r="E17" i="4"/>
  <c r="D17" i="4"/>
  <c r="C17" i="4"/>
  <c r="H16" i="4"/>
  <c r="G16" i="4"/>
  <c r="F16" i="4"/>
  <c r="E16" i="4"/>
  <c r="D16" i="4"/>
  <c r="C16" i="4"/>
  <c r="H15" i="4"/>
  <c r="G15" i="4"/>
  <c r="F15" i="4"/>
  <c r="E15" i="4"/>
  <c r="D15" i="4"/>
  <c r="C15" i="4"/>
  <c r="H14" i="4"/>
  <c r="G14" i="4"/>
  <c r="F14" i="4"/>
  <c r="E14" i="4"/>
  <c r="D14" i="4"/>
  <c r="C14" i="4"/>
  <c r="H13" i="4"/>
  <c r="G13" i="4"/>
  <c r="F13" i="4"/>
  <c r="E13" i="4"/>
  <c r="D13" i="4"/>
  <c r="C13" i="4"/>
  <c r="H12" i="4"/>
  <c r="G12" i="4"/>
  <c r="F12" i="4"/>
  <c r="E12" i="4"/>
  <c r="D12" i="4"/>
  <c r="C12" i="4"/>
  <c r="G48" i="3"/>
  <c r="G47" i="3"/>
  <c r="G46" i="3"/>
  <c r="G45" i="3"/>
  <c r="G44" i="3"/>
  <c r="D29" i="3"/>
  <c r="I28" i="3"/>
  <c r="J28" i="3" s="1"/>
  <c r="K28" i="3" s="1"/>
  <c r="I27" i="3"/>
  <c r="J27" i="3" s="1"/>
  <c r="K27" i="3" s="1"/>
  <c r="I26" i="3"/>
  <c r="J26" i="3" s="1"/>
  <c r="K26" i="3" s="1"/>
  <c r="I25" i="3"/>
  <c r="J25" i="3" s="1"/>
  <c r="K25" i="3" s="1"/>
  <c r="I24" i="3"/>
  <c r="J24" i="3" s="1"/>
  <c r="K24" i="3" s="1"/>
  <c r="I23" i="3"/>
  <c r="J23" i="3" s="1"/>
  <c r="K23" i="3" s="1"/>
  <c r="I22" i="3"/>
  <c r="J22" i="3" s="1"/>
  <c r="K22" i="3" s="1"/>
  <c r="I21" i="3"/>
  <c r="J21" i="3" s="1"/>
  <c r="K21" i="3" s="1"/>
  <c r="I20" i="3"/>
  <c r="J20" i="3" s="1"/>
  <c r="K20" i="3" s="1"/>
  <c r="I19" i="3"/>
  <c r="J19" i="3" s="1"/>
  <c r="K19" i="3" s="1"/>
  <c r="I18" i="3"/>
  <c r="J18" i="3" s="1"/>
  <c r="K18" i="3" s="1"/>
  <c r="I17" i="3"/>
  <c r="J17" i="3" s="1"/>
  <c r="K17" i="3" s="1"/>
  <c r="I16" i="3"/>
  <c r="J16" i="3" s="1"/>
  <c r="K16" i="3" s="1"/>
  <c r="I15" i="3"/>
  <c r="J15" i="3" s="1"/>
  <c r="K15" i="3" s="1"/>
  <c r="I14" i="3"/>
  <c r="J14" i="3" s="1"/>
  <c r="K14" i="3" s="1"/>
  <c r="I13" i="3"/>
  <c r="J13" i="3" s="1"/>
  <c r="K13" i="3" s="1"/>
  <c r="I12" i="3"/>
  <c r="J12" i="3" s="1"/>
  <c r="K12" i="3" s="1"/>
  <c r="I11" i="3"/>
  <c r="J11" i="3" s="1"/>
  <c r="K11" i="3" s="1"/>
  <c r="I10" i="3"/>
  <c r="J10" i="3" s="1"/>
  <c r="K10" i="3" s="1"/>
  <c r="I9" i="3"/>
  <c r="J9" i="3" s="1"/>
  <c r="C21" i="2"/>
  <c r="D16" i="2"/>
  <c r="D17" i="2" s="1"/>
  <c r="D18" i="2" s="1"/>
  <c r="D19" i="2" s="1"/>
  <c r="C16" i="2"/>
  <c r="C17" i="2" s="1"/>
  <c r="D11" i="2"/>
  <c r="C11" i="2"/>
  <c r="L22" i="3" l="1"/>
  <c r="M22" i="3"/>
  <c r="L23" i="3"/>
  <c r="M23" i="3"/>
  <c r="L25" i="3"/>
  <c r="M25" i="3"/>
  <c r="M26" i="3"/>
  <c r="L26" i="3"/>
  <c r="L27" i="3"/>
  <c r="M27" i="3"/>
  <c r="M14" i="3"/>
  <c r="L14" i="3"/>
  <c r="M28" i="3"/>
  <c r="L28" i="3"/>
  <c r="M15" i="3"/>
  <c r="L15" i="3"/>
  <c r="M17" i="3"/>
  <c r="L17" i="3"/>
  <c r="M19" i="3"/>
  <c r="L19" i="3"/>
  <c r="L20" i="3"/>
  <c r="M20" i="3"/>
  <c r="K9" i="3"/>
  <c r="J29" i="3"/>
  <c r="L24" i="3"/>
  <c r="M24" i="3"/>
  <c r="M16" i="3"/>
  <c r="L16" i="3"/>
  <c r="M18" i="3"/>
  <c r="L18" i="3"/>
  <c r="C18" i="2"/>
  <c r="F34" i="3"/>
  <c r="D7" i="4"/>
  <c r="M21" i="3"/>
  <c r="L21" i="3"/>
  <c r="C19" i="2" l="1"/>
  <c r="F35" i="3"/>
  <c r="F36" i="3" s="1"/>
  <c r="D6" i="4"/>
  <c r="L9" i="3"/>
  <c r="K29" i="3"/>
  <c r="D5" i="4" s="1"/>
  <c r="C11" i="4" s="1"/>
  <c r="D11" i="4" s="1"/>
  <c r="M9" i="3"/>
  <c r="A22" i="2" l="1"/>
  <c r="L11" i="3"/>
  <c r="M11" i="3" s="1"/>
  <c r="L12" i="3"/>
  <c r="M12" i="3" s="1"/>
  <c r="L13" i="3"/>
  <c r="M13" i="3" s="1"/>
  <c r="L10" i="3"/>
  <c r="M10" i="3" s="1"/>
  <c r="M29" i="3" s="1"/>
  <c r="D4" i="4" l="1"/>
  <c r="F32" i="3"/>
  <c r="F33" i="3"/>
  <c r="G49" i="3" l="1"/>
  <c r="F40" i="3"/>
  <c r="F38" i="3"/>
  <c r="F37" i="3"/>
  <c r="F39" i="3"/>
  <c r="G11" i="4"/>
  <c r="F11" i="4"/>
  <c r="H11" i="4" s="1"/>
  <c r="E11" i="4"/>
  <c r="D8" i="4"/>
</calcChain>
</file>

<file path=xl/sharedStrings.xml><?xml version="1.0" encoding="utf-8"?>
<sst xmlns="http://schemas.openxmlformats.org/spreadsheetml/2006/main" count="216" uniqueCount="194">
  <si>
    <t>Kalkulation für die Gebäudereinigung</t>
  </si>
  <si>
    <t>Kostenlose Vorlage von Mendato · Stand Oktober 2026 · vorbelegt mit dem Beispiel aus dem Ratgeber</t>
  </si>
  <si>
    <t>So nutzt du die Vorlage</t>
  </si>
  <si>
    <t>1. Stundensatz</t>
  </si>
  <si>
    <t>Trage im Blatt „Stundensatz“ Tariflohn, Lohnnebenkosten, Ausfalltage, Gemeinkosten sowie Wagnis und Gewinn ein. Die Vorlage rechnet daraus den Stundenverrechnungssatz, einmal für die Unterhaltsreinigung (Lohngruppe 1) und einmal für die Glasreinigung (Lohngruppe 6).</t>
  </si>
  <si>
    <t>2. Kalkulation</t>
  </si>
  <si>
    <t>Kopiere das Blatt „Kalkulation“ für jedes Objekt (Rechtsklick auf den Reiter, „Verschieben/Kopieren“, „Kopie erstellen“). Je Raum oder Raumgruppe: Fläche aus dem Aufmaß, Leistungswert und Reinigungen pro Woche aus dem Leistungsverzeichnis. Die Vorlage rechnet Stunden je Reinigung, pro Woche und pro Monat (× 4,33) und den Monatspreis.</t>
  </si>
  <si>
    <t>3. Weitere Positionen</t>
  </si>
  <si>
    <t>Verbrauchsmaterial wie Toilettenpapier, Handtuchpapier und Seife gehört nicht in den Stundensatz. Trag es unten im Blatt „Kalkulation“ als eigene Position ein, ebenso Sonderreinigungen mit Preis je Ausführung.</t>
  </si>
  <si>
    <t>4. Nachkalkulation</t>
  </si>
  <si>
    <t>Nach dem Start trägst du im Blatt „Nachkalkulation“ die tatsächlich gebrauchten Stunden je Monat ein. Die Vorlage zeigt den effektiven Stundensatz, das Ergebnis und ab wie vielen Stunden das Objekt Verlust macht.</t>
  </si>
  <si>
    <t>5. Richtwerte</t>
  </si>
  <si>
    <t>Das Blatt „Richtwerte 2026“ enthält Leistungswerte der RAL-Gütegemeinschaft Gebäudereinigung, Tariflöhne und Zuschläge. Die Leistungswerte sind Anhaltspunkte, keine verbindlichen Vorgaben: Prüfe jedes Objekt bei einer Begehung.</t>
  </si>
  <si>
    <t>Gelbe Zellen</t>
  </si>
  <si>
    <t>Eingabefelder. Alle anderen Zellen rechnen selbst, bitte nicht überschreiben.</t>
  </si>
  <si>
    <t>Die Kette dahinter</t>
  </si>
  <si>
    <t>Stunden</t>
  </si>
  <si>
    <t>Fläche ÷ Leistungswert = Stunden je Reinigung. × Reinigungen pro Woche = Stunden pro Woche. × 4,33 (52 Wochen ÷ 12 Monate) = Stunden im Monat.</t>
  </si>
  <si>
    <t>Stundensatz</t>
  </si>
  <si>
    <t>Tariflohn × (1 + Lohnnebenkosten) × bezahlte Tage ÷ produktive Tage × (1 + Gemeinkosten) × (1 + Wagnis und Gewinn). Jeder Schritt wird auf Cent gerundet.</t>
  </si>
  <si>
    <t>Preis</t>
  </si>
  <si>
    <t>Stunden im Monat × Stundenverrechnungssatz = Monatspreis netto. Der Preis pro m² ist ein Ergebnis, keine Kalkulationsgrundlage: Er hängt vor allem an der Häufigkeit.</t>
  </si>
  <si>
    <t>Untergrenze</t>
  </si>
  <si>
    <t>Liegt der Stundensatz unter 170 % des Tariflohns der Lohngruppe 1 (2026: 25,50 €), gilt ein Angebot nach der Empfehlung des Bundesinnungsverbands als ungewöhnlich niedrig. Öffentliche Auftraggeber fragen dann nach § 60 VgV nach.</t>
  </si>
  <si>
    <t>Ratgeber</t>
  </si>
  <si>
    <t>https://www.mendato.com/wissen/kalkulation-gebaeudereinigung</t>
  </si>
  <si>
    <t>Hinweis</t>
  </si>
  <si>
    <t>Die Vorlage ersetzt keine Steuer- oder Rechtsberatung. Lohnnebenkosten, Umlagen und BG-Beitrag hängen von deinem Betrieb ab: Prüfe sie mit deinem Steuerbüro.</t>
  </si>
  <si>
    <t>Deine Kalkulation in Mendato: vom Raumbuch bis zum Angebot</t>
  </si>
  <si>
    <t>Räume statt Abtippen</t>
  </si>
  <si>
    <t>Räume übernimmst du aus dem Raumbuch des Objekts oder Interessenten, fügst sie aus Excel ein oder lässt sie per KI aus einem Grundriss erkennen (in jedem Paket mit Monatskontingent).</t>
  </si>
  <si>
    <t>Leistungswerte</t>
  </si>
  <si>
    <t>Mendato schlägt je Raumart und Bodenbelag deinen eigenen Leistungswert vor. Wo das Objekt anders ist, überschreibst du ihn je Raum.</t>
  </si>
  <si>
    <t>Stundenlohn, Lohnnebenkosten, Gemeinkosten sowie Wagnis und Gewinn hinterlegst du einmal als Standard und passt sie je Leistung an, etwa für die Glasreinigung.</t>
  </si>
  <si>
    <t>Ergebnis</t>
  </si>
  <si>
    <t>Stunden, Kostensatz, Verrechnungssatz, Preis, Marge und Preis pro m², bei verknüpftem Leistungsverzeichnis mit Nacht-, Sonntags- und Feiertagszuschlägen.</t>
  </si>
  <si>
    <t>Angebot und Auftrag</t>
  </si>
  <si>
    <t>Aus der Kalkulation erstellst du das Angebot und nach der Zusage den Auftrag mit Raumbuch und Schichtvorschlägen.</t>
  </si>
  <si>
    <t>Paket</t>
  </si>
  <si>
    <t>Die Kalkulation ist ab dem Starter-Paket enthalten. 7 Tage kostenlos testen, keine Kreditkarte, keine Verpflichtung.</t>
  </si>
  <si>
    <t>Modul ansehen</t>
  </si>
  <si>
    <t>mendato.com/modul/kalkulation</t>
  </si>
  <si>
    <t>Kostenlos testen</t>
  </si>
  <si>
    <t>account.mendato.com/signup</t>
  </si>
  <si>
    <t>Stundenverrechnungssatz</t>
  </si>
  <si>
    <t>Vom Tariflohn zum Satz, den du je Reinigungsstunde berechnest · Werte 2026</t>
  </si>
  <si>
    <t>Eingabe</t>
  </si>
  <si>
    <t>Unterhaltsreinigung</t>
  </si>
  <si>
    <t>Glasreinigung</t>
  </si>
  <si>
    <t>Tariflohn je Stunde (€)</t>
  </si>
  <si>
    <t>Lohngruppe 1 und 6, 2026</t>
  </si>
  <si>
    <t>Lohnnebenkosten (%)</t>
  </si>
  <si>
    <t>Sozialversicherung, Umlagen, BG BAU</t>
  </si>
  <si>
    <t>Bezahlte Tage im Jahr</t>
  </si>
  <si>
    <t>Urlaubstage</t>
  </si>
  <si>
    <t>RTV: 30 Tage bei 5-Tage-Woche</t>
  </si>
  <si>
    <t>Feiertage an Werktagen</t>
  </si>
  <si>
    <t>je nach Bundesland</t>
  </si>
  <si>
    <t>Krankheitstage</t>
  </si>
  <si>
    <t>eigener Durchschnitt</t>
  </si>
  <si>
    <t>Produktive Tage</t>
  </si>
  <si>
    <t>bezahlte Tage minus Ausfalltage</t>
  </si>
  <si>
    <t>Gemeinkostenzuschlag (%)</t>
  </si>
  <si>
    <t>auf die Lohnkosten je produktive Stunde</t>
  </si>
  <si>
    <t>Wagnis und Gewinn (%)</t>
  </si>
  <si>
    <t>auf den Kostensatz</t>
  </si>
  <si>
    <t>Ergebnis je Stunde</t>
  </si>
  <si>
    <t>Rechnung</t>
  </si>
  <si>
    <t>Lohnkosten je bezahlte Stunde</t>
  </si>
  <si>
    <t>Tariflohn × (1 + Lohnnebenkosten)</t>
  </si>
  <si>
    <t>Lohnkosten je produktive Stunde</t>
  </si>
  <si>
    <t>× bezahlte Tage ÷ produktive Tage</t>
  </si>
  <si>
    <t>Kostensatz</t>
  </si>
  <si>
    <t>× (1 + Gemeinkosten)</t>
  </si>
  <si>
    <t>Stundenverrechnungssatz (SVS)</t>
  </si>
  <si>
    <t>× (1 + Wagnis und Gewinn)</t>
  </si>
  <si>
    <t>Untergrenze 170 % von Lohngruppe 1 (€)</t>
  </si>
  <si>
    <t>Empfehlung des Bundesinnungsverbands für Ausschreibungen</t>
  </si>
  <si>
    <t>Die Lohnnebenkosten liegen 2026 ohne Umlage U1 bei rund 23,7 %, mit U1 (Betriebe bis 30 Beschäftigte) bei rund 25,8 %. Die Vorlage rechnet wie der Ratgeber mit gerundeten 23 %.</t>
  </si>
  <si>
    <t>Tipp: In Mendato hinterlegst du die Kostensätze einmal als Standard und passt sie je Leistung an.</t>
  </si>
  <si>
    <t>Mehr zur Kalkulation in Mendato: mendato.com/modul/kalkulation</t>
  </si>
  <si>
    <t>Objektkalkulation</t>
  </si>
  <si>
    <t>Beispiel: Bürogebäude Lindenstraße 5, 600 m², Büros zweimal, Flure, Teeküche und Sanitär fünfmal pro Woche</t>
  </si>
  <si>
    <t>Objekt</t>
  </si>
  <si>
    <t>Bürogebäude Lindenstraße 5</t>
  </si>
  <si>
    <t>Kunde</t>
  </si>
  <si>
    <t>Musterkunde GmbH</t>
  </si>
  <si>
    <t>Wochen pro Monat</t>
  </si>
  <si>
    <t>52 Wochen ÷ 12 Monate</t>
  </si>
  <si>
    <t>Raum oder Raumgruppe</t>
  </si>
  <si>
    <t>Raumart</t>
  </si>
  <si>
    <t>Bodenbelag</t>
  </si>
  <si>
    <t>Fläche (m²)</t>
  </si>
  <si>
    <t>Leistungswert (m²/h)</t>
  </si>
  <si>
    <t>Reinigungen pro Woche</t>
  </si>
  <si>
    <t>Wochentage</t>
  </si>
  <si>
    <t>Satz (leer = Unterhalt LG 1)</t>
  </si>
  <si>
    <t>Std. je Reinigung</t>
  </si>
  <si>
    <t>Std. pro Woche</t>
  </si>
  <si>
    <t>Std. pro Monat</t>
  </si>
  <si>
    <t>Stundensatz (€)</t>
  </si>
  <si>
    <t>Preis pro Monat (€)</t>
  </si>
  <si>
    <t>Büros</t>
  </si>
  <si>
    <t>Büro</t>
  </si>
  <si>
    <t>Teppich</t>
  </si>
  <si>
    <t>Mo, Do</t>
  </si>
  <si>
    <t>Besprechung</t>
  </si>
  <si>
    <t>Flure, Eingang</t>
  </si>
  <si>
    <t>Flur</t>
  </si>
  <si>
    <t>Linoleum</t>
  </si>
  <si>
    <t>Mo–Fr</t>
  </si>
  <si>
    <t>Teeküche</t>
  </si>
  <si>
    <t>Fliesen</t>
  </si>
  <si>
    <t>Sanitär</t>
  </si>
  <si>
    <t>Summe</t>
  </si>
  <si>
    <t>Ergebnis pro Monat</t>
  </si>
  <si>
    <t>Monatspreis netto (Reinigung)</t>
  </si>
  <si>
    <t>Preis pro m²</t>
  </si>
  <si>
    <t>Lohnkosten (Stunden × Lohnkosten je produktive Stunde)</t>
  </si>
  <si>
    <t>Selbstkosten (Stunden × Kostensatz)</t>
  </si>
  <si>
    <t>davon Gemeinkosten</t>
  </si>
  <si>
    <t>Wagnis und Gewinn</t>
  </si>
  <si>
    <t>Deckungsbeitrag I (Preis minus Lohnkosten)</t>
  </si>
  <si>
    <t>Deckungsbeitrag I in % vom Preis</t>
  </si>
  <si>
    <t>Preis pro Jahr (Reinigung)</t>
  </si>
  <si>
    <t>Weitere Positionen pro Monat (Verbrauchsmaterial, Sonderreinigungen)</t>
  </si>
  <si>
    <t>Beschreibung</t>
  </si>
  <si>
    <t>Menge</t>
  </si>
  <si>
    <t>Einheit</t>
  </si>
  <si>
    <t>Preis je Einheit (€)</t>
  </si>
  <si>
    <t>Betrag (€)</t>
  </si>
  <si>
    <t>Angebot gesamt pro Monat netto</t>
  </si>
  <si>
    <t>Für Nacht-, Sonntags- und Feiertagsarbeit kommen die tariflichen Zuschläge dazu (Blatt „Richtwerte 2026“). Rechne sie als eigene Zeile mit erhöhtem Stundensatz.</t>
  </si>
  <si>
    <t>Tipp: In Mendato übernimmst du die Räume aus dem Raumbuch und bekommst Leistungswerte je Raumart und Bodenbelag vorgeschlagen.</t>
  </si>
  <si>
    <t>Nachkalkulation</t>
  </si>
  <si>
    <t>Trägt der Preis? Ist-Stunden je Monat gegen die Sollzeit aus dem Blatt „Kalkulation“</t>
  </si>
  <si>
    <t>Sollzeit pro Monat (Std.)</t>
  </si>
  <si>
    <t>Kostensatz (€ je Std.)</t>
  </si>
  <si>
    <t>Werte der Unterhaltsreinigung (Lohngruppe 1)</t>
  </si>
  <si>
    <t>Lohnkosten je produktive Stunde (€)</t>
  </si>
  <si>
    <t>Verlustgrenze (Std. pro Monat)</t>
  </si>
  <si>
    <t>Ab hier kostet das Objekt mehr, als es einbringt.</t>
  </si>
  <si>
    <t>Monat</t>
  </si>
  <si>
    <t>Ist-Stunden</t>
  </si>
  <si>
    <t>Abweichung (Std.)</t>
  </si>
  <si>
    <t>Abweichung (%)</t>
  </si>
  <si>
    <t>Effektiver Stundensatz (€)</t>
  </si>
  <si>
    <t>Ergebnis (€)</t>
  </si>
  <si>
    <t>Deckungsbeitrag I (€)</t>
  </si>
  <si>
    <t>Bewertung</t>
  </si>
  <si>
    <t>Monat 1</t>
  </si>
  <si>
    <t>Mehrstunden für dieselbe Leistung trägst du selbst. Einen Nachtrag gibt es nur, wenn sich die Leistung geändert hat, etwa durch mehr Fläche oder Zusatzwünsche.</t>
  </si>
  <si>
    <t>Tipp: Das Controlling in Mendato (Pro-Plus-Paket) zeigt je Objekt Plan-Zeit, Ist-Zeit, Umsatz, Kosten und Ergebnis.</t>
  </si>
  <si>
    <t>Richtwerte 2026</t>
  </si>
  <si>
    <t>Anhaltspunkte, keine verbindlichen Vorgaben. Eigene, gemessene Werte haben immer Vorrang.</t>
  </si>
  <si>
    <t>Leistungswerte Unterhaltsreinigung (RAL-Gütegemeinschaft Gebäudereinigung, Merkblatt Juli 2020, Allgemeine Verwaltung)</t>
  </si>
  <si>
    <t>von (m²/h)</t>
  </si>
  <si>
    <t>bis (m²/h)</t>
  </si>
  <si>
    <t>Im Beispiel 220</t>
  </si>
  <si>
    <t>Toiletten, Wasch- und Duschräume. Im Beispiel 60: viele Objekte auf wenig Fläche</t>
  </si>
  <si>
    <t>Aufenthaltsraum</t>
  </si>
  <si>
    <t>Umkleide, Garderobe</t>
  </si>
  <si>
    <t>Aufzug</t>
  </si>
  <si>
    <t>manuell; maschinell 300 bis 650</t>
  </si>
  <si>
    <t>Eingangshalle</t>
  </si>
  <si>
    <t>Treppenhaus</t>
  </si>
  <si>
    <t>Nebenraum</t>
  </si>
  <si>
    <t>Sonstiges</t>
  </si>
  <si>
    <t>eigener Wert nach Begehung</t>
  </si>
  <si>
    <t>Quelle: gggr.de, Merkblatt „Empfehlungen zur Ermittlung von Leistungszahlen in der Unterhaltsreinigung“</t>
  </si>
  <si>
    <t>Tariflöhne und Zuschläge 2026</t>
  </si>
  <si>
    <t>Wert</t>
  </si>
  <si>
    <t>Betrag</t>
  </si>
  <si>
    <t>Grundlage</t>
  </si>
  <si>
    <t>Lohngruppe 1 je Stunde</t>
  </si>
  <si>
    <t>15,00 €</t>
  </si>
  <si>
    <t>TV Mindestlohn, gilt bis 31.12.2026</t>
  </si>
  <si>
    <t>Lohngruppe 6 je Stunde</t>
  </si>
  <si>
    <t>18,40 €</t>
  </si>
  <si>
    <t>Glas- und Fassadenreinigung</t>
  </si>
  <si>
    <t>Nachtzuschlag 22 bis 5 Uhr</t>
  </si>
  <si>
    <t>30 %</t>
  </si>
  <si>
    <t>Rahmentarifvertrag</t>
  </si>
  <si>
    <t>Sonntags- und Feiertagszuschlag</t>
  </si>
  <si>
    <t>80 %</t>
  </si>
  <si>
    <t>1. Mai, Neujahr, 25. und 26. Dezember</t>
  </si>
  <si>
    <t>200 %</t>
  </si>
  <si>
    <t>Rahmentarifvertrag, nur der höchste Zuschlag zählt</t>
  </si>
  <si>
    <t>Minijob-Grenze pro Monat</t>
  </si>
  <si>
    <t>603 €</t>
  </si>
  <si>
    <t>Pauschalabgaben gewerblich bis 31,17 %</t>
  </si>
  <si>
    <t>Untergrenze Stundensatz Ausschreibung</t>
  </si>
  <si>
    <t>25,50 €</t>
  </si>
  <si>
    <t>170 % von Lohngruppe 1, Empfehlung Bundesinnungsverband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</si>
</sst>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
    <numFmt numFmtId="165" formatCode="0.0\ &quot;%&quot;"/>
    <numFmt numFmtId="166" formatCode="\+0.00;\-0.00;0.00"/>
    <numFmt numFmtId="167" formatCode="\+0.0\ &quot;%&quot;;\-0.0\ &quot;%&quot;;0.0\ &quot;%&quot;"/>
    <numFmt numFmtId="168" formatCode="\+#,##0.00\ \€;\-#,##0.00\ \€;0.00\ \€"/>
  </numFmts>
  <fonts count="13" x14ac:knownFonts="1">
    <font>
      <sz val="11"/>
      <color theme="1"/>
      <name val="Calibri"/>
      <family val="2"/>
      <scheme val="minor"/>
    </font>
    <font>
      <b/>
      <sz val="14"/>
      <color rgb="FF0B326B"/>
      <name val="Arial"/>
    </font>
    <font>
      <sz val="10"/>
      <color rgb="FF555B66"/>
      <name val="Arial"/>
    </font>
    <font>
      <b/>
      <sz val="11"/>
      <color rgb="FF0B326B"/>
      <name val="Arial"/>
    </font>
    <font>
      <b/>
      <sz val="10"/>
      <name val="Arial"/>
    </font>
    <font>
      <sz val="10"/>
      <name val="Arial"/>
    </font>
    <font>
      <u/>
      <sz val="10"/>
      <color rgb="FF0B326B"/>
      <name val="Arial"/>
    </font>
    <font>
      <b/>
      <sz val="12"/>
      <color rgb="FFFFFFFF"/>
      <name val="Arial"/>
    </font>
    <font>
      <b/>
      <sz val="10"/>
      <color rgb="FF0B326B"/>
      <name val="Arial"/>
    </font>
    <font>
      <b/>
      <u/>
      <sz val="10"/>
      <color rgb="FF0B326B"/>
      <name val="Arial"/>
    </font>
    <font>
      <b/>
      <sz val="10"/>
      <color rgb="FFFFFFFF"/>
      <name val="Arial"/>
    </font>
    <font>
      <sz val="10"/>
      <color rgb="FF0000FF"/>
      <name val="Arial"/>
    </font>
    <font>
      <i/>
      <sz val="10"/>
      <color rgb="FF555B66"/>
      <name val="Arial"/>
    </font>
  </fonts>
  <fills count="5">
    <fill>
      <patternFill patternType="none"/>
    </fill>
    <fill>
      <patternFill patternType="gray125"/>
    </fill>
    <fill>
      <patternFill patternType="solid">
        <fgColor rgb="FFFFF4C2"/>
      </patternFill>
    </fill>
    <fill>
      <patternFill patternType="solid">
        <fgColor rgb="FF0B326B"/>
      </patternFill>
    </fill>
    <fill>
      <patternFill patternType="solid">
        <fgColor rgb="FFEEFDF7"/>
      </patternFill>
    </fill>
  </fills>
  <borders count="4">
    <border>
      <left/>
      <right/>
      <top/>
      <bottom/>
      <diagonal/>
    </border>
    <border>
      <left style="thin">
        <color rgb="FFD5D9E0"/>
      </left>
      <right style="thin">
        <color rgb="FFD5D9E0"/>
      </right>
      <top style="thin">
        <color rgb="FFD5D9E0"/>
      </top>
      <bottom style="thin">
        <color rgb="FFD5D9E0"/>
      </bottom>
      <diagonal/>
    </border>
    <border>
      <left/>
      <right style="thin">
        <color rgb="FFD5D9E0"/>
      </right>
      <top style="thin">
        <color rgb="FFD5D9E0"/>
      </top>
      <bottom style="thin">
        <color rgb="FFD5D9E0"/>
      </bottom>
      <diagonal/>
    </border>
    <border>
      <left/>
      <right/>
      <top style="thin">
        <color rgb="FFD5D9E0"/>
      </top>
      <bottom style="thin">
        <color rgb="FFD5D9E0"/>
      </bottom>
      <diagonal/>
    </border>
  </borders>
  <cellStyleXfs count="1">
    <xf numFmtId="0" fontId="0" fillId="0" borderId="0"/>
  </cellStyleXfs>
  <cellXfs count="47">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top"/>
    </xf>
    <xf numFmtId="0" fontId="5" fillId="0" borderId="0" xfId="0" applyFont="1" applyAlignment="1">
      <alignment vertical="top" wrapText="1"/>
    </xf>
    <xf numFmtId="0" fontId="4" fillId="2" borderId="0" xfId="0" applyFont="1" applyFill="1" applyAlignment="1">
      <alignment vertical="top"/>
    </xf>
    <xf numFmtId="0" fontId="6" fillId="0" borderId="0" xfId="0" applyFont="1" applyAlignment="1">
      <alignment vertical="top" wrapText="1"/>
    </xf>
    <xf numFmtId="0" fontId="7" fillId="3" borderId="0" xfId="0" applyFont="1" applyFill="1" applyAlignment="1">
      <alignment vertical="center"/>
    </xf>
    <xf numFmtId="0" fontId="0" fillId="3" borderId="0" xfId="0" applyFill="1" applyAlignment="1">
      <alignment vertical="center"/>
    </xf>
    <xf numFmtId="0" fontId="8" fillId="4" borderId="0" xfId="0" applyFont="1" applyFill="1" applyAlignment="1">
      <alignment vertical="top" wrapText="1"/>
    </xf>
    <xf numFmtId="0" fontId="5" fillId="4" borderId="0" xfId="0" applyFont="1" applyFill="1" applyAlignment="1">
      <alignment vertical="top" wrapText="1"/>
    </xf>
    <xf numFmtId="0" fontId="8" fillId="4" borderId="0" xfId="0" applyFont="1" applyFill="1"/>
    <xf numFmtId="0" fontId="9" fillId="4" borderId="0" xfId="0" applyFont="1" applyFill="1"/>
    <xf numFmtId="0" fontId="10" fillId="3" borderId="1" xfId="0" applyFont="1" applyFill="1" applyBorder="1" applyAlignment="1">
      <alignment vertical="center" wrapText="1"/>
    </xf>
    <xf numFmtId="164" fontId="11" fillId="2" borderId="1" xfId="0" applyNumberFormat="1" applyFont="1" applyFill="1" applyBorder="1"/>
    <xf numFmtId="2" fontId="11" fillId="2" borderId="1" xfId="0" applyNumberFormat="1" applyFont="1" applyFill="1" applyBorder="1"/>
    <xf numFmtId="1" fontId="11" fillId="2" borderId="1" xfId="0" applyNumberFormat="1" applyFont="1" applyFill="1" applyBorder="1"/>
    <xf numFmtId="1" fontId="5" fillId="0" borderId="1" xfId="0" applyNumberFormat="1" applyFont="1" applyBorder="1"/>
    <xf numFmtId="164" fontId="5" fillId="0" borderId="1" xfId="0" applyNumberFormat="1" applyFont="1" applyBorder="1"/>
    <xf numFmtId="164" fontId="4" fillId="4" borderId="1" xfId="0" applyNumberFormat="1" applyFont="1" applyFill="1" applyBorder="1"/>
    <xf numFmtId="0" fontId="2" fillId="4" borderId="0" xfId="0" applyFont="1" applyFill="1"/>
    <xf numFmtId="0" fontId="8" fillId="0" borderId="0" xfId="0" applyFont="1"/>
    <xf numFmtId="0" fontId="12" fillId="0" borderId="0" xfId="0" applyFont="1"/>
    <xf numFmtId="0" fontId="6" fillId="0" borderId="0" xfId="0" applyFont="1"/>
    <xf numFmtId="0" fontId="0" fillId="2" borderId="1" xfId="0" applyFill="1" applyBorder="1"/>
    <xf numFmtId="4" fontId="11" fillId="2" borderId="1" xfId="0" applyNumberFormat="1" applyFont="1" applyFill="1" applyBorder="1"/>
    <xf numFmtId="4" fontId="5" fillId="0" borderId="1" xfId="0" applyNumberFormat="1" applyFont="1" applyBorder="1"/>
    <xf numFmtId="0" fontId="4" fillId="4" borderId="1" xfId="0" applyFont="1" applyFill="1" applyBorder="1"/>
    <xf numFmtId="4" fontId="4" fillId="4" borderId="1" xfId="0" applyNumberFormat="1" applyFont="1" applyFill="1" applyBorder="1"/>
    <xf numFmtId="165" fontId="5" fillId="0" borderId="1" xfId="0" applyNumberFormat="1" applyFont="1" applyBorder="1"/>
    <xf numFmtId="4" fontId="4" fillId="0" borderId="1" xfId="0" applyNumberFormat="1" applyFont="1" applyBorder="1"/>
    <xf numFmtId="166" fontId="5" fillId="0" borderId="1" xfId="0" applyNumberFormat="1" applyFont="1" applyBorder="1"/>
    <xf numFmtId="167" fontId="5" fillId="0" borderId="1" xfId="0" applyNumberFormat="1" applyFont="1" applyBorder="1"/>
    <xf numFmtId="168" fontId="5" fillId="0" borderId="1" xfId="0" applyNumberFormat="1" applyFont="1" applyBorder="1"/>
    <xf numFmtId="0" fontId="5" fillId="0" borderId="1" xfId="0" applyFont="1" applyBorder="1"/>
    <xf numFmtId="0" fontId="5" fillId="0" borderId="1" xfId="0" applyFont="1" applyBorder="1" applyAlignment="1">
      <alignment horizontal="right"/>
    </xf>
    <xf numFmtId="0" fontId="10" fillId="3" borderId="1" xfId="0" applyFont="1" applyFill="1" applyBorder="1" applyAlignment="1">
      <alignment vertical="center" wrapText="1"/>
    </xf>
    <xf numFmtId="0" fontId="0" fillId="0" borderId="2" xfId="0" applyBorder="1"/>
    <xf numFmtId="0" fontId="4" fillId="0" borderId="0" xfId="0" applyFont="1"/>
    <xf numFmtId="0" fontId="0" fillId="0" borderId="0" xfId="0"/>
    <xf numFmtId="0" fontId="4" fillId="4" borderId="0" xfId="0" applyFont="1" applyFill="1"/>
    <xf numFmtId="0" fontId="0" fillId="4" borderId="0" xfId="0" applyFill="1"/>
    <xf numFmtId="0" fontId="0" fillId="2" borderId="1" xfId="0" applyFill="1" applyBorder="1"/>
    <xf numFmtId="0" fontId="0" fillId="0" borderId="3" xfId="0" applyBorder="1"/>
    <xf numFmtId="2" fontId="11" fillId="2" borderId="1" xfId="0" applyNumberFormat="1" applyFont="1" applyFill="1" applyBorder="1"/>
    <xf numFmtId="0" fontId="11" fillId="2" borderId="1" xfId="0" applyFont="1" applyFill="1" applyBorder="1"/>
  </cellXfs>
  <cellStyles count="1">
    <cellStyle name="Standard" xfId="0" builtinId="0"/>
  </cellStyles>
  <dxfs count="2">
    <dxf>
      <font>
        <b/>
        <color rgb="FFB42318"/>
        <name val="Arial"/>
      </font>
    </dxf>
    <dxf>
      <font>
        <b/>
        <color rgb="FFB42318"/>
        <name val="Arial"/>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ccount.mendato.com/signup?utm_source=kalk-vorlage&amp;utm_medium=xlsx&amp;utm_campaign=ratgeber-kalkulation" TargetMode="External"/><Relationship Id="rId2" Type="http://schemas.openxmlformats.org/officeDocument/2006/relationships/hyperlink" Target="https://www.mendato.com/modul/kalkulation?utm_source=kalk-vorlage&amp;utm_medium=xlsx&amp;utm_campaign=ratgeber-kalkulation" TargetMode="External"/><Relationship Id="rId1" Type="http://schemas.openxmlformats.org/officeDocument/2006/relationships/hyperlink" Target="https://www.mendato.com/wissen/kalkulation-gebaeudereinigung"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mendato.com/modul/kalkulation?utm_source=kalk-vorlage&amp;utm_medium=xlsx&amp;utm_campaign=ratgeber-kalkulation" TargetMode="External"/><Relationship Id="rId1" Type="http://schemas.openxmlformats.org/officeDocument/2006/relationships/hyperlink" Target="https://www.mendato.com/modul/kalkulation?utm_source=kalk-vorlage&amp;utm_medium=xlsx&amp;utm_campaign=ratgeber-kalkulation"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mendato.com/modul/kalkulation?utm_source=kalk-vorlage&amp;utm_medium=xlsx&amp;utm_campaign=ratgeber-kalkulation" TargetMode="External"/><Relationship Id="rId1" Type="http://schemas.openxmlformats.org/officeDocument/2006/relationships/hyperlink" Target="https://www.mendato.com/modul/kalkulation?utm_source=kalk-vorlage&amp;utm_medium=xlsx&amp;utm_campaign=ratgeber-kalkulation"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mendato.com/modul/kalkulation?utm_source=kalk-vorlage&amp;utm_medium=xlsx&amp;utm_campaign=ratgeber-kalkulation" TargetMode="External"/><Relationship Id="rId1" Type="http://schemas.openxmlformats.org/officeDocument/2006/relationships/hyperlink" Target="https://www.mendato.com/modul/kalkulation?utm_source=kalk-vorlage&amp;utm_medium=xlsx&amp;utm_campaign=ratgeber-kalkulation"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ggr.de/dateien/pdfs/merkblaetter/ral_merkblatt_unterhaltsreinigu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6"/>
  <sheetViews>
    <sheetView tabSelected="1" workbookViewId="0"/>
  </sheetViews>
  <sheetFormatPr baseColWidth="10" defaultColWidth="9.140625" defaultRowHeight="15" x14ac:dyDescent="0.25"/>
  <cols>
    <col min="1" max="1" width="24" customWidth="1"/>
    <col min="2" max="2" width="100" customWidth="1"/>
  </cols>
  <sheetData>
    <row r="1" spans="1:2" ht="18" x14ac:dyDescent="0.25">
      <c r="A1" s="1" t="s">
        <v>0</v>
      </c>
    </row>
    <row r="2" spans="1:2" x14ac:dyDescent="0.25">
      <c r="A2" s="2" t="s">
        <v>1</v>
      </c>
    </row>
    <row r="4" spans="1:2" x14ac:dyDescent="0.25">
      <c r="A4" s="3" t="s">
        <v>2</v>
      </c>
    </row>
    <row r="5" spans="1:2" ht="38.25" x14ac:dyDescent="0.25">
      <c r="A5" s="4" t="s">
        <v>3</v>
      </c>
      <c r="B5" s="5" t="s">
        <v>4</v>
      </c>
    </row>
    <row r="6" spans="1:2" ht="51" x14ac:dyDescent="0.25">
      <c r="A6" s="4" t="s">
        <v>5</v>
      </c>
      <c r="B6" s="5" t="s">
        <v>6</v>
      </c>
    </row>
    <row r="7" spans="1:2" ht="25.5" x14ac:dyDescent="0.25">
      <c r="A7" s="4" t="s">
        <v>7</v>
      </c>
      <c r="B7" s="5" t="s">
        <v>8</v>
      </c>
    </row>
    <row r="8" spans="1:2" ht="25.5" x14ac:dyDescent="0.25">
      <c r="A8" s="4" t="s">
        <v>9</v>
      </c>
      <c r="B8" s="5" t="s">
        <v>10</v>
      </c>
    </row>
    <row r="9" spans="1:2" ht="38.25" x14ac:dyDescent="0.25">
      <c r="A9" s="4" t="s">
        <v>11</v>
      </c>
      <c r="B9" s="5" t="s">
        <v>12</v>
      </c>
    </row>
    <row r="10" spans="1:2" x14ac:dyDescent="0.25">
      <c r="A10" s="6" t="s">
        <v>13</v>
      </c>
      <c r="B10" s="5" t="s">
        <v>14</v>
      </c>
    </row>
    <row r="11" spans="1:2" x14ac:dyDescent="0.25">
      <c r="A11" s="3" t="s">
        <v>15</v>
      </c>
    </row>
    <row r="12" spans="1:2" ht="25.5" x14ac:dyDescent="0.25">
      <c r="A12" s="4" t="s">
        <v>16</v>
      </c>
      <c r="B12" s="5" t="s">
        <v>17</v>
      </c>
    </row>
    <row r="13" spans="1:2" ht="25.5" x14ac:dyDescent="0.25">
      <c r="A13" s="4" t="s">
        <v>18</v>
      </c>
      <c r="B13" s="5" t="s">
        <v>19</v>
      </c>
    </row>
    <row r="14" spans="1:2" ht="25.5" x14ac:dyDescent="0.25">
      <c r="A14" s="4" t="s">
        <v>20</v>
      </c>
      <c r="B14" s="5" t="s">
        <v>21</v>
      </c>
    </row>
    <row r="15" spans="1:2" ht="38.25" x14ac:dyDescent="0.25">
      <c r="A15" s="4" t="s">
        <v>22</v>
      </c>
      <c r="B15" s="5" t="s">
        <v>23</v>
      </c>
    </row>
    <row r="16" spans="1:2" x14ac:dyDescent="0.25">
      <c r="A16" s="4" t="s">
        <v>24</v>
      </c>
      <c r="B16" s="7" t="s">
        <v>25</v>
      </c>
    </row>
    <row r="17" spans="1:2" ht="25.5" x14ac:dyDescent="0.25">
      <c r="A17" s="4" t="s">
        <v>26</v>
      </c>
      <c r="B17" s="5" t="s">
        <v>27</v>
      </c>
    </row>
    <row r="18" spans="1:2" ht="24" customHeight="1" x14ac:dyDescent="0.25">
      <c r="A18" s="8" t="s">
        <v>28</v>
      </c>
      <c r="B18" s="9"/>
    </row>
    <row r="19" spans="1:2" ht="25.5" x14ac:dyDescent="0.25">
      <c r="A19" s="10" t="s">
        <v>29</v>
      </c>
      <c r="B19" s="11" t="s">
        <v>30</v>
      </c>
    </row>
    <row r="20" spans="1:2" ht="25.5" x14ac:dyDescent="0.25">
      <c r="A20" s="10" t="s">
        <v>31</v>
      </c>
      <c r="B20" s="11" t="s">
        <v>32</v>
      </c>
    </row>
    <row r="21" spans="1:2" ht="25.5" x14ac:dyDescent="0.25">
      <c r="A21" s="10" t="s">
        <v>18</v>
      </c>
      <c r="B21" s="11" t="s">
        <v>33</v>
      </c>
    </row>
    <row r="22" spans="1:2" ht="25.5" x14ac:dyDescent="0.25">
      <c r="A22" s="10" t="s">
        <v>34</v>
      </c>
      <c r="B22" s="11" t="s">
        <v>35</v>
      </c>
    </row>
    <row r="23" spans="1:2" ht="25.5" x14ac:dyDescent="0.25">
      <c r="A23" s="10" t="s">
        <v>36</v>
      </c>
      <c r="B23" s="11" t="s">
        <v>37</v>
      </c>
    </row>
    <row r="24" spans="1:2" x14ac:dyDescent="0.25">
      <c r="A24" s="10" t="s">
        <v>38</v>
      </c>
      <c r="B24" s="11" t="s">
        <v>39</v>
      </c>
    </row>
    <row r="25" spans="1:2" x14ac:dyDescent="0.25">
      <c r="A25" s="12" t="s">
        <v>40</v>
      </c>
      <c r="B25" s="13" t="s">
        <v>41</v>
      </c>
    </row>
    <row r="26" spans="1:2" x14ac:dyDescent="0.25">
      <c r="A26" s="12" t="s">
        <v>42</v>
      </c>
      <c r="B26" s="13" t="s">
        <v>43</v>
      </c>
    </row>
  </sheetData>
  <hyperlinks>
    <hyperlink ref="B16" r:id="rId1" xr:uid="{00000000-0004-0000-0000-000000000000}"/>
    <hyperlink ref="B25" r:id="rId2" xr:uid="{00000000-0004-0000-0000-000001000000}"/>
    <hyperlink ref="B26" r:id="rId3" xr:uid="{00000000-0004-0000-0000-000002000000}"/>
  </hyperlinks>
  <pageMargins left="0.75" right="0.75" top="1" bottom="1" header="0.5" footer="0.5"/>
  <pageSetup paperSize="9" orientation="portrait"/>
  <headerFooter>
    <oddFooter>&amp;LKalkulation · Vorlage von Mendato · mendato.com/wissen/kalkulation-gebaeudereinigung&amp;RSeite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6"/>
  <sheetViews>
    <sheetView workbookViewId="0"/>
  </sheetViews>
  <sheetFormatPr baseColWidth="10" defaultColWidth="9.140625" defaultRowHeight="15" x14ac:dyDescent="0.25"/>
  <cols>
    <col min="1" max="1" width="34" customWidth="1"/>
    <col min="2" max="2" width="14" customWidth="1"/>
    <col min="3" max="4" width="21" customWidth="1"/>
    <col min="5" max="5" width="40" customWidth="1"/>
  </cols>
  <sheetData>
    <row r="1" spans="1:5" ht="18" x14ac:dyDescent="0.25">
      <c r="A1" s="1" t="s">
        <v>44</v>
      </c>
    </row>
    <row r="2" spans="1:5" x14ac:dyDescent="0.25">
      <c r="A2" s="2" t="s">
        <v>45</v>
      </c>
    </row>
    <row r="4" spans="1:5" ht="32.1" customHeight="1" x14ac:dyDescent="0.25">
      <c r="A4" s="37" t="s">
        <v>46</v>
      </c>
      <c r="B4" s="38"/>
      <c r="C4" s="14" t="s">
        <v>47</v>
      </c>
      <c r="D4" s="14" t="s">
        <v>48</v>
      </c>
    </row>
    <row r="5" spans="1:5" x14ac:dyDescent="0.25">
      <c r="A5" s="39" t="s">
        <v>49</v>
      </c>
      <c r="B5" s="40"/>
      <c r="C5" s="15">
        <v>15</v>
      </c>
      <c r="D5" s="15">
        <v>18.399999999999999</v>
      </c>
      <c r="E5" s="2" t="s">
        <v>50</v>
      </c>
    </row>
    <row r="6" spans="1:5" x14ac:dyDescent="0.25">
      <c r="A6" s="39" t="s">
        <v>51</v>
      </c>
      <c r="B6" s="40"/>
      <c r="C6" s="16">
        <v>23</v>
      </c>
      <c r="D6" s="16">
        <v>23</v>
      </c>
      <c r="E6" s="2" t="s">
        <v>52</v>
      </c>
    </row>
    <row r="7" spans="1:5" x14ac:dyDescent="0.25">
      <c r="A7" s="39" t="s">
        <v>53</v>
      </c>
      <c r="B7" s="40"/>
      <c r="C7" s="17">
        <v>260</v>
      </c>
      <c r="D7" s="17">
        <v>260</v>
      </c>
      <c r="E7" s="2"/>
    </row>
    <row r="8" spans="1:5" x14ac:dyDescent="0.25">
      <c r="A8" s="39" t="s">
        <v>54</v>
      </c>
      <c r="B8" s="40"/>
      <c r="C8" s="17">
        <v>30</v>
      </c>
      <c r="D8" s="17">
        <v>30</v>
      </c>
      <c r="E8" s="2" t="s">
        <v>55</v>
      </c>
    </row>
    <row r="9" spans="1:5" x14ac:dyDescent="0.25">
      <c r="A9" s="39" t="s">
        <v>56</v>
      </c>
      <c r="B9" s="40"/>
      <c r="C9" s="17">
        <v>10</v>
      </c>
      <c r="D9" s="17">
        <v>10</v>
      </c>
      <c r="E9" s="2" t="s">
        <v>57</v>
      </c>
    </row>
    <row r="10" spans="1:5" x14ac:dyDescent="0.25">
      <c r="A10" s="39" t="s">
        <v>58</v>
      </c>
      <c r="B10" s="40"/>
      <c r="C10" s="17">
        <v>13</v>
      </c>
      <c r="D10" s="17">
        <v>13</v>
      </c>
      <c r="E10" s="2" t="s">
        <v>59</v>
      </c>
    </row>
    <row r="11" spans="1:5" x14ac:dyDescent="0.25">
      <c r="A11" s="39" t="s">
        <v>60</v>
      </c>
      <c r="B11" s="40"/>
      <c r="C11" s="18">
        <f>C7-C8-C9-C10</f>
        <v>207</v>
      </c>
      <c r="D11" s="18">
        <f>D7-D8-D9-D10</f>
        <v>207</v>
      </c>
      <c r="E11" s="2" t="s">
        <v>61</v>
      </c>
    </row>
    <row r="12" spans="1:5" x14ac:dyDescent="0.25">
      <c r="A12" s="39" t="s">
        <v>62</v>
      </c>
      <c r="B12" s="40"/>
      <c r="C12" s="16">
        <v>20</v>
      </c>
      <c r="D12" s="16">
        <v>20</v>
      </c>
      <c r="E12" s="2" t="s">
        <v>63</v>
      </c>
    </row>
    <row r="13" spans="1:5" x14ac:dyDescent="0.25">
      <c r="A13" s="39" t="s">
        <v>64</v>
      </c>
      <c r="B13" s="40"/>
      <c r="C13" s="16">
        <v>8</v>
      </c>
      <c r="D13" s="16">
        <v>8</v>
      </c>
      <c r="E13" s="2" t="s">
        <v>65</v>
      </c>
    </row>
    <row r="15" spans="1:5" ht="32.1" customHeight="1" x14ac:dyDescent="0.25">
      <c r="A15" s="37" t="s">
        <v>66</v>
      </c>
      <c r="B15" s="38"/>
      <c r="C15" s="14" t="s">
        <v>47</v>
      </c>
      <c r="D15" s="14" t="s">
        <v>48</v>
      </c>
      <c r="E15" s="14" t="s">
        <v>67</v>
      </c>
    </row>
    <row r="16" spans="1:5" x14ac:dyDescent="0.25">
      <c r="A16" s="39" t="s">
        <v>68</v>
      </c>
      <c r="B16" s="40"/>
      <c r="C16" s="19">
        <f>ROUND(C5*(1+C6/100),2)</f>
        <v>18.45</v>
      </c>
      <c r="D16" s="19">
        <f>ROUND(D5*(1+D6/100),2)</f>
        <v>22.63</v>
      </c>
      <c r="E16" s="2" t="s">
        <v>69</v>
      </c>
    </row>
    <row r="17" spans="1:5" x14ac:dyDescent="0.25">
      <c r="A17" s="39" t="s">
        <v>70</v>
      </c>
      <c r="B17" s="40"/>
      <c r="C17" s="19">
        <f>ROUND(C16*C7/C11,2)</f>
        <v>23.17</v>
      </c>
      <c r="D17" s="19">
        <f>ROUND(D16*D7/D11,2)</f>
        <v>28.42</v>
      </c>
      <c r="E17" s="2" t="s">
        <v>71</v>
      </c>
    </row>
    <row r="18" spans="1:5" x14ac:dyDescent="0.25">
      <c r="A18" s="39" t="s">
        <v>72</v>
      </c>
      <c r="B18" s="40"/>
      <c r="C18" s="19">
        <f>ROUND(C17*(1+C12/100),2)</f>
        <v>27.8</v>
      </c>
      <c r="D18" s="19">
        <f>ROUND(D17*(1+D12/100),2)</f>
        <v>34.1</v>
      </c>
      <c r="E18" s="2" t="s">
        <v>73</v>
      </c>
    </row>
    <row r="19" spans="1:5" x14ac:dyDescent="0.25">
      <c r="A19" s="41" t="s">
        <v>74</v>
      </c>
      <c r="B19" s="42"/>
      <c r="C19" s="20">
        <f>ROUND(C18*(1+C13/100),2)</f>
        <v>30.02</v>
      </c>
      <c r="D19" s="20">
        <f>ROUND(D18*(1+D13/100),2)</f>
        <v>36.83</v>
      </c>
      <c r="E19" s="21" t="s">
        <v>75</v>
      </c>
    </row>
    <row r="21" spans="1:5" x14ac:dyDescent="0.25">
      <c r="A21" s="39" t="s">
        <v>76</v>
      </c>
      <c r="B21" s="40"/>
      <c r="C21" s="19">
        <f>ROUND(C5*1.7,2)</f>
        <v>25.5</v>
      </c>
      <c r="E21" s="2" t="s">
        <v>77</v>
      </c>
    </row>
    <row r="22" spans="1:5" x14ac:dyDescent="0.25">
      <c r="A22" s="22" t="str">
        <f>IF(C19&lt;C21,"Achtung: Der Satz für die Unterhaltsreinigung liegt unter der Untergrenze.","Der Satz für die Unterhaltsreinigung liegt über der Untergrenze.")</f>
        <v>Der Satz für die Unterhaltsreinigung liegt über der Untergrenze.</v>
      </c>
    </row>
    <row r="23" spans="1:5" x14ac:dyDescent="0.25">
      <c r="A23" s="23" t="s">
        <v>78</v>
      </c>
    </row>
    <row r="25" spans="1:5" x14ac:dyDescent="0.25">
      <c r="A25" s="22" t="s">
        <v>79</v>
      </c>
    </row>
    <row r="26" spans="1:5" x14ac:dyDescent="0.25">
      <c r="A26" s="24" t="s">
        <v>80</v>
      </c>
    </row>
  </sheetData>
  <mergeCells count="16">
    <mergeCell ref="A4:B4"/>
    <mergeCell ref="A21:B21"/>
    <mergeCell ref="A16:B16"/>
    <mergeCell ref="A15:B15"/>
    <mergeCell ref="A7:B7"/>
    <mergeCell ref="A19:B19"/>
    <mergeCell ref="A11:B11"/>
    <mergeCell ref="A10:B10"/>
    <mergeCell ref="A5:B5"/>
    <mergeCell ref="A13:B13"/>
    <mergeCell ref="A18:B18"/>
    <mergeCell ref="A17:B17"/>
    <mergeCell ref="A9:B9"/>
    <mergeCell ref="A8:B8"/>
    <mergeCell ref="A6:B6"/>
    <mergeCell ref="A12:B12"/>
  </mergeCells>
  <conditionalFormatting sqref="A22">
    <cfRule type="expression" dxfId="1" priority="1">
      <formula>$C$19&lt;$C$21</formula>
    </cfRule>
  </conditionalFormatting>
  <hyperlinks>
    <hyperlink ref="A25" r:id="rId1" xr:uid="{00000000-0004-0000-0100-000000000000}"/>
    <hyperlink ref="A26" r:id="rId2" xr:uid="{00000000-0004-0000-0100-000001000000}"/>
  </hyperlinks>
  <pageMargins left="0.75" right="0.75" top="1" bottom="1" header="0.5" footer="0.5"/>
  <pageSetup paperSize="9" orientation="landscape"/>
  <headerFooter>
    <oddFooter>&amp;LKalkulation · Vorlage von Mendato · mendato.com/wissen/kalkulation-gebaeudereinigung&amp;RSeite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3"/>
  <sheetViews>
    <sheetView workbookViewId="0">
      <pane xSplit="1" ySplit="8" topLeftCell="B9" activePane="bottomRight" state="frozen"/>
      <selection pane="topRight"/>
      <selection pane="bottomLeft"/>
      <selection pane="bottomRight"/>
    </sheetView>
  </sheetViews>
  <sheetFormatPr baseColWidth="10" defaultColWidth="9.140625" defaultRowHeight="15" x14ac:dyDescent="0.25"/>
  <cols>
    <col min="1" max="1" width="22" customWidth="1"/>
    <col min="2" max="2" width="16" customWidth="1"/>
    <col min="3" max="3" width="12" customWidth="1"/>
    <col min="4" max="4" width="10" customWidth="1"/>
    <col min="5" max="5" width="14" customWidth="1"/>
    <col min="6" max="6" width="13" customWidth="1"/>
    <col min="7" max="7" width="12" customWidth="1"/>
    <col min="8" max="8" width="15" customWidth="1"/>
    <col min="9" max="11" width="11" customWidth="1"/>
    <col min="12" max="13" width="13" customWidth="1"/>
  </cols>
  <sheetData>
    <row r="1" spans="1:13" ht="18" x14ac:dyDescent="0.25">
      <c r="A1" s="1" t="s">
        <v>81</v>
      </c>
    </row>
    <row r="2" spans="1:13" x14ac:dyDescent="0.25">
      <c r="A2" s="2" t="s">
        <v>82</v>
      </c>
    </row>
    <row r="4" spans="1:13" x14ac:dyDescent="0.25">
      <c r="A4" s="39" t="s">
        <v>83</v>
      </c>
      <c r="B4" s="40"/>
      <c r="C4" s="46" t="s">
        <v>84</v>
      </c>
      <c r="D4" s="46"/>
      <c r="E4" s="46"/>
    </row>
    <row r="5" spans="1:13" x14ac:dyDescent="0.25">
      <c r="A5" s="39" t="s">
        <v>85</v>
      </c>
      <c r="B5" s="40"/>
      <c r="C5" s="46" t="s">
        <v>86</v>
      </c>
      <c r="D5" s="46"/>
      <c r="E5" s="46"/>
    </row>
    <row r="6" spans="1:13" x14ac:dyDescent="0.25">
      <c r="A6" s="39" t="s">
        <v>87</v>
      </c>
      <c r="B6" s="40"/>
      <c r="C6" s="45">
        <v>4.33</v>
      </c>
      <c r="D6" s="46"/>
      <c r="E6" s="46"/>
      <c r="F6" s="2" t="s">
        <v>88</v>
      </c>
    </row>
    <row r="8" spans="1:13" ht="44.1" customHeight="1" x14ac:dyDescent="0.25">
      <c r="A8" s="14" t="s">
        <v>89</v>
      </c>
      <c r="B8" s="14" t="s">
        <v>90</v>
      </c>
      <c r="C8" s="14" t="s">
        <v>91</v>
      </c>
      <c r="D8" s="14" t="s">
        <v>92</v>
      </c>
      <c r="E8" s="14" t="s">
        <v>93</v>
      </c>
      <c r="F8" s="14" t="s">
        <v>94</v>
      </c>
      <c r="G8" s="14" t="s">
        <v>95</v>
      </c>
      <c r="H8" s="14" t="s">
        <v>96</v>
      </c>
      <c r="I8" s="14" t="s">
        <v>97</v>
      </c>
      <c r="J8" s="14" t="s">
        <v>98</v>
      </c>
      <c r="K8" s="14" t="s">
        <v>99</v>
      </c>
      <c r="L8" s="14" t="s">
        <v>100</v>
      </c>
      <c r="M8" s="14" t="s">
        <v>101</v>
      </c>
    </row>
    <row r="9" spans="1:13" x14ac:dyDescent="0.25">
      <c r="A9" s="25" t="s">
        <v>102</v>
      </c>
      <c r="B9" s="25" t="s">
        <v>103</v>
      </c>
      <c r="C9" s="25" t="s">
        <v>104</v>
      </c>
      <c r="D9" s="26">
        <v>380</v>
      </c>
      <c r="E9" s="17">
        <v>220</v>
      </c>
      <c r="F9" s="17">
        <v>2</v>
      </c>
      <c r="G9" s="25" t="s">
        <v>105</v>
      </c>
      <c r="H9" s="25"/>
      <c r="I9" s="27">
        <f t="shared" ref="I9:I28" si="0">IF(OR(D9="",E9=""),"",ROUND(D9/E9,2))</f>
        <v>1.73</v>
      </c>
      <c r="J9" s="27">
        <f t="shared" ref="J9:J28" si="1">IF(OR(I9="",F9=""),"",ROUND(I9*F9,2))</f>
        <v>3.46</v>
      </c>
      <c r="K9" s="27">
        <f t="shared" ref="K9:K28" si="2">IF(J9="","",ROUND(J9*$C$6,2))</f>
        <v>14.98</v>
      </c>
      <c r="L9" s="19">
        <f>IF(K9="","",IF(H9="Glas (LG 6)",Stundensatz!$D$19,Stundensatz!$C$19))</f>
        <v>30.02</v>
      </c>
      <c r="M9" s="19">
        <f t="shared" ref="M9:M28" si="3">IF(K9="","",ROUND(K9*L9,2))</f>
        <v>449.7</v>
      </c>
    </row>
    <row r="10" spans="1:13" x14ac:dyDescent="0.25">
      <c r="A10" s="25" t="s">
        <v>106</v>
      </c>
      <c r="B10" s="25" t="s">
        <v>106</v>
      </c>
      <c r="C10" s="25" t="s">
        <v>104</v>
      </c>
      <c r="D10" s="26">
        <v>35</v>
      </c>
      <c r="E10" s="17">
        <v>200</v>
      </c>
      <c r="F10" s="17">
        <v>2</v>
      </c>
      <c r="G10" s="25" t="s">
        <v>105</v>
      </c>
      <c r="H10" s="25"/>
      <c r="I10" s="27">
        <f t="shared" si="0"/>
        <v>0.18</v>
      </c>
      <c r="J10" s="27">
        <f t="shared" si="1"/>
        <v>0.36</v>
      </c>
      <c r="K10" s="27">
        <f t="shared" si="2"/>
        <v>1.56</v>
      </c>
      <c r="L10" s="19">
        <f>IF(K10="","",IF(H10="Glas (LG 6)",Stundensatz!$D$19,Stundensatz!$C$19))</f>
        <v>30.02</v>
      </c>
      <c r="M10" s="19">
        <f t="shared" si="3"/>
        <v>46.83</v>
      </c>
    </row>
    <row r="11" spans="1:13" x14ac:dyDescent="0.25">
      <c r="A11" s="25" t="s">
        <v>107</v>
      </c>
      <c r="B11" s="25" t="s">
        <v>108</v>
      </c>
      <c r="C11" s="25" t="s">
        <v>109</v>
      </c>
      <c r="D11" s="26">
        <v>120</v>
      </c>
      <c r="E11" s="17">
        <v>300</v>
      </c>
      <c r="F11" s="17">
        <v>5</v>
      </c>
      <c r="G11" s="25" t="s">
        <v>110</v>
      </c>
      <c r="H11" s="25"/>
      <c r="I11" s="27">
        <f t="shared" si="0"/>
        <v>0.4</v>
      </c>
      <c r="J11" s="27">
        <f t="shared" si="1"/>
        <v>2</v>
      </c>
      <c r="K11" s="27">
        <f t="shared" si="2"/>
        <v>8.66</v>
      </c>
      <c r="L11" s="19">
        <f>IF(K11="","",IF(H11="Glas (LG 6)",Stundensatz!$D$19,Stundensatz!$C$19))</f>
        <v>30.02</v>
      </c>
      <c r="M11" s="19">
        <f t="shared" si="3"/>
        <v>259.97000000000003</v>
      </c>
    </row>
    <row r="12" spans="1:13" x14ac:dyDescent="0.25">
      <c r="A12" s="25" t="s">
        <v>111</v>
      </c>
      <c r="B12" s="25" t="s">
        <v>111</v>
      </c>
      <c r="C12" s="25" t="s">
        <v>112</v>
      </c>
      <c r="D12" s="26">
        <v>25</v>
      </c>
      <c r="E12" s="17">
        <v>100</v>
      </c>
      <c r="F12" s="17">
        <v>5</v>
      </c>
      <c r="G12" s="25" t="s">
        <v>110</v>
      </c>
      <c r="H12" s="25"/>
      <c r="I12" s="27">
        <f t="shared" si="0"/>
        <v>0.25</v>
      </c>
      <c r="J12" s="27">
        <f t="shared" si="1"/>
        <v>1.25</v>
      </c>
      <c r="K12" s="27">
        <f t="shared" si="2"/>
        <v>5.41</v>
      </c>
      <c r="L12" s="19">
        <f>IF(K12="","",IF(H12="Glas (LG 6)",Stundensatz!$D$19,Stundensatz!$C$19))</f>
        <v>30.02</v>
      </c>
      <c r="M12" s="19">
        <f t="shared" si="3"/>
        <v>162.41</v>
      </c>
    </row>
    <row r="13" spans="1:13" x14ac:dyDescent="0.25">
      <c r="A13" s="25" t="s">
        <v>113</v>
      </c>
      <c r="B13" s="25" t="s">
        <v>113</v>
      </c>
      <c r="C13" s="25" t="s">
        <v>112</v>
      </c>
      <c r="D13" s="26">
        <v>40</v>
      </c>
      <c r="E13" s="17">
        <v>60</v>
      </c>
      <c r="F13" s="17">
        <v>5</v>
      </c>
      <c r="G13" s="25" t="s">
        <v>110</v>
      </c>
      <c r="H13" s="25"/>
      <c r="I13" s="27">
        <f t="shared" si="0"/>
        <v>0.67</v>
      </c>
      <c r="J13" s="27">
        <f t="shared" si="1"/>
        <v>3.35</v>
      </c>
      <c r="K13" s="27">
        <f t="shared" si="2"/>
        <v>14.51</v>
      </c>
      <c r="L13" s="19">
        <f>IF(K13="","",IF(H13="Glas (LG 6)",Stundensatz!$D$19,Stundensatz!$C$19))</f>
        <v>30.02</v>
      </c>
      <c r="M13" s="19">
        <f t="shared" si="3"/>
        <v>435.59</v>
      </c>
    </row>
    <row r="14" spans="1:13" x14ac:dyDescent="0.25">
      <c r="A14" s="25"/>
      <c r="B14" s="25"/>
      <c r="C14" s="25"/>
      <c r="D14" s="26"/>
      <c r="E14" s="17"/>
      <c r="F14" s="17"/>
      <c r="G14" s="25"/>
      <c r="H14" s="25"/>
      <c r="I14" s="27" t="str">
        <f t="shared" si="0"/>
        <v/>
      </c>
      <c r="J14" s="27" t="str">
        <f t="shared" si="1"/>
        <v/>
      </c>
      <c r="K14" s="27" t="str">
        <f t="shared" si="2"/>
        <v/>
      </c>
      <c r="L14" s="19" t="str">
        <f>IF(K14="","",IF(H14="Glas (LG 6)",Stundensatz!$D$19,Stundensatz!$C$19))</f>
        <v/>
      </c>
      <c r="M14" s="19" t="str">
        <f t="shared" si="3"/>
        <v/>
      </c>
    </row>
    <row r="15" spans="1:13" x14ac:dyDescent="0.25">
      <c r="A15" s="25"/>
      <c r="B15" s="25"/>
      <c r="C15" s="25"/>
      <c r="D15" s="26"/>
      <c r="E15" s="17"/>
      <c r="F15" s="17"/>
      <c r="G15" s="25"/>
      <c r="H15" s="25"/>
      <c r="I15" s="27" t="str">
        <f t="shared" si="0"/>
        <v/>
      </c>
      <c r="J15" s="27" t="str">
        <f t="shared" si="1"/>
        <v/>
      </c>
      <c r="K15" s="27" t="str">
        <f t="shared" si="2"/>
        <v/>
      </c>
      <c r="L15" s="19" t="str">
        <f>IF(K15="","",IF(H15="Glas (LG 6)",Stundensatz!$D$19,Stundensatz!$C$19))</f>
        <v/>
      </c>
      <c r="M15" s="19" t="str">
        <f t="shared" si="3"/>
        <v/>
      </c>
    </row>
    <row r="16" spans="1:13" x14ac:dyDescent="0.25">
      <c r="A16" s="25"/>
      <c r="B16" s="25"/>
      <c r="C16" s="25"/>
      <c r="D16" s="26"/>
      <c r="E16" s="17"/>
      <c r="F16" s="17"/>
      <c r="G16" s="25"/>
      <c r="H16" s="25"/>
      <c r="I16" s="27" t="str">
        <f t="shared" si="0"/>
        <v/>
      </c>
      <c r="J16" s="27" t="str">
        <f t="shared" si="1"/>
        <v/>
      </c>
      <c r="K16" s="27" t="str">
        <f t="shared" si="2"/>
        <v/>
      </c>
      <c r="L16" s="19" t="str">
        <f>IF(K16="","",IF(H16="Glas (LG 6)",Stundensatz!$D$19,Stundensatz!$C$19))</f>
        <v/>
      </c>
      <c r="M16" s="19" t="str">
        <f t="shared" si="3"/>
        <v/>
      </c>
    </row>
    <row r="17" spans="1:13" x14ac:dyDescent="0.25">
      <c r="A17" s="25"/>
      <c r="B17" s="25"/>
      <c r="C17" s="25"/>
      <c r="D17" s="26"/>
      <c r="E17" s="17"/>
      <c r="F17" s="17"/>
      <c r="G17" s="25"/>
      <c r="H17" s="25"/>
      <c r="I17" s="27" t="str">
        <f t="shared" si="0"/>
        <v/>
      </c>
      <c r="J17" s="27" t="str">
        <f t="shared" si="1"/>
        <v/>
      </c>
      <c r="K17" s="27" t="str">
        <f t="shared" si="2"/>
        <v/>
      </c>
      <c r="L17" s="19" t="str">
        <f>IF(K17="","",IF(H17="Glas (LG 6)",Stundensatz!$D$19,Stundensatz!$C$19))</f>
        <v/>
      </c>
      <c r="M17" s="19" t="str">
        <f t="shared" si="3"/>
        <v/>
      </c>
    </row>
    <row r="18" spans="1:13" x14ac:dyDescent="0.25">
      <c r="A18" s="25"/>
      <c r="B18" s="25"/>
      <c r="C18" s="25"/>
      <c r="D18" s="26"/>
      <c r="E18" s="17"/>
      <c r="F18" s="17"/>
      <c r="G18" s="25"/>
      <c r="H18" s="25"/>
      <c r="I18" s="27" t="str">
        <f t="shared" si="0"/>
        <v/>
      </c>
      <c r="J18" s="27" t="str">
        <f t="shared" si="1"/>
        <v/>
      </c>
      <c r="K18" s="27" t="str">
        <f t="shared" si="2"/>
        <v/>
      </c>
      <c r="L18" s="19" t="str">
        <f>IF(K18="","",IF(H18="Glas (LG 6)",Stundensatz!$D$19,Stundensatz!$C$19))</f>
        <v/>
      </c>
      <c r="M18" s="19" t="str">
        <f t="shared" si="3"/>
        <v/>
      </c>
    </row>
    <row r="19" spans="1:13" x14ac:dyDescent="0.25">
      <c r="A19" s="25"/>
      <c r="B19" s="25"/>
      <c r="C19" s="25"/>
      <c r="D19" s="26"/>
      <c r="E19" s="17"/>
      <c r="F19" s="17"/>
      <c r="G19" s="25"/>
      <c r="H19" s="25"/>
      <c r="I19" s="27" t="str">
        <f t="shared" si="0"/>
        <v/>
      </c>
      <c r="J19" s="27" t="str">
        <f t="shared" si="1"/>
        <v/>
      </c>
      <c r="K19" s="27" t="str">
        <f t="shared" si="2"/>
        <v/>
      </c>
      <c r="L19" s="19" t="str">
        <f>IF(K19="","",IF(H19="Glas (LG 6)",Stundensatz!$D$19,Stundensatz!$C$19))</f>
        <v/>
      </c>
      <c r="M19" s="19" t="str">
        <f t="shared" si="3"/>
        <v/>
      </c>
    </row>
    <row r="20" spans="1:13" x14ac:dyDescent="0.25">
      <c r="A20" s="25"/>
      <c r="B20" s="25"/>
      <c r="C20" s="25"/>
      <c r="D20" s="26"/>
      <c r="E20" s="17"/>
      <c r="F20" s="17"/>
      <c r="G20" s="25"/>
      <c r="H20" s="25"/>
      <c r="I20" s="27" t="str">
        <f t="shared" si="0"/>
        <v/>
      </c>
      <c r="J20" s="27" t="str">
        <f t="shared" si="1"/>
        <v/>
      </c>
      <c r="K20" s="27" t="str">
        <f t="shared" si="2"/>
        <v/>
      </c>
      <c r="L20" s="19" t="str">
        <f>IF(K20="","",IF(H20="Glas (LG 6)",Stundensatz!$D$19,Stundensatz!$C$19))</f>
        <v/>
      </c>
      <c r="M20" s="19" t="str">
        <f t="shared" si="3"/>
        <v/>
      </c>
    </row>
    <row r="21" spans="1:13" x14ac:dyDescent="0.25">
      <c r="A21" s="25"/>
      <c r="B21" s="25"/>
      <c r="C21" s="25"/>
      <c r="D21" s="26"/>
      <c r="E21" s="17"/>
      <c r="F21" s="17"/>
      <c r="G21" s="25"/>
      <c r="H21" s="25"/>
      <c r="I21" s="27" t="str">
        <f t="shared" si="0"/>
        <v/>
      </c>
      <c r="J21" s="27" t="str">
        <f t="shared" si="1"/>
        <v/>
      </c>
      <c r="K21" s="27" t="str">
        <f t="shared" si="2"/>
        <v/>
      </c>
      <c r="L21" s="19" t="str">
        <f>IF(K21="","",IF(H21="Glas (LG 6)",Stundensatz!$D$19,Stundensatz!$C$19))</f>
        <v/>
      </c>
      <c r="M21" s="19" t="str">
        <f t="shared" si="3"/>
        <v/>
      </c>
    </row>
    <row r="22" spans="1:13" x14ac:dyDescent="0.25">
      <c r="A22" s="25"/>
      <c r="B22" s="25"/>
      <c r="C22" s="25"/>
      <c r="D22" s="26"/>
      <c r="E22" s="17"/>
      <c r="F22" s="17"/>
      <c r="G22" s="25"/>
      <c r="H22" s="25"/>
      <c r="I22" s="27" t="str">
        <f t="shared" si="0"/>
        <v/>
      </c>
      <c r="J22" s="27" t="str">
        <f t="shared" si="1"/>
        <v/>
      </c>
      <c r="K22" s="27" t="str">
        <f t="shared" si="2"/>
        <v/>
      </c>
      <c r="L22" s="19" t="str">
        <f>IF(K22="","",IF(H22="Glas (LG 6)",Stundensatz!$D$19,Stundensatz!$C$19))</f>
        <v/>
      </c>
      <c r="M22" s="19" t="str">
        <f t="shared" si="3"/>
        <v/>
      </c>
    </row>
    <row r="23" spans="1:13" x14ac:dyDescent="0.25">
      <c r="A23" s="25"/>
      <c r="B23" s="25"/>
      <c r="C23" s="25"/>
      <c r="D23" s="26"/>
      <c r="E23" s="17"/>
      <c r="F23" s="17"/>
      <c r="G23" s="25"/>
      <c r="H23" s="25"/>
      <c r="I23" s="27" t="str">
        <f t="shared" si="0"/>
        <v/>
      </c>
      <c r="J23" s="27" t="str">
        <f t="shared" si="1"/>
        <v/>
      </c>
      <c r="K23" s="27" t="str">
        <f t="shared" si="2"/>
        <v/>
      </c>
      <c r="L23" s="19" t="str">
        <f>IF(K23="","",IF(H23="Glas (LG 6)",Stundensatz!$D$19,Stundensatz!$C$19))</f>
        <v/>
      </c>
      <c r="M23" s="19" t="str">
        <f t="shared" si="3"/>
        <v/>
      </c>
    </row>
    <row r="24" spans="1:13" x14ac:dyDescent="0.25">
      <c r="A24" s="25"/>
      <c r="B24" s="25"/>
      <c r="C24" s="25"/>
      <c r="D24" s="26"/>
      <c r="E24" s="17"/>
      <c r="F24" s="17"/>
      <c r="G24" s="25"/>
      <c r="H24" s="25"/>
      <c r="I24" s="27" t="str">
        <f t="shared" si="0"/>
        <v/>
      </c>
      <c r="J24" s="27" t="str">
        <f t="shared" si="1"/>
        <v/>
      </c>
      <c r="K24" s="27" t="str">
        <f t="shared" si="2"/>
        <v/>
      </c>
      <c r="L24" s="19" t="str">
        <f>IF(K24="","",IF(H24="Glas (LG 6)",Stundensatz!$D$19,Stundensatz!$C$19))</f>
        <v/>
      </c>
      <c r="M24" s="19" t="str">
        <f t="shared" si="3"/>
        <v/>
      </c>
    </row>
    <row r="25" spans="1:13" x14ac:dyDescent="0.25">
      <c r="A25" s="25"/>
      <c r="B25" s="25"/>
      <c r="C25" s="25"/>
      <c r="D25" s="26"/>
      <c r="E25" s="17"/>
      <c r="F25" s="17"/>
      <c r="G25" s="25"/>
      <c r="H25" s="25"/>
      <c r="I25" s="27" t="str">
        <f t="shared" si="0"/>
        <v/>
      </c>
      <c r="J25" s="27" t="str">
        <f t="shared" si="1"/>
        <v/>
      </c>
      <c r="K25" s="27" t="str">
        <f t="shared" si="2"/>
        <v/>
      </c>
      <c r="L25" s="19" t="str">
        <f>IF(K25="","",IF(H25="Glas (LG 6)",Stundensatz!$D$19,Stundensatz!$C$19))</f>
        <v/>
      </c>
      <c r="M25" s="19" t="str">
        <f t="shared" si="3"/>
        <v/>
      </c>
    </row>
    <row r="26" spans="1:13" x14ac:dyDescent="0.25">
      <c r="A26" s="25"/>
      <c r="B26" s="25"/>
      <c r="C26" s="25"/>
      <c r="D26" s="26"/>
      <c r="E26" s="17"/>
      <c r="F26" s="17"/>
      <c r="G26" s="25"/>
      <c r="H26" s="25"/>
      <c r="I26" s="27" t="str">
        <f t="shared" si="0"/>
        <v/>
      </c>
      <c r="J26" s="27" t="str">
        <f t="shared" si="1"/>
        <v/>
      </c>
      <c r="K26" s="27" t="str">
        <f t="shared" si="2"/>
        <v/>
      </c>
      <c r="L26" s="19" t="str">
        <f>IF(K26="","",IF(H26="Glas (LG 6)",Stundensatz!$D$19,Stundensatz!$C$19))</f>
        <v/>
      </c>
      <c r="M26" s="19" t="str">
        <f t="shared" si="3"/>
        <v/>
      </c>
    </row>
    <row r="27" spans="1:13" x14ac:dyDescent="0.25">
      <c r="A27" s="25"/>
      <c r="B27" s="25"/>
      <c r="C27" s="25"/>
      <c r="D27" s="26"/>
      <c r="E27" s="17"/>
      <c r="F27" s="17"/>
      <c r="G27" s="25"/>
      <c r="H27" s="25"/>
      <c r="I27" s="27" t="str">
        <f t="shared" si="0"/>
        <v/>
      </c>
      <c r="J27" s="27" t="str">
        <f t="shared" si="1"/>
        <v/>
      </c>
      <c r="K27" s="27" t="str">
        <f t="shared" si="2"/>
        <v/>
      </c>
      <c r="L27" s="19" t="str">
        <f>IF(K27="","",IF(H27="Glas (LG 6)",Stundensatz!$D$19,Stundensatz!$C$19))</f>
        <v/>
      </c>
      <c r="M27" s="19" t="str">
        <f t="shared" si="3"/>
        <v/>
      </c>
    </row>
    <row r="28" spans="1:13" x14ac:dyDescent="0.25">
      <c r="A28" s="25"/>
      <c r="B28" s="25"/>
      <c r="C28" s="25"/>
      <c r="D28" s="26"/>
      <c r="E28" s="17"/>
      <c r="F28" s="17"/>
      <c r="G28" s="25"/>
      <c r="H28" s="25"/>
      <c r="I28" s="27" t="str">
        <f t="shared" si="0"/>
        <v/>
      </c>
      <c r="J28" s="27" t="str">
        <f t="shared" si="1"/>
        <v/>
      </c>
      <c r="K28" s="27" t="str">
        <f t="shared" si="2"/>
        <v/>
      </c>
      <c r="L28" s="19" t="str">
        <f>IF(K28="","",IF(H28="Glas (LG 6)",Stundensatz!$D$19,Stundensatz!$C$19))</f>
        <v/>
      </c>
      <c r="M28" s="19" t="str">
        <f t="shared" si="3"/>
        <v/>
      </c>
    </row>
    <row r="29" spans="1:13" x14ac:dyDescent="0.25">
      <c r="A29" s="28" t="s">
        <v>114</v>
      </c>
      <c r="B29" s="28"/>
      <c r="C29" s="28"/>
      <c r="D29" s="29">
        <f>SUM(D9:D28)</f>
        <v>600</v>
      </c>
      <c r="E29" s="28"/>
      <c r="F29" s="28"/>
      <c r="G29" s="28"/>
      <c r="H29" s="28"/>
      <c r="I29" s="28"/>
      <c r="J29" s="29">
        <f>SUM(J9:J28)</f>
        <v>10.42</v>
      </c>
      <c r="K29" s="29">
        <f>SUM(K9:K28)</f>
        <v>45.12</v>
      </c>
      <c r="L29" s="28"/>
      <c r="M29" s="20">
        <f>SUM(M9:M28)</f>
        <v>1354.5</v>
      </c>
    </row>
    <row r="31" spans="1:13" x14ac:dyDescent="0.25">
      <c r="A31" s="3" t="s">
        <v>115</v>
      </c>
    </row>
    <row r="32" spans="1:13" x14ac:dyDescent="0.25">
      <c r="A32" s="41" t="s">
        <v>116</v>
      </c>
      <c r="B32" s="42"/>
      <c r="C32" s="42"/>
      <c r="D32" s="42"/>
      <c r="E32" s="42"/>
      <c r="F32" s="20">
        <f>M29</f>
        <v>1354.5</v>
      </c>
    </row>
    <row r="33" spans="1:7" x14ac:dyDescent="0.25">
      <c r="A33" s="39" t="s">
        <v>117</v>
      </c>
      <c r="B33" s="40"/>
      <c r="C33" s="40"/>
      <c r="D33" s="40"/>
      <c r="E33" s="40"/>
      <c r="F33" s="19">
        <f>IF(D29=0,"",ROUND(M29/D29,2))</f>
        <v>2.2599999999999998</v>
      </c>
    </row>
    <row r="34" spans="1:7" x14ac:dyDescent="0.25">
      <c r="A34" s="39" t="s">
        <v>118</v>
      </c>
      <c r="B34" s="40"/>
      <c r="C34" s="40"/>
      <c r="D34" s="40"/>
      <c r="E34" s="40"/>
      <c r="F34" s="19">
        <f>ROUND(SUMIF(H9:H28,"&lt;&gt;Glas (LG 6)",K9:K28)*Stundensatz!$C$17+SUMIF(H9:H28,"Glas (LG 6)",K9:K28)*Stundensatz!$D$17,2)</f>
        <v>1045.43</v>
      </c>
    </row>
    <row r="35" spans="1:7" x14ac:dyDescent="0.25">
      <c r="A35" s="39" t="s">
        <v>119</v>
      </c>
      <c r="B35" s="40"/>
      <c r="C35" s="40"/>
      <c r="D35" s="40"/>
      <c r="E35" s="40"/>
      <c r="F35" s="19">
        <f>ROUND(SUMIF(H9:H28,"&lt;&gt;Glas (LG 6)",K9:K28)*Stundensatz!$C$18+SUMIF(H9:H28,"Glas (LG 6)",K9:K28)*Stundensatz!$D$18,2)</f>
        <v>1254.3399999999999</v>
      </c>
    </row>
    <row r="36" spans="1:7" x14ac:dyDescent="0.25">
      <c r="A36" s="39" t="s">
        <v>120</v>
      </c>
      <c r="B36" s="40"/>
      <c r="C36" s="40"/>
      <c r="D36" s="40"/>
      <c r="E36" s="40"/>
      <c r="F36" s="19">
        <f>ROUND(F35-F34,2)</f>
        <v>208.91</v>
      </c>
    </row>
    <row r="37" spans="1:7" x14ac:dyDescent="0.25">
      <c r="A37" s="39" t="s">
        <v>121</v>
      </c>
      <c r="B37" s="40"/>
      <c r="C37" s="40"/>
      <c r="D37" s="40"/>
      <c r="E37" s="40"/>
      <c r="F37" s="19">
        <f>ROUND(F32-F35,2)</f>
        <v>100.16</v>
      </c>
    </row>
    <row r="38" spans="1:7" x14ac:dyDescent="0.25">
      <c r="A38" s="41" t="s">
        <v>122</v>
      </c>
      <c r="B38" s="42"/>
      <c r="C38" s="42"/>
      <c r="D38" s="42"/>
      <c r="E38" s="42"/>
      <c r="F38" s="20">
        <f>ROUND(F32-F34,2)</f>
        <v>309.07</v>
      </c>
    </row>
    <row r="39" spans="1:7" x14ac:dyDescent="0.25">
      <c r="A39" s="39" t="s">
        <v>123</v>
      </c>
      <c r="B39" s="40"/>
      <c r="C39" s="40"/>
      <c r="D39" s="40"/>
      <c r="E39" s="40"/>
      <c r="F39" s="30">
        <f>IF(F32=0,"",ROUND(F38/F32*100,1))</f>
        <v>22.8</v>
      </c>
    </row>
    <row r="40" spans="1:7" x14ac:dyDescent="0.25">
      <c r="A40" s="39" t="s">
        <v>124</v>
      </c>
      <c r="B40" s="40"/>
      <c r="C40" s="40"/>
      <c r="D40" s="40"/>
      <c r="E40" s="40"/>
      <c r="F40" s="19">
        <f>F32*12</f>
        <v>16254</v>
      </c>
    </row>
    <row r="42" spans="1:7" x14ac:dyDescent="0.25">
      <c r="A42" s="3" t="s">
        <v>125</v>
      </c>
    </row>
    <row r="43" spans="1:7" ht="30" customHeight="1" x14ac:dyDescent="0.25">
      <c r="A43" s="37" t="s">
        <v>126</v>
      </c>
      <c r="B43" s="44"/>
      <c r="C43" s="38"/>
      <c r="D43" s="14" t="s">
        <v>127</v>
      </c>
      <c r="E43" s="14" t="s">
        <v>128</v>
      </c>
      <c r="F43" s="14" t="s">
        <v>129</v>
      </c>
      <c r="G43" s="14" t="s">
        <v>130</v>
      </c>
    </row>
    <row r="44" spans="1:7" x14ac:dyDescent="0.25">
      <c r="A44" s="43"/>
      <c r="B44" s="43"/>
      <c r="C44" s="43"/>
      <c r="D44" s="26"/>
      <c r="E44" s="25"/>
      <c r="F44" s="15"/>
      <c r="G44" s="19" t="str">
        <f>IF(OR(D44="",F44=""),"",ROUND(D44*F44,2))</f>
        <v/>
      </c>
    </row>
    <row r="45" spans="1:7" x14ac:dyDescent="0.25">
      <c r="A45" s="43"/>
      <c r="B45" s="43"/>
      <c r="C45" s="43"/>
      <c r="D45" s="26"/>
      <c r="E45" s="25"/>
      <c r="F45" s="15"/>
      <c r="G45" s="19" t="str">
        <f>IF(OR(D45="",F45=""),"",ROUND(D45*F45,2))</f>
        <v/>
      </c>
    </row>
    <row r="46" spans="1:7" x14ac:dyDescent="0.25">
      <c r="A46" s="43"/>
      <c r="B46" s="43"/>
      <c r="C46" s="43"/>
      <c r="D46" s="26"/>
      <c r="E46" s="25"/>
      <c r="F46" s="15"/>
      <c r="G46" s="19" t="str">
        <f>IF(OR(D46="",F46=""),"",ROUND(D46*F46,2))</f>
        <v/>
      </c>
    </row>
    <row r="47" spans="1:7" x14ac:dyDescent="0.25">
      <c r="A47" s="43"/>
      <c r="B47" s="43"/>
      <c r="C47" s="43"/>
      <c r="D47" s="26"/>
      <c r="E47" s="25"/>
      <c r="F47" s="15"/>
      <c r="G47" s="19" t="str">
        <f>IF(OR(D47="",F47=""),"",ROUND(D47*F47,2))</f>
        <v/>
      </c>
    </row>
    <row r="48" spans="1:7" x14ac:dyDescent="0.25">
      <c r="A48" s="43"/>
      <c r="B48" s="43"/>
      <c r="C48" s="43"/>
      <c r="D48" s="26"/>
      <c r="E48" s="25"/>
      <c r="F48" s="15"/>
      <c r="G48" s="19" t="str">
        <f>IF(OR(D48="",F48=""),"",ROUND(D48*F48,2))</f>
        <v/>
      </c>
    </row>
    <row r="49" spans="1:7" x14ac:dyDescent="0.25">
      <c r="A49" s="41" t="s">
        <v>131</v>
      </c>
      <c r="B49" s="42"/>
      <c r="C49" s="42"/>
      <c r="D49" s="42"/>
      <c r="E49" s="42"/>
      <c r="F49" s="42"/>
      <c r="G49" s="20">
        <f>F32+SUM(G44:G48)</f>
        <v>1354.5</v>
      </c>
    </row>
    <row r="50" spans="1:7" x14ac:dyDescent="0.25">
      <c r="A50" s="23" t="s">
        <v>132</v>
      </c>
    </row>
    <row r="52" spans="1:7" x14ac:dyDescent="0.25">
      <c r="A52" s="22" t="s">
        <v>133</v>
      </c>
    </row>
    <row r="53" spans="1:7" x14ac:dyDescent="0.25">
      <c r="A53" s="24" t="s">
        <v>80</v>
      </c>
    </row>
  </sheetData>
  <mergeCells count="22">
    <mergeCell ref="A48:C48"/>
    <mergeCell ref="C6:E6"/>
    <mergeCell ref="A4:B4"/>
    <mergeCell ref="A49:F49"/>
    <mergeCell ref="A35:E35"/>
    <mergeCell ref="C5:E5"/>
    <mergeCell ref="A38:E38"/>
    <mergeCell ref="A45:C45"/>
    <mergeCell ref="C4:E4"/>
    <mergeCell ref="A40:E40"/>
    <mergeCell ref="A47:C47"/>
    <mergeCell ref="A37:E37"/>
    <mergeCell ref="A43:C43"/>
    <mergeCell ref="A44:C44"/>
    <mergeCell ref="A5:B5"/>
    <mergeCell ref="A33:E33"/>
    <mergeCell ref="A32:E32"/>
    <mergeCell ref="A39:E39"/>
    <mergeCell ref="A34:E34"/>
    <mergeCell ref="A46:C46"/>
    <mergeCell ref="A36:E36"/>
    <mergeCell ref="A6:B6"/>
  </mergeCells>
  <dataValidations count="1">
    <dataValidation type="list" allowBlank="1" sqref="H9 H10 H11 H12 H13 H14 H15 H16 H17 H18 H19 H20 H21 H22 H23 H24 H25 H26 H27 H28" xr:uid="{00000000-0002-0000-0200-000000000000}">
      <formula1>"Glas (LG 6)"</formula1>
    </dataValidation>
  </dataValidations>
  <hyperlinks>
    <hyperlink ref="A52" r:id="rId1" xr:uid="{00000000-0004-0000-0200-000000000000}"/>
    <hyperlink ref="A53" r:id="rId2" xr:uid="{00000000-0004-0000-0200-000001000000}"/>
  </hyperlinks>
  <pageMargins left="0.75" right="0.75" top="1" bottom="1" header="0.5" footer="0.5"/>
  <pageSetup paperSize="9" orientation="landscape"/>
  <headerFooter>
    <oddFooter>&amp;LKalkulation · Vorlage von Mendato · mendato.com/wissen/kalkulation-gebaeudereinigung&amp;RSeite &amp;P von &amp;N</oddFooter>
  </headerFooter>
  <extLst>
    <ext xmlns:x14="http://schemas.microsoft.com/office/spreadsheetml/2009/9/main" uri="{CCE6A557-97BC-4b89-ADB6-D9C93CAAB3DF}">
      <x14:dataValidations xmlns:xm="http://schemas.microsoft.com/office/excel/2006/main" count="1">
        <x14:dataValidation type="list" allowBlank="1" xr:uid="{00000000-0002-0000-0200-000001000000}">
          <x14:formula1>
            <xm:f>'Richtwerte 2026'!$A$6:$A$17</xm:f>
          </x14:formula1>
          <xm:sqref>B9 B10 B11 B12 B13 B14 B15 B16 B17 B18 B19 B20 B21 B22 B23 B24 B25 B26 B27 B28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7"/>
  <sheetViews>
    <sheetView workbookViewId="0"/>
  </sheetViews>
  <sheetFormatPr baseColWidth="10" defaultColWidth="9.140625" defaultRowHeight="15" x14ac:dyDescent="0.25"/>
  <cols>
    <col min="1" max="1" width="12" customWidth="1"/>
    <col min="2" max="2" width="11" customWidth="1"/>
    <col min="3" max="4" width="12" customWidth="1"/>
    <col min="5" max="5" width="14" customWidth="1"/>
    <col min="6" max="6" width="12" customWidth="1"/>
    <col min="7" max="7" width="16" customWidth="1"/>
    <col min="8" max="8" width="54" customWidth="1"/>
  </cols>
  <sheetData>
    <row r="1" spans="1:8" ht="18" x14ac:dyDescent="0.25">
      <c r="A1" s="1" t="s">
        <v>134</v>
      </c>
    </row>
    <row r="2" spans="1:8" x14ac:dyDescent="0.25">
      <c r="A2" s="2" t="s">
        <v>135</v>
      </c>
    </row>
    <row r="4" spans="1:8" x14ac:dyDescent="0.25">
      <c r="A4" s="39" t="s">
        <v>116</v>
      </c>
      <c r="B4" s="40"/>
      <c r="C4" s="40"/>
      <c r="D4" s="19">
        <f>Kalkulation!M29</f>
        <v>1354.5</v>
      </c>
    </row>
    <row r="5" spans="1:8" x14ac:dyDescent="0.25">
      <c r="A5" s="39" t="s">
        <v>136</v>
      </c>
      <c r="B5" s="40"/>
      <c r="C5" s="40"/>
      <c r="D5" s="27">
        <f>Kalkulation!K29</f>
        <v>45.12</v>
      </c>
    </row>
    <row r="6" spans="1:8" x14ac:dyDescent="0.25">
      <c r="A6" s="39" t="s">
        <v>137</v>
      </c>
      <c r="B6" s="40"/>
      <c r="C6" s="40"/>
      <c r="D6" s="19">
        <f>Stundensatz!C18</f>
        <v>27.8</v>
      </c>
      <c r="E6" s="2" t="s">
        <v>138</v>
      </c>
    </row>
    <row r="7" spans="1:8" x14ac:dyDescent="0.25">
      <c r="A7" s="39" t="s">
        <v>139</v>
      </c>
      <c r="B7" s="40"/>
      <c r="C7" s="40"/>
      <c r="D7" s="19">
        <f>Stundensatz!C17</f>
        <v>23.17</v>
      </c>
    </row>
    <row r="8" spans="1:8" x14ac:dyDescent="0.25">
      <c r="A8" s="39" t="s">
        <v>140</v>
      </c>
      <c r="B8" s="40"/>
      <c r="C8" s="40"/>
      <c r="D8" s="31">
        <f>IF(D6=0,"",ROUND(D4/D6,2))</f>
        <v>48.72</v>
      </c>
      <c r="E8" s="2" t="s">
        <v>141</v>
      </c>
    </row>
    <row r="10" spans="1:8" ht="44.1" customHeight="1" x14ac:dyDescent="0.25">
      <c r="A10" s="14" t="s">
        <v>142</v>
      </c>
      <c r="B10" s="14" t="s">
        <v>143</v>
      </c>
      <c r="C10" s="14" t="s">
        <v>144</v>
      </c>
      <c r="D10" s="14" t="s">
        <v>145</v>
      </c>
      <c r="E10" s="14" t="s">
        <v>146</v>
      </c>
      <c r="F10" s="14" t="s">
        <v>147</v>
      </c>
      <c r="G10" s="14" t="s">
        <v>148</v>
      </c>
      <c r="H10" s="14" t="s">
        <v>149</v>
      </c>
    </row>
    <row r="11" spans="1:8" x14ac:dyDescent="0.25">
      <c r="A11" s="25" t="s">
        <v>150</v>
      </c>
      <c r="B11" s="26">
        <v>50</v>
      </c>
      <c r="C11" s="32">
        <f t="shared" ref="C11:C22" si="0">IF(B11="","",ROUND(B11-$D$5,2))</f>
        <v>4.88</v>
      </c>
      <c r="D11" s="33">
        <f t="shared" ref="D11:D22" si="1">IF(B11="","",ROUND(C11/$D$5*100,1))</f>
        <v>10.8</v>
      </c>
      <c r="E11" s="19">
        <f t="shared" ref="E11:E22" si="2">IF(B11="","",ROUND($D$4/B11,2))</f>
        <v>27.09</v>
      </c>
      <c r="F11" s="34">
        <f t="shared" ref="F11:F22" si="3">IF(B11="","",ROUND($D$4-B11*$D$6,2))</f>
        <v>-35.5</v>
      </c>
      <c r="G11" s="19">
        <f t="shared" ref="G11:G22" si="4">IF(B11="","",ROUND($D$4-B11*$D$7,2))</f>
        <v>196</v>
      </c>
      <c r="H11" s="35" t="str">
        <f t="shared" ref="H11:H22" si="5">IF(B11="","",IF(F11&lt;0,"Verlust: Ursachen prüfen, Leistungswerte oder Preis anpassen",IF(B11&gt;$D$5,"Mehrstunden: Gewinn schrumpft","im Plan")))</f>
        <v>Verlust: Ursachen prüfen, Leistungswerte oder Preis anpassen</v>
      </c>
    </row>
    <row r="12" spans="1:8" x14ac:dyDescent="0.25">
      <c r="A12" s="25"/>
      <c r="B12" s="26"/>
      <c r="C12" s="32" t="str">
        <f t="shared" si="0"/>
        <v/>
      </c>
      <c r="D12" s="33" t="str">
        <f t="shared" si="1"/>
        <v/>
      </c>
      <c r="E12" s="19" t="str">
        <f t="shared" si="2"/>
        <v/>
      </c>
      <c r="F12" s="34" t="str">
        <f t="shared" si="3"/>
        <v/>
      </c>
      <c r="G12" s="19" t="str">
        <f t="shared" si="4"/>
        <v/>
      </c>
      <c r="H12" s="35" t="str">
        <f t="shared" si="5"/>
        <v/>
      </c>
    </row>
    <row r="13" spans="1:8" x14ac:dyDescent="0.25">
      <c r="A13" s="25"/>
      <c r="B13" s="26"/>
      <c r="C13" s="32" t="str">
        <f t="shared" si="0"/>
        <v/>
      </c>
      <c r="D13" s="33" t="str">
        <f t="shared" si="1"/>
        <v/>
      </c>
      <c r="E13" s="19" t="str">
        <f t="shared" si="2"/>
        <v/>
      </c>
      <c r="F13" s="34" t="str">
        <f t="shared" si="3"/>
        <v/>
      </c>
      <c r="G13" s="19" t="str">
        <f t="shared" si="4"/>
        <v/>
      </c>
      <c r="H13" s="35" t="str">
        <f t="shared" si="5"/>
        <v/>
      </c>
    </row>
    <row r="14" spans="1:8" x14ac:dyDescent="0.25">
      <c r="A14" s="25"/>
      <c r="B14" s="26"/>
      <c r="C14" s="32" t="str">
        <f t="shared" si="0"/>
        <v/>
      </c>
      <c r="D14" s="33" t="str">
        <f t="shared" si="1"/>
        <v/>
      </c>
      <c r="E14" s="19" t="str">
        <f t="shared" si="2"/>
        <v/>
      </c>
      <c r="F14" s="34" t="str">
        <f t="shared" si="3"/>
        <v/>
      </c>
      <c r="G14" s="19" t="str">
        <f t="shared" si="4"/>
        <v/>
      </c>
      <c r="H14" s="35" t="str">
        <f t="shared" si="5"/>
        <v/>
      </c>
    </row>
    <row r="15" spans="1:8" x14ac:dyDescent="0.25">
      <c r="A15" s="25"/>
      <c r="B15" s="26"/>
      <c r="C15" s="32" t="str">
        <f t="shared" si="0"/>
        <v/>
      </c>
      <c r="D15" s="33" t="str">
        <f t="shared" si="1"/>
        <v/>
      </c>
      <c r="E15" s="19" t="str">
        <f t="shared" si="2"/>
        <v/>
      </c>
      <c r="F15" s="34" t="str">
        <f t="shared" si="3"/>
        <v/>
      </c>
      <c r="G15" s="19" t="str">
        <f t="shared" si="4"/>
        <v/>
      </c>
      <c r="H15" s="35" t="str">
        <f t="shared" si="5"/>
        <v/>
      </c>
    </row>
    <row r="16" spans="1:8" x14ac:dyDescent="0.25">
      <c r="A16" s="25"/>
      <c r="B16" s="26"/>
      <c r="C16" s="32" t="str">
        <f t="shared" si="0"/>
        <v/>
      </c>
      <c r="D16" s="33" t="str">
        <f t="shared" si="1"/>
        <v/>
      </c>
      <c r="E16" s="19" t="str">
        <f t="shared" si="2"/>
        <v/>
      </c>
      <c r="F16" s="34" t="str">
        <f t="shared" si="3"/>
        <v/>
      </c>
      <c r="G16" s="19" t="str">
        <f t="shared" si="4"/>
        <v/>
      </c>
      <c r="H16" s="35" t="str">
        <f t="shared" si="5"/>
        <v/>
      </c>
    </row>
    <row r="17" spans="1:8" x14ac:dyDescent="0.25">
      <c r="A17" s="25"/>
      <c r="B17" s="26"/>
      <c r="C17" s="32" t="str">
        <f t="shared" si="0"/>
        <v/>
      </c>
      <c r="D17" s="33" t="str">
        <f t="shared" si="1"/>
        <v/>
      </c>
      <c r="E17" s="19" t="str">
        <f t="shared" si="2"/>
        <v/>
      </c>
      <c r="F17" s="34" t="str">
        <f t="shared" si="3"/>
        <v/>
      </c>
      <c r="G17" s="19" t="str">
        <f t="shared" si="4"/>
        <v/>
      </c>
      <c r="H17" s="35" t="str">
        <f t="shared" si="5"/>
        <v/>
      </c>
    </row>
    <row r="18" spans="1:8" x14ac:dyDescent="0.25">
      <c r="A18" s="25"/>
      <c r="B18" s="26"/>
      <c r="C18" s="32" t="str">
        <f t="shared" si="0"/>
        <v/>
      </c>
      <c r="D18" s="33" t="str">
        <f t="shared" si="1"/>
        <v/>
      </c>
      <c r="E18" s="19" t="str">
        <f t="shared" si="2"/>
        <v/>
      </c>
      <c r="F18" s="34" t="str">
        <f t="shared" si="3"/>
        <v/>
      </c>
      <c r="G18" s="19" t="str">
        <f t="shared" si="4"/>
        <v/>
      </c>
      <c r="H18" s="35" t="str">
        <f t="shared" si="5"/>
        <v/>
      </c>
    </row>
    <row r="19" spans="1:8" x14ac:dyDescent="0.25">
      <c r="A19" s="25"/>
      <c r="B19" s="26"/>
      <c r="C19" s="32" t="str">
        <f t="shared" si="0"/>
        <v/>
      </c>
      <c r="D19" s="33" t="str">
        <f t="shared" si="1"/>
        <v/>
      </c>
      <c r="E19" s="19" t="str">
        <f t="shared" si="2"/>
        <v/>
      </c>
      <c r="F19" s="34" t="str">
        <f t="shared" si="3"/>
        <v/>
      </c>
      <c r="G19" s="19" t="str">
        <f t="shared" si="4"/>
        <v/>
      </c>
      <c r="H19" s="35" t="str">
        <f t="shared" si="5"/>
        <v/>
      </c>
    </row>
    <row r="20" spans="1:8" x14ac:dyDescent="0.25">
      <c r="A20" s="25"/>
      <c r="B20" s="26"/>
      <c r="C20" s="32" t="str">
        <f t="shared" si="0"/>
        <v/>
      </c>
      <c r="D20" s="33" t="str">
        <f t="shared" si="1"/>
        <v/>
      </c>
      <c r="E20" s="19" t="str">
        <f t="shared" si="2"/>
        <v/>
      </c>
      <c r="F20" s="34" t="str">
        <f t="shared" si="3"/>
        <v/>
      </c>
      <c r="G20" s="19" t="str">
        <f t="shared" si="4"/>
        <v/>
      </c>
      <c r="H20" s="35" t="str">
        <f t="shared" si="5"/>
        <v/>
      </c>
    </row>
    <row r="21" spans="1:8" x14ac:dyDescent="0.25">
      <c r="A21" s="25"/>
      <c r="B21" s="26"/>
      <c r="C21" s="32" t="str">
        <f t="shared" si="0"/>
        <v/>
      </c>
      <c r="D21" s="33" t="str">
        <f t="shared" si="1"/>
        <v/>
      </c>
      <c r="E21" s="19" t="str">
        <f t="shared" si="2"/>
        <v/>
      </c>
      <c r="F21" s="34" t="str">
        <f t="shared" si="3"/>
        <v/>
      </c>
      <c r="G21" s="19" t="str">
        <f t="shared" si="4"/>
        <v/>
      </c>
      <c r="H21" s="35" t="str">
        <f t="shared" si="5"/>
        <v/>
      </c>
    </row>
    <row r="22" spans="1:8" x14ac:dyDescent="0.25">
      <c r="A22" s="25"/>
      <c r="B22" s="26"/>
      <c r="C22" s="32" t="str">
        <f t="shared" si="0"/>
        <v/>
      </c>
      <c r="D22" s="33" t="str">
        <f t="shared" si="1"/>
        <v/>
      </c>
      <c r="E22" s="19" t="str">
        <f t="shared" si="2"/>
        <v/>
      </c>
      <c r="F22" s="34" t="str">
        <f t="shared" si="3"/>
        <v/>
      </c>
      <c r="G22" s="19" t="str">
        <f t="shared" si="4"/>
        <v/>
      </c>
      <c r="H22" s="35" t="str">
        <f t="shared" si="5"/>
        <v/>
      </c>
    </row>
    <row r="24" spans="1:8" x14ac:dyDescent="0.25">
      <c r="A24" s="23" t="s">
        <v>151</v>
      </c>
    </row>
    <row r="26" spans="1:8" x14ac:dyDescent="0.25">
      <c r="A26" s="22" t="s">
        <v>152</v>
      </c>
    </row>
    <row r="27" spans="1:8" x14ac:dyDescent="0.25">
      <c r="A27" s="24" t="s">
        <v>80</v>
      </c>
    </row>
  </sheetData>
  <mergeCells count="5">
    <mergeCell ref="A5:C5"/>
    <mergeCell ref="A8:C8"/>
    <mergeCell ref="A6:C6"/>
    <mergeCell ref="A7:C7"/>
    <mergeCell ref="A4:C4"/>
  </mergeCells>
  <conditionalFormatting sqref="F11:F22">
    <cfRule type="expression" dxfId="0" priority="1">
      <formula>AND(ISNUMBER(F11),F11&lt;0)</formula>
    </cfRule>
  </conditionalFormatting>
  <hyperlinks>
    <hyperlink ref="A26" r:id="rId1" xr:uid="{00000000-0004-0000-0300-000000000000}"/>
    <hyperlink ref="A27" r:id="rId2" xr:uid="{00000000-0004-0000-0300-000001000000}"/>
  </hyperlinks>
  <pageMargins left="0.75" right="0.75" top="1" bottom="1" header="0.5" footer="0.5"/>
  <pageSetup paperSize="9" orientation="landscape"/>
  <headerFooter>
    <oddFooter>&amp;LKalkulation · Vorlage von Mendato · mendato.com/wissen/kalkulation-gebaeudereinigung&amp;RSeite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29"/>
  <sheetViews>
    <sheetView workbookViewId="0"/>
  </sheetViews>
  <sheetFormatPr baseColWidth="10" defaultColWidth="9.140625" defaultRowHeight="15" x14ac:dyDescent="0.25"/>
  <cols>
    <col min="1" max="1" width="38" customWidth="1"/>
    <col min="2" max="3" width="12" customWidth="1"/>
    <col min="4" max="4" width="74" customWidth="1"/>
  </cols>
  <sheetData>
    <row r="1" spans="1:4" ht="18" x14ac:dyDescent="0.25">
      <c r="A1" s="1" t="s">
        <v>153</v>
      </c>
    </row>
    <row r="2" spans="1:4" x14ac:dyDescent="0.25">
      <c r="A2" s="2" t="s">
        <v>154</v>
      </c>
    </row>
    <row r="4" spans="1:4" x14ac:dyDescent="0.25">
      <c r="A4" s="22" t="s">
        <v>155</v>
      </c>
    </row>
    <row r="5" spans="1:4" ht="30" customHeight="1" x14ac:dyDescent="0.25">
      <c r="A5" s="14" t="s">
        <v>90</v>
      </c>
      <c r="B5" s="14" t="s">
        <v>156</v>
      </c>
      <c r="C5" s="14" t="s">
        <v>157</v>
      </c>
      <c r="D5" s="14" t="s">
        <v>26</v>
      </c>
    </row>
    <row r="6" spans="1:4" x14ac:dyDescent="0.25">
      <c r="A6" s="35" t="s">
        <v>103</v>
      </c>
      <c r="B6" s="35">
        <v>160</v>
      </c>
      <c r="C6" s="35">
        <v>230</v>
      </c>
      <c r="D6" s="35" t="s">
        <v>158</v>
      </c>
    </row>
    <row r="7" spans="1:4" x14ac:dyDescent="0.25">
      <c r="A7" s="35" t="s">
        <v>106</v>
      </c>
      <c r="B7" s="35">
        <v>150</v>
      </c>
      <c r="C7" s="35">
        <v>280</v>
      </c>
      <c r="D7" s="35"/>
    </row>
    <row r="8" spans="1:4" x14ac:dyDescent="0.25">
      <c r="A8" s="35" t="s">
        <v>113</v>
      </c>
      <c r="B8" s="35">
        <v>60</v>
      </c>
      <c r="C8" s="35">
        <v>90</v>
      </c>
      <c r="D8" s="35" t="s">
        <v>159</v>
      </c>
    </row>
    <row r="9" spans="1:4" x14ac:dyDescent="0.25">
      <c r="A9" s="35" t="s">
        <v>111</v>
      </c>
      <c r="B9" s="35">
        <v>80</v>
      </c>
      <c r="C9" s="35">
        <v>150</v>
      </c>
      <c r="D9" s="35"/>
    </row>
    <row r="10" spans="1:4" x14ac:dyDescent="0.25">
      <c r="A10" s="35" t="s">
        <v>160</v>
      </c>
      <c r="B10" s="35">
        <v>120</v>
      </c>
      <c r="C10" s="35">
        <v>190</v>
      </c>
      <c r="D10" s="35"/>
    </row>
    <row r="11" spans="1:4" x14ac:dyDescent="0.25">
      <c r="A11" s="35" t="s">
        <v>161</v>
      </c>
      <c r="B11" s="35">
        <v>160</v>
      </c>
      <c r="C11" s="35">
        <v>280</v>
      </c>
      <c r="D11" s="35"/>
    </row>
    <row r="12" spans="1:4" x14ac:dyDescent="0.25">
      <c r="A12" s="35" t="s">
        <v>162</v>
      </c>
      <c r="B12" s="35">
        <v>90</v>
      </c>
      <c r="C12" s="35">
        <v>150</v>
      </c>
      <c r="D12" s="35"/>
    </row>
    <row r="13" spans="1:4" x14ac:dyDescent="0.25">
      <c r="A13" s="35" t="s">
        <v>108</v>
      </c>
      <c r="B13" s="35">
        <v>250</v>
      </c>
      <c r="C13" s="35">
        <v>350</v>
      </c>
      <c r="D13" s="35" t="s">
        <v>163</v>
      </c>
    </row>
    <row r="14" spans="1:4" x14ac:dyDescent="0.25">
      <c r="A14" s="35" t="s">
        <v>164</v>
      </c>
      <c r="B14" s="35">
        <v>250</v>
      </c>
      <c r="C14" s="35">
        <v>600</v>
      </c>
      <c r="D14" s="35"/>
    </row>
    <row r="15" spans="1:4" x14ac:dyDescent="0.25">
      <c r="A15" s="35" t="s">
        <v>165</v>
      </c>
      <c r="B15" s="35">
        <v>130</v>
      </c>
      <c r="C15" s="35">
        <v>200</v>
      </c>
      <c r="D15" s="35"/>
    </row>
    <row r="16" spans="1:4" x14ac:dyDescent="0.25">
      <c r="A16" s="35" t="s">
        <v>166</v>
      </c>
      <c r="B16" s="35">
        <v>250</v>
      </c>
      <c r="C16" s="35">
        <v>350</v>
      </c>
      <c r="D16" s="35"/>
    </row>
    <row r="17" spans="1:4" x14ac:dyDescent="0.25">
      <c r="A17" s="35" t="s">
        <v>167</v>
      </c>
      <c r="B17" s="35"/>
      <c r="C17" s="35"/>
      <c r="D17" s="35" t="s">
        <v>168</v>
      </c>
    </row>
    <row r="19" spans="1:4" x14ac:dyDescent="0.25">
      <c r="A19" s="24" t="s">
        <v>169</v>
      </c>
    </row>
    <row r="21" spans="1:4" x14ac:dyDescent="0.25">
      <c r="A21" s="22" t="s">
        <v>170</v>
      </c>
    </row>
    <row r="22" spans="1:4" ht="30" customHeight="1" x14ac:dyDescent="0.25">
      <c r="A22" s="14" t="s">
        <v>171</v>
      </c>
      <c r="B22" s="14" t="s">
        <v>172</v>
      </c>
      <c r="C22" s="14"/>
      <c r="D22" s="14" t="s">
        <v>173</v>
      </c>
    </row>
    <row r="23" spans="1:4" x14ac:dyDescent="0.25">
      <c r="A23" s="35" t="s">
        <v>174</v>
      </c>
      <c r="B23" s="36" t="s">
        <v>175</v>
      </c>
      <c r="D23" s="35" t="s">
        <v>176</v>
      </c>
    </row>
    <row r="24" spans="1:4" x14ac:dyDescent="0.25">
      <c r="A24" s="35" t="s">
        <v>177</v>
      </c>
      <c r="B24" s="36" t="s">
        <v>178</v>
      </c>
      <c r="D24" s="35" t="s">
        <v>179</v>
      </c>
    </row>
    <row r="25" spans="1:4" x14ac:dyDescent="0.25">
      <c r="A25" s="35" t="s">
        <v>180</v>
      </c>
      <c r="B25" s="36" t="s">
        <v>181</v>
      </c>
      <c r="D25" s="35" t="s">
        <v>182</v>
      </c>
    </row>
    <row r="26" spans="1:4" x14ac:dyDescent="0.25">
      <c r="A26" s="35" t="s">
        <v>183</v>
      </c>
      <c r="B26" s="36" t="s">
        <v>184</v>
      </c>
      <c r="D26" s="35" t="s">
        <v>182</v>
      </c>
    </row>
    <row r="27" spans="1:4" x14ac:dyDescent="0.25">
      <c r="A27" s="35" t="s">
        <v>185</v>
      </c>
      <c r="B27" s="36" t="s">
        <v>186</v>
      </c>
      <c r="D27" s="35" t="s">
        <v>187</v>
      </c>
    </row>
    <row r="28" spans="1:4" x14ac:dyDescent="0.25">
      <c r="A28" s="35" t="s">
        <v>188</v>
      </c>
      <c r="B28" s="36" t="s">
        <v>189</v>
      </c>
      <c r="D28" s="35" t="s">
        <v>190</v>
      </c>
    </row>
    <row r="29" spans="1:4" x14ac:dyDescent="0.25">
      <c r="A29" s="35" t="s">
        <v>191</v>
      </c>
      <c r="B29" s="36" t="s">
        <v>192</v>
      </c>
      <c r="D29" s="35" t="s">
        <v>193</v>
      </c>
    </row>
  </sheetData>
  <hyperlinks>
    <hyperlink ref="A19" r:id="rId1" xr:uid="{00000000-0004-0000-0400-000000000000}"/>
  </hyperlinks>
  <pageMargins left="0.75" right="0.75" top="1" bottom="1" header="0.5" footer="0.5"/>
  <pageSetup paperSize="9" orientation="portrait"/>
  <headerFooter>
    <oddFooter>&amp;LKalkulation · Vorlage von Mendato · mendato.com/wissen/kalkulation-gebaeudereinigung&amp;RSeite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Anleitung</vt:lpstr>
      <vt:lpstr>Stundensatz</vt:lpstr>
      <vt:lpstr>Kalkulation</vt:lpstr>
      <vt:lpstr>Nachkalkulation</vt:lpstr>
      <vt:lpstr>Richtwerte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Philipp Geimer</cp:lastModifiedBy>
  <dcterms:created xsi:type="dcterms:W3CDTF">2026-10-26T16:52:19Z</dcterms:created>
  <dcterms:modified xsi:type="dcterms:W3CDTF">2026-10-26T16:52:20Z</dcterms:modified>
</cp:coreProperties>
</file>