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https://devxwork-my.sharepoint.com/personal/yashvi_mehta_devx_work/Documents/GMDC &amp; RWA/"/>
    </mc:Choice>
  </mc:AlternateContent>
  <xr:revisionPtr revIDLastSave="0" documentId="8_{9FF20615-CC57-471D-8B75-D8F0CC7FF8F8}" xr6:coauthVersionLast="47" xr6:coauthVersionMax="47" xr10:uidLastSave="{00000000-0000-0000-0000-000000000000}"/>
  <bookViews>
    <workbookView xWindow="5856" yWindow="2460" windowWidth="17280" windowHeight="8880" firstSheet="2" activeTab="2" xr2:uid="{9F00051D-BBA7-4F38-A504-B6370DE76E1D}"/>
  </bookViews>
  <sheets>
    <sheet name="Summary" sheetId="5" r:id="rId1"/>
    <sheet name="Cashflow (Annually)" sheetId="3" state="hidden" r:id="rId2"/>
    <sheet name="Cash Flow" sheetId="11" r:id="rId3"/>
    <sheet name="Financials" sheetId="8" r:id="rId4"/>
    <sheet name="Monthly Cash Inflow" sheetId="9" r:id="rId5"/>
  </sheets>
  <externalReferences>
    <externalReference r:id="rId6"/>
  </externalReference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2" hidden="1">44844.2722337963</definedName>
    <definedName name="IQ_NAMES_REVISION_DATE_" localSheetId="4" hidden="1">44844.2722337963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1" l="1"/>
  <c r="C26" i="8"/>
  <c r="C15" i="8"/>
  <c r="C13" i="8"/>
  <c r="C9" i="8"/>
  <c r="EQ8" i="11"/>
  <c r="N21" i="11"/>
  <c r="V27" i="11"/>
  <c r="V15" i="11"/>
  <c r="AI4" i="11"/>
  <c r="AG4" i="11"/>
  <c r="AD4" i="11"/>
  <c r="AA4" i="11"/>
  <c r="B9" i="5"/>
  <c r="B8" i="5" s="1"/>
  <c r="B3" i="5"/>
  <c r="O27" i="8" s="1"/>
  <c r="AA6" i="11"/>
  <c r="S4" i="11"/>
  <c r="T4" i="11" s="1"/>
  <c r="O23" i="8"/>
  <c r="O25" i="8"/>
  <c r="S17" i="11"/>
  <c r="T17" i="11" s="1"/>
  <c r="P7" i="8" l="1"/>
  <c r="X7" i="8"/>
  <c r="V7" i="8"/>
  <c r="U7" i="8"/>
  <c r="O7" i="8"/>
  <c r="W7" i="8"/>
  <c r="T7" i="8"/>
  <c r="S7" i="8"/>
  <c r="R7" i="8"/>
  <c r="Q7" i="8"/>
  <c r="B15" i="5"/>
  <c r="L27" i="8"/>
  <c r="EP4" i="11"/>
  <c r="B16" i="5" l="1"/>
  <c r="D15" i="5"/>
  <c r="D16" i="5" s="1"/>
  <c r="L9" i="8"/>
  <c r="L22" i="8"/>
  <c r="K22" i="8" l="1"/>
  <c r="G22" i="8"/>
  <c r="F22" i="8"/>
  <c r="K27" i="8"/>
  <c r="J27" i="8"/>
  <c r="I27" i="8"/>
  <c r="H27" i="8"/>
  <c r="G27" i="8"/>
  <c r="F27" i="8"/>
  <c r="O24" i="8" l="1"/>
  <c r="C30" i="8"/>
  <c r="J22" i="8"/>
  <c r="J9" i="8"/>
  <c r="G9" i="8"/>
  <c r="K9" i="8"/>
  <c r="H22" i="8"/>
  <c r="H9" i="8"/>
  <c r="I22" i="8"/>
  <c r="I9" i="8"/>
  <c r="F9" i="8"/>
  <c r="O28" i="8"/>
  <c r="X14" i="8" l="1"/>
  <c r="W14" i="8"/>
  <c r="U14" i="8"/>
  <c r="T14" i="8"/>
  <c r="S14" i="8"/>
  <c r="R14" i="8"/>
  <c r="V14" i="8"/>
  <c r="Q14" i="8"/>
  <c r="P14" i="8"/>
  <c r="O14" i="8"/>
  <c r="X11" i="8"/>
  <c r="W11" i="8"/>
  <c r="V11" i="8"/>
  <c r="U11" i="8"/>
  <c r="T11" i="8"/>
  <c r="S11" i="8"/>
  <c r="R11" i="8"/>
  <c r="Q11" i="8"/>
  <c r="P11" i="8"/>
  <c r="O11" i="8"/>
  <c r="W4" i="9"/>
  <c r="X4" i="9" s="1"/>
  <c r="Y4" i="9" s="1"/>
  <c r="Z4" i="9" s="1"/>
  <c r="AA4" i="9" s="1"/>
  <c r="AB4" i="9" s="1"/>
  <c r="AD4" i="9" s="1"/>
  <c r="AE4" i="9" s="1"/>
  <c r="AF4" i="9" s="1"/>
  <c r="AG4" i="9" s="1"/>
  <c r="AH4" i="9" s="1"/>
  <c r="AI4" i="9" s="1"/>
  <c r="AJ4" i="9" s="1"/>
  <c r="AK4" i="9" s="1"/>
  <c r="AL4" i="9" s="1"/>
  <c r="AM4" i="9" s="1"/>
  <c r="AN4" i="9" s="1"/>
  <c r="AO4" i="9" s="1"/>
  <c r="W7" i="9"/>
  <c r="X7" i="9" s="1"/>
  <c r="Y7" i="9" s="1"/>
  <c r="Z7" i="9" s="1"/>
  <c r="AA7" i="9" s="1"/>
  <c r="AB7" i="9" s="1"/>
  <c r="AD7" i="9" s="1"/>
  <c r="AE7" i="9" s="1"/>
  <c r="AF7" i="9" s="1"/>
  <c r="AG7" i="9" s="1"/>
  <c r="AH7" i="9" s="1"/>
  <c r="AI7" i="9" s="1"/>
  <c r="AJ7" i="9" s="1"/>
  <c r="AK7" i="9" s="1"/>
  <c r="AL7" i="9" s="1"/>
  <c r="AM7" i="9" s="1"/>
  <c r="AN7" i="9" s="1"/>
  <c r="AO7" i="9" s="1"/>
  <c r="W6" i="9"/>
  <c r="X6" i="9" s="1"/>
  <c r="Y6" i="9" s="1"/>
  <c r="Z6" i="9" s="1"/>
  <c r="AA6" i="9" s="1"/>
  <c r="AB6" i="9" s="1"/>
  <c r="AD6" i="9" s="1"/>
  <c r="AE6" i="9" s="1"/>
  <c r="AF6" i="9" s="1"/>
  <c r="AG6" i="9" s="1"/>
  <c r="AH6" i="9" s="1"/>
  <c r="AI6" i="9" s="1"/>
  <c r="AJ6" i="9" s="1"/>
  <c r="AK6" i="9" s="1"/>
  <c r="AL6" i="9" s="1"/>
  <c r="AM6" i="9" s="1"/>
  <c r="AN6" i="9" s="1"/>
  <c r="AO6" i="9" s="1"/>
  <c r="W5" i="9"/>
  <c r="X5" i="9" s="1"/>
  <c r="Y5" i="9" s="1"/>
  <c r="Z5" i="9" s="1"/>
  <c r="AA5" i="9" s="1"/>
  <c r="AB5" i="9" s="1"/>
  <c r="AD5" i="9" s="1"/>
  <c r="AE5" i="9" s="1"/>
  <c r="AF5" i="9" s="1"/>
  <c r="AG5" i="9" s="1"/>
  <c r="AH5" i="9" s="1"/>
  <c r="AI5" i="9" s="1"/>
  <c r="AJ5" i="9" s="1"/>
  <c r="AK5" i="9" s="1"/>
  <c r="AL5" i="9" s="1"/>
  <c r="AM5" i="9" s="1"/>
  <c r="AN5" i="9" s="1"/>
  <c r="AO5" i="9" s="1"/>
  <c r="AD5" i="11"/>
  <c r="AC5" i="11"/>
  <c r="AB5" i="11"/>
  <c r="AK5" i="11"/>
  <c r="AJ5" i="11"/>
  <c r="AI5" i="11"/>
  <c r="AH5" i="11"/>
  <c r="AG5" i="11"/>
  <c r="AF5" i="11"/>
  <c r="AE5" i="11"/>
  <c r="AA5" i="11"/>
  <c r="AL5" i="11"/>
  <c r="F7" i="11"/>
  <c r="AA7" i="11" l="1"/>
  <c r="I31" i="8"/>
  <c r="H31" i="8"/>
  <c r="G31" i="8"/>
  <c r="C31" i="8"/>
  <c r="D31" i="8"/>
  <c r="J31" i="8"/>
  <c r="F31" i="8"/>
  <c r="L31" i="8"/>
  <c r="E31" i="8"/>
  <c r="K31" i="8"/>
  <c r="AA8" i="11"/>
  <c r="E22" i="11"/>
  <c r="U17" i="11"/>
  <c r="S18" i="11" s="1"/>
  <c r="T18" i="11" s="1"/>
  <c r="E20" i="11"/>
  <c r="E23" i="11" s="1"/>
  <c r="G19" i="5"/>
  <c r="U4" i="11"/>
  <c r="S5" i="11" s="1"/>
  <c r="T5" i="11" s="1"/>
  <c r="G12" i="8" l="1"/>
  <c r="E12" i="8"/>
  <c r="I12" i="8"/>
  <c r="K12" i="8"/>
  <c r="H12" i="8"/>
  <c r="F12" i="8"/>
  <c r="L12" i="8"/>
  <c r="J12" i="8"/>
  <c r="D12" i="8"/>
  <c r="C12" i="8"/>
  <c r="AP5" i="11"/>
  <c r="AQ5" i="11"/>
  <c r="AO5" i="11"/>
  <c r="AV5" i="11"/>
  <c r="AS5" i="11"/>
  <c r="AW5" i="11"/>
  <c r="AT5" i="11"/>
  <c r="AM5" i="11"/>
  <c r="AX5" i="11"/>
  <c r="AU5" i="11"/>
  <c r="AR5" i="11"/>
  <c r="AN5" i="11"/>
  <c r="G7" i="11"/>
  <c r="F22" i="11" s="1"/>
  <c r="U5" i="11"/>
  <c r="S6" i="11" s="1"/>
  <c r="T6" i="11" s="1"/>
  <c r="F32" i="8" l="1"/>
  <c r="H7" i="11"/>
  <c r="G22" i="11" s="1"/>
  <c r="BE5" i="11"/>
  <c r="BC5" i="11"/>
  <c r="AZ5" i="11"/>
  <c r="BH5" i="11"/>
  <c r="AY5" i="11"/>
  <c r="BF5" i="11"/>
  <c r="BI5" i="11"/>
  <c r="BG5" i="11"/>
  <c r="BA5" i="11"/>
  <c r="BB5" i="11"/>
  <c r="BD5" i="11"/>
  <c r="BJ5" i="11"/>
  <c r="U18" i="11"/>
  <c r="S19" i="11" s="1"/>
  <c r="T19" i="11" s="1"/>
  <c r="U6" i="11"/>
  <c r="G32" i="8" l="1"/>
  <c r="S7" i="11"/>
  <c r="T7" i="11" s="1"/>
  <c r="U19" i="11"/>
  <c r="S20" i="11" s="1"/>
  <c r="T20" i="11" s="1"/>
  <c r="H32" i="8" l="1"/>
  <c r="U20" i="11"/>
  <c r="S21" i="11" s="1"/>
  <c r="T21" i="11" s="1"/>
  <c r="R7" i="9"/>
  <c r="V7" i="9"/>
  <c r="U7" i="9"/>
  <c r="S7" i="9"/>
  <c r="T7" i="9"/>
  <c r="Q7" i="9"/>
  <c r="V4" i="9"/>
  <c r="U4" i="9"/>
  <c r="S4" i="9"/>
  <c r="R4" i="9"/>
  <c r="T4" i="9"/>
  <c r="Q4" i="9"/>
  <c r="S6" i="9"/>
  <c r="R6" i="9"/>
  <c r="V6" i="9"/>
  <c r="Q6" i="9"/>
  <c r="U6" i="9"/>
  <c r="T6" i="9"/>
  <c r="Q5" i="9"/>
  <c r="V5" i="9"/>
  <c r="S5" i="9"/>
  <c r="R5" i="9"/>
  <c r="U5" i="9"/>
  <c r="T5" i="9"/>
  <c r="P7" i="9"/>
  <c r="P5" i="9"/>
  <c r="P6" i="9"/>
  <c r="P4" i="9"/>
  <c r="I32" i="8" l="1"/>
  <c r="BV5" i="11"/>
  <c r="BM5" i="11"/>
  <c r="BQ5" i="11"/>
  <c r="BK5" i="11"/>
  <c r="BN5" i="11"/>
  <c r="BO5" i="11"/>
  <c r="BU5" i="11"/>
  <c r="BP5" i="11"/>
  <c r="BR5" i="11"/>
  <c r="BL5" i="11"/>
  <c r="BS5" i="11"/>
  <c r="BT5" i="11"/>
  <c r="U21" i="11"/>
  <c r="S22" i="11" s="1"/>
  <c r="T22" i="11" s="1"/>
  <c r="U7" i="11"/>
  <c r="S8" i="11" s="1"/>
  <c r="T8" i="11" s="1"/>
  <c r="I7" i="11"/>
  <c r="P8" i="9"/>
  <c r="F3" i="11" s="1"/>
  <c r="C4" i="8" s="1"/>
  <c r="G20" i="5"/>
  <c r="J32" i="8" l="1"/>
  <c r="CD5" i="11"/>
  <c r="CA5" i="11"/>
  <c r="CE5" i="11"/>
  <c r="BZ5" i="11"/>
  <c r="CG5" i="11"/>
  <c r="CB5" i="11"/>
  <c r="BX5" i="11"/>
  <c r="BY5" i="11"/>
  <c r="CH5" i="11"/>
  <c r="CF5" i="11"/>
  <c r="CC5" i="11"/>
  <c r="BW5" i="11"/>
  <c r="H22" i="11"/>
  <c r="U22" i="11"/>
  <c r="S23" i="11" s="1"/>
  <c r="T23" i="11" s="1"/>
  <c r="U8" i="11"/>
  <c r="S9" i="11" s="1"/>
  <c r="T9" i="11" s="1"/>
  <c r="J7" i="11"/>
  <c r="AR7" i="9"/>
  <c r="AZ7" i="9"/>
  <c r="AY7" i="9"/>
  <c r="AX7" i="9"/>
  <c r="BA7" i="9"/>
  <c r="AU7" i="9"/>
  <c r="AW7" i="9"/>
  <c r="AV7" i="9"/>
  <c r="AT7" i="9"/>
  <c r="AS7" i="9"/>
  <c r="BB7" i="9"/>
  <c r="AQ7" i="9"/>
  <c r="BA4" i="9"/>
  <c r="AW4" i="9"/>
  <c r="AV4" i="9"/>
  <c r="AY4" i="9"/>
  <c r="AT4" i="9"/>
  <c r="AX4" i="9"/>
  <c r="AU4" i="9"/>
  <c r="AS4" i="9"/>
  <c r="AR4" i="9"/>
  <c r="AZ4" i="9"/>
  <c r="AQ4" i="9"/>
  <c r="BB4" i="9"/>
  <c r="AY6" i="9"/>
  <c r="AX6" i="9"/>
  <c r="AW6" i="9"/>
  <c r="AS6" i="9"/>
  <c r="AR6" i="9"/>
  <c r="BB6" i="9"/>
  <c r="BA6" i="9"/>
  <c r="AQ6" i="9"/>
  <c r="AZ6" i="9"/>
  <c r="AV6" i="9"/>
  <c r="AU6" i="9"/>
  <c r="AT6" i="9"/>
  <c r="BB5" i="9"/>
  <c r="AQ5" i="9"/>
  <c r="AX5" i="9"/>
  <c r="AW5" i="9"/>
  <c r="BA5" i="9"/>
  <c r="AZ5" i="9"/>
  <c r="AY5" i="9"/>
  <c r="AV5" i="9"/>
  <c r="AT5" i="9"/>
  <c r="AU5" i="9"/>
  <c r="AS5" i="9"/>
  <c r="AR5" i="9"/>
  <c r="K12" i="5"/>
  <c r="K13" i="5"/>
  <c r="K11" i="5"/>
  <c r="K10" i="5"/>
  <c r="K3" i="5"/>
  <c r="L32" i="8" l="1"/>
  <c r="K32" i="8"/>
  <c r="CM5" i="11"/>
  <c r="CJ5" i="11"/>
  <c r="CR5" i="11"/>
  <c r="CO5" i="11"/>
  <c r="CI5" i="11"/>
  <c r="CT5" i="11"/>
  <c r="CQ5" i="11"/>
  <c r="CN5" i="11"/>
  <c r="CS5" i="11"/>
  <c r="CP5" i="11"/>
  <c r="CK5" i="11"/>
  <c r="CL5" i="11"/>
  <c r="I22" i="11"/>
  <c r="U23" i="11"/>
  <c r="S24" i="11" s="1"/>
  <c r="T24" i="11" s="1"/>
  <c r="U9" i="11"/>
  <c r="S10" i="11" s="1"/>
  <c r="T10" i="11" s="1"/>
  <c r="K7" i="11"/>
  <c r="AY8" i="9"/>
  <c r="AV8" i="9"/>
  <c r="BA8" i="9"/>
  <c r="BM4" i="9"/>
  <c r="BI4" i="9"/>
  <c r="BH4" i="9"/>
  <c r="BG4" i="9"/>
  <c r="BO4" i="9"/>
  <c r="BN4" i="9"/>
  <c r="BL4" i="9"/>
  <c r="BK4" i="9"/>
  <c r="BJ4" i="9"/>
  <c r="BF4" i="9"/>
  <c r="BB8" i="9"/>
  <c r="BE4" i="9"/>
  <c r="BD4" i="9"/>
  <c r="AR8" i="9"/>
  <c r="BC7" i="9"/>
  <c r="AQ8" i="9"/>
  <c r="BC4" i="9"/>
  <c r="BM7" i="9"/>
  <c r="BI7" i="9"/>
  <c r="BH7" i="9"/>
  <c r="BG7" i="9"/>
  <c r="BO7" i="9"/>
  <c r="BL7" i="9"/>
  <c r="BN7" i="9"/>
  <c r="BK7" i="9"/>
  <c r="BJ7" i="9"/>
  <c r="BF7" i="9"/>
  <c r="BE7" i="9"/>
  <c r="BD7" i="9"/>
  <c r="AZ8" i="9"/>
  <c r="BC6" i="9"/>
  <c r="AS8" i="9"/>
  <c r="AU8" i="9"/>
  <c r="BM6" i="9"/>
  <c r="BI6" i="9"/>
  <c r="BH6" i="9"/>
  <c r="BG6" i="9"/>
  <c r="BJ6" i="9"/>
  <c r="BF6" i="9"/>
  <c r="BD6" i="9"/>
  <c r="BE6" i="9"/>
  <c r="BK6" i="9"/>
  <c r="BO6" i="9"/>
  <c r="BN6" i="9"/>
  <c r="BL6" i="9"/>
  <c r="AX8" i="9"/>
  <c r="AT8" i="9"/>
  <c r="BC5" i="9"/>
  <c r="AW8" i="9"/>
  <c r="BM5" i="9"/>
  <c r="BI5" i="9"/>
  <c r="BH5" i="9"/>
  <c r="BG5" i="9"/>
  <c r="BO5" i="9"/>
  <c r="BN5" i="9"/>
  <c r="BL5" i="9"/>
  <c r="BK5" i="9"/>
  <c r="BJ5" i="9"/>
  <c r="BF5" i="9"/>
  <c r="BE5" i="9"/>
  <c r="BD5" i="9"/>
  <c r="K14" i="5"/>
  <c r="K15" i="5" s="1"/>
  <c r="K16" i="5" s="1"/>
  <c r="CY5" i="11" l="1"/>
  <c r="CX5" i="11"/>
  <c r="DA5" i="11"/>
  <c r="CV5" i="11"/>
  <c r="CW5" i="11"/>
  <c r="DB5" i="11"/>
  <c r="DF5" i="11"/>
  <c r="DC5" i="11"/>
  <c r="DD5" i="11"/>
  <c r="CU5" i="11"/>
  <c r="DE5" i="11"/>
  <c r="CZ5" i="11"/>
  <c r="DT10" i="9"/>
  <c r="EA10" i="9"/>
  <c r="DW10" i="9"/>
  <c r="DV10" i="9"/>
  <c r="DU10" i="9"/>
  <c r="DS10" i="9"/>
  <c r="DY10" i="9"/>
  <c r="DX10" i="9"/>
  <c r="DR10" i="9"/>
  <c r="DZ10" i="9"/>
  <c r="DQ10" i="9"/>
  <c r="EB10" i="9"/>
  <c r="J22" i="11"/>
  <c r="U24" i="11"/>
  <c r="S25" i="11" s="1"/>
  <c r="T25" i="11" s="1"/>
  <c r="U10" i="11"/>
  <c r="S11" i="11" s="1"/>
  <c r="T11" i="11" s="1"/>
  <c r="L7" i="11"/>
  <c r="BG8" i="9"/>
  <c r="BH8" i="9"/>
  <c r="BE8" i="9"/>
  <c r="BF8" i="9"/>
  <c r="BV7" i="9"/>
  <c r="BR7" i="9"/>
  <c r="BQ7" i="9"/>
  <c r="CB7" i="9"/>
  <c r="BY7" i="9"/>
  <c r="CA7" i="9"/>
  <c r="BZ7" i="9"/>
  <c r="BX7" i="9"/>
  <c r="BW7" i="9"/>
  <c r="BU7" i="9"/>
  <c r="BT7" i="9"/>
  <c r="BS7" i="9"/>
  <c r="BV6" i="9"/>
  <c r="BR6" i="9"/>
  <c r="BQ6" i="9"/>
  <c r="CB6" i="9"/>
  <c r="BX6" i="9"/>
  <c r="BW6" i="9"/>
  <c r="BU6" i="9"/>
  <c r="BT6" i="9"/>
  <c r="BS6" i="9"/>
  <c r="CA6" i="9"/>
  <c r="BZ6" i="9"/>
  <c r="BY6" i="9"/>
  <c r="BJ8" i="9"/>
  <c r="BV5" i="9"/>
  <c r="BR5" i="9"/>
  <c r="BQ5" i="9"/>
  <c r="CB5" i="9"/>
  <c r="BS5" i="9"/>
  <c r="CA5" i="9"/>
  <c r="BT5" i="9"/>
  <c r="BX5" i="9"/>
  <c r="BW5" i="9"/>
  <c r="BZ5" i="9"/>
  <c r="BY5" i="9"/>
  <c r="BU5" i="9"/>
  <c r="BK8" i="9"/>
  <c r="BP7" i="9"/>
  <c r="BC8" i="9"/>
  <c r="I3" i="11" s="1"/>
  <c r="F4" i="8" s="1"/>
  <c r="BL8" i="9"/>
  <c r="BP6" i="9"/>
  <c r="BN8" i="9"/>
  <c r="DI10" i="9"/>
  <c r="CV10" i="9"/>
  <c r="CI10" i="9"/>
  <c r="BV10" i="9"/>
  <c r="BI10" i="9"/>
  <c r="AW10" i="9"/>
  <c r="AW12" i="9" s="1"/>
  <c r="BQ6" i="11" s="1"/>
  <c r="DH10" i="9"/>
  <c r="CU10" i="9"/>
  <c r="CH10" i="9"/>
  <c r="BU10" i="9"/>
  <c r="BH10" i="9"/>
  <c r="AV10" i="9"/>
  <c r="AV12" i="9" s="1"/>
  <c r="BP6" i="11" s="1"/>
  <c r="DE10" i="9"/>
  <c r="CR10" i="9"/>
  <c r="CE10" i="9"/>
  <c r="BR10" i="9"/>
  <c r="BE10" i="9"/>
  <c r="AS10" i="9"/>
  <c r="AS12" i="9" s="1"/>
  <c r="BM6" i="11" s="1"/>
  <c r="DB10" i="9"/>
  <c r="CB10" i="9"/>
  <c r="DD10" i="9"/>
  <c r="CQ10" i="9"/>
  <c r="CD10" i="9"/>
  <c r="BQ10" i="9"/>
  <c r="BD10" i="9"/>
  <c r="AR10" i="9"/>
  <c r="AR12" i="9" s="1"/>
  <c r="BL6" i="11" s="1"/>
  <c r="DO10" i="9"/>
  <c r="CO10" i="9"/>
  <c r="BO10" i="9"/>
  <c r="AQ10" i="9"/>
  <c r="AQ12" i="9" s="1"/>
  <c r="BK6" i="11" s="1"/>
  <c r="DJ10" i="9"/>
  <c r="CL10" i="9"/>
  <c r="BN10" i="9"/>
  <c r="AU10" i="9"/>
  <c r="AU12" i="9" s="1"/>
  <c r="BO6" i="11" s="1"/>
  <c r="AT10" i="9"/>
  <c r="AT12" i="9" s="1"/>
  <c r="BN6" i="11" s="1"/>
  <c r="DA10" i="9"/>
  <c r="CG10" i="9"/>
  <c r="DG10" i="9"/>
  <c r="CK10" i="9"/>
  <c r="BM10" i="9"/>
  <c r="DF10" i="9"/>
  <c r="CJ10" i="9"/>
  <c r="BL10" i="9"/>
  <c r="AO10" i="9"/>
  <c r="BK10" i="9"/>
  <c r="CZ10" i="9"/>
  <c r="CF10" i="9"/>
  <c r="BJ10" i="9"/>
  <c r="CY10" i="9"/>
  <c r="CA10" i="9"/>
  <c r="BG10" i="9"/>
  <c r="CX10" i="9"/>
  <c r="BZ10" i="9"/>
  <c r="BF10" i="9"/>
  <c r="CM10" i="9"/>
  <c r="BY10" i="9"/>
  <c r="BX10" i="9"/>
  <c r="BW10" i="9"/>
  <c r="CT10" i="9"/>
  <c r="AY10" i="9"/>
  <c r="AY12" i="9" s="1"/>
  <c r="BS6" i="11" s="1"/>
  <c r="DN10" i="9"/>
  <c r="BT10" i="9"/>
  <c r="DM10" i="9"/>
  <c r="BS10" i="9"/>
  <c r="DL10" i="9"/>
  <c r="BB10" i="9"/>
  <c r="BB12" i="9" s="1"/>
  <c r="BV6" i="11" s="1"/>
  <c r="DK10" i="9"/>
  <c r="BA10" i="9"/>
  <c r="BA12" i="9" s="1"/>
  <c r="BU6" i="11" s="1"/>
  <c r="CW10" i="9"/>
  <c r="AZ10" i="9"/>
  <c r="AZ12" i="9" s="1"/>
  <c r="BT6" i="11" s="1"/>
  <c r="CS10" i="9"/>
  <c r="AX10" i="9"/>
  <c r="AX12" i="9" s="1"/>
  <c r="BR6" i="11" s="1"/>
  <c r="CN10" i="9"/>
  <c r="BV4" i="9"/>
  <c r="BO8" i="9"/>
  <c r="BR4" i="9"/>
  <c r="BQ4" i="9"/>
  <c r="CB4" i="9"/>
  <c r="BY4" i="9"/>
  <c r="CA4" i="9"/>
  <c r="BZ4" i="9"/>
  <c r="BX4" i="9"/>
  <c r="BW4" i="9"/>
  <c r="BU4" i="9"/>
  <c r="BT4" i="9"/>
  <c r="BS4" i="9"/>
  <c r="BP5" i="9"/>
  <c r="BI8" i="9"/>
  <c r="BD8" i="9"/>
  <c r="BP4" i="9"/>
  <c r="BM8" i="9"/>
  <c r="AL10" i="9"/>
  <c r="Y10" i="9"/>
  <c r="X10" i="9"/>
  <c r="S10" i="9"/>
  <c r="AE10" i="9"/>
  <c r="R10" i="9"/>
  <c r="AN10" i="9"/>
  <c r="Z10" i="9"/>
  <c r="M10" i="9"/>
  <c r="AK10" i="9"/>
  <c r="AD10" i="9"/>
  <c r="AB10" i="9"/>
  <c r="O10" i="9"/>
  <c r="AM10" i="9"/>
  <c r="AJ10" i="9"/>
  <c r="W10" i="9"/>
  <c r="AI10" i="9"/>
  <c r="V10" i="9"/>
  <c r="U10" i="9"/>
  <c r="AG10" i="9"/>
  <c r="T10" i="9"/>
  <c r="AF10" i="9"/>
  <c r="AH10" i="9"/>
  <c r="Q10" i="9"/>
  <c r="AA10" i="9"/>
  <c r="N10" i="9"/>
  <c r="C25" i="8"/>
  <c r="O10" i="8" s="1"/>
  <c r="I8" i="9"/>
  <c r="H8" i="9"/>
  <c r="G8" i="9"/>
  <c r="F8" i="9"/>
  <c r="E8" i="9"/>
  <c r="D8" i="9"/>
  <c r="C16" i="3"/>
  <c r="C14" i="3"/>
  <c r="DK5" i="11" l="1"/>
  <c r="DN5" i="11"/>
  <c r="DP5" i="11"/>
  <c r="DR5" i="11"/>
  <c r="DO5" i="11"/>
  <c r="DQ5" i="11"/>
  <c r="DH5" i="11"/>
  <c r="DL5" i="11"/>
  <c r="DI5" i="11"/>
  <c r="DJ5" i="11"/>
  <c r="DM5" i="11"/>
  <c r="DG5" i="11"/>
  <c r="EC10" i="9"/>
  <c r="O4" i="11" s="1"/>
  <c r="L5" i="8" s="1"/>
  <c r="K22" i="11"/>
  <c r="U25" i="11"/>
  <c r="S26" i="11" s="1"/>
  <c r="T26" i="11" s="1"/>
  <c r="U11" i="11"/>
  <c r="S12" i="11" s="1"/>
  <c r="T12" i="11" s="1"/>
  <c r="M7" i="11"/>
  <c r="BE12" i="9"/>
  <c r="BX6" i="11" s="1"/>
  <c r="BL12" i="9"/>
  <c r="CE6" i="11" s="1"/>
  <c r="BF12" i="9"/>
  <c r="BY6" i="11" s="1"/>
  <c r="BI12" i="9"/>
  <c r="CB6" i="11" s="1"/>
  <c r="BH12" i="9"/>
  <c r="CA6" i="11" s="1"/>
  <c r="BG12" i="9"/>
  <c r="BZ6" i="11" s="1"/>
  <c r="BJ12" i="9"/>
  <c r="CC6" i="11" s="1"/>
  <c r="DP10" i="9"/>
  <c r="BZ8" i="9"/>
  <c r="BZ12" i="9" s="1"/>
  <c r="CR6" i="11" s="1"/>
  <c r="CA8" i="9"/>
  <c r="CA12" i="9" s="1"/>
  <c r="CS6" i="11" s="1"/>
  <c r="BY8" i="9"/>
  <c r="BY12" i="9" s="1"/>
  <c r="CQ6" i="11" s="1"/>
  <c r="CO6" i="9"/>
  <c r="CL6" i="9"/>
  <c r="CK6" i="9"/>
  <c r="CJ6" i="9"/>
  <c r="CM6" i="9"/>
  <c r="CI6" i="9"/>
  <c r="CG6" i="9"/>
  <c r="CH6" i="9"/>
  <c r="CF6" i="9"/>
  <c r="CE6" i="9"/>
  <c r="CN6" i="9"/>
  <c r="CD6" i="9"/>
  <c r="CB8" i="9"/>
  <c r="CB12" i="9" s="1"/>
  <c r="CT6" i="11" s="1"/>
  <c r="CN4" i="9"/>
  <c r="CJ4" i="9"/>
  <c r="CI4" i="9"/>
  <c r="CH4" i="9"/>
  <c r="CO4" i="9"/>
  <c r="CM4" i="9"/>
  <c r="CL4" i="9"/>
  <c r="CK4" i="9"/>
  <c r="CG4" i="9"/>
  <c r="CF4" i="9"/>
  <c r="CE4" i="9"/>
  <c r="CD4" i="9"/>
  <c r="CC6" i="9"/>
  <c r="CC4" i="9"/>
  <c r="BQ8" i="9"/>
  <c r="BQ12" i="9" s="1"/>
  <c r="CI6" i="11" s="1"/>
  <c r="BO12" i="9"/>
  <c r="CH6" i="11" s="1"/>
  <c r="BS8" i="9"/>
  <c r="BS12" i="9" s="1"/>
  <c r="CK6" i="11" s="1"/>
  <c r="BV8" i="9"/>
  <c r="BV12" i="9" s="1"/>
  <c r="CN6" i="11" s="1"/>
  <c r="CE7" i="9"/>
  <c r="CM7" i="9"/>
  <c r="CL7" i="9"/>
  <c r="CK7" i="9"/>
  <c r="CO7" i="9"/>
  <c r="CN7" i="9"/>
  <c r="CJ7" i="9"/>
  <c r="CH7" i="9"/>
  <c r="CD7" i="9"/>
  <c r="CI7" i="9"/>
  <c r="CG7" i="9"/>
  <c r="CF7" i="9"/>
  <c r="BK12" i="9"/>
  <c r="CD6" i="11" s="1"/>
  <c r="BR8" i="9"/>
  <c r="BR12" i="9" s="1"/>
  <c r="CJ6" i="11" s="1"/>
  <c r="BT8" i="9"/>
  <c r="BT12" i="9" s="1"/>
  <c r="CL6" i="11" s="1"/>
  <c r="BP10" i="9"/>
  <c r="CC7" i="9"/>
  <c r="BM12" i="9"/>
  <c r="CF6" i="11" s="1"/>
  <c r="CC10" i="9"/>
  <c r="BN12" i="9"/>
  <c r="CG6" i="11" s="1"/>
  <c r="BP8" i="9"/>
  <c r="J3" i="11" s="1"/>
  <c r="G4" i="8" s="1"/>
  <c r="CO5" i="9"/>
  <c r="CD5" i="9"/>
  <c r="CK5" i="9"/>
  <c r="CJ5" i="9"/>
  <c r="CI5" i="9"/>
  <c r="CE5" i="9"/>
  <c r="CN5" i="9"/>
  <c r="CM5" i="9"/>
  <c r="CL5" i="9"/>
  <c r="CH5" i="9"/>
  <c r="CG5" i="9"/>
  <c r="CF5" i="9"/>
  <c r="CC5" i="9"/>
  <c r="BC10" i="9"/>
  <c r="I4" i="11" s="1"/>
  <c r="F5" i="8" s="1"/>
  <c r="F6" i="8" s="1"/>
  <c r="BU8" i="9"/>
  <c r="BU12" i="9" s="1"/>
  <c r="CM6" i="11" s="1"/>
  <c r="BW8" i="9"/>
  <c r="BW12" i="9" s="1"/>
  <c r="CO6" i="11" s="1"/>
  <c r="CP10" i="9"/>
  <c r="BD12" i="9"/>
  <c r="BW6" i="11" s="1"/>
  <c r="BX8" i="9"/>
  <c r="BX12" i="9" s="1"/>
  <c r="CP6" i="11" s="1"/>
  <c r="DC10" i="9"/>
  <c r="G6" i="5"/>
  <c r="P10" i="8"/>
  <c r="Q10" i="8" s="1"/>
  <c r="R10" i="8" s="1"/>
  <c r="AP10" i="9"/>
  <c r="H4" i="11" s="1"/>
  <c r="E5" i="8" s="1"/>
  <c r="P10" i="9"/>
  <c r="F4" i="11" s="1"/>
  <c r="C5" i="8" s="1"/>
  <c r="AC10" i="9"/>
  <c r="G4" i="11" s="1"/>
  <c r="D5" i="8" s="1"/>
  <c r="J8" i="9"/>
  <c r="E12" i="9"/>
  <c r="AB6" i="11" s="1"/>
  <c r="G12" i="9"/>
  <c r="AD6" i="11" s="1"/>
  <c r="H12" i="9"/>
  <c r="AE6" i="11" s="1"/>
  <c r="I12" i="9"/>
  <c r="AF6" i="11" s="1"/>
  <c r="F12" i="9"/>
  <c r="AC6" i="11" s="1"/>
  <c r="K8" i="9"/>
  <c r="M8" i="9"/>
  <c r="N8" i="9"/>
  <c r="L8" i="9"/>
  <c r="O8" i="9"/>
  <c r="E27" i="8"/>
  <c r="D27" i="8"/>
  <c r="C27" i="8"/>
  <c r="F5" i="11" l="1"/>
  <c r="DU5" i="11"/>
  <c r="EC5" i="11"/>
  <c r="DT5" i="11"/>
  <c r="EA5" i="11"/>
  <c r="DX5" i="11"/>
  <c r="DV5" i="11"/>
  <c r="EB5" i="11"/>
  <c r="DY5" i="11"/>
  <c r="DS5" i="11"/>
  <c r="ED5" i="11"/>
  <c r="DZ5" i="11"/>
  <c r="DW5" i="11"/>
  <c r="BP7" i="11"/>
  <c r="BP8" i="11"/>
  <c r="BM7" i="11"/>
  <c r="BM8" i="11"/>
  <c r="BS7" i="11"/>
  <c r="BS8" i="11"/>
  <c r="BQ7" i="11"/>
  <c r="BQ8" i="11"/>
  <c r="BT7" i="11"/>
  <c r="BT8" i="11"/>
  <c r="BK7" i="11"/>
  <c r="BK8" i="11"/>
  <c r="BL7" i="11"/>
  <c r="BL8" i="11"/>
  <c r="BO7" i="11"/>
  <c r="BO8" i="11"/>
  <c r="BV7" i="11"/>
  <c r="BV8" i="11"/>
  <c r="BU7" i="11"/>
  <c r="BU8" i="11"/>
  <c r="BR7" i="11"/>
  <c r="BR8" i="11"/>
  <c r="BN7" i="11"/>
  <c r="BN8" i="11"/>
  <c r="L22" i="11"/>
  <c r="U12" i="11"/>
  <c r="S13" i="11" s="1"/>
  <c r="T13" i="11" s="1"/>
  <c r="N7" i="11"/>
  <c r="L4" i="11"/>
  <c r="I5" i="8" s="1"/>
  <c r="N4" i="11"/>
  <c r="K5" i="8" s="1"/>
  <c r="K4" i="11"/>
  <c r="H5" i="8" s="1"/>
  <c r="M4" i="11"/>
  <c r="J5" i="8" s="1"/>
  <c r="J4" i="11"/>
  <c r="G5" i="8" s="1"/>
  <c r="G6" i="8" s="1"/>
  <c r="S10" i="8"/>
  <c r="R12" i="8"/>
  <c r="BC12" i="9"/>
  <c r="F10" i="8"/>
  <c r="F13" i="8" s="1"/>
  <c r="CC8" i="9"/>
  <c r="K3" i="11" s="1"/>
  <c r="H4" i="8" s="1"/>
  <c r="CJ8" i="9"/>
  <c r="CJ12" i="9" s="1"/>
  <c r="DA6" i="11" s="1"/>
  <c r="CF8" i="9"/>
  <c r="CF12" i="9" s="1"/>
  <c r="CW6" i="11" s="1"/>
  <c r="CG8" i="9"/>
  <c r="CG12" i="9" s="1"/>
  <c r="CX6" i="11" s="1"/>
  <c r="CK8" i="9"/>
  <c r="CK12" i="9" s="1"/>
  <c r="DB6" i="11" s="1"/>
  <c r="CL8" i="9"/>
  <c r="CL12" i="9" s="1"/>
  <c r="DC6" i="11" s="1"/>
  <c r="CP5" i="9"/>
  <c r="CM8" i="9"/>
  <c r="CM12" i="9" s="1"/>
  <c r="DD6" i="11" s="1"/>
  <c r="CX5" i="9"/>
  <c r="CW5" i="9"/>
  <c r="CT5" i="9"/>
  <c r="CS5" i="9"/>
  <c r="CR5" i="9"/>
  <c r="CZ5" i="9"/>
  <c r="CQ5" i="9"/>
  <c r="CU5" i="9"/>
  <c r="CY5" i="9"/>
  <c r="CV5" i="9"/>
  <c r="DB5" i="9"/>
  <c r="DA5" i="9"/>
  <c r="CW4" i="9"/>
  <c r="CV4" i="9"/>
  <c r="CS4" i="9"/>
  <c r="CR4" i="9"/>
  <c r="CQ4" i="9"/>
  <c r="DB4" i="9"/>
  <c r="DA4" i="9"/>
  <c r="CZ4" i="9"/>
  <c r="CY4" i="9"/>
  <c r="CX4" i="9"/>
  <c r="CO8" i="9"/>
  <c r="CO12" i="9" s="1"/>
  <c r="DF6" i="11" s="1"/>
  <c r="CU4" i="9"/>
  <c r="CT4" i="9"/>
  <c r="BP12" i="9"/>
  <c r="CH8" i="9"/>
  <c r="CH12" i="9" s="1"/>
  <c r="CY6" i="11" s="1"/>
  <c r="CP7" i="9"/>
  <c r="CI8" i="9"/>
  <c r="CI12" i="9" s="1"/>
  <c r="CZ6" i="11" s="1"/>
  <c r="CN8" i="9"/>
  <c r="CN12" i="9" s="1"/>
  <c r="DE6" i="11" s="1"/>
  <c r="CP4" i="9"/>
  <c r="CD8" i="9"/>
  <c r="CD12" i="9" s="1"/>
  <c r="CU6" i="11" s="1"/>
  <c r="CY6" i="9"/>
  <c r="CX6" i="9"/>
  <c r="CU6" i="9"/>
  <c r="CT6" i="9"/>
  <c r="CS6" i="9"/>
  <c r="DB6" i="9"/>
  <c r="DA6" i="9"/>
  <c r="CZ6" i="9"/>
  <c r="CR6" i="9"/>
  <c r="CQ6" i="9"/>
  <c r="CW6" i="9"/>
  <c r="CV6" i="9"/>
  <c r="CZ7" i="9"/>
  <c r="CY7" i="9"/>
  <c r="CV7" i="9"/>
  <c r="CT7" i="9"/>
  <c r="CU7" i="9"/>
  <c r="CQ7" i="9"/>
  <c r="CX7" i="9"/>
  <c r="CR7" i="9"/>
  <c r="CW7" i="9"/>
  <c r="CS7" i="9"/>
  <c r="DA7" i="9"/>
  <c r="DB7" i="9"/>
  <c r="CE8" i="9"/>
  <c r="CE12" i="9" s="1"/>
  <c r="CV6" i="11" s="1"/>
  <c r="CP6" i="9"/>
  <c r="N12" i="9"/>
  <c r="AK6" i="11" s="1"/>
  <c r="K12" i="9"/>
  <c r="AH6" i="11" s="1"/>
  <c r="M12" i="9"/>
  <c r="AJ6" i="11" s="1"/>
  <c r="J12" i="9"/>
  <c r="AG6" i="11" s="1"/>
  <c r="O12" i="9"/>
  <c r="AL6" i="11" s="1"/>
  <c r="L12" i="9"/>
  <c r="AI6" i="11" s="1"/>
  <c r="AP7" i="9"/>
  <c r="AP5" i="9"/>
  <c r="AC7" i="9"/>
  <c r="AC4" i="9"/>
  <c r="AC5" i="9"/>
  <c r="AC6" i="9"/>
  <c r="W8" i="9"/>
  <c r="X8" i="9"/>
  <c r="AN8" i="9"/>
  <c r="AN12" i="9" s="1"/>
  <c r="BI6" i="11" s="1"/>
  <c r="AO8" i="9"/>
  <c r="AO12" i="9" s="1"/>
  <c r="BJ6" i="11" s="1"/>
  <c r="Q8" i="9"/>
  <c r="AB8" i="9"/>
  <c r="Z8" i="9"/>
  <c r="Y8" i="9"/>
  <c r="S8" i="9"/>
  <c r="U8" i="9"/>
  <c r="V8" i="9"/>
  <c r="R8" i="9"/>
  <c r="T8" i="9"/>
  <c r="AA8" i="9"/>
  <c r="F15" i="8" l="1"/>
  <c r="J5" i="11"/>
  <c r="J6" i="11" s="1"/>
  <c r="H6" i="8"/>
  <c r="H10" i="8" s="1"/>
  <c r="H13" i="8" s="1"/>
  <c r="CC12" i="9"/>
  <c r="F6" i="11"/>
  <c r="F8" i="11"/>
  <c r="F9" i="11" s="1"/>
  <c r="T15" i="11"/>
  <c r="EF5" i="11"/>
  <c r="EP5" i="11"/>
  <c r="EM5" i="11"/>
  <c r="EJ5" i="11"/>
  <c r="EH5" i="11"/>
  <c r="EN5" i="11"/>
  <c r="EK5" i="11"/>
  <c r="EE5" i="11"/>
  <c r="EG5" i="11"/>
  <c r="EI5" i="11"/>
  <c r="EO5" i="11"/>
  <c r="EL5" i="11"/>
  <c r="AF7" i="11"/>
  <c r="AF8" i="11"/>
  <c r="AB7" i="11"/>
  <c r="AB8" i="11"/>
  <c r="CO7" i="11"/>
  <c r="CO8" i="11"/>
  <c r="CQ7" i="11"/>
  <c r="CQ8" i="11"/>
  <c r="CL7" i="11"/>
  <c r="CL8" i="11"/>
  <c r="AC7" i="11"/>
  <c r="AC8" i="11"/>
  <c r="CI7" i="11"/>
  <c r="CI8" i="11"/>
  <c r="CH7" i="11"/>
  <c r="CH8" i="11"/>
  <c r="CK7" i="11"/>
  <c r="CK8" i="11"/>
  <c r="CR7" i="11"/>
  <c r="CR8" i="11"/>
  <c r="CM7" i="11"/>
  <c r="CM8" i="11"/>
  <c r="CS7" i="11"/>
  <c r="CS8" i="11"/>
  <c r="CN7" i="11"/>
  <c r="CN8" i="11"/>
  <c r="CT7" i="11"/>
  <c r="CT8" i="11"/>
  <c r="CG7" i="11"/>
  <c r="CG8" i="11"/>
  <c r="BY7" i="11"/>
  <c r="BY8" i="11"/>
  <c r="CB7" i="11"/>
  <c r="CB8" i="11"/>
  <c r="CA7" i="11"/>
  <c r="CA8" i="11"/>
  <c r="AD7" i="11"/>
  <c r="AD8" i="11"/>
  <c r="CE7" i="11"/>
  <c r="CE8" i="11"/>
  <c r="CC7" i="11"/>
  <c r="CC8" i="11"/>
  <c r="CP7" i="11"/>
  <c r="CP8" i="11"/>
  <c r="AE7" i="11"/>
  <c r="AE8" i="11"/>
  <c r="BZ7" i="11"/>
  <c r="BZ8" i="11"/>
  <c r="CF7" i="11"/>
  <c r="CF8" i="11"/>
  <c r="CJ7" i="11"/>
  <c r="CJ8" i="11"/>
  <c r="CD7" i="11"/>
  <c r="CD8" i="11"/>
  <c r="BX7" i="11"/>
  <c r="BX8" i="11"/>
  <c r="BW7" i="11"/>
  <c r="BW8" i="11"/>
  <c r="K5" i="11"/>
  <c r="J20" i="11" s="1"/>
  <c r="U26" i="11"/>
  <c r="T27" i="11"/>
  <c r="M22" i="11"/>
  <c r="U13" i="11"/>
  <c r="O7" i="11"/>
  <c r="G10" i="8"/>
  <c r="G13" i="8" s="1"/>
  <c r="T10" i="8"/>
  <c r="S12" i="8"/>
  <c r="CP8" i="9"/>
  <c r="L3" i="11" s="1"/>
  <c r="CZ8" i="9"/>
  <c r="CZ12" i="9" s="1"/>
  <c r="DP6" i="11" s="1"/>
  <c r="DC6" i="9"/>
  <c r="DA8" i="9"/>
  <c r="DA12" i="9" s="1"/>
  <c r="DQ6" i="11" s="1"/>
  <c r="DC5" i="9"/>
  <c r="DF4" i="9"/>
  <c r="DE4" i="9"/>
  <c r="DN4" i="9"/>
  <c r="DL4" i="9"/>
  <c r="DM4" i="9"/>
  <c r="DD4" i="9"/>
  <c r="DB8" i="9"/>
  <c r="DB12" i="9" s="1"/>
  <c r="DR6" i="11" s="1"/>
  <c r="DK4" i="9"/>
  <c r="DJ4" i="9"/>
  <c r="DI4" i="9"/>
  <c r="DH4" i="9"/>
  <c r="DG4" i="9"/>
  <c r="DO4" i="9"/>
  <c r="DQ4" i="9" s="1"/>
  <c r="CQ8" i="9"/>
  <c r="CQ12" i="9" s="1"/>
  <c r="DG6" i="11" s="1"/>
  <c r="DC4" i="9"/>
  <c r="CR8" i="9"/>
  <c r="CR12" i="9" s="1"/>
  <c r="DH6" i="11" s="1"/>
  <c r="DC7" i="9"/>
  <c r="DH6" i="9"/>
  <c r="DG6" i="9"/>
  <c r="DN6" i="9"/>
  <c r="DO6" i="9"/>
  <c r="DQ6" i="9" s="1"/>
  <c r="DK6" i="9"/>
  <c r="DF6" i="9"/>
  <c r="DJ6" i="9"/>
  <c r="DI6" i="9"/>
  <c r="DE6" i="9"/>
  <c r="DD6" i="9"/>
  <c r="DM6" i="9"/>
  <c r="DL6" i="9"/>
  <c r="CS8" i="9"/>
  <c r="CS12" i="9" s="1"/>
  <c r="DI6" i="11" s="1"/>
  <c r="CV8" i="9"/>
  <c r="CV12" i="9" s="1"/>
  <c r="DL6" i="11" s="1"/>
  <c r="CT8" i="9"/>
  <c r="CT12" i="9" s="1"/>
  <c r="DJ6" i="11" s="1"/>
  <c r="CW8" i="9"/>
  <c r="CW12" i="9" s="1"/>
  <c r="DM6" i="11" s="1"/>
  <c r="CU8" i="9"/>
  <c r="CU12" i="9" s="1"/>
  <c r="DK6" i="11" s="1"/>
  <c r="DG5" i="9"/>
  <c r="DF5" i="9"/>
  <c r="DO5" i="9"/>
  <c r="DQ5" i="9" s="1"/>
  <c r="DD5" i="9"/>
  <c r="DN5" i="9"/>
  <c r="DM5" i="9"/>
  <c r="DL5" i="9"/>
  <c r="DK5" i="9"/>
  <c r="DJ5" i="9"/>
  <c r="DI5" i="9"/>
  <c r="DH5" i="9"/>
  <c r="DE5" i="9"/>
  <c r="CX8" i="9"/>
  <c r="CX12" i="9" s="1"/>
  <c r="DN6" i="11" s="1"/>
  <c r="DI7" i="9"/>
  <c r="DH7" i="9"/>
  <c r="DE7" i="9"/>
  <c r="DO7" i="9"/>
  <c r="DQ7" i="9" s="1"/>
  <c r="DN7" i="9"/>
  <c r="DM7" i="9"/>
  <c r="DL7" i="9"/>
  <c r="DD7" i="9"/>
  <c r="DK7" i="9"/>
  <c r="DF7" i="9"/>
  <c r="DJ7" i="9"/>
  <c r="DG7" i="9"/>
  <c r="CY8" i="9"/>
  <c r="CY12" i="9" s="1"/>
  <c r="DO6" i="11" s="1"/>
  <c r="Y12" i="9"/>
  <c r="AU6" i="11" s="1"/>
  <c r="Q12" i="9"/>
  <c r="AM6" i="11" s="1"/>
  <c r="Z12" i="9"/>
  <c r="AV6" i="11" s="1"/>
  <c r="W12" i="9"/>
  <c r="AS6" i="11" s="1"/>
  <c r="AA12" i="9"/>
  <c r="AW6" i="11" s="1"/>
  <c r="AB12" i="9"/>
  <c r="AX6" i="11" s="1"/>
  <c r="T12" i="9"/>
  <c r="AP6" i="11" s="1"/>
  <c r="X12" i="9"/>
  <c r="AT6" i="11" s="1"/>
  <c r="R12" i="9"/>
  <c r="AN6" i="11" s="1"/>
  <c r="V12" i="9"/>
  <c r="AR6" i="11" s="1"/>
  <c r="U12" i="9"/>
  <c r="AQ6" i="11" s="1"/>
  <c r="S12" i="9"/>
  <c r="AO6" i="11" s="1"/>
  <c r="AH8" i="9"/>
  <c r="AG8" i="9"/>
  <c r="AJ8" i="9"/>
  <c r="AL8" i="9"/>
  <c r="AF8" i="9"/>
  <c r="AI8" i="9"/>
  <c r="AP4" i="9"/>
  <c r="AP6" i="9"/>
  <c r="AC8" i="9"/>
  <c r="G3" i="11" s="1"/>
  <c r="AE8" i="9"/>
  <c r="AD8" i="9"/>
  <c r="AM8" i="9"/>
  <c r="AK8" i="9"/>
  <c r="P12" i="9"/>
  <c r="J8" i="11" l="1"/>
  <c r="J9" i="11" s="1"/>
  <c r="I20" i="11"/>
  <c r="I24" i="11" s="1"/>
  <c r="F16" i="8"/>
  <c r="F21" i="8" s="1"/>
  <c r="F23" i="8" s="1"/>
  <c r="F33" i="8" s="1"/>
  <c r="H15" i="8"/>
  <c r="G15" i="8"/>
  <c r="G16" i="8" s="1"/>
  <c r="L5" i="11"/>
  <c r="K20" i="11" s="1"/>
  <c r="I4" i="8"/>
  <c r="I6" i="8" s="1"/>
  <c r="I10" i="8" s="1"/>
  <c r="I13" i="8" s="1"/>
  <c r="G5" i="11"/>
  <c r="G6" i="11" s="1"/>
  <c r="D4" i="8"/>
  <c r="D6" i="8" s="1"/>
  <c r="AH7" i="11"/>
  <c r="AH8" i="11"/>
  <c r="AI7" i="11"/>
  <c r="AI8" i="11"/>
  <c r="AG7" i="11"/>
  <c r="AG8" i="11"/>
  <c r="DB7" i="11"/>
  <c r="DB8" i="11"/>
  <c r="CY7" i="11"/>
  <c r="CY8" i="11"/>
  <c r="AL7" i="11"/>
  <c r="AL8" i="11"/>
  <c r="CV7" i="11"/>
  <c r="CV8" i="11"/>
  <c r="DE7" i="11"/>
  <c r="DE8" i="11"/>
  <c r="CX7" i="11"/>
  <c r="CX8" i="11"/>
  <c r="DF7" i="11"/>
  <c r="DF8" i="11"/>
  <c r="DD7" i="11"/>
  <c r="DD8" i="11"/>
  <c r="AJ7" i="11"/>
  <c r="AJ8" i="11"/>
  <c r="BJ7" i="11"/>
  <c r="BJ8" i="11"/>
  <c r="AK7" i="11"/>
  <c r="AK8" i="11"/>
  <c r="CZ7" i="11"/>
  <c r="CZ8" i="11"/>
  <c r="CU7" i="11"/>
  <c r="CU8" i="11"/>
  <c r="DA7" i="11"/>
  <c r="DA8" i="11"/>
  <c r="DC7" i="11"/>
  <c r="DC8" i="11"/>
  <c r="BI7" i="11"/>
  <c r="BI8" i="11"/>
  <c r="CW7" i="11"/>
  <c r="CW8" i="11"/>
  <c r="K6" i="11"/>
  <c r="DR7" i="9"/>
  <c r="DS7" i="9" s="1"/>
  <c r="DT7" i="9" s="1"/>
  <c r="DU7" i="9" s="1"/>
  <c r="DV7" i="9" s="1"/>
  <c r="DW7" i="9" s="1"/>
  <c r="DX7" i="9" s="1"/>
  <c r="DY7" i="9" s="1"/>
  <c r="DZ7" i="9" s="1"/>
  <c r="EA7" i="9" s="1"/>
  <c r="EB7" i="9" s="1"/>
  <c r="DR6" i="9"/>
  <c r="DS6" i="9" s="1"/>
  <c r="DT6" i="9" s="1"/>
  <c r="DU6" i="9" s="1"/>
  <c r="DV6" i="9" s="1"/>
  <c r="DW6" i="9" s="1"/>
  <c r="DX6" i="9" s="1"/>
  <c r="DY6" i="9" s="1"/>
  <c r="DZ6" i="9" s="1"/>
  <c r="EA6" i="9" s="1"/>
  <c r="EB6" i="9" s="1"/>
  <c r="DR5" i="9"/>
  <c r="DS5" i="9" s="1"/>
  <c r="DT5" i="9" s="1"/>
  <c r="DU5" i="9" s="1"/>
  <c r="DV5" i="9" s="1"/>
  <c r="DW5" i="9" s="1"/>
  <c r="DX5" i="9" s="1"/>
  <c r="DY5" i="9" s="1"/>
  <c r="DZ5" i="9" s="1"/>
  <c r="EA5" i="9" s="1"/>
  <c r="EB5" i="9" s="1"/>
  <c r="DR4" i="9"/>
  <c r="DQ8" i="9"/>
  <c r="DQ12" i="9" s="1"/>
  <c r="EE6" i="11" s="1"/>
  <c r="K8" i="11"/>
  <c r="K9" i="11" s="1"/>
  <c r="N22" i="11"/>
  <c r="J23" i="11"/>
  <c r="J24" i="11"/>
  <c r="U10" i="8"/>
  <c r="T12" i="8"/>
  <c r="CP12" i="9"/>
  <c r="DJ8" i="9"/>
  <c r="DJ12" i="9" s="1"/>
  <c r="DY6" i="11" s="1"/>
  <c r="DM8" i="9"/>
  <c r="DM12" i="9" s="1"/>
  <c r="EB6" i="11" s="1"/>
  <c r="DC8" i="9"/>
  <c r="M3" i="11" s="1"/>
  <c r="DO8" i="9"/>
  <c r="DO12" i="9" s="1"/>
  <c r="ED6" i="11" s="1"/>
  <c r="DK8" i="9"/>
  <c r="DK12" i="9" s="1"/>
  <c r="DZ6" i="11" s="1"/>
  <c r="DP7" i="9"/>
  <c r="DP4" i="9"/>
  <c r="DD8" i="9"/>
  <c r="DD12" i="9" s="1"/>
  <c r="DS6" i="11" s="1"/>
  <c r="DL8" i="9"/>
  <c r="DL12" i="9" s="1"/>
  <c r="EA6" i="11" s="1"/>
  <c r="DP6" i="9"/>
  <c r="DN8" i="9"/>
  <c r="DN12" i="9" s="1"/>
  <c r="EC6" i="11" s="1"/>
  <c r="DP5" i="9"/>
  <c r="DE8" i="9"/>
  <c r="DE12" i="9" s="1"/>
  <c r="DT6" i="11" s="1"/>
  <c r="DF8" i="9"/>
  <c r="DF12" i="9" s="1"/>
  <c r="DU6" i="11" s="1"/>
  <c r="DG8" i="9"/>
  <c r="DG12" i="9" s="1"/>
  <c r="DV6" i="11" s="1"/>
  <c r="DH8" i="9"/>
  <c r="DH12" i="9" s="1"/>
  <c r="DW6" i="11" s="1"/>
  <c r="DI8" i="9"/>
  <c r="DI12" i="9" s="1"/>
  <c r="DX6" i="11" s="1"/>
  <c r="AL12" i="9"/>
  <c r="BG6" i="11" s="1"/>
  <c r="AD12" i="9"/>
  <c r="AY6" i="11" s="1"/>
  <c r="AE12" i="9"/>
  <c r="AZ6" i="11" s="1"/>
  <c r="AI12" i="9"/>
  <c r="BD6" i="11" s="1"/>
  <c r="AF12" i="9"/>
  <c r="BA6" i="11" s="1"/>
  <c r="AJ12" i="9"/>
  <c r="BE6" i="11" s="1"/>
  <c r="AK12" i="9"/>
  <c r="BF6" i="11" s="1"/>
  <c r="AG12" i="9"/>
  <c r="BB6" i="11" s="1"/>
  <c r="AM12" i="9"/>
  <c r="BH6" i="11" s="1"/>
  <c r="AH12" i="9"/>
  <c r="BC6" i="11" s="1"/>
  <c r="AP8" i="9"/>
  <c r="H3" i="11" s="1"/>
  <c r="AC12" i="9"/>
  <c r="H16" i="3"/>
  <c r="I16" i="3" s="1"/>
  <c r="J16" i="3" s="1"/>
  <c r="K16" i="3" s="1"/>
  <c r="L16" i="3" s="1"/>
  <c r="M16" i="3" s="1"/>
  <c r="N16" i="3" s="1"/>
  <c r="G16" i="3"/>
  <c r="F16" i="3"/>
  <c r="E16" i="3"/>
  <c r="D16" i="3"/>
  <c r="H15" i="3"/>
  <c r="I15" i="3" s="1"/>
  <c r="J15" i="3" s="1"/>
  <c r="K15" i="3" s="1"/>
  <c r="L15" i="3" s="1"/>
  <c r="M15" i="3" s="1"/>
  <c r="N15" i="3" s="1"/>
  <c r="G15" i="3"/>
  <c r="F15" i="3"/>
  <c r="E15" i="3"/>
  <c r="D15" i="3"/>
  <c r="H14" i="3"/>
  <c r="I14" i="3" s="1"/>
  <c r="J14" i="3" s="1"/>
  <c r="K14" i="3" s="1"/>
  <c r="L14" i="3" s="1"/>
  <c r="M14" i="3" s="1"/>
  <c r="N14" i="3" s="1"/>
  <c r="G14" i="3"/>
  <c r="F14" i="3"/>
  <c r="E14" i="3"/>
  <c r="D14" i="3"/>
  <c r="I23" i="11" l="1"/>
  <c r="EQ5" i="11"/>
  <c r="EQ7" i="11" s="1"/>
  <c r="G21" i="5"/>
  <c r="F20" i="11"/>
  <c r="F23" i="11" s="1"/>
  <c r="G8" i="11"/>
  <c r="G21" i="8"/>
  <c r="G23" i="8" s="1"/>
  <c r="G33" i="8" s="1"/>
  <c r="H16" i="8"/>
  <c r="H21" i="8" s="1"/>
  <c r="H23" i="8" s="1"/>
  <c r="H33" i="8" s="1"/>
  <c r="L8" i="11"/>
  <c r="L9" i="11" s="1"/>
  <c r="I15" i="8"/>
  <c r="L6" i="11"/>
  <c r="G4" i="5"/>
  <c r="M5" i="11"/>
  <c r="M6" i="11" s="1"/>
  <c r="J4" i="8"/>
  <c r="J6" i="8" s="1"/>
  <c r="J10" i="8" s="1"/>
  <c r="J13" i="8" s="1"/>
  <c r="H5" i="11"/>
  <c r="H6" i="11" s="1"/>
  <c r="E4" i="8"/>
  <c r="E6" i="8" s="1"/>
  <c r="I5" i="11"/>
  <c r="AN7" i="11"/>
  <c r="AN8" i="11"/>
  <c r="DL7" i="11"/>
  <c r="DL8" i="11"/>
  <c r="DG7" i="11"/>
  <c r="DG8" i="11"/>
  <c r="DO7" i="11"/>
  <c r="DO8" i="11"/>
  <c r="AU7" i="11"/>
  <c r="AU8" i="11"/>
  <c r="AO7" i="11"/>
  <c r="AO8" i="11"/>
  <c r="AS7" i="11"/>
  <c r="AS8" i="11"/>
  <c r="AV7" i="11"/>
  <c r="AV8" i="11"/>
  <c r="AR7" i="11"/>
  <c r="AR8" i="11"/>
  <c r="DR7" i="11"/>
  <c r="DR8" i="11"/>
  <c r="DM7" i="11"/>
  <c r="DM8" i="11"/>
  <c r="AX7" i="11"/>
  <c r="AX8" i="11"/>
  <c r="DP7" i="11"/>
  <c r="DP8" i="11"/>
  <c r="AT7" i="11"/>
  <c r="AT8" i="11"/>
  <c r="DK7" i="11"/>
  <c r="DK8" i="11"/>
  <c r="DN7" i="11"/>
  <c r="DN8" i="11"/>
  <c r="AW7" i="11"/>
  <c r="AW8" i="11"/>
  <c r="AQ7" i="11"/>
  <c r="AQ8" i="11"/>
  <c r="AP7" i="11"/>
  <c r="AP8" i="11"/>
  <c r="AM7" i="11"/>
  <c r="AM8" i="11"/>
  <c r="DI7" i="11"/>
  <c r="DI8" i="11"/>
  <c r="DJ7" i="11"/>
  <c r="DJ8" i="11"/>
  <c r="DH7" i="11"/>
  <c r="DH8" i="11"/>
  <c r="DQ7" i="11"/>
  <c r="DQ8" i="11"/>
  <c r="EC5" i="9"/>
  <c r="EC6" i="9"/>
  <c r="DS4" i="9"/>
  <c r="DR8" i="9"/>
  <c r="DR12" i="9" s="1"/>
  <c r="EF6" i="11" s="1"/>
  <c r="EC7" i="9"/>
  <c r="K23" i="11"/>
  <c r="K24" i="11"/>
  <c r="V10" i="8"/>
  <c r="U12" i="8"/>
  <c r="DC12" i="9"/>
  <c r="DP8" i="9"/>
  <c r="N3" i="11" s="1"/>
  <c r="AP12" i="9"/>
  <c r="H25" i="3"/>
  <c r="D22" i="3"/>
  <c r="D24" i="3" s="1"/>
  <c r="O16" i="3"/>
  <c r="O15" i="3"/>
  <c r="M8" i="11" l="1"/>
  <c r="M9" i="11" s="1"/>
  <c r="L20" i="11"/>
  <c r="L23" i="11" s="1"/>
  <c r="I16" i="8"/>
  <c r="I21" i="8" s="1"/>
  <c r="I23" i="8" s="1"/>
  <c r="I33" i="8" s="1"/>
  <c r="J15" i="8"/>
  <c r="J16" i="8" s="1"/>
  <c r="H8" i="11"/>
  <c r="G20" i="11"/>
  <c r="N5" i="11"/>
  <c r="N8" i="11" s="1"/>
  <c r="N9" i="11" s="1"/>
  <c r="K4" i="8"/>
  <c r="K6" i="8" s="1"/>
  <c r="K10" i="8" s="1"/>
  <c r="K13" i="8" s="1"/>
  <c r="I8" i="11"/>
  <c r="I9" i="11" s="1"/>
  <c r="H20" i="11"/>
  <c r="H24" i="11" s="1"/>
  <c r="I6" i="11"/>
  <c r="BH7" i="11"/>
  <c r="BH8" i="11"/>
  <c r="BA7" i="11"/>
  <c r="BA8" i="11"/>
  <c r="BF7" i="11"/>
  <c r="BF8" i="11"/>
  <c r="BC7" i="11"/>
  <c r="BC8" i="11"/>
  <c r="AY7" i="11"/>
  <c r="AY8" i="11"/>
  <c r="BD7" i="11"/>
  <c r="BD8" i="11"/>
  <c r="BE7" i="11"/>
  <c r="BE8" i="11"/>
  <c r="AZ7" i="11"/>
  <c r="AZ8" i="11"/>
  <c r="BG7" i="11"/>
  <c r="BG8" i="11"/>
  <c r="BB7" i="11"/>
  <c r="BB8" i="11"/>
  <c r="DT4" i="9"/>
  <c r="DS8" i="9"/>
  <c r="DS12" i="9" s="1"/>
  <c r="EG6" i="11" s="1"/>
  <c r="W10" i="8"/>
  <c r="V12" i="8"/>
  <c r="DP12" i="9"/>
  <c r="D12" i="3"/>
  <c r="L24" i="11" l="1"/>
  <c r="W12" i="8"/>
  <c r="X10" i="8"/>
  <c r="X12" i="8" s="1"/>
  <c r="N6" i="11"/>
  <c r="M20" i="11"/>
  <c r="M23" i="11" s="1"/>
  <c r="J21" i="8"/>
  <c r="J23" i="8" s="1"/>
  <c r="J33" i="8" s="1"/>
  <c r="K15" i="8"/>
  <c r="H23" i="11"/>
  <c r="DX7" i="11"/>
  <c r="DX8" i="11"/>
  <c r="DV7" i="11"/>
  <c r="DV8" i="11"/>
  <c r="EA7" i="11"/>
  <c r="EA8" i="11"/>
  <c r="DZ7" i="11"/>
  <c r="DZ8" i="11"/>
  <c r="DU7" i="11"/>
  <c r="DU8" i="11"/>
  <c r="DW7" i="11"/>
  <c r="DW8" i="11"/>
  <c r="DS7" i="11"/>
  <c r="DS8" i="11"/>
  <c r="DT7" i="11"/>
  <c r="DT8" i="11"/>
  <c r="ED7" i="11"/>
  <c r="ED8" i="11"/>
  <c r="DY7" i="11"/>
  <c r="DY8" i="11"/>
  <c r="EC7" i="11"/>
  <c r="EC8" i="11"/>
  <c r="EE7" i="11"/>
  <c r="EE8" i="11"/>
  <c r="EB7" i="11"/>
  <c r="EB8" i="11"/>
  <c r="DU4" i="9"/>
  <c r="DT8" i="9"/>
  <c r="DT12" i="9" s="1"/>
  <c r="EH6" i="11" s="1"/>
  <c r="D3" i="3"/>
  <c r="M24" i="11" l="1"/>
  <c r="K16" i="8"/>
  <c r="K21" i="8" s="1"/>
  <c r="K23" i="8" s="1"/>
  <c r="K33" i="8" s="1"/>
  <c r="EF7" i="11"/>
  <c r="EF8" i="11"/>
  <c r="DV4" i="9"/>
  <c r="DU8" i="9"/>
  <c r="DU12" i="9" s="1"/>
  <c r="EI6" i="11" s="1"/>
  <c r="M5" i="3"/>
  <c r="M11" i="3" s="1"/>
  <c r="N5" i="3"/>
  <c r="N11" i="3" s="1"/>
  <c r="D7" i="3"/>
  <c r="E3" i="3"/>
  <c r="EG7" i="11" l="1"/>
  <c r="EG8" i="11"/>
  <c r="DW4" i="9"/>
  <c r="DV8" i="9"/>
  <c r="DV12" i="9" s="1"/>
  <c r="EJ6" i="11" s="1"/>
  <c r="F3" i="3"/>
  <c r="E7" i="3"/>
  <c r="L5" i="3"/>
  <c r="K5" i="3"/>
  <c r="J5" i="3"/>
  <c r="I5" i="3"/>
  <c r="H5" i="3"/>
  <c r="G5" i="3"/>
  <c r="F5" i="3"/>
  <c r="E5" i="3"/>
  <c r="D5" i="3"/>
  <c r="EH7" i="11" l="1"/>
  <c r="EH8" i="11"/>
  <c r="DX4" i="9"/>
  <c r="DW8" i="9"/>
  <c r="DW12" i="9" s="1"/>
  <c r="EK6" i="11" s="1"/>
  <c r="C22" i="8"/>
  <c r="D9" i="8"/>
  <c r="D22" i="8"/>
  <c r="E9" i="8"/>
  <c r="E22" i="8"/>
  <c r="G3" i="3"/>
  <c r="G4" i="3" s="1"/>
  <c r="F7" i="3"/>
  <c r="J11" i="3"/>
  <c r="I11" i="3"/>
  <c r="K11" i="3"/>
  <c r="H11" i="3"/>
  <c r="L11" i="3"/>
  <c r="D11" i="3"/>
  <c r="E11" i="3"/>
  <c r="F11" i="3"/>
  <c r="G11" i="3"/>
  <c r="E4" i="3"/>
  <c r="E10" i="3" s="1"/>
  <c r="D4" i="3"/>
  <c r="D10" i="3" s="1"/>
  <c r="F4" i="3"/>
  <c r="F10" i="3" s="1"/>
  <c r="EI7" i="11" l="1"/>
  <c r="EI8" i="11"/>
  <c r="DY4" i="9"/>
  <c r="DX8" i="9"/>
  <c r="DX12" i="9" s="1"/>
  <c r="EL6" i="11" s="1"/>
  <c r="O11" i="3"/>
  <c r="D17" i="3"/>
  <c r="G10" i="3"/>
  <c r="H22" i="3"/>
  <c r="H23" i="3" s="1"/>
  <c r="H3" i="3"/>
  <c r="G7" i="3"/>
  <c r="EJ7" i="11" l="1"/>
  <c r="EJ8" i="11"/>
  <c r="DZ4" i="9"/>
  <c r="DY8" i="9"/>
  <c r="DY12" i="9" s="1"/>
  <c r="EM6" i="11" s="1"/>
  <c r="E22" i="3"/>
  <c r="D18" i="3"/>
  <c r="C6" i="8"/>
  <c r="D10" i="8"/>
  <c r="D13" i="8" s="1"/>
  <c r="I3" i="3"/>
  <c r="H7" i="3"/>
  <c r="H4" i="3"/>
  <c r="H10" i="3" s="1"/>
  <c r="C10" i="8" l="1"/>
  <c r="EK7" i="11"/>
  <c r="EK8" i="11"/>
  <c r="DZ8" i="9"/>
  <c r="DZ12" i="9" s="1"/>
  <c r="EN6" i="11" s="1"/>
  <c r="EA4" i="9"/>
  <c r="E13" i="3"/>
  <c r="E12" i="3"/>
  <c r="E10" i="8"/>
  <c r="E13" i="8" s="1"/>
  <c r="H24" i="3"/>
  <c r="J3" i="3"/>
  <c r="I7" i="3"/>
  <c r="I4" i="3"/>
  <c r="I10" i="3" s="1"/>
  <c r="EL7" i="11" l="1"/>
  <c r="EL8" i="11"/>
  <c r="EB4" i="9"/>
  <c r="EA8" i="9"/>
  <c r="EA12" i="9" s="1"/>
  <c r="EO6" i="11" s="1"/>
  <c r="E17" i="3"/>
  <c r="E24" i="3"/>
  <c r="E25" i="3" s="1"/>
  <c r="K3" i="3"/>
  <c r="J7" i="3"/>
  <c r="J4" i="3"/>
  <c r="J10" i="3" s="1"/>
  <c r="EM7" i="11" l="1"/>
  <c r="EM8" i="11"/>
  <c r="EB8" i="9"/>
  <c r="EB12" i="9" s="1"/>
  <c r="EP6" i="11" s="1"/>
  <c r="EC4" i="9"/>
  <c r="EC8" i="9" s="1"/>
  <c r="O3" i="11" s="1"/>
  <c r="L4" i="8" s="1"/>
  <c r="L6" i="8" s="1"/>
  <c r="L10" i="8" s="1"/>
  <c r="L13" i="8" s="1"/>
  <c r="E18" i="3"/>
  <c r="F22" i="3"/>
  <c r="L3" i="3"/>
  <c r="M3" i="3" s="1"/>
  <c r="K7" i="3"/>
  <c r="K4" i="3"/>
  <c r="K10" i="3" s="1"/>
  <c r="L15" i="8" l="1"/>
  <c r="EC12" i="9"/>
  <c r="O5" i="11"/>
  <c r="EN7" i="11"/>
  <c r="EN8" i="11"/>
  <c r="F24" i="3"/>
  <c r="F25" i="3" s="1"/>
  <c r="N3" i="3"/>
  <c r="M7" i="3"/>
  <c r="M4" i="3"/>
  <c r="M10" i="3" s="1"/>
  <c r="L7" i="3"/>
  <c r="L4" i="3"/>
  <c r="L10" i="3" s="1"/>
  <c r="L16" i="8" l="1"/>
  <c r="L21" i="8" s="1"/>
  <c r="L23" i="8" s="1"/>
  <c r="L33" i="8" s="1"/>
  <c r="N20" i="11"/>
  <c r="G5" i="5" s="1"/>
  <c r="O8" i="11"/>
  <c r="O9" i="11" s="1"/>
  <c r="O6" i="11"/>
  <c r="E11" i="11" s="1"/>
  <c r="EO7" i="11"/>
  <c r="EO8" i="11"/>
  <c r="N7" i="3"/>
  <c r="N4" i="3"/>
  <c r="N10" i="3" s="1"/>
  <c r="E30" i="11" l="1"/>
  <c r="N24" i="11"/>
  <c r="N23" i="11"/>
  <c r="EP7" i="11"/>
  <c r="AA11" i="11" s="1"/>
  <c r="E29" i="11" s="1"/>
  <c r="EP8" i="11"/>
  <c r="AA10" i="11" s="1"/>
  <c r="E27" i="11" s="1"/>
  <c r="O10" i="3"/>
  <c r="F12" i="3" l="1"/>
  <c r="F13" i="3" l="1"/>
  <c r="O12" i="8"/>
  <c r="O14" i="3" l="1"/>
  <c r="F17" i="3"/>
  <c r="F18" i="3" l="1"/>
  <c r="G22" i="3"/>
  <c r="G24" i="3" l="1"/>
  <c r="G25" i="3" s="1"/>
  <c r="G12" i="3" l="1"/>
  <c r="G13" i="3" l="1"/>
  <c r="P12" i="8"/>
  <c r="G17" i="3" l="1"/>
  <c r="G18" i="3" l="1"/>
  <c r="H12" i="3" l="1"/>
  <c r="H13" i="3" l="1"/>
  <c r="Q12" i="8"/>
  <c r="H17" i="3" l="1"/>
  <c r="H18" i="3" l="1"/>
  <c r="I12" i="3" l="1"/>
  <c r="I13" i="3" l="1"/>
  <c r="I17" i="3" l="1"/>
  <c r="I18" i="3" s="1"/>
  <c r="J12" i="3" l="1"/>
  <c r="J13" i="3" l="1"/>
  <c r="J17" i="3" s="1"/>
  <c r="J18" i="3" s="1"/>
  <c r="K12" i="3" l="1"/>
  <c r="K13" i="3" l="1"/>
  <c r="K17" i="3" l="1"/>
  <c r="K18" i="3" s="1"/>
  <c r="L12" i="3" l="1"/>
  <c r="L13" i="3" l="1"/>
  <c r="E15" i="8" l="1"/>
  <c r="E16" i="8" s="1"/>
  <c r="D15" i="8"/>
  <c r="D16" i="8" s="1"/>
  <c r="M12" i="3"/>
  <c r="C16" i="8" l="1"/>
  <c r="O15" i="8" s="1"/>
  <c r="P15" i="8" s="1"/>
  <c r="Q15" i="8" s="1"/>
  <c r="R15" i="8" s="1"/>
  <c r="C32" i="8"/>
  <c r="E32" i="8"/>
  <c r="D32" i="8"/>
  <c r="D21" i="8"/>
  <c r="D23" i="8" s="1"/>
  <c r="E21" i="8"/>
  <c r="E23" i="8" s="1"/>
  <c r="M13" i="3"/>
  <c r="C21" i="8" l="1"/>
  <c r="C23" i="8" s="1"/>
  <c r="C33" i="8" s="1"/>
  <c r="S15" i="8"/>
  <c r="R16" i="8"/>
  <c r="R17" i="8" s="1"/>
  <c r="D33" i="8"/>
  <c r="E33" i="8"/>
  <c r="M17" i="3"/>
  <c r="M18" i="3" s="1"/>
  <c r="T15" i="8" l="1"/>
  <c r="S16" i="8"/>
  <c r="S17" i="8" s="1"/>
  <c r="C35" i="8"/>
  <c r="O16" i="8"/>
  <c r="O17" i="8" s="1"/>
  <c r="U15" i="8" l="1"/>
  <c r="T16" i="8"/>
  <c r="T17" i="8" s="1"/>
  <c r="P16" i="8"/>
  <c r="P17" i="8" s="1"/>
  <c r="O5" i="8"/>
  <c r="O6" i="8" s="1"/>
  <c r="O8" i="8" s="1"/>
  <c r="O18" i="8" s="1"/>
  <c r="D34" i="8"/>
  <c r="D35" i="8" s="1"/>
  <c r="V15" i="8" l="1"/>
  <c r="U16" i="8"/>
  <c r="U17" i="8" s="1"/>
  <c r="P5" i="8"/>
  <c r="P6" i="8" s="1"/>
  <c r="P8" i="8" s="1"/>
  <c r="P18" i="8" s="1"/>
  <c r="E34" i="8"/>
  <c r="E35" i="8" s="1"/>
  <c r="F34" i="8" s="1"/>
  <c r="F35" i="8" s="1"/>
  <c r="N12" i="3"/>
  <c r="W15" i="8" l="1"/>
  <c r="V16" i="8"/>
  <c r="V17" i="8" s="1"/>
  <c r="G34" i="8"/>
  <c r="G35" i="8" s="1"/>
  <c r="R5" i="8"/>
  <c r="R6" i="8" s="1"/>
  <c r="R8" i="8" s="1"/>
  <c r="R18" i="8" s="1"/>
  <c r="Q16" i="8"/>
  <c r="Q17" i="8" s="1"/>
  <c r="Q5" i="8"/>
  <c r="Q6" i="8" s="1"/>
  <c r="Q8" i="8" s="1"/>
  <c r="O12" i="3"/>
  <c r="L17" i="3"/>
  <c r="L18" i="3" s="1"/>
  <c r="N13" i="3"/>
  <c r="W16" i="8" l="1"/>
  <c r="W17" i="8" s="1"/>
  <c r="X15" i="8"/>
  <c r="X16" i="8" s="1"/>
  <c r="X17" i="8" s="1"/>
  <c r="H34" i="8"/>
  <c r="H35" i="8" s="1"/>
  <c r="S5" i="8"/>
  <c r="S6" i="8" s="1"/>
  <c r="S8" i="8" s="1"/>
  <c r="S18" i="8" s="1"/>
  <c r="Q18" i="8"/>
  <c r="O13" i="3"/>
  <c r="O17" i="3" s="1"/>
  <c r="N17" i="3"/>
  <c r="N18" i="3" s="1"/>
  <c r="I34" i="8" l="1"/>
  <c r="I35" i="8" s="1"/>
  <c r="T5" i="8"/>
  <c r="T6" i="8" s="1"/>
  <c r="T8" i="8" s="1"/>
  <c r="T18" i="8" s="1"/>
  <c r="E24" i="11"/>
  <c r="J34" i="8" l="1"/>
  <c r="J35" i="8" s="1"/>
  <c r="U5" i="8"/>
  <c r="U6" i="8" s="1"/>
  <c r="U8" i="8" s="1"/>
  <c r="U18" i="8" s="1"/>
  <c r="G23" i="11"/>
  <c r="E28" i="11" s="1"/>
  <c r="K34" i="8" l="1"/>
  <c r="K35" i="8" s="1"/>
  <c r="V5" i="8"/>
  <c r="V6" i="8" s="1"/>
  <c r="V8" i="8" s="1"/>
  <c r="V18" i="8" s="1"/>
  <c r="G9" i="11"/>
  <c r="W5" i="8" l="1"/>
  <c r="W6" i="8" s="1"/>
  <c r="W8" i="8" s="1"/>
  <c r="W18" i="8" s="1"/>
  <c r="L34" i="8"/>
  <c r="L35" i="8" s="1"/>
  <c r="X5" i="8" s="1"/>
  <c r="X6" i="8" s="1"/>
  <c r="X8" i="8" s="1"/>
  <c r="X18" i="8" s="1"/>
  <c r="G24" i="11"/>
  <c r="H9" i="11" l="1"/>
  <c r="E31" i="11" s="1"/>
  <c r="G7" i="5" l="1"/>
  <c r="G11" i="5" s="1"/>
  <c r="F24" i="11" l="1"/>
  <c r="G13" i="5"/>
  <c r="E26" i="11" l="1"/>
  <c r="G12" i="5" s="1"/>
</calcChain>
</file>

<file path=xl/sharedStrings.xml><?xml version="1.0" encoding="utf-8"?>
<sst xmlns="http://schemas.openxmlformats.org/spreadsheetml/2006/main" count="425" uniqueCount="188">
  <si>
    <t>Investment Breakdown</t>
  </si>
  <si>
    <t>Amount (In Crore)</t>
  </si>
  <si>
    <t>Details</t>
  </si>
  <si>
    <t>Category</t>
  </si>
  <si>
    <t>Description</t>
  </si>
  <si>
    <t>Investment amount</t>
  </si>
  <si>
    <t>Total Saleable area</t>
  </si>
  <si>
    <t>Size of the land in sq feet</t>
  </si>
  <si>
    <t xml:space="preserve">Flow of Investment </t>
  </si>
  <si>
    <t>Selling Price/Exit Value</t>
  </si>
  <si>
    <t>Area Bifurcation</t>
  </si>
  <si>
    <t>Rent Cash flow (Y1 to Y10)</t>
  </si>
  <si>
    <t>Retail Area</t>
  </si>
  <si>
    <t>Sq Feet</t>
  </si>
  <si>
    <t>Repayment Security deposit</t>
  </si>
  <si>
    <t>Commercial Furnished Office Space</t>
  </si>
  <si>
    <t>Total Cashflow/Capital gain</t>
  </si>
  <si>
    <t>Commercial Unfurnished Office Space</t>
  </si>
  <si>
    <t>Co-Living Space</t>
  </si>
  <si>
    <t>Sq. Feet</t>
  </si>
  <si>
    <t>Total</t>
  </si>
  <si>
    <t>Rent</t>
  </si>
  <si>
    <t>Rent per sq. feet</t>
  </si>
  <si>
    <t>₹ Crore</t>
  </si>
  <si>
    <t>Returns</t>
  </si>
  <si>
    <t>ROI</t>
  </si>
  <si>
    <t>IRR</t>
  </si>
  <si>
    <t>Particular</t>
  </si>
  <si>
    <t>Amount (Crore)</t>
  </si>
  <si>
    <t>XIRR</t>
  </si>
  <si>
    <t>Total Investment</t>
  </si>
  <si>
    <t>Present Value</t>
  </si>
  <si>
    <t>Monthly Rent</t>
  </si>
  <si>
    <t>Proposed Investment amount</t>
  </si>
  <si>
    <t>Capital Appreciation</t>
  </si>
  <si>
    <t>Security Deposit</t>
  </si>
  <si>
    <t>Advance 4 months rent</t>
  </si>
  <si>
    <t>Proportional Holding</t>
  </si>
  <si>
    <t>Security Deposit on Investment amount</t>
  </si>
  <si>
    <t>Investment period (years)</t>
  </si>
  <si>
    <t>Interest on Security deposit</t>
  </si>
  <si>
    <t xml:space="preserve">Avg. annual capital appreciation </t>
  </si>
  <si>
    <t>Rent Start Date</t>
  </si>
  <si>
    <t>Future Value Growth rate factor</t>
  </si>
  <si>
    <t>Rent Escalation</t>
  </si>
  <si>
    <t>every year</t>
  </si>
  <si>
    <t>Future Value (after 10 years)</t>
  </si>
  <si>
    <t>Lease Start Date</t>
  </si>
  <si>
    <t>Future Value of Investment amount</t>
  </si>
  <si>
    <t>Investment Start Date</t>
  </si>
  <si>
    <t>Particulars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</si>
  <si>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</si>
  <si>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</si>
  <si>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</si>
  <si>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</si>
  <si>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</si>
  <si>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</si>
  <si>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</si>
  <si>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</si>
  <si>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</si>
  <si>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</si>
  <si>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</si>
  <si>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Monthly Rental</t>
  </si>
  <si>
    <t>Yearly Rental</t>
  </si>
  <si>
    <t>SD Interest</t>
  </si>
  <si>
    <t xml:space="preserve">Built Up Sq. Ft. </t>
  </si>
  <si>
    <t xml:space="preserve">Price per Sq. Ft. </t>
  </si>
  <si>
    <t>Cashflow Statements</t>
  </si>
  <si>
    <t>Net CF</t>
  </si>
  <si>
    <t>Rental Income (Yearly)</t>
  </si>
  <si>
    <t>Interest Income on Security Deposit</t>
  </si>
  <si>
    <t>Interest Expenses (Bank Loan) @11%</t>
  </si>
  <si>
    <t>Principal Repayment (Stars from year2)</t>
  </si>
  <si>
    <t>Maintenance Cost &amp; Utility Charges</t>
  </si>
  <si>
    <t>Net Cashflow</t>
  </si>
  <si>
    <t>Net income (%)</t>
  </si>
  <si>
    <t>Property Sale/Exit Plan</t>
  </si>
  <si>
    <t>Year</t>
  </si>
  <si>
    <t>Y0</t>
  </si>
  <si>
    <t>Cash Inflow/ (Outflow)</t>
  </si>
  <si>
    <t>Property Sale/Exit Value</t>
  </si>
  <si>
    <t>Rental Income (%)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</si>
  <si>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</si>
  <si>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</si>
  <si>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</si>
  <si>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</si>
  <si>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</si>
  <si>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</si>
  <si>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</si>
  <si>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</si>
  <si>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</si>
  <si>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</si>
  <si>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Rental Income</t>
  </si>
  <si>
    <t>Property Value</t>
  </si>
  <si>
    <t>Appreciation</t>
  </si>
  <si>
    <t>Closing</t>
  </si>
  <si>
    <t>% of Investment</t>
  </si>
  <si>
    <t>Interest on Security Deposit</t>
  </si>
  <si>
    <t>Investment Inflow Amt (A)</t>
  </si>
  <si>
    <t>Capital appreciation (B)</t>
  </si>
  <si>
    <t>Rental Income on Investment</t>
  </si>
  <si>
    <t>Rental Income (C)</t>
  </si>
  <si>
    <t>Capital Appreciation *</t>
  </si>
  <si>
    <t>Total (A+C)</t>
  </si>
  <si>
    <t>Investment amount/rental cashflow</t>
  </si>
  <si>
    <t>Total (A+B+C)</t>
  </si>
  <si>
    <t>Return on Investment with appreciation</t>
  </si>
  <si>
    <t>XIRR with Capital Appreciation</t>
  </si>
  <si>
    <t>Rental Yeild</t>
  </si>
  <si>
    <t>XIRR without Capital Appreciation</t>
  </si>
  <si>
    <t xml:space="preserve">*Estimated numbers </t>
  </si>
  <si>
    <t>Investment Cycle</t>
  </si>
  <si>
    <t>Investment and Inflow as Rental Income</t>
  </si>
  <si>
    <t xml:space="preserve">Yield on Sale </t>
  </si>
  <si>
    <t>Capital appreciation</t>
  </si>
  <si>
    <t>IRR with appreciation</t>
  </si>
  <si>
    <t>XIRR with appreciation</t>
  </si>
  <si>
    <t>IRR without appreciation</t>
  </si>
  <si>
    <t>XIRR without appreciation</t>
  </si>
  <si>
    <t>Average Rental cash flow</t>
  </si>
  <si>
    <t>Cashflow with appreciation</t>
  </si>
  <si>
    <t>10-Year Treasury Note</t>
  </si>
  <si>
    <t>Fixed deposit rate</t>
  </si>
  <si>
    <t>Profit and Loss (P&amp;L) Statement (Numbers in Crore)</t>
  </si>
  <si>
    <t>Balance Sheet (Numbers in Crore)</t>
  </si>
  <si>
    <t>Assets</t>
  </si>
  <si>
    <t>Interest Income (Security deposit)</t>
  </si>
  <si>
    <t>Cash</t>
  </si>
  <si>
    <t>Total Net Revenue</t>
  </si>
  <si>
    <t>Total current assets</t>
  </si>
  <si>
    <t>Expenses</t>
  </si>
  <si>
    <t xml:space="preserve">Investment </t>
  </si>
  <si>
    <t>Depreciation &amp; Amortization</t>
  </si>
  <si>
    <t>Total Assets</t>
  </si>
  <si>
    <t>Total Expenses</t>
  </si>
  <si>
    <t>Liabilities</t>
  </si>
  <si>
    <t>Earnings Before Interest &amp; Taxes</t>
  </si>
  <si>
    <t>Long term debt</t>
  </si>
  <si>
    <t>Interest Expense</t>
  </si>
  <si>
    <t>Total Liabilities</t>
  </si>
  <si>
    <t>Earnings Before Taxes</t>
  </si>
  <si>
    <t>Shareholder's Equity</t>
  </si>
  <si>
    <t>Equity Capital</t>
  </si>
  <si>
    <t>Income Taxes @ 25.17%</t>
  </si>
  <si>
    <t>Retained Earnings</t>
  </si>
  <si>
    <t>Net Earnings</t>
  </si>
  <si>
    <t>Total Liabilities &amp; Shareholder's Equity</t>
  </si>
  <si>
    <t>Cash Flow Statements (Numbers in Crore)</t>
  </si>
  <si>
    <t>Check</t>
  </si>
  <si>
    <t>Operating Cash Flow</t>
  </si>
  <si>
    <t>Assumptions/Details</t>
  </si>
  <si>
    <t>Other expenses</t>
  </si>
  <si>
    <t>Plus: Depreciation &amp; Amortization</t>
  </si>
  <si>
    <t>Income tax rate (%)</t>
  </si>
  <si>
    <t>Cash from Operations</t>
  </si>
  <si>
    <t>Investing Cash Flow</t>
  </si>
  <si>
    <t>Bank Loan</t>
  </si>
  <si>
    <t xml:space="preserve">Advance Security deposit </t>
  </si>
  <si>
    <t>Equity/Cash</t>
  </si>
  <si>
    <t>Investments in Property &amp; Equipment</t>
  </si>
  <si>
    <t>Useful life of Property (years)</t>
  </si>
  <si>
    <t>Cash from Investing</t>
  </si>
  <si>
    <t>Financing Cash Flow</t>
  </si>
  <si>
    <t>Share of Income/return</t>
  </si>
  <si>
    <t>Issuance of debt</t>
  </si>
  <si>
    <t>Issuance (repayment) of equity</t>
  </si>
  <si>
    <t>Issuance (repayment) of debt</t>
  </si>
  <si>
    <t>Cash from Financing</t>
  </si>
  <si>
    <t>Net Increase (decrease) in Cash</t>
  </si>
  <si>
    <t>Opening Cash Balance</t>
  </si>
  <si>
    <t>Closing Cash Balance</t>
  </si>
  <si>
    <t>Particulars (Amount in Crore)</t>
  </si>
  <si>
    <t>Financial Year</t>
  </si>
  <si>
    <t>2025-26E</t>
  </si>
  <si>
    <t>2026-27E</t>
  </si>
  <si>
    <t>2027-28E</t>
  </si>
  <si>
    <t>2028-29E</t>
  </si>
  <si>
    <t>2029-30E</t>
  </si>
  <si>
    <t>2030-31E</t>
  </si>
  <si>
    <t>2031-32E</t>
  </si>
  <si>
    <t>2032-33E</t>
  </si>
  <si>
    <t>2033-34E</t>
  </si>
  <si>
    <t>2034-35E</t>
  </si>
  <si>
    <t>Month</t>
  </si>
  <si>
    <t>Cash Inflow</t>
  </si>
  <si>
    <t>Total Rental Income</t>
  </si>
  <si>
    <t>Interest Income on SD</t>
  </si>
  <si>
    <t>Total Cash Inflow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</si>
</sst>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₹&quot;\ #,##0.00;[Red]&quot;₹&quot;\ \-#,##0.00"/>
    <numFmt numFmtId="165" formatCode="_ &quot;₹&quot;\ * #,##0.00_ ;_ &quot;₹&quot;\ * \-#,##0.00_ ;_ &quot;₹&quot;\ * &quot;-&quot;??_ ;_ @_ "/>
    <numFmt numFmtId="166" formatCode="_ * #,##0.00_ ;_ * \-#,##0.00_ ;_ * &quot;-&quot;??_ ;_ @_ "/>
    <numFmt numFmtId="167" formatCode="_ * #,##0_ ;_ * \-#,##0_ ;_ * &quot;-&quot;??_ ;_ @_ "/>
    <numFmt numFmtId="168" formatCode="&quot;₹&quot;\ #,##0.00"/>
    <numFmt numFmtId="169" formatCode="#,##0.00;[Red]\(#,##0.00\)"/>
    <numFmt numFmtId="170" formatCode="_ [$₹-4009]\ * #,##0.00_ ;_ [$₹-4009]\ * \-#,##0.00_ ;_ [$₹-4009]\ * &quot;-&quot;??_ ;_ @_ "/>
    <numFmt numFmtId="171" formatCode="_(* #,##0.0_);_(* \(#,##0.0\);_(* &quot;-&quot;??_);_(@_)"/>
    <numFmt numFmtId="172" formatCode="0&quot;F&quot;"/>
    <numFmt numFmtId="173" formatCode="_-* #,##0_-;\(#,##0\)_-;_-* &quot;-&quot;_-;_-@_-"/>
    <numFmt numFmtId="174" formatCode="_-* #,##0.00_-;\-* #,##0.00_-;_-* &quot;-&quot;??_-;_-@_-"/>
    <numFmt numFmtId="175" formatCode="0.000"/>
    <numFmt numFmtId="176" formatCode="_-* #,##0.00_-;\(#,##0.00\)_-;_-* &quot;-&quot;_-;_-@_-"/>
    <numFmt numFmtId="177" formatCode="_(#,##0_);\(#,##0\);_(&quot;–&quot;_);_(@_)"/>
    <numFmt numFmtId="178" formatCode="_(#,##0.00_);\(#,##0.00\);_(&quot;–&quot;_);_(@_)"/>
    <numFmt numFmtId="179" formatCode="#,##0.000"/>
    <numFmt numFmtId="180" formatCode="&quot;₹&quot;\ #,##0"/>
    <numFmt numFmtId="181" formatCode="#,##0;[Red]\(#,##0\)"/>
    <numFmt numFmtId="182" formatCode="0.0000000000000000%"/>
    <numFmt numFmtId="183" formatCode="0.0%"/>
    <numFmt numFmtId="184" formatCode="0.0000"/>
    <numFmt numFmtId="185" formatCode="#,##0.00;[Red]#,##0.00"/>
  </numFmts>
  <fonts count="2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sz val="10"/>
      <color theme="1"/>
      <name val="Open Sans"/>
      <family val="2"/>
    </font>
    <font>
      <sz val="8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u/>
      <sz val="10"/>
      <color theme="10"/>
      <name val="Arial"/>
      <family val="2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0000FF"/>
      <name val="Aptos Narrow"/>
      <family val="2"/>
      <scheme val="minor"/>
    </font>
    <font>
      <b/>
      <sz val="10"/>
      <color theme="2" tint="-9.9978637043366805E-2"/>
      <name val="Aptos Narrow"/>
      <family val="2"/>
      <scheme val="minor"/>
    </font>
    <font>
      <sz val="11"/>
      <color rgb="FFFFFFFF"/>
      <name val="Aptos Narrow"/>
      <family val="2"/>
      <scheme val="minor"/>
    </font>
    <font>
      <sz val="10"/>
      <color rgb="FFFF9966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</borders>
  <cellStyleXfs count="1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43">
    <xf numFmtId="0" fontId="0" fillId="0" borderId="0" xfId="0"/>
    <xf numFmtId="9" fontId="0" fillId="0" borderId="0" xfId="0" applyNumberFormat="1"/>
    <xf numFmtId="0" fontId="4" fillId="0" borderId="0" xfId="4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4" fillId="0" borderId="0" xfId="4" applyNumberFormat="1" applyFont="1"/>
    <xf numFmtId="168" fontId="6" fillId="0" borderId="0" xfId="5" applyNumberFormat="1" applyFont="1" applyFill="1" applyBorder="1" applyAlignment="1">
      <alignment horizontal="center"/>
    </xf>
    <xf numFmtId="0" fontId="4" fillId="0" borderId="1" xfId="4" applyFont="1" applyBorder="1"/>
    <xf numFmtId="168" fontId="4" fillId="0" borderId="1" xfId="4" applyNumberFormat="1" applyFont="1" applyBorder="1"/>
    <xf numFmtId="170" fontId="4" fillId="0" borderId="1" xfId="4" applyNumberFormat="1" applyFont="1" applyBorder="1"/>
    <xf numFmtId="166" fontId="4" fillId="0" borderId="1" xfId="1" applyFont="1" applyBorder="1"/>
    <xf numFmtId="2" fontId="4" fillId="0" borderId="1" xfId="4" applyNumberFormat="1" applyFont="1" applyBorder="1"/>
    <xf numFmtId="168" fontId="7" fillId="0" borderId="0" xfId="5" applyNumberFormat="1" applyFont="1" applyFill="1" applyBorder="1" applyAlignment="1">
      <alignment horizontal="center"/>
    </xf>
    <xf numFmtId="168" fontId="9" fillId="0" borderId="0" xfId="5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vertical="center"/>
    </xf>
    <xf numFmtId="0" fontId="8" fillId="5" borderId="1" xfId="0" applyFont="1" applyFill="1" applyBorder="1" applyAlignment="1">
      <alignment horizontal="left" vertical="center"/>
    </xf>
    <xf numFmtId="2" fontId="10" fillId="0" borderId="1" xfId="5" applyNumberFormat="1" applyFont="1" applyFill="1" applyBorder="1" applyAlignment="1">
      <alignment horizontal="center"/>
    </xf>
    <xf numFmtId="169" fontId="10" fillId="0" borderId="1" xfId="5" applyNumberFormat="1" applyFont="1" applyFill="1" applyBorder="1" applyAlignment="1">
      <alignment horizontal="center"/>
    </xf>
    <xf numFmtId="169" fontId="9" fillId="5" borderId="1" xfId="5" applyNumberFormat="1" applyFont="1" applyFill="1" applyBorder="1" applyAlignment="1">
      <alignment horizontal="center"/>
    </xf>
    <xf numFmtId="10" fontId="10" fillId="0" borderId="1" xfId="5" applyNumberFormat="1" applyFont="1" applyFill="1" applyBorder="1" applyAlignment="1">
      <alignment horizontal="center"/>
    </xf>
    <xf numFmtId="168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4" xfId="4" applyFont="1" applyFill="1" applyBorder="1"/>
    <xf numFmtId="168" fontId="9" fillId="5" borderId="1" xfId="5" applyNumberFormat="1" applyFont="1" applyFill="1" applyBorder="1" applyAlignment="1">
      <alignment horizontal="center"/>
    </xf>
    <xf numFmtId="0" fontId="4" fillId="0" borderId="2" xfId="4" applyFont="1" applyBorder="1"/>
    <xf numFmtId="0" fontId="15" fillId="0" borderId="0" xfId="0" applyFont="1"/>
    <xf numFmtId="0" fontId="2" fillId="0" borderId="12" xfId="0" applyFont="1" applyBorder="1"/>
    <xf numFmtId="0" fontId="13" fillId="0" borderId="12" xfId="0" applyFont="1" applyBorder="1" applyAlignment="1">
      <alignment horizontal="left"/>
    </xf>
    <xf numFmtId="167" fontId="14" fillId="0" borderId="0" xfId="0" applyNumberFormat="1" applyFont="1"/>
    <xf numFmtId="180" fontId="14" fillId="0" borderId="0" xfId="0" applyNumberFormat="1" applyFont="1"/>
    <xf numFmtId="2" fontId="0" fillId="0" borderId="0" xfId="1" applyNumberFormat="1" applyFont="1" applyFill="1" applyBorder="1"/>
    <xf numFmtId="0" fontId="0" fillId="0" borderId="12" xfId="0" applyBorder="1"/>
    <xf numFmtId="2" fontId="0" fillId="0" borderId="0" xfId="0" applyNumberFormat="1"/>
    <xf numFmtId="0" fontId="16" fillId="5" borderId="11" xfId="0" applyFont="1" applyFill="1" applyBorder="1" applyAlignment="1">
      <alignment horizontal="center" vertical="center"/>
    </xf>
    <xf numFmtId="0" fontId="16" fillId="5" borderId="9" xfId="0" applyFont="1" applyFill="1" applyBorder="1"/>
    <xf numFmtId="0" fontId="16" fillId="5" borderId="12" xfId="0" applyFont="1" applyFill="1" applyBorder="1" applyAlignment="1">
      <alignment horizontal="center" vertical="center"/>
    </xf>
    <xf numFmtId="0" fontId="16" fillId="5" borderId="0" xfId="0" applyFont="1" applyFill="1"/>
    <xf numFmtId="17" fontId="16" fillId="5" borderId="0" xfId="0" applyNumberFormat="1" applyFont="1" applyFill="1" applyAlignment="1">
      <alignment horizontal="left"/>
    </xf>
    <xf numFmtId="0" fontId="16" fillId="3" borderId="12" xfId="0" applyFont="1" applyFill="1" applyBorder="1"/>
    <xf numFmtId="0" fontId="16" fillId="3" borderId="0" xfId="0" applyFont="1" applyFill="1"/>
    <xf numFmtId="2" fontId="16" fillId="3" borderId="0" xfId="1" applyNumberFormat="1" applyFont="1" applyFill="1" applyBorder="1"/>
    <xf numFmtId="2" fontId="16" fillId="3" borderId="0" xfId="0" applyNumberFormat="1" applyFont="1" applyFill="1"/>
    <xf numFmtId="181" fontId="7" fillId="0" borderId="1" xfId="5" applyNumberFormat="1" applyFont="1" applyFill="1" applyBorder="1" applyAlignment="1">
      <alignment horizontal="right"/>
    </xf>
    <xf numFmtId="168" fontId="7" fillId="0" borderId="1" xfId="5" applyNumberFormat="1" applyFont="1" applyFill="1" applyBorder="1" applyAlignment="1">
      <alignment horizontal="right"/>
    </xf>
    <xf numFmtId="2" fontId="0" fillId="0" borderId="0" xfId="1" applyNumberFormat="1" applyFont="1" applyFill="1" applyBorder="1" applyAlignment="1"/>
    <xf numFmtId="181" fontId="17" fillId="0" borderId="0" xfId="4" applyNumberFormat="1" applyFont="1" applyAlignment="1">
      <alignment horizontal="right" vertical="center"/>
    </xf>
    <xf numFmtId="169" fontId="6" fillId="0" borderId="1" xfId="5" applyNumberFormat="1" applyFont="1" applyFill="1" applyBorder="1" applyAlignment="1">
      <alignment horizontal="right"/>
    </xf>
    <xf numFmtId="0" fontId="18" fillId="0" borderId="0" xfId="4" applyFont="1"/>
    <xf numFmtId="0" fontId="17" fillId="0" borderId="0" xfId="4" applyFont="1"/>
    <xf numFmtId="0" fontId="2" fillId="7" borderId="0" xfId="4" applyFont="1" applyFill="1"/>
    <xf numFmtId="10" fontId="2" fillId="7" borderId="0" xfId="4" applyNumberFormat="1" applyFont="1" applyFill="1"/>
    <xf numFmtId="0" fontId="18" fillId="0" borderId="0" xfId="0" applyFont="1"/>
    <xf numFmtId="2" fontId="18" fillId="0" borderId="0" xfId="0" applyNumberFormat="1" applyFont="1"/>
    <xf numFmtId="0" fontId="17" fillId="0" borderId="0" xfId="0" applyFont="1"/>
    <xf numFmtId="2" fontId="17" fillId="0" borderId="0" xfId="0" applyNumberFormat="1" applyFont="1"/>
    <xf numFmtId="10" fontId="17" fillId="0" borderId="0" xfId="0" applyNumberFormat="1" applyFont="1"/>
    <xf numFmtId="0" fontId="6" fillId="6" borderId="2" xfId="0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166" fontId="18" fillId="0" borderId="14" xfId="1" applyFont="1" applyBorder="1"/>
    <xf numFmtId="17" fontId="6" fillId="0" borderId="0" xfId="0" applyNumberFormat="1" applyFont="1" applyAlignment="1">
      <alignment horizontal="center"/>
    </xf>
    <xf numFmtId="166" fontId="18" fillId="0" borderId="0" xfId="1" applyFont="1" applyAlignment="1">
      <alignment horizontal="center"/>
    </xf>
    <xf numFmtId="166" fontId="18" fillId="0" borderId="0" xfId="0" applyNumberFormat="1" applyFont="1"/>
    <xf numFmtId="0" fontId="17" fillId="0" borderId="3" xfId="0" applyFont="1" applyBorder="1"/>
    <xf numFmtId="0" fontId="18" fillId="0" borderId="5" xfId="0" applyFont="1" applyBorder="1"/>
    <xf numFmtId="166" fontId="17" fillId="0" borderId="5" xfId="0" applyNumberFormat="1" applyFont="1" applyBorder="1"/>
    <xf numFmtId="10" fontId="17" fillId="0" borderId="5" xfId="0" applyNumberFormat="1" applyFont="1" applyBorder="1"/>
    <xf numFmtId="10" fontId="18" fillId="0" borderId="0" xfId="0" applyNumberFormat="1" applyFont="1"/>
    <xf numFmtId="0" fontId="18" fillId="0" borderId="14" xfId="0" applyFont="1" applyBorder="1"/>
    <xf numFmtId="4" fontId="17" fillId="0" borderId="0" xfId="0" applyNumberFormat="1" applyFont="1"/>
    <xf numFmtId="0" fontId="19" fillId="0" borderId="0" xfId="0" applyFont="1"/>
    <xf numFmtId="0" fontId="17" fillId="0" borderId="1" xfId="4" applyFont="1" applyBorder="1" applyAlignment="1">
      <alignment wrapText="1"/>
    </xf>
    <xf numFmtId="2" fontId="7" fillId="0" borderId="1" xfId="5" applyNumberFormat="1" applyFont="1" applyFill="1" applyBorder="1" applyAlignment="1">
      <alignment horizontal="right"/>
    </xf>
    <xf numFmtId="0" fontId="17" fillId="0" borderId="1" xfId="4" applyFont="1" applyBorder="1"/>
    <xf numFmtId="0" fontId="18" fillId="0" borderId="1" xfId="0" applyFont="1" applyBorder="1"/>
    <xf numFmtId="166" fontId="17" fillId="0" borderId="1" xfId="1" applyFont="1" applyBorder="1" applyAlignment="1">
      <alignment horizontal="right"/>
    </xf>
    <xf numFmtId="166" fontId="17" fillId="0" borderId="0" xfId="1" applyFont="1" applyBorder="1" applyAlignment="1">
      <alignment horizontal="right"/>
    </xf>
    <xf numFmtId="0" fontId="17" fillId="3" borderId="1" xfId="0" applyFont="1" applyFill="1" applyBorder="1"/>
    <xf numFmtId="10" fontId="17" fillId="3" borderId="1" xfId="0" applyNumberFormat="1" applyFont="1" applyFill="1" applyBorder="1"/>
    <xf numFmtId="164" fontId="18" fillId="0" borderId="0" xfId="0" applyNumberFormat="1" applyFont="1"/>
    <xf numFmtId="183" fontId="19" fillId="0" borderId="0" xfId="0" applyNumberFormat="1" applyFont="1"/>
    <xf numFmtId="10" fontId="19" fillId="0" borderId="0" xfId="0" applyNumberFormat="1" applyFont="1"/>
    <xf numFmtId="9" fontId="17" fillId="0" borderId="1" xfId="0" applyNumberFormat="1" applyFont="1" applyBorder="1"/>
    <xf numFmtId="10" fontId="17" fillId="0" borderId="1" xfId="0" applyNumberFormat="1" applyFont="1" applyBorder="1"/>
    <xf numFmtId="0" fontId="17" fillId="0" borderId="1" xfId="0" applyFont="1" applyBorder="1"/>
    <xf numFmtId="182" fontId="18" fillId="0" borderId="0" xfId="0" applyNumberFormat="1" applyFont="1"/>
    <xf numFmtId="165" fontId="18" fillId="0" borderId="0" xfId="0" applyNumberFormat="1" applyFont="1"/>
    <xf numFmtId="0" fontId="20" fillId="0" borderId="0" xfId="0" applyFont="1"/>
    <xf numFmtId="0" fontId="6" fillId="4" borderId="6" xfId="6" applyFont="1" applyFill="1" applyBorder="1" applyAlignment="1">
      <alignment vertical="center"/>
    </xf>
    <xf numFmtId="0" fontId="21" fillId="0" borderId="0" xfId="4" applyFont="1"/>
    <xf numFmtId="172" fontId="6" fillId="0" borderId="5" xfId="4" applyNumberFormat="1" applyFont="1" applyBorder="1" applyAlignment="1">
      <alignment horizontal="center"/>
    </xf>
    <xf numFmtId="43" fontId="7" fillId="0" borderId="9" xfId="3" applyFont="1" applyBorder="1" applyAlignment="1">
      <alignment horizontal="center"/>
    </xf>
    <xf numFmtId="173" fontId="17" fillId="0" borderId="0" xfId="1" applyNumberFormat="1" applyFont="1" applyAlignment="1">
      <alignment horizontal="left"/>
    </xf>
    <xf numFmtId="173" fontId="22" fillId="0" borderId="0" xfId="1" applyNumberFormat="1" applyFont="1"/>
    <xf numFmtId="0" fontId="18" fillId="0" borderId="0" xfId="4" applyFont="1" applyAlignment="1">
      <alignment wrapText="1"/>
    </xf>
    <xf numFmtId="43" fontId="7" fillId="0" borderId="0" xfId="3" applyFont="1" applyAlignment="1">
      <alignment horizontal="center"/>
    </xf>
    <xf numFmtId="173" fontId="18" fillId="0" borderId="0" xfId="1" applyNumberFormat="1" applyFont="1" applyAlignment="1">
      <alignment horizontal="left"/>
    </xf>
    <xf numFmtId="176" fontId="7" fillId="0" borderId="0" xfId="1" applyNumberFormat="1" applyFont="1"/>
    <xf numFmtId="43" fontId="6" fillId="0" borderId="5" xfId="3" applyFont="1" applyBorder="1" applyAlignment="1">
      <alignment horizontal="center"/>
    </xf>
    <xf numFmtId="173" fontId="18" fillId="0" borderId="5" xfId="1" applyNumberFormat="1" applyFont="1" applyBorder="1" applyAlignment="1">
      <alignment horizontal="left"/>
    </xf>
    <xf numFmtId="176" fontId="7" fillId="0" borderId="5" xfId="1" applyNumberFormat="1" applyFont="1" applyBorder="1"/>
    <xf numFmtId="171" fontId="7" fillId="0" borderId="0" xfId="3" applyNumberFormat="1" applyFont="1" applyAlignment="1">
      <alignment horizontal="center"/>
    </xf>
    <xf numFmtId="173" fontId="17" fillId="0" borderId="10" xfId="1" applyNumberFormat="1" applyFont="1" applyBorder="1" applyAlignment="1">
      <alignment horizontal="left"/>
    </xf>
    <xf numFmtId="176" fontId="6" fillId="0" borderId="10" xfId="1" applyNumberFormat="1" applyFont="1" applyBorder="1"/>
    <xf numFmtId="43" fontId="7" fillId="0" borderId="5" xfId="3" applyFont="1" applyBorder="1" applyAlignment="1">
      <alignment horizontal="center"/>
    </xf>
    <xf numFmtId="43" fontId="6" fillId="0" borderId="0" xfId="3" applyFont="1" applyBorder="1" applyAlignment="1">
      <alignment horizontal="center"/>
    </xf>
    <xf numFmtId="171" fontId="6" fillId="0" borderId="0" xfId="3" applyNumberFormat="1" applyFont="1" applyBorder="1" applyAlignment="1">
      <alignment horizontal="center"/>
    </xf>
    <xf numFmtId="173" fontId="17" fillId="0" borderId="9" xfId="1" applyNumberFormat="1" applyFont="1" applyBorder="1" applyAlignment="1">
      <alignment horizontal="left"/>
    </xf>
    <xf numFmtId="176" fontId="6" fillId="0" borderId="9" xfId="1" applyNumberFormat="1" applyFont="1" applyBorder="1"/>
    <xf numFmtId="43" fontId="6" fillId="0" borderId="8" xfId="3" applyFont="1" applyBorder="1" applyAlignment="1">
      <alignment horizontal="center"/>
    </xf>
    <xf numFmtId="43" fontId="7" fillId="0" borderId="0" xfId="3" applyFont="1" applyBorder="1" applyAlignment="1">
      <alignment horizontal="center"/>
    </xf>
    <xf numFmtId="43" fontId="6" fillId="0" borderId="7" xfId="3" applyFont="1" applyBorder="1" applyAlignment="1">
      <alignment horizontal="center"/>
    </xf>
    <xf numFmtId="173" fontId="17" fillId="0" borderId="5" xfId="1" applyNumberFormat="1" applyFont="1" applyBorder="1" applyAlignment="1">
      <alignment horizontal="left"/>
    </xf>
    <xf numFmtId="176" fontId="6" fillId="0" borderId="5" xfId="1" applyNumberFormat="1" applyFont="1" applyBorder="1"/>
    <xf numFmtId="0" fontId="18" fillId="0" borderId="0" xfId="4" applyFont="1" applyAlignment="1">
      <alignment horizontal="center"/>
    </xf>
    <xf numFmtId="0" fontId="6" fillId="4" borderId="6" xfId="6" applyFont="1" applyFill="1" applyBorder="1" applyAlignment="1">
      <alignment horizontal="center" vertical="center"/>
    </xf>
    <xf numFmtId="0" fontId="23" fillId="4" borderId="6" xfId="6" applyFont="1" applyFill="1" applyBorder="1" applyAlignment="1">
      <alignment horizontal="center" vertical="center"/>
    </xf>
    <xf numFmtId="173" fontId="19" fillId="0" borderId="0" xfId="1" applyNumberFormat="1" applyFont="1" applyAlignment="1">
      <alignment horizontal="left"/>
    </xf>
    <xf numFmtId="175" fontId="19" fillId="0" borderId="0" xfId="1" applyNumberFormat="1" applyFont="1"/>
    <xf numFmtId="0" fontId="18" fillId="0" borderId="0" xfId="4" applyFont="1" applyAlignment="1">
      <alignment horizontal="left"/>
    </xf>
    <xf numFmtId="175" fontId="18" fillId="0" borderId="0" xfId="4" applyNumberFormat="1" applyFont="1"/>
    <xf numFmtId="173" fontId="6" fillId="0" borderId="0" xfId="7" applyNumberFormat="1" applyFont="1"/>
    <xf numFmtId="173" fontId="7" fillId="0" borderId="0" xfId="7" applyNumberFormat="1" applyFont="1"/>
    <xf numFmtId="0" fontId="17" fillId="3" borderId="0" xfId="4" applyFont="1" applyFill="1"/>
    <xf numFmtId="178" fontId="7" fillId="0" borderId="0" xfId="7" applyNumberFormat="1" applyFont="1"/>
    <xf numFmtId="167" fontId="18" fillId="0" borderId="0" xfId="1" applyNumberFormat="1" applyFont="1" applyBorder="1" applyAlignment="1"/>
    <xf numFmtId="10" fontId="18" fillId="0" borderId="0" xfId="2" applyNumberFormat="1" applyFont="1" applyBorder="1"/>
    <xf numFmtId="10" fontId="18" fillId="0" borderId="0" xfId="2" applyNumberFormat="1" applyFont="1" applyBorder="1" applyAlignment="1"/>
    <xf numFmtId="2" fontId="18" fillId="0" borderId="0" xfId="4" applyNumberFormat="1" applyFont="1"/>
    <xf numFmtId="173" fontId="6" fillId="0" borderId="9" xfId="7" applyNumberFormat="1" applyFont="1" applyBorder="1"/>
    <xf numFmtId="178" fontId="6" fillId="0" borderId="9" xfId="7" applyNumberFormat="1" applyFont="1" applyBorder="1"/>
    <xf numFmtId="166" fontId="18" fillId="0" borderId="0" xfId="1" applyFont="1" applyBorder="1" applyAlignment="1"/>
    <xf numFmtId="173" fontId="7" fillId="0" borderId="0" xfId="7" applyNumberFormat="1" applyFont="1" applyBorder="1"/>
    <xf numFmtId="166" fontId="18" fillId="0" borderId="0" xfId="4" applyNumberFormat="1" applyFont="1"/>
    <xf numFmtId="177" fontId="7" fillId="0" borderId="0" xfId="7" applyNumberFormat="1" applyFont="1"/>
    <xf numFmtId="166" fontId="18" fillId="0" borderId="0" xfId="4" applyNumberFormat="1" applyFont="1" applyAlignment="1">
      <alignment horizontal="right"/>
    </xf>
    <xf numFmtId="178" fontId="7" fillId="0" borderId="0" xfId="7" applyNumberFormat="1" applyFont="1" applyBorder="1"/>
    <xf numFmtId="10" fontId="18" fillId="0" borderId="0" xfId="4" applyNumberFormat="1" applyFont="1"/>
    <xf numFmtId="0" fontId="18" fillId="0" borderId="5" xfId="4" applyFont="1" applyBorder="1"/>
    <xf numFmtId="166" fontId="18" fillId="0" borderId="5" xfId="4" applyNumberFormat="1" applyFont="1" applyBorder="1"/>
    <xf numFmtId="178" fontId="7" fillId="0" borderId="6" xfId="7" applyNumberFormat="1" applyFont="1" applyBorder="1"/>
    <xf numFmtId="0" fontId="18" fillId="3" borderId="0" xfId="4" applyFont="1" applyFill="1"/>
    <xf numFmtId="10" fontId="18" fillId="3" borderId="0" xfId="4" applyNumberFormat="1" applyFont="1" applyFill="1"/>
    <xf numFmtId="166" fontId="18" fillId="0" borderId="0" xfId="1" applyFont="1"/>
    <xf numFmtId="9" fontId="18" fillId="0" borderId="0" xfId="4" applyNumberFormat="1" applyFont="1"/>
    <xf numFmtId="0" fontId="6" fillId="4" borderId="0" xfId="6" applyFont="1" applyFill="1" applyAlignment="1">
      <alignment vertical="center"/>
    </xf>
    <xf numFmtId="0" fontId="23" fillId="4" borderId="0" xfId="6" applyFont="1" applyFill="1" applyAlignment="1">
      <alignment horizontal="center" vertical="center"/>
    </xf>
    <xf numFmtId="0" fontId="17" fillId="3" borderId="1" xfId="4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6" fontId="18" fillId="0" borderId="1" xfId="0" applyNumberFormat="1" applyFont="1" applyBorder="1"/>
    <xf numFmtId="184" fontId="0" fillId="0" borderId="0" xfId="0" applyNumberFormat="1"/>
    <xf numFmtId="0" fontId="24" fillId="0" borderId="0" xfId="0" applyFont="1"/>
    <xf numFmtId="0" fontId="18" fillId="0" borderId="0" xfId="0" applyFont="1" applyAlignment="1">
      <alignment wrapText="1"/>
    </xf>
    <xf numFmtId="10" fontId="17" fillId="0" borderId="0" xfId="0" applyNumberFormat="1" applyFont="1" applyAlignment="1">
      <alignment vertical="center"/>
    </xf>
    <xf numFmtId="17" fontId="16" fillId="8" borderId="10" xfId="0" applyNumberFormat="1" applyFont="1" applyFill="1" applyBorder="1" applyAlignment="1">
      <alignment horizontal="left"/>
    </xf>
    <xf numFmtId="17" fontId="2" fillId="8" borderId="10" xfId="0" applyNumberFormat="1" applyFont="1" applyFill="1" applyBorder="1" applyAlignment="1">
      <alignment horizontal="left"/>
    </xf>
    <xf numFmtId="169" fontId="7" fillId="0" borderId="0" xfId="0" applyNumberFormat="1" applyFont="1"/>
    <xf numFmtId="169" fontId="18" fillId="0" borderId="0" xfId="0" applyNumberFormat="1" applyFont="1"/>
    <xf numFmtId="178" fontId="18" fillId="0" borderId="0" xfId="0" applyNumberFormat="1" applyFont="1"/>
    <xf numFmtId="2" fontId="15" fillId="0" borderId="0" xfId="0" applyNumberFormat="1" applyFont="1"/>
    <xf numFmtId="185" fontId="15" fillId="0" borderId="5" xfId="0" applyNumberFormat="1" applyFont="1" applyBorder="1"/>
    <xf numFmtId="0" fontId="18" fillId="0" borderId="15" xfId="0" applyFont="1" applyBorder="1"/>
    <xf numFmtId="2" fontId="18" fillId="0" borderId="15" xfId="0" applyNumberFormat="1" applyFont="1" applyBorder="1"/>
    <xf numFmtId="43" fontId="18" fillId="0" borderId="0" xfId="0" applyNumberFormat="1" applyFont="1" applyAlignment="1">
      <alignment horizontal="center"/>
    </xf>
    <xf numFmtId="43" fontId="17" fillId="0" borderId="0" xfId="0" applyNumberFormat="1" applyFont="1" applyAlignment="1">
      <alignment horizontal="center"/>
    </xf>
    <xf numFmtId="166" fontId="17" fillId="0" borderId="0" xfId="0" applyNumberFormat="1" applyFont="1"/>
    <xf numFmtId="17" fontId="16" fillId="0" borderId="0" xfId="0" applyNumberFormat="1" applyFont="1" applyAlignment="1">
      <alignment horizontal="left"/>
    </xf>
    <xf numFmtId="2" fontId="18" fillId="0" borderId="10" xfId="0" applyNumberFormat="1" applyFont="1" applyBorder="1"/>
    <xf numFmtId="169" fontId="15" fillId="0" borderId="0" xfId="0" applyNumberFormat="1" applyFont="1"/>
    <xf numFmtId="10" fontId="17" fillId="0" borderId="0" xfId="2" applyNumberFormat="1" applyFont="1"/>
    <xf numFmtId="0" fontId="6" fillId="6" borderId="2" xfId="0" applyFont="1" applyFill="1" applyBorder="1"/>
    <xf numFmtId="17" fontId="6" fillId="6" borderId="2" xfId="0" applyNumberFormat="1" applyFont="1" applyFill="1" applyBorder="1" applyAlignment="1">
      <alignment horizontal="center"/>
    </xf>
    <xf numFmtId="17" fontId="6" fillId="6" borderId="2" xfId="0" applyNumberFormat="1" applyFont="1" applyFill="1" applyBorder="1" applyAlignment="1">
      <alignment horizontal="right"/>
    </xf>
    <xf numFmtId="43" fontId="7" fillId="0" borderId="14" xfId="3" applyFont="1" applyBorder="1" applyAlignment="1">
      <alignment horizontal="center"/>
    </xf>
    <xf numFmtId="2" fontId="18" fillId="0" borderId="14" xfId="0" applyNumberFormat="1" applyFont="1" applyBorder="1"/>
    <xf numFmtId="166" fontId="17" fillId="0" borderId="14" xfId="0" applyNumberFormat="1" applyFont="1" applyBorder="1"/>
    <xf numFmtId="0" fontId="17" fillId="0" borderId="14" xfId="0" applyFont="1" applyBorder="1"/>
    <xf numFmtId="10" fontId="17" fillId="0" borderId="14" xfId="0" applyNumberFormat="1" applyFont="1" applyBorder="1"/>
    <xf numFmtId="0" fontId="18" fillId="7" borderId="14" xfId="0" applyFont="1" applyFill="1" applyBorder="1"/>
    <xf numFmtId="2" fontId="18" fillId="7" borderId="14" xfId="0" applyNumberFormat="1" applyFont="1" applyFill="1" applyBorder="1"/>
    <xf numFmtId="166" fontId="18" fillId="7" borderId="14" xfId="1" applyFont="1" applyFill="1" applyBorder="1"/>
    <xf numFmtId="166" fontId="18" fillId="0" borderId="14" xfId="0" applyNumberFormat="1" applyFont="1" applyBorder="1"/>
    <xf numFmtId="10" fontId="17" fillId="0" borderId="3" xfId="0" applyNumberFormat="1" applyFont="1" applyBorder="1"/>
    <xf numFmtId="169" fontId="18" fillId="0" borderId="14" xfId="0" applyNumberFormat="1" applyFont="1" applyBorder="1" applyAlignment="1">
      <alignment horizontal="center"/>
    </xf>
    <xf numFmtId="4" fontId="25" fillId="7" borderId="14" xfId="0" applyNumberFormat="1" applyFont="1" applyFill="1" applyBorder="1" applyAlignment="1">
      <alignment horizontal="center"/>
    </xf>
    <xf numFmtId="0" fontId="0" fillId="5" borderId="0" xfId="0" applyFill="1" applyAlignment="1">
      <alignment vertical="center"/>
    </xf>
    <xf numFmtId="0" fontId="0" fillId="0" borderId="0" xfId="4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5" borderId="13" xfId="0" applyFill="1" applyBorder="1" applyAlignment="1">
      <alignment vertical="center"/>
    </xf>
    <xf numFmtId="0" fontId="0" fillId="0" borderId="13" xfId="0" applyBorder="1"/>
    <xf numFmtId="170" fontId="0" fillId="0" borderId="0" xfId="0" applyNumberFormat="1"/>
    <xf numFmtId="4" fontId="0" fillId="0" borderId="0" xfId="0" applyNumberFormat="1"/>
    <xf numFmtId="179" fontId="0" fillId="0" borderId="0" xfId="0" applyNumberFormat="1"/>
    <xf numFmtId="0" fontId="0" fillId="0" borderId="6" xfId="0" applyBorder="1"/>
    <xf numFmtId="0" fontId="2" fillId="5" borderId="0" xfId="4" applyFont="1" applyFill="1"/>
    <xf numFmtId="0" fontId="2" fillId="0" borderId="0" xfId="4" applyFont="1"/>
    <xf numFmtId="170" fontId="0" fillId="0" borderId="0" xfId="4" applyNumberFormat="1" applyFont="1"/>
    <xf numFmtId="10" fontId="0" fillId="0" borderId="0" xfId="4" applyNumberFormat="1" applyFont="1"/>
    <xf numFmtId="167" fontId="0" fillId="0" borderId="0" xfId="1" applyNumberFormat="1" applyFont="1" applyAlignment="1">
      <alignment vertical="center"/>
    </xf>
    <xf numFmtId="2" fontId="0" fillId="5" borderId="0" xfId="0" applyNumberFormat="1" applyFill="1" applyAlignment="1">
      <alignment vertical="center"/>
    </xf>
    <xf numFmtId="0" fontId="2" fillId="0" borderId="5" xfId="4" applyFont="1" applyBorder="1"/>
    <xf numFmtId="170" fontId="2" fillId="0" borderId="5" xfId="4" applyNumberFormat="1" applyFont="1" applyBorder="1"/>
    <xf numFmtId="170" fontId="2" fillId="0" borderId="0" xfId="4" applyNumberFormat="1" applyFont="1"/>
    <xf numFmtId="0" fontId="0" fillId="0" borderId="9" xfId="4" applyFont="1" applyBorder="1"/>
    <xf numFmtId="168" fontId="0" fillId="0" borderId="0" xfId="4" applyNumberFormat="1" applyFont="1"/>
    <xf numFmtId="2" fontId="2" fillId="5" borderId="0" xfId="0" applyNumberFormat="1" applyFont="1" applyFill="1" applyAlignment="1">
      <alignment horizontal="right" vertical="center"/>
    </xf>
    <xf numFmtId="2" fontId="0" fillId="0" borderId="0" xfId="0" applyNumberFormat="1" applyAlignment="1">
      <alignment vertical="center"/>
    </xf>
    <xf numFmtId="165" fontId="0" fillId="0" borderId="13" xfId="0" applyNumberFormat="1" applyBorder="1"/>
    <xf numFmtId="165" fontId="0" fillId="0" borderId="0" xfId="0" applyNumberFormat="1"/>
    <xf numFmtId="0" fontId="26" fillId="0" borderId="0" xfId="0" applyFont="1"/>
    <xf numFmtId="10" fontId="26" fillId="0" borderId="13" xfId="2" applyNumberFormat="1" applyFont="1" applyBorder="1"/>
    <xf numFmtId="10" fontId="26" fillId="0" borderId="0" xfId="2" applyNumberFormat="1" applyFont="1" applyBorder="1"/>
    <xf numFmtId="2" fontId="2" fillId="5" borderId="0" xfId="0" applyNumberFormat="1" applyFont="1" applyFill="1" applyAlignment="1">
      <alignment vertical="center"/>
    </xf>
    <xf numFmtId="0" fontId="2" fillId="5" borderId="0" xfId="4" applyFont="1" applyFill="1" applyAlignment="1">
      <alignment horizontal="right"/>
    </xf>
    <xf numFmtId="10" fontId="0" fillId="0" borderId="0" xfId="0" applyNumberFormat="1" applyAlignment="1">
      <alignment horizontal="right" vertical="center"/>
    </xf>
    <xf numFmtId="15" fontId="0" fillId="0" borderId="0" xfId="0" applyNumberFormat="1" applyAlignment="1">
      <alignment horizontal="right" vertical="center"/>
    </xf>
    <xf numFmtId="0" fontId="0" fillId="5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9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0" fontId="0" fillId="0" borderId="0" xfId="0" applyNumberFormat="1" applyAlignment="1">
      <alignment horizontal="left" vertical="center"/>
    </xf>
    <xf numFmtId="4" fontId="6" fillId="0" borderId="0" xfId="6" applyNumberFormat="1" applyFont="1" applyAlignment="1">
      <alignment horizontal="center" vertical="center" wrapText="1"/>
    </xf>
    <xf numFmtId="4" fontId="18" fillId="0" borderId="0" xfId="0" applyNumberFormat="1" applyFont="1"/>
    <xf numFmtId="4" fontId="18" fillId="0" borderId="0" xfId="0" applyNumberFormat="1" applyFont="1" applyAlignment="1">
      <alignment wrapText="1"/>
    </xf>
    <xf numFmtId="17" fontId="2" fillId="0" borderId="0" xfId="0" applyNumberFormat="1" applyFont="1" applyAlignment="1">
      <alignment horizontal="left"/>
    </xf>
    <xf numFmtId="43" fontId="18" fillId="0" borderId="0" xfId="0" applyNumberFormat="1" applyFont="1"/>
    <xf numFmtId="175" fontId="18" fillId="0" borderId="0" xfId="0" applyNumberFormat="1" applyFont="1"/>
    <xf numFmtId="10" fontId="17" fillId="0" borderId="0" xfId="2" applyNumberFormat="1" applyFont="1" applyFill="1" applyBorder="1"/>
    <xf numFmtId="10" fontId="18" fillId="0" borderId="0" xfId="2" applyNumberFormat="1" applyFont="1"/>
    <xf numFmtId="0" fontId="17" fillId="3" borderId="0" xfId="0" applyFont="1" applyFill="1"/>
    <xf numFmtId="10" fontId="17" fillId="3" borderId="0" xfId="0" applyNumberFormat="1" applyFont="1" applyFill="1"/>
    <xf numFmtId="17" fontId="0" fillId="0" borderId="0" xfId="0" applyNumberFormat="1" applyAlignment="1">
      <alignment horizontal="left" indent="2"/>
    </xf>
    <xf numFmtId="17" fontId="0" fillId="0" borderId="0" xfId="4" applyNumberFormat="1" applyFont="1" applyAlignment="1">
      <alignment horizontal="left" indent="2"/>
    </xf>
    <xf numFmtId="0" fontId="26" fillId="0" borderId="0" xfId="4" applyFont="1"/>
    <xf numFmtId="0" fontId="8" fillId="3" borderId="6" xfId="4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7" fillId="3" borderId="1" xfId="4" applyFont="1" applyFill="1" applyBorder="1" applyAlignment="1">
      <alignment horizontal="center" vertical="center"/>
    </xf>
  </cellXfs>
  <cellStyles count="13">
    <cellStyle name="Comma" xfId="1" builtinId="3"/>
    <cellStyle name="Comma 2" xfId="3" xr:uid="{A19B172D-0CF8-40D3-8EA8-AC945DFDA347}"/>
    <cellStyle name="Comma 2 2" xfId="12" xr:uid="{93B991F9-1ED3-44C2-A2EA-B85BEA3E41F3}"/>
    <cellStyle name="Comma 3" xfId="7" xr:uid="{DF455CDE-428F-46D2-BD72-64D2CD2952E3}"/>
    <cellStyle name="Currency 2" xfId="5" xr:uid="{EA467EFC-8763-4604-B514-77652C9FC15B}"/>
    <cellStyle name="Hyperlink 2" xfId="8" xr:uid="{CC39DE8E-CCB4-4CF6-8025-8032175717B7}"/>
    <cellStyle name="Hyperlink 2 2" xfId="11" xr:uid="{16B2966D-BFA7-4291-BF95-5533792699A0}"/>
    <cellStyle name="Hyperlink 3" xfId="9" xr:uid="{E87DF7F8-04E7-4496-BCB8-B2AD5D89CE98}"/>
    <cellStyle name="Normal" xfId="0" builtinId="0"/>
    <cellStyle name="Normal 2" xfId="4" xr:uid="{DCCCAF52-278A-41BA-BD4D-62F1C7EEF1FC}"/>
    <cellStyle name="Normal 2 2" xfId="6" xr:uid="{739B1DF9-5347-41D8-873B-57B06626FDC0}"/>
    <cellStyle name="Normal 2 2 2" xfId="10" xr:uid="{04440E73-9576-4D05-944C-484BF07BD3C0}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'Cashflow (Annually)'!$I$22:$V$22</c:f>
              <c:numCache>
                <c:formatCode>General</c:formatCode>
                <c:ptCount val="14"/>
              </c:numCache>
            </c:numRef>
          </c:cat>
          <c:val>
            <c:numRef>
              <c:f>'[1]Invesment Working'!#REF!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'[1]Invesment Working'!#REF!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625-4ABC-9DD4-C42511C2B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4092639"/>
        <c:axId val="644075839"/>
      </c:barChart>
      <c:catAx>
        <c:axId val="64409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075839"/>
        <c:crosses val="autoZero"/>
        <c:auto val="1"/>
        <c:lblAlgn val="ctr"/>
        <c:lblOffset val="100"/>
        <c:noMultiLvlLbl val="0"/>
      </c:catAx>
      <c:valAx>
        <c:axId val="64407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092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Net Cash Flow (INR)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'Cashflow (Annually)'!$D$9:$N$9</c:f>
              <c:strCache>
                <c:ptCount val="11"/>
                <c:pt idx="0">
                  <c:v>Y1</c:v>
                </c:pt>
                <c:pt idx="1">
                  <c:v>Y2</c:v>
                </c:pt>
                <c:pt idx="2">
                  <c:v>Y3</c:v>
                </c:pt>
                <c:pt idx="3">
                  <c:v>Y4</c:v>
                </c:pt>
                <c:pt idx="4">
                  <c:v>Y5</c:v>
                </c:pt>
                <c:pt idx="5">
                  <c:v>Y6</c:v>
                </c:pt>
                <c:pt idx="6">
                  <c:v>Y7</c:v>
                </c:pt>
                <c:pt idx="7">
                  <c:v>Y8</c:v>
                </c:pt>
                <c:pt idx="8">
                  <c:v>Y9</c:v>
                </c:pt>
                <c:pt idx="9">
                  <c:v>Y10</c:v>
                </c:pt>
                <c:pt idx="10">
                  <c:v>Y11</c:v>
                </c:pt>
              </c:strCache>
            </c:strRef>
          </c:cat>
          <c:val>
            <c:numRef>
              <c:f>'Cashflow (Annually)'!$D$17:$N$17</c:f>
              <c:numCache>
                <c:formatCode>#,##0.00;[Red]\(#,##0.00\)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6-48E7-B131-5849351A5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586955712"/>
        <c:axId val="1586952352"/>
      </c:barChart>
      <c:catAx>
        <c:axId val="158695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952352"/>
        <c:crosses val="autoZero"/>
        <c:auto val="1"/>
        <c:lblAlgn val="ctr"/>
        <c:lblOffset val="100"/>
        <c:noMultiLvlLbl val="0"/>
      </c:catAx>
      <c:valAx>
        <c:axId val="1586952352"/>
        <c:scaling>
          <c:orientation val="minMax"/>
        </c:scaling>
        <c:delete val="0"/>
        <c:axPos val="l"/>
        <c:numFmt formatCode="#,##0.00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695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08092738407699"/>
          <c:y val="5.0925925925925923E-2"/>
          <c:w val="0.84325240594925632"/>
          <c:h val="0.89814814814814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7777777777777779E-3"/>
                  <c:y val="-7.407407407407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0A-4DAA-AE00-385416384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'Cashflow (Annually)'!$D$21:$H$21</c:f>
              <c:strCache>
                <c:ptCount val="5"/>
                <c:pt idx="0">
                  <c:v>Y0</c:v>
                </c:pt>
                <c:pt idx="1">
                  <c:v>Y1</c:v>
                </c:pt>
                <c:pt idx="2">
                  <c:v>Y2</c:v>
                </c:pt>
                <c:pt idx="3">
                  <c:v>Y3</c:v>
                </c:pt>
                <c:pt idx="4">
                  <c:v>Y4</c:v>
                </c:pt>
              </c:strCache>
            </c:strRef>
          </c:cat>
          <c:val>
            <c:numRef>
              <c:f>'Cashflow (Annually)'!$D$24:$H$24</c:f>
              <c:numCache>
                <c:formatCode>_ [$₹-4009]\ * #,##0.00_ ;_ [$₹-4009]\ * \-#,##0.00_ ;_ [$₹-4009]\ * "-"??_ ;_ @_ </c:formatCode>
                <c:ptCount val="5"/>
                <c:pt idx="0" formatCode="#,##0.00;[Red]\(#,##0.00\)">
                  <c:v>-465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A-4DAA-AE00-3854163845DA}"/>
            </c:ext>
          </c:extLst>
        </c:ser>
        <c:ser>
          <c:idx val="1"/>
          <c:order val="1"/>
          <c:tx>
            <c:strRef>
              <c:f>'Cashflow (Annually)'!$C$25</c:f>
              <c:strCache>
                <c:ptCount val="1"/>
                <c:pt idx="0">
                  <c:v>Rental Income 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7777777777777776E-2"/>
                  <c:y val="-0.115711213181685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0A-4DAA-AE00-3854163845DA}"/>
                </c:ext>
              </c:extLst>
            </c:dLbl>
            <c:dLbl>
              <c:idx val="2"/>
              <c:layout>
                <c:manualLayout>
                  <c:x val="-1.9444444444444445E-2"/>
                  <c:y val="0.152780694079906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0A-4DAA-AE00-3854163845DA}"/>
                </c:ext>
              </c:extLst>
            </c:dLbl>
            <c:dLbl>
              <c:idx val="3"/>
              <c:layout>
                <c:manualLayout>
                  <c:x val="5.5555555555554534E-3"/>
                  <c:y val="-6.94418926800817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0A-4DAA-AE00-3854163845DA}"/>
                </c:ext>
              </c:extLst>
            </c:dLbl>
            <c:dLbl>
              <c:idx val="4"/>
              <c:layout>
                <c:manualLayout>
                  <c:x val="1.1111111111111112E-2"/>
                  <c:y val="-4.61676144648586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0A-4DAA-AE00-385416384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'Cashflow (Annually)'!$D$25:$H$25</c:f>
              <c:numCache>
                <c:formatCode>0.00%</c:formatCode>
                <c:ptCount val="5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3.4408602150537634E-2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0A-4DAA-AE00-3854163845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1445423"/>
        <c:axId val="1311445903"/>
      </c:barChart>
      <c:catAx>
        <c:axId val="131144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445903"/>
        <c:crosses val="autoZero"/>
        <c:auto val="1"/>
        <c:lblAlgn val="ctr"/>
        <c:lblOffset val="100"/>
        <c:noMultiLvlLbl val="0"/>
      </c:catAx>
      <c:valAx>
        <c:axId val="1311445903"/>
        <c:scaling>
          <c:orientation val="minMax"/>
        </c:scaling>
        <c:delete val="0"/>
        <c:axPos val="l"/>
        <c:numFmt formatCode="#,##0.00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445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336177</xdr:colOff>
      <xdr:row>8</xdr:row>
      <xdr:rowOff>0</xdr:rowOff>
    </xdr:from>
    <xdr:to>
      <xdr:col>48</xdr:col>
      <xdr:colOff>67235</xdr:colOff>
      <xdr:row>19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FD8B566-038E-049A-0B7A-103173A0F9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605117</xdr:colOff>
      <xdr:row>0</xdr:row>
      <xdr:rowOff>44823</xdr:rowOff>
    </xdr:from>
    <xdr:to>
      <xdr:col>27</xdr:col>
      <xdr:colOff>484094</xdr:colOff>
      <xdr:row>19</xdr:row>
      <xdr:rowOff>44823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228DF4-A055-D183-BD66-C4C5073437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614081</xdr:colOff>
      <xdr:row>20</xdr:row>
      <xdr:rowOff>8966</xdr:rowOff>
    </xdr:from>
    <xdr:to>
      <xdr:col>27</xdr:col>
      <xdr:colOff>475129</xdr:colOff>
      <xdr:row>34</xdr:row>
      <xdr:rowOff>107578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5A7967-CBED-5D54-403A-E001A350F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vesment%20Workin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ment Working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22CCB-441E-4968-B04D-7505C434B849}">
  <dimension ref="A2:M39"/>
  <sheetViews>
    <sheetView showGridLines="0" topLeftCell="C1" workbookViewId="0">
      <selection activeCell="B14" sqref="B14:D15"/>
    </sheetView>
  </sheetViews>
  <sheetFormatPr defaultRowHeight="14.45"/>
  <cols>
    <col min="1" max="1" width="30.140625" customWidth="1"/>
    <col min="2" max="2" width="15.85546875" customWidth="1"/>
    <col min="3" max="3" width="25.28515625" bestFit="1" customWidth="1"/>
    <col min="4" max="4" width="15.85546875" customWidth="1"/>
    <col min="5" max="5" width="4.7109375" customWidth="1"/>
    <col min="6" max="6" width="30.42578125" customWidth="1"/>
    <col min="7" max="7" width="14.85546875" customWidth="1"/>
    <col min="8" max="8" width="5.140625" customWidth="1"/>
    <col min="9" max="9" width="32.28515625" bestFit="1" customWidth="1"/>
    <col min="10" max="10" width="20.28515625" customWidth="1"/>
    <col min="11" max="11" width="13.42578125" customWidth="1"/>
  </cols>
  <sheetData>
    <row r="2" spans="1:11">
      <c r="A2" s="200" t="s">
        <v>0</v>
      </c>
      <c r="B2" s="200" t="s">
        <v>1</v>
      </c>
      <c r="C2" s="201"/>
      <c r="D2" s="201"/>
      <c r="E2" s="191"/>
      <c r="F2" s="200" t="s">
        <v>2</v>
      </c>
      <c r="G2" s="200" t="s">
        <v>1</v>
      </c>
      <c r="I2" s="19" t="s">
        <v>3</v>
      </c>
      <c r="J2" s="19" t="s">
        <v>4</v>
      </c>
      <c r="K2" s="19"/>
    </row>
    <row r="3" spans="1:11">
      <c r="A3" s="191" t="s">
        <v>5</v>
      </c>
      <c r="B3" s="202">
        <f>B14</f>
        <v>465</v>
      </c>
      <c r="C3" s="202"/>
      <c r="D3" s="202"/>
      <c r="E3" s="191"/>
      <c r="F3" s="191"/>
      <c r="G3" s="203"/>
      <c r="I3" s="192" t="s">
        <v>6</v>
      </c>
      <c r="J3" s="192" t="s">
        <v>7</v>
      </c>
      <c r="K3" s="204">
        <f>SUM(K5:K8)</f>
        <v>492000</v>
      </c>
    </row>
    <row r="4" spans="1:11">
      <c r="A4" s="239" t="s">
        <v>8</v>
      </c>
      <c r="B4" s="202"/>
      <c r="C4" s="202"/>
      <c r="D4" s="202"/>
      <c r="E4" s="191"/>
      <c r="F4" s="191" t="s">
        <v>9</v>
      </c>
      <c r="G4" s="202">
        <f>'Cash Flow'!N21</f>
        <v>891.84215287834127</v>
      </c>
      <c r="I4" s="20" t="s">
        <v>10</v>
      </c>
      <c r="J4" s="190"/>
      <c r="K4" s="205"/>
    </row>
    <row r="5" spans="1:11">
      <c r="A5" s="237">
        <v>45748</v>
      </c>
      <c r="B5" s="202">
        <v>100</v>
      </c>
      <c r="C5" s="208"/>
      <c r="D5" s="208"/>
      <c r="E5" s="191"/>
      <c r="F5" s="191" t="s">
        <v>11</v>
      </c>
      <c r="G5" s="202">
        <f>SUM('Cash Flow'!F20:N20)</f>
        <v>369.17980242276496</v>
      </c>
      <c r="I5" s="193" t="s">
        <v>12</v>
      </c>
      <c r="J5" t="s">
        <v>13</v>
      </c>
      <c r="K5" s="204">
        <v>39360</v>
      </c>
    </row>
    <row r="6" spans="1:11">
      <c r="A6" s="238">
        <v>45839</v>
      </c>
      <c r="B6" s="202">
        <v>100</v>
      </c>
      <c r="C6" s="191"/>
      <c r="D6" s="191"/>
      <c r="E6" s="191"/>
      <c r="F6" s="191" t="s">
        <v>14</v>
      </c>
      <c r="G6" s="202">
        <f>Financials!O10</f>
        <v>11.453760000000001</v>
      </c>
      <c r="I6" s="193" t="s">
        <v>15</v>
      </c>
      <c r="J6" t="s">
        <v>13</v>
      </c>
      <c r="K6" s="204">
        <v>196800</v>
      </c>
    </row>
    <row r="7" spans="1:11">
      <c r="A7" s="238">
        <v>45931</v>
      </c>
      <c r="B7" s="202">
        <v>100</v>
      </c>
      <c r="C7" s="191"/>
      <c r="D7" s="191"/>
      <c r="E7" s="191"/>
      <c r="F7" s="201" t="s">
        <v>16</v>
      </c>
      <c r="G7" s="208">
        <f>G4+G5</f>
        <v>1261.0219553011061</v>
      </c>
      <c r="I7" s="193" t="s">
        <v>17</v>
      </c>
      <c r="J7" t="s">
        <v>13</v>
      </c>
      <c r="K7" s="204">
        <v>196800</v>
      </c>
    </row>
    <row r="8" spans="1:11">
      <c r="A8" s="237">
        <v>45992</v>
      </c>
      <c r="B8" s="202">
        <f>B9-SUM(B5:B7)</f>
        <v>165</v>
      </c>
      <c r="C8" s="191"/>
      <c r="D8" s="191"/>
      <c r="E8" s="191"/>
      <c r="F8" s="209"/>
      <c r="G8" s="209"/>
      <c r="I8" s="193" t="s">
        <v>18</v>
      </c>
      <c r="J8" t="s">
        <v>19</v>
      </c>
      <c r="K8" s="204">
        <v>59040</v>
      </c>
    </row>
    <row r="9" spans="1:11">
      <c r="A9" s="206" t="s">
        <v>20</v>
      </c>
      <c r="B9" s="207">
        <f>B3</f>
        <v>465</v>
      </c>
      <c r="C9" s="191"/>
      <c r="D9" s="191"/>
      <c r="E9" s="210"/>
      <c r="F9" s="191"/>
      <c r="G9" s="191"/>
      <c r="I9" s="20" t="s">
        <v>21</v>
      </c>
      <c r="J9" s="190" t="s">
        <v>22</v>
      </c>
      <c r="K9" s="211" t="s">
        <v>23</v>
      </c>
    </row>
    <row r="10" spans="1:11">
      <c r="E10" s="191"/>
      <c r="F10" s="200" t="s">
        <v>24</v>
      </c>
      <c r="G10" s="200"/>
      <c r="I10" s="192" t="s">
        <v>12</v>
      </c>
      <c r="J10" s="193">
        <v>110</v>
      </c>
      <c r="K10" s="212">
        <f>(J10*K5)/10^7</f>
        <v>0.43296000000000001</v>
      </c>
    </row>
    <row r="11" spans="1:11">
      <c r="E11" s="191"/>
      <c r="F11" s="55" t="s">
        <v>25</v>
      </c>
      <c r="G11" s="56">
        <f>((G7-G6)/B3-1)/10</f>
        <v>0.16872434307550668</v>
      </c>
      <c r="I11" s="192" t="s">
        <v>15</v>
      </c>
      <c r="J11" s="193">
        <v>65</v>
      </c>
      <c r="K11" s="212">
        <f>(J11*K6)/10^7</f>
        <v>1.2791999999999999</v>
      </c>
    </row>
    <row r="12" spans="1:11">
      <c r="E12" s="191"/>
      <c r="F12" s="55" t="s">
        <v>26</v>
      </c>
      <c r="G12" s="56">
        <f>'Cash Flow'!E26</f>
        <v>0.21748140197412136</v>
      </c>
      <c r="I12" s="192" t="s">
        <v>17</v>
      </c>
      <c r="J12" s="193">
        <v>45</v>
      </c>
      <c r="K12" s="212">
        <f>(J12*K7)/10^7</f>
        <v>0.88560000000000005</v>
      </c>
    </row>
    <row r="13" spans="1:11">
      <c r="A13" s="20" t="s">
        <v>27</v>
      </c>
      <c r="B13" s="194" t="s">
        <v>28</v>
      </c>
      <c r="C13" s="20" t="s">
        <v>27</v>
      </c>
      <c r="D13" s="190" t="s">
        <v>28</v>
      </c>
      <c r="E13" s="191"/>
      <c r="F13" s="55" t="s">
        <v>29</v>
      </c>
      <c r="G13" s="56">
        <f>'Cash Flow'!E27</f>
        <v>0.17088577151298523</v>
      </c>
      <c r="I13" s="192" t="s">
        <v>18</v>
      </c>
      <c r="J13" s="193">
        <v>45</v>
      </c>
      <c r="K13" s="212">
        <f>(J13*K8)/10^7</f>
        <v>0.26568000000000003</v>
      </c>
    </row>
    <row r="14" spans="1:11">
      <c r="A14" t="s">
        <v>30</v>
      </c>
      <c r="B14" s="213">
        <v>465</v>
      </c>
      <c r="C14" s="214" t="s">
        <v>31</v>
      </c>
      <c r="D14" s="214">
        <v>498</v>
      </c>
      <c r="I14" s="20" t="s">
        <v>32</v>
      </c>
      <c r="J14" s="20"/>
      <c r="K14" s="218">
        <f>SUM(K10:K13)</f>
        <v>2.8634400000000002</v>
      </c>
    </row>
    <row r="15" spans="1:11">
      <c r="A15" t="s">
        <v>33</v>
      </c>
      <c r="B15" s="213">
        <f>B3</f>
        <v>465</v>
      </c>
      <c r="C15" s="214" t="s">
        <v>33</v>
      </c>
      <c r="D15" s="214">
        <f>B15</f>
        <v>465</v>
      </c>
      <c r="F15" s="200" t="s">
        <v>34</v>
      </c>
      <c r="G15" s="219" t="s">
        <v>23</v>
      </c>
      <c r="I15" s="192" t="s">
        <v>35</v>
      </c>
      <c r="J15" t="s">
        <v>36</v>
      </c>
      <c r="K15" s="212">
        <f>K14*4</f>
        <v>11.453760000000001</v>
      </c>
    </row>
    <row r="16" spans="1:11">
      <c r="A16" s="215" t="s">
        <v>37</v>
      </c>
      <c r="B16" s="216">
        <f>B15/B14</f>
        <v>1</v>
      </c>
      <c r="C16" s="217" t="s">
        <v>37</v>
      </c>
      <c r="D16" s="217">
        <f>D15/D14</f>
        <v>0.9337349397590361</v>
      </c>
      <c r="F16" t="s">
        <v>31</v>
      </c>
      <c r="G16" s="196">
        <v>498</v>
      </c>
      <c r="I16" s="192" t="s">
        <v>38</v>
      </c>
      <c r="J16" t="s">
        <v>36</v>
      </c>
      <c r="K16" s="212">
        <f>K15*Financials!O28</f>
        <v>11.453760000000001</v>
      </c>
    </row>
    <row r="17" spans="1:13">
      <c r="B17" s="195"/>
      <c r="F17" t="s">
        <v>39</v>
      </c>
      <c r="G17" s="197">
        <v>10</v>
      </c>
      <c r="I17" s="192" t="s">
        <v>40</v>
      </c>
      <c r="J17" s="192"/>
      <c r="K17" s="220">
        <v>7.2499999999999995E-2</v>
      </c>
      <c r="M17" s="38"/>
    </row>
    <row r="18" spans="1:13">
      <c r="A18" s="20"/>
      <c r="B18" s="190"/>
      <c r="C18" s="211"/>
      <c r="D18" s="20"/>
      <c r="F18" t="s">
        <v>41</v>
      </c>
      <c r="G18" s="1">
        <v>0.06</v>
      </c>
      <c r="I18" s="192" t="s">
        <v>42</v>
      </c>
      <c r="J18" s="192"/>
      <c r="K18" s="221">
        <v>46296</v>
      </c>
    </row>
    <row r="19" spans="1:13">
      <c r="F19" t="s">
        <v>43</v>
      </c>
      <c r="G19" s="198">
        <f>(G18+1)^G17</f>
        <v>1.7908476965428546</v>
      </c>
      <c r="I19" t="s">
        <v>44</v>
      </c>
      <c r="J19" t="s">
        <v>45</v>
      </c>
      <c r="K19" s="1">
        <v>0.05</v>
      </c>
    </row>
    <row r="20" spans="1:13">
      <c r="F20" t="s">
        <v>46</v>
      </c>
      <c r="G20" s="196">
        <f>G16*G19</f>
        <v>891.84215287834161</v>
      </c>
      <c r="I20" s="192" t="s">
        <v>47</v>
      </c>
      <c r="K20" s="221">
        <v>46023</v>
      </c>
    </row>
    <row r="21" spans="1:13">
      <c r="F21" t="s">
        <v>48</v>
      </c>
      <c r="G21" s="196">
        <f>'Cash Flow'!N21</f>
        <v>891.84215287834127</v>
      </c>
      <c r="I21" s="192" t="s">
        <v>49</v>
      </c>
      <c r="K21" s="221">
        <v>45748</v>
      </c>
    </row>
    <row r="22" spans="1:13">
      <c r="F22" s="199"/>
      <c r="G22" s="199"/>
      <c r="I22" s="192" t="s">
        <v>34</v>
      </c>
      <c r="K22" s="1">
        <v>0.06</v>
      </c>
    </row>
    <row r="23" spans="1:13">
      <c r="I23" s="190"/>
      <c r="J23" s="190"/>
      <c r="K23" s="222"/>
    </row>
    <row r="24" spans="1:13">
      <c r="I24" s="192"/>
      <c r="J24" s="192"/>
      <c r="K24" s="223"/>
    </row>
    <row r="25" spans="1:13">
      <c r="I25" s="192"/>
      <c r="J25" s="192"/>
      <c r="K25" s="223"/>
    </row>
    <row r="26" spans="1:13">
      <c r="I26" s="192"/>
      <c r="J26" s="192"/>
      <c r="K26" s="223"/>
    </row>
    <row r="27" spans="1:13">
      <c r="I27" s="192"/>
      <c r="J27" s="192"/>
      <c r="K27" s="223"/>
    </row>
    <row r="28" spans="1:13">
      <c r="I28" s="192"/>
      <c r="J28" s="192"/>
      <c r="K28" s="223"/>
    </row>
    <row r="29" spans="1:13">
      <c r="I29" s="192"/>
      <c r="J29" s="192"/>
      <c r="K29" s="223"/>
    </row>
    <row r="30" spans="1:13">
      <c r="I30" s="192"/>
      <c r="J30" s="192"/>
      <c r="K30" s="223"/>
    </row>
    <row r="31" spans="1:13">
      <c r="I31" s="192"/>
      <c r="J31" s="192"/>
      <c r="K31" s="224"/>
    </row>
    <row r="32" spans="1:13">
      <c r="I32" s="192"/>
      <c r="J32" s="192"/>
      <c r="K32" s="223"/>
    </row>
    <row r="33" spans="9:11">
      <c r="I33" s="192"/>
      <c r="J33" s="192"/>
      <c r="K33" s="225"/>
    </row>
    <row r="34" spans="9:11">
      <c r="I34" s="192"/>
      <c r="J34" s="192"/>
      <c r="K34" s="224"/>
    </row>
    <row r="35" spans="9:11">
      <c r="I35" s="192"/>
      <c r="J35" s="192"/>
      <c r="K35" s="225"/>
    </row>
    <row r="36" spans="9:11">
      <c r="I36" s="192"/>
      <c r="J36" s="192"/>
      <c r="K36" s="226"/>
    </row>
    <row r="39" spans="9:11">
      <c r="I39" s="4"/>
      <c r="J39" s="192"/>
      <c r="K39" s="2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7F992-224B-49E4-8803-22B45F86B76E}">
  <dimension ref="C2:AK29"/>
  <sheetViews>
    <sheetView showGridLines="0" topLeftCell="A5" zoomScale="85" zoomScaleNormal="85" workbookViewId="0">
      <selection activeCell="D10" sqref="D10"/>
    </sheetView>
  </sheetViews>
  <sheetFormatPr defaultColWidth="7.85546875" defaultRowHeight="15" customHeight="1"/>
  <cols>
    <col min="1" max="2" width="7.85546875" style="2"/>
    <col min="3" max="3" width="35.85546875" style="2" bestFit="1" customWidth="1"/>
    <col min="4" max="4" width="10" style="2" bestFit="1" customWidth="1"/>
    <col min="5" max="5" width="9" style="2" customWidth="1"/>
    <col min="6" max="14" width="9.42578125" style="2" bestFit="1" customWidth="1"/>
    <col min="15" max="15" width="7.28515625" style="2" customWidth="1"/>
    <col min="16" max="16" width="10.7109375" style="2" customWidth="1"/>
    <col min="17" max="17" width="9.42578125" style="2" bestFit="1" customWidth="1"/>
    <col min="18" max="18" width="7.42578125" style="2" bestFit="1" customWidth="1"/>
    <col min="19" max="24" width="8.42578125" style="2" bestFit="1" customWidth="1"/>
    <col min="25" max="37" width="7.85546875" style="2" bestFit="1" customWidth="1"/>
    <col min="38" max="38" width="8.140625" style="2" customWidth="1"/>
    <col min="39" max="16384" width="7.85546875" style="2"/>
  </cols>
  <sheetData>
    <row r="2" spans="3:37" ht="15" customHeight="1">
      <c r="C2" s="27" t="s">
        <v>50</v>
      </c>
      <c r="D2" s="27" t="s">
        <v>51</v>
      </c>
      <c r="E2" s="27" t="s">
        <v>52</v>
      </c>
      <c r="F2" s="27" t="s">
        <v>53</v>
      </c>
      <c r="G2" s="27" t="s">
        <v>54</v>
      </c>
      <c r="H2" s="27" t="s">
        <v>55</v>
      </c>
      <c r="I2" s="27" t="s">
        <v>56</v>
      </c>
      <c r="J2" s="27" t="s">
        <v>57</v>
      </c>
      <c r="K2" s="27" t="s">
        <v>58</v>
      </c>
      <c r="L2" s="27" t="s">
        <v>59</v>
      </c>
      <c r="M2" s="27" t="s">
        <v>60</v>
      </c>
      <c r="N2" s="27" t="s">
        <v>61</v>
      </c>
    </row>
    <row r="3" spans="3:37" ht="15" customHeight="1">
      <c r="C3" s="15" t="s">
        <v>62</v>
      </c>
      <c r="D3" s="17">
        <f>11125000/10^7</f>
        <v>1.1125</v>
      </c>
      <c r="E3" s="17">
        <f>D3*(1+5%)</f>
        <v>1.1681250000000001</v>
      </c>
      <c r="F3" s="17">
        <f t="shared" ref="F3:L3" si="0">E3*(1+5%)</f>
        <v>1.2265312500000001</v>
      </c>
      <c r="G3" s="17">
        <f>F3*(1+5%)</f>
        <v>1.2878578125000002</v>
      </c>
      <c r="H3" s="17">
        <f t="shared" si="0"/>
        <v>1.3522507031250002</v>
      </c>
      <c r="I3" s="17">
        <f t="shared" si="0"/>
        <v>1.4198632382812502</v>
      </c>
      <c r="J3" s="17">
        <f t="shared" si="0"/>
        <v>1.4908564001953126</v>
      </c>
      <c r="K3" s="17">
        <f t="shared" si="0"/>
        <v>1.5653992202050784</v>
      </c>
      <c r="L3" s="17">
        <f t="shared" si="0"/>
        <v>1.6436691812153323</v>
      </c>
      <c r="M3" s="17">
        <f t="shared" ref="M3" si="1">L3*(1+5%)</f>
        <v>1.725852640276099</v>
      </c>
      <c r="N3" s="17">
        <f t="shared" ref="N3" si="2">M3*(1+5%)</f>
        <v>1.8121452722899041</v>
      </c>
    </row>
    <row r="4" spans="3:37" ht="15" customHeight="1">
      <c r="C4" s="14" t="s">
        <v>63</v>
      </c>
      <c r="D4" s="17">
        <f>D3*12</f>
        <v>13.350000000000001</v>
      </c>
      <c r="E4" s="17">
        <f t="shared" ref="E4:G4" si="3">E3*12</f>
        <v>14.017500000000002</v>
      </c>
      <c r="F4" s="17">
        <f t="shared" si="3"/>
        <v>14.718375000000002</v>
      </c>
      <c r="G4" s="17">
        <f t="shared" si="3"/>
        <v>15.454293750000001</v>
      </c>
      <c r="H4" s="17">
        <f t="shared" ref="H4:L4" si="4">H3*12</f>
        <v>16.227008437500004</v>
      </c>
      <c r="I4" s="17">
        <f t="shared" si="4"/>
        <v>17.038358859375002</v>
      </c>
      <c r="J4" s="17">
        <f t="shared" si="4"/>
        <v>17.890276802343752</v>
      </c>
      <c r="K4" s="17">
        <f t="shared" si="4"/>
        <v>18.784790642460941</v>
      </c>
      <c r="L4" s="17">
        <f t="shared" si="4"/>
        <v>19.724030174583987</v>
      </c>
      <c r="M4" s="17">
        <f t="shared" ref="M4:N4" si="5">M3*12</f>
        <v>20.710231683313189</v>
      </c>
      <c r="N4" s="17">
        <f t="shared" si="5"/>
        <v>21.745743267478851</v>
      </c>
    </row>
    <row r="5" spans="3:37" ht="15" customHeight="1">
      <c r="C5" s="14" t="s">
        <v>64</v>
      </c>
      <c r="D5" s="17">
        <f>(D3*4)*7.25%</f>
        <v>0.322625</v>
      </c>
      <c r="E5" s="17">
        <f t="shared" ref="E5:N5" si="6">($D$3*4)*7.25%</f>
        <v>0.322625</v>
      </c>
      <c r="F5" s="17">
        <f t="shared" si="6"/>
        <v>0.322625</v>
      </c>
      <c r="G5" s="17">
        <f t="shared" si="6"/>
        <v>0.322625</v>
      </c>
      <c r="H5" s="17">
        <f t="shared" si="6"/>
        <v>0.322625</v>
      </c>
      <c r="I5" s="17">
        <f t="shared" si="6"/>
        <v>0.322625</v>
      </c>
      <c r="J5" s="17">
        <f t="shared" si="6"/>
        <v>0.322625</v>
      </c>
      <c r="K5" s="17">
        <f t="shared" si="6"/>
        <v>0.322625</v>
      </c>
      <c r="L5" s="17">
        <f t="shared" si="6"/>
        <v>0.322625</v>
      </c>
      <c r="M5" s="17">
        <f t="shared" si="6"/>
        <v>0.322625</v>
      </c>
      <c r="N5" s="17">
        <f t="shared" si="6"/>
        <v>0.322625</v>
      </c>
    </row>
    <row r="6" spans="3:37" ht="15" customHeight="1">
      <c r="C6" s="14" t="s">
        <v>65</v>
      </c>
      <c r="D6" s="18">
        <v>200000</v>
      </c>
      <c r="E6" s="18">
        <v>200000</v>
      </c>
      <c r="F6" s="18">
        <v>200000</v>
      </c>
      <c r="G6" s="18">
        <v>200000</v>
      </c>
      <c r="H6" s="18">
        <v>200000</v>
      </c>
      <c r="I6" s="18">
        <v>200000</v>
      </c>
      <c r="J6" s="18">
        <v>200000</v>
      </c>
      <c r="K6" s="18">
        <v>200000</v>
      </c>
      <c r="L6" s="18">
        <v>200000</v>
      </c>
      <c r="M6" s="18">
        <v>200000</v>
      </c>
      <c r="N6" s="18">
        <v>200000</v>
      </c>
    </row>
    <row r="7" spans="3:37" ht="15" customHeight="1">
      <c r="C7" s="14" t="s">
        <v>66</v>
      </c>
      <c r="D7" s="26">
        <f>(D3/D6)*10^7</f>
        <v>55.625000000000007</v>
      </c>
      <c r="E7" s="26">
        <f t="shared" ref="E7:N7" si="7">(E3/E6)*10^7</f>
        <v>58.406250000000007</v>
      </c>
      <c r="F7" s="26">
        <f t="shared" si="7"/>
        <v>61.326562500000001</v>
      </c>
      <c r="G7" s="26">
        <f t="shared" si="7"/>
        <v>64.392890625000007</v>
      </c>
      <c r="H7" s="26">
        <f t="shared" si="7"/>
        <v>67.612535156250004</v>
      </c>
      <c r="I7" s="26">
        <f t="shared" si="7"/>
        <v>70.993161914062512</v>
      </c>
      <c r="J7" s="26">
        <f t="shared" si="7"/>
        <v>74.542820009765634</v>
      </c>
      <c r="K7" s="26">
        <f t="shared" si="7"/>
        <v>78.269961010253908</v>
      </c>
      <c r="L7" s="26">
        <f t="shared" si="7"/>
        <v>82.183459060766623</v>
      </c>
      <c r="M7" s="26">
        <f t="shared" si="7"/>
        <v>86.292632013804948</v>
      </c>
      <c r="N7" s="26">
        <f t="shared" si="7"/>
        <v>90.607263614495196</v>
      </c>
    </row>
    <row r="8" spans="3:37" ht="15" customHeight="1">
      <c r="G8" s="5"/>
    </row>
    <row r="9" spans="3:37" ht="15" customHeight="1">
      <c r="C9" s="28" t="s">
        <v>67</v>
      </c>
      <c r="D9" s="27" t="s">
        <v>51</v>
      </c>
      <c r="E9" s="27" t="s">
        <v>52</v>
      </c>
      <c r="F9" s="27" t="s">
        <v>53</v>
      </c>
      <c r="G9" s="27" t="s">
        <v>54</v>
      </c>
      <c r="H9" s="27" t="s">
        <v>55</v>
      </c>
      <c r="I9" s="27" t="s">
        <v>56</v>
      </c>
      <c r="J9" s="27" t="s">
        <v>57</v>
      </c>
      <c r="K9" s="27" t="s">
        <v>58</v>
      </c>
      <c r="L9" s="27" t="s">
        <v>59</v>
      </c>
      <c r="M9" s="27" t="s">
        <v>60</v>
      </c>
      <c r="N9" s="27" t="s">
        <v>61</v>
      </c>
      <c r="O9" s="29" t="s">
        <v>68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3:37" ht="15" customHeight="1">
      <c r="C10" s="14" t="s">
        <v>69</v>
      </c>
      <c r="D10" s="22">
        <f t="shared" ref="D10:N10" si="8">D4</f>
        <v>13.350000000000001</v>
      </c>
      <c r="E10" s="22">
        <f t="shared" si="8"/>
        <v>14.017500000000002</v>
      </c>
      <c r="F10" s="22">
        <f t="shared" si="8"/>
        <v>14.718375000000002</v>
      </c>
      <c r="G10" s="22">
        <f t="shared" si="8"/>
        <v>15.454293750000001</v>
      </c>
      <c r="H10" s="22">
        <f t="shared" si="8"/>
        <v>16.227008437500004</v>
      </c>
      <c r="I10" s="22">
        <f t="shared" si="8"/>
        <v>17.038358859375002</v>
      </c>
      <c r="J10" s="22">
        <f t="shared" si="8"/>
        <v>17.890276802343752</v>
      </c>
      <c r="K10" s="22">
        <f t="shared" si="8"/>
        <v>18.784790642460941</v>
      </c>
      <c r="L10" s="22">
        <f t="shared" si="8"/>
        <v>19.724030174583987</v>
      </c>
      <c r="M10" s="22">
        <f t="shared" si="8"/>
        <v>20.710231683313189</v>
      </c>
      <c r="N10" s="22">
        <f t="shared" si="8"/>
        <v>21.745743267478851</v>
      </c>
      <c r="O10" s="22">
        <f>SUM(D10:N10)</f>
        <v>189.66060861705571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3:37" ht="15" customHeight="1">
      <c r="C11" s="15" t="s">
        <v>70</v>
      </c>
      <c r="D11" s="22">
        <f t="shared" ref="D11:N11" si="9">D5</f>
        <v>0.322625</v>
      </c>
      <c r="E11" s="22">
        <f t="shared" si="9"/>
        <v>0.322625</v>
      </c>
      <c r="F11" s="22">
        <f t="shared" si="9"/>
        <v>0.322625</v>
      </c>
      <c r="G11" s="22">
        <f t="shared" si="9"/>
        <v>0.322625</v>
      </c>
      <c r="H11" s="22">
        <f t="shared" si="9"/>
        <v>0.322625</v>
      </c>
      <c r="I11" s="22">
        <f t="shared" si="9"/>
        <v>0.322625</v>
      </c>
      <c r="J11" s="22">
        <f t="shared" si="9"/>
        <v>0.322625</v>
      </c>
      <c r="K11" s="22">
        <f t="shared" si="9"/>
        <v>0.322625</v>
      </c>
      <c r="L11" s="22">
        <f t="shared" si="9"/>
        <v>0.322625</v>
      </c>
      <c r="M11" s="22">
        <f t="shared" si="9"/>
        <v>0.322625</v>
      </c>
      <c r="N11" s="22">
        <f t="shared" si="9"/>
        <v>0.322625</v>
      </c>
      <c r="O11" s="22">
        <f>SUM(D11:N11)</f>
        <v>3.5488749999999998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3:37" ht="15" customHeight="1">
      <c r="C12" s="15" t="s">
        <v>71</v>
      </c>
      <c r="D12" s="23" t="e">
        <f>-(#REF!/10^7)</f>
        <v>#REF!</v>
      </c>
      <c r="E12" s="23" t="e">
        <f>-#REF!/10^7</f>
        <v>#REF!</v>
      </c>
      <c r="F12" s="23" t="e">
        <f>-#REF!/10^7</f>
        <v>#REF!</v>
      </c>
      <c r="G12" s="23" t="e">
        <f>-#REF!/10^7</f>
        <v>#REF!</v>
      </c>
      <c r="H12" s="23" t="e">
        <f>-#REF!/10^7</f>
        <v>#REF!</v>
      </c>
      <c r="I12" s="23" t="e">
        <f>-#REF!/10^7</f>
        <v>#REF!</v>
      </c>
      <c r="J12" s="23" t="e">
        <f>-#REF!/10^7</f>
        <v>#REF!</v>
      </c>
      <c r="K12" s="23" t="e">
        <f>-#REF!/10^7</f>
        <v>#REF!</v>
      </c>
      <c r="L12" s="23" t="e">
        <f>-#REF!/10^7</f>
        <v>#REF!</v>
      </c>
      <c r="M12" s="23" t="e">
        <f>-#REF!/10^7</f>
        <v>#REF!</v>
      </c>
      <c r="N12" s="23" t="e">
        <f>-#REF!/10^7</f>
        <v>#REF!</v>
      </c>
      <c r="O12" s="23" t="e">
        <f>SUM(D12:N12)</f>
        <v>#REF!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3:37" ht="15" customHeight="1">
      <c r="C13" s="16" t="s">
        <v>72</v>
      </c>
      <c r="D13" s="23">
        <v>0</v>
      </c>
      <c r="E13" s="23" t="e">
        <f>-#REF!/10^7</f>
        <v>#REF!</v>
      </c>
      <c r="F13" s="23" t="e">
        <f>-#REF!/10^7</f>
        <v>#REF!</v>
      </c>
      <c r="G13" s="23" t="e">
        <f>-#REF!/10^7</f>
        <v>#REF!</v>
      </c>
      <c r="H13" s="23" t="e">
        <f>-#REF!/10^7</f>
        <v>#REF!</v>
      </c>
      <c r="I13" s="23" t="e">
        <f>-#REF!/10^7</f>
        <v>#REF!</v>
      </c>
      <c r="J13" s="23" t="e">
        <f>-#REF!/10^7</f>
        <v>#REF!</v>
      </c>
      <c r="K13" s="23" t="e">
        <f>-#REF!/10^7</f>
        <v>#REF!</v>
      </c>
      <c r="L13" s="23" t="e">
        <f>-#REF!/10^7</f>
        <v>#REF!</v>
      </c>
      <c r="M13" s="23" t="e">
        <f>-#REF!/10^7</f>
        <v>#REF!</v>
      </c>
      <c r="N13" s="23" t="e">
        <f>-#REF!/10^7</f>
        <v>#REF!</v>
      </c>
      <c r="O13" s="23" t="e">
        <f>SUM(D13:N13)</f>
        <v>#REF!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3:37">
      <c r="C14" s="15" t="e">
        <f>Financials!#REF!</f>
        <v>#REF!</v>
      </c>
      <c r="D14" s="23" t="e">
        <f>-Financials!#REF!</f>
        <v>#REF!</v>
      </c>
      <c r="E14" s="23" t="e">
        <f>-Financials!#REF!</f>
        <v>#REF!</v>
      </c>
      <c r="F14" s="23" t="e">
        <f>-Financials!#REF!</f>
        <v>#REF!</v>
      </c>
      <c r="G14" s="23" t="e">
        <f>-Financials!#REF!</f>
        <v>#REF!</v>
      </c>
      <c r="H14" s="23" t="e">
        <f>-Financials!#REF!</f>
        <v>#REF!</v>
      </c>
      <c r="I14" s="23" t="e">
        <f>H14</f>
        <v>#REF!</v>
      </c>
      <c r="J14" s="23" t="e">
        <f t="shared" ref="J14:L16" si="10">I14</f>
        <v>#REF!</v>
      </c>
      <c r="K14" s="23" t="e">
        <f t="shared" si="10"/>
        <v>#REF!</v>
      </c>
      <c r="L14" s="23" t="e">
        <f t="shared" si="10"/>
        <v>#REF!</v>
      </c>
      <c r="M14" s="23" t="e">
        <f t="shared" ref="M14:N14" si="11">L14</f>
        <v>#REF!</v>
      </c>
      <c r="N14" s="23" t="e">
        <f t="shared" si="11"/>
        <v>#REF!</v>
      </c>
      <c r="O14" s="23" t="e">
        <f t="shared" ref="O14:O16" si="12">SUM(D14:N14)</f>
        <v>#REF!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3:37" ht="15" customHeight="1">
      <c r="C15" s="15" t="s">
        <v>73</v>
      </c>
      <c r="D15" s="23" t="e">
        <f>-Financials!#REF!</f>
        <v>#REF!</v>
      </c>
      <c r="E15" s="23" t="e">
        <f>-Financials!#REF!</f>
        <v>#REF!</v>
      </c>
      <c r="F15" s="23" t="e">
        <f>-Financials!#REF!</f>
        <v>#REF!</v>
      </c>
      <c r="G15" s="23" t="e">
        <f>-Financials!#REF!</f>
        <v>#REF!</v>
      </c>
      <c r="H15" s="23" t="e">
        <f>-Financials!#REF!</f>
        <v>#REF!</v>
      </c>
      <c r="I15" s="23" t="e">
        <f>H15</f>
        <v>#REF!</v>
      </c>
      <c r="J15" s="23" t="e">
        <f t="shared" si="10"/>
        <v>#REF!</v>
      </c>
      <c r="K15" s="23" t="e">
        <f t="shared" si="10"/>
        <v>#REF!</v>
      </c>
      <c r="L15" s="23" t="e">
        <f t="shared" si="10"/>
        <v>#REF!</v>
      </c>
      <c r="M15" s="23" t="e">
        <f t="shared" ref="M15:N15" si="13">L15</f>
        <v>#REF!</v>
      </c>
      <c r="N15" s="23" t="e">
        <f t="shared" si="13"/>
        <v>#REF!</v>
      </c>
      <c r="O15" s="23" t="e">
        <f t="shared" si="12"/>
        <v>#REF!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</row>
    <row r="16" spans="3:37" ht="15" customHeight="1">
      <c r="C16" s="15" t="e">
        <f>Financials!#REF!</f>
        <v>#REF!</v>
      </c>
      <c r="D16" s="23" t="e">
        <f>-Financials!#REF!</f>
        <v>#REF!</v>
      </c>
      <c r="E16" s="23" t="e">
        <f>-Financials!#REF!</f>
        <v>#REF!</v>
      </c>
      <c r="F16" s="23" t="e">
        <f>-Financials!#REF!</f>
        <v>#REF!</v>
      </c>
      <c r="G16" s="23" t="e">
        <f>-Financials!#REF!</f>
        <v>#REF!</v>
      </c>
      <c r="H16" s="23" t="e">
        <f>-Financials!#REF!</f>
        <v>#REF!</v>
      </c>
      <c r="I16" s="23" t="e">
        <f>H16</f>
        <v>#REF!</v>
      </c>
      <c r="J16" s="23" t="e">
        <f t="shared" si="10"/>
        <v>#REF!</v>
      </c>
      <c r="K16" s="23" t="e">
        <f t="shared" si="10"/>
        <v>#REF!</v>
      </c>
      <c r="L16" s="23" t="e">
        <f t="shared" si="10"/>
        <v>#REF!</v>
      </c>
      <c r="M16" s="23" t="e">
        <f t="shared" ref="M16:N16" si="14">L16</f>
        <v>#REF!</v>
      </c>
      <c r="N16" s="23" t="e">
        <f t="shared" si="14"/>
        <v>#REF!</v>
      </c>
      <c r="O16" s="23" t="e">
        <f t="shared" si="12"/>
        <v>#REF!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</row>
    <row r="17" spans="3:37" ht="15" customHeight="1">
      <c r="C17" s="21" t="s">
        <v>74</v>
      </c>
      <c r="D17" s="24" t="e">
        <f>SUM(D10:D16)</f>
        <v>#REF!</v>
      </c>
      <c r="E17" s="24" t="e">
        <f t="shared" ref="E17:L17" si="15">SUM(E10:E16)</f>
        <v>#REF!</v>
      </c>
      <c r="F17" s="24" t="e">
        <f t="shared" si="15"/>
        <v>#REF!</v>
      </c>
      <c r="G17" s="24" t="e">
        <f t="shared" si="15"/>
        <v>#REF!</v>
      </c>
      <c r="H17" s="24" t="e">
        <f t="shared" si="15"/>
        <v>#REF!</v>
      </c>
      <c r="I17" s="24" t="e">
        <f t="shared" si="15"/>
        <v>#REF!</v>
      </c>
      <c r="J17" s="24" t="e">
        <f t="shared" si="15"/>
        <v>#REF!</v>
      </c>
      <c r="K17" s="24" t="e">
        <f t="shared" si="15"/>
        <v>#REF!</v>
      </c>
      <c r="L17" s="24" t="e">
        <f t="shared" si="15"/>
        <v>#REF!</v>
      </c>
      <c r="M17" s="24" t="e">
        <f t="shared" ref="M17" si="16">SUM(M10:M16)</f>
        <v>#REF!</v>
      </c>
      <c r="N17" s="24" t="e">
        <f t="shared" ref="N17" si="17">SUM(N10:N16)</f>
        <v>#REF!</v>
      </c>
      <c r="O17" s="24" t="e">
        <f>SUM(O10:O16)</f>
        <v>#REF!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</row>
    <row r="18" spans="3:37" ht="15" customHeight="1">
      <c r="C18" s="14" t="s">
        <v>75</v>
      </c>
      <c r="D18" s="25" t="e">
        <f>D17/Summary!$B$9</f>
        <v>#REF!</v>
      </c>
      <c r="E18" s="25" t="e">
        <f>E17/Summary!$B$9</f>
        <v>#REF!</v>
      </c>
      <c r="F18" s="25" t="e">
        <f>F17/Summary!$B$9</f>
        <v>#REF!</v>
      </c>
      <c r="G18" s="25" t="e">
        <f>G17/Summary!$B$9</f>
        <v>#REF!</v>
      </c>
      <c r="H18" s="25" t="e">
        <f>H17/Summary!$B$9</f>
        <v>#REF!</v>
      </c>
      <c r="I18" s="25" t="e">
        <f>I17/Summary!$B$9</f>
        <v>#REF!</v>
      </c>
      <c r="J18" s="25" t="e">
        <f>J17/Summary!$B$9</f>
        <v>#REF!</v>
      </c>
      <c r="K18" s="25" t="e">
        <f>K17/Summary!$B$9</f>
        <v>#REF!</v>
      </c>
      <c r="L18" s="25" t="e">
        <f>L17/Summary!$B$9</f>
        <v>#REF!</v>
      </c>
      <c r="M18" s="25" t="e">
        <f>M17/Summary!$B$9</f>
        <v>#REF!</v>
      </c>
      <c r="N18" s="25" t="e">
        <f>N17/Summary!$B$9</f>
        <v>#REF!</v>
      </c>
      <c r="O18" s="25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</row>
    <row r="19" spans="3:37" ht="18" customHeight="1"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0" spans="3:37" ht="15" customHeight="1">
      <c r="C20" s="240" t="s">
        <v>76</v>
      </c>
      <c r="D20" s="240"/>
      <c r="E20" s="240"/>
      <c r="F20" s="240"/>
      <c r="G20" s="240"/>
      <c r="H20" s="240"/>
      <c r="O20" s="12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3:37" ht="15" customHeight="1">
      <c r="C21" s="3" t="s">
        <v>77</v>
      </c>
      <c r="D21" s="3" t="s">
        <v>78</v>
      </c>
      <c r="E21" s="3" t="s">
        <v>51</v>
      </c>
      <c r="F21" s="3" t="s">
        <v>52</v>
      </c>
      <c r="G21" s="3" t="s">
        <v>53</v>
      </c>
      <c r="H21" s="3" t="s">
        <v>54</v>
      </c>
      <c r="O21" s="12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3:37" ht="15" customHeight="1">
      <c r="C22" s="7" t="s">
        <v>79</v>
      </c>
      <c r="D22" s="23">
        <f>-Summary!B9</f>
        <v>-465</v>
      </c>
      <c r="E22" s="9" t="e">
        <f>D17</f>
        <v>#REF!</v>
      </c>
      <c r="F22" s="9" t="e">
        <f>E17</f>
        <v>#REF!</v>
      </c>
      <c r="G22" s="9" t="e">
        <f>F17</f>
        <v>#REF!</v>
      </c>
      <c r="H22" s="9">
        <f>ROUND(SUM(G4+G5),0)</f>
        <v>16</v>
      </c>
      <c r="O22" s="12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3:37" ht="15" customHeight="1">
      <c r="C23" s="7" t="s">
        <v>80</v>
      </c>
      <c r="E23" s="10">
        <v>0</v>
      </c>
      <c r="F23" s="10">
        <v>0</v>
      </c>
      <c r="G23" s="10">
        <v>0</v>
      </c>
      <c r="H23" s="8" t="str">
        <f>Summary!G15</f>
        <v>₹ Crore</v>
      </c>
      <c r="O23" s="12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3:37" ht="15" customHeight="1">
      <c r="C24" s="30"/>
      <c r="D24" s="23">
        <f t="shared" ref="D24:H24" si="18">SUM(D22:D23)</f>
        <v>-465</v>
      </c>
      <c r="E24" s="9" t="e">
        <f t="shared" si="18"/>
        <v>#REF!</v>
      </c>
      <c r="F24" s="9" t="e">
        <f t="shared" si="18"/>
        <v>#REF!</v>
      </c>
      <c r="G24" s="9" t="e">
        <f t="shared" si="18"/>
        <v>#REF!</v>
      </c>
      <c r="H24" s="9">
        <f t="shared" si="18"/>
        <v>16</v>
      </c>
      <c r="O24" s="12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3:37" ht="15" customHeight="1">
      <c r="C25" s="7" t="s">
        <v>81</v>
      </c>
      <c r="D25" s="11">
        <v>0</v>
      </c>
      <c r="E25" s="25" t="e">
        <f>E24/Summary!$B$9</f>
        <v>#REF!</v>
      </c>
      <c r="F25" s="25" t="e">
        <f>F24/Summary!$B$9</f>
        <v>#REF!</v>
      </c>
      <c r="G25" s="25" t="e">
        <f>G24/Summary!$B$9</f>
        <v>#REF!</v>
      </c>
      <c r="H25" s="25">
        <f>H22/Summary!$B$9</f>
        <v>3.4408602150537634E-2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8" spans="3:37"/>
    <row r="29" spans="3:37" ht="15.6" customHeight="1"/>
  </sheetData>
  <mergeCells count="1">
    <mergeCell ref="C20:H20"/>
  </mergeCells>
  <phoneticPr fontId="5" type="noConversion"/>
  <pageMargins left="0.7" right="0.7" top="0.75" bottom="0.75" header="0.3" footer="0.3"/>
  <pageSetup orientation="portrait" r:id="rId1"/>
  <ignoredErrors>
    <ignoredError sqref="O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725B4-A8CF-4601-900E-2EFD4C146C69}">
  <dimension ref="D2:EQ33"/>
  <sheetViews>
    <sheetView showGridLines="0" tabSelected="1" topLeftCell="V1" zoomScale="108" zoomScaleNormal="100" workbookViewId="0">
      <selection activeCell="AI4" sqref="Z4:AI4"/>
    </sheetView>
  </sheetViews>
  <sheetFormatPr defaultColWidth="8.85546875" defaultRowHeight="13.9"/>
  <cols>
    <col min="1" max="3" width="3.28515625" style="57" customWidth="1"/>
    <col min="4" max="4" width="35.7109375" style="57" bestFit="1" customWidth="1"/>
    <col min="5" max="5" width="8.7109375" style="57" customWidth="1"/>
    <col min="6" max="6" width="9.85546875" style="57" bestFit="1" customWidth="1"/>
    <col min="7" max="7" width="10.140625" style="57" bestFit="1" customWidth="1"/>
    <col min="8" max="8" width="10.42578125" style="57" bestFit="1" customWidth="1"/>
    <col min="9" max="15" width="10.42578125" style="57" customWidth="1"/>
    <col min="16" max="16" width="10.140625" style="57" bestFit="1" customWidth="1"/>
    <col min="17" max="17" width="11.140625" style="57" bestFit="1" customWidth="1"/>
    <col min="18" max="18" width="7.5703125" style="57" bestFit="1" customWidth="1"/>
    <col min="19" max="19" width="12.7109375" style="57" bestFit="1" customWidth="1"/>
    <col min="20" max="20" width="11" style="57" bestFit="1" customWidth="1"/>
    <col min="21" max="21" width="7.28515625" style="57" bestFit="1" customWidth="1"/>
    <col min="22" max="22" width="14" style="57" customWidth="1"/>
    <col min="23" max="23" width="12.7109375" style="57" customWidth="1"/>
    <col min="24" max="24" width="10.5703125" style="57" customWidth="1"/>
    <col min="25" max="25" width="6.7109375" style="57" bestFit="1" customWidth="1"/>
    <col min="26" max="26" width="27.5703125" style="57" bestFit="1" customWidth="1"/>
    <col min="27" max="59" width="8.85546875" style="57"/>
    <col min="60" max="61" width="7.42578125" style="57" bestFit="1" customWidth="1"/>
    <col min="62" max="16384" width="8.85546875" style="57"/>
  </cols>
  <sheetData>
    <row r="2" spans="4:147" ht="14.45" customHeight="1">
      <c r="D2" s="175" t="s">
        <v>27</v>
      </c>
      <c r="E2" s="62"/>
      <c r="F2" s="176" t="s">
        <v>82</v>
      </c>
      <c r="G2" s="177" t="s">
        <v>83</v>
      </c>
      <c r="H2" s="177" t="s">
        <v>84</v>
      </c>
      <c r="I2" s="177" t="s">
        <v>85</v>
      </c>
      <c r="J2" s="177" t="s">
        <v>86</v>
      </c>
      <c r="K2" s="177" t="s">
        <v>87</v>
      </c>
      <c r="L2" s="177" t="s">
        <v>88</v>
      </c>
      <c r="M2" s="177" t="s">
        <v>89</v>
      </c>
      <c r="N2" s="177" t="s">
        <v>90</v>
      </c>
      <c r="O2" s="177" t="s">
        <v>91</v>
      </c>
      <c r="R2" s="241" t="s">
        <v>34</v>
      </c>
      <c r="S2" s="241"/>
      <c r="T2" s="241"/>
      <c r="U2" s="241"/>
      <c r="V2" s="241"/>
    </row>
    <row r="3" spans="4:147" ht="15" thickBot="1">
      <c r="D3" s="73" t="s">
        <v>92</v>
      </c>
      <c r="E3" s="64"/>
      <c r="F3" s="64">
        <f>'Monthly Cash Inflow'!P8</f>
        <v>0</v>
      </c>
      <c r="G3" s="64">
        <f>'Monthly Cash Inflow'!AC8</f>
        <v>17.18064</v>
      </c>
      <c r="H3" s="64">
        <f>'Monthly Cash Inflow'!AP8</f>
        <v>36.079343999999999</v>
      </c>
      <c r="I3" s="64">
        <f>'Monthly Cash Inflow'!BC8</f>
        <v>37.883311199999994</v>
      </c>
      <c r="J3" s="64">
        <f>'Monthly Cash Inflow'!BP8</f>
        <v>39.777476759999999</v>
      </c>
      <c r="K3" s="64">
        <f>'Monthly Cash Inflow'!CC8</f>
        <v>41.76635059800001</v>
      </c>
      <c r="L3" s="64">
        <f>'Monthly Cash Inflow'!CP8</f>
        <v>43.854668127899998</v>
      </c>
      <c r="M3" s="64">
        <f>'Monthly Cash Inflow'!DC8</f>
        <v>46.047401534295005</v>
      </c>
      <c r="N3" s="64">
        <f>'Monthly Cash Inflow'!DP8</f>
        <v>48.349771611009764</v>
      </c>
      <c r="O3" s="64">
        <f>'Monthly Cash Inflow'!EC8</f>
        <v>50.767260191560247</v>
      </c>
      <c r="R3" s="63" t="s">
        <v>77</v>
      </c>
      <c r="S3" s="63" t="s">
        <v>93</v>
      </c>
      <c r="T3" s="63" t="s">
        <v>94</v>
      </c>
      <c r="U3" s="63" t="s">
        <v>95</v>
      </c>
      <c r="V3" s="63" t="s">
        <v>96</v>
      </c>
      <c r="X3" s="171"/>
      <c r="Y3" s="171"/>
      <c r="Z3" s="159" t="s">
        <v>50</v>
      </c>
      <c r="AA3" s="160">
        <v>45748</v>
      </c>
      <c r="AB3" s="160">
        <v>45778</v>
      </c>
      <c r="AC3" s="160">
        <v>45809</v>
      </c>
      <c r="AD3" s="160">
        <v>45839</v>
      </c>
      <c r="AE3" s="160">
        <v>45870</v>
      </c>
      <c r="AF3" s="160">
        <v>45901</v>
      </c>
      <c r="AG3" s="160">
        <v>45931</v>
      </c>
      <c r="AH3" s="160">
        <v>45962</v>
      </c>
      <c r="AI3" s="160">
        <v>45992</v>
      </c>
      <c r="AJ3" s="160">
        <v>46023</v>
      </c>
      <c r="AK3" s="160">
        <v>46054</v>
      </c>
      <c r="AL3" s="160">
        <v>46082</v>
      </c>
      <c r="AM3" s="160">
        <v>46113</v>
      </c>
      <c r="AN3" s="160">
        <v>46143</v>
      </c>
      <c r="AO3" s="160">
        <v>46174</v>
      </c>
      <c r="AP3" s="160">
        <v>46204</v>
      </c>
      <c r="AQ3" s="160">
        <v>46235</v>
      </c>
      <c r="AR3" s="160">
        <v>46266</v>
      </c>
      <c r="AS3" s="160">
        <v>46296</v>
      </c>
      <c r="AT3" s="160">
        <v>46327</v>
      </c>
      <c r="AU3" s="160">
        <v>46357</v>
      </c>
      <c r="AV3" s="160">
        <v>46388</v>
      </c>
      <c r="AW3" s="160">
        <v>46419</v>
      </c>
      <c r="AX3" s="160">
        <v>46447</v>
      </c>
      <c r="AY3" s="160">
        <v>46478</v>
      </c>
      <c r="AZ3" s="160">
        <v>46508</v>
      </c>
      <c r="BA3" s="160">
        <v>46539</v>
      </c>
      <c r="BB3" s="160">
        <v>46569</v>
      </c>
      <c r="BC3" s="160">
        <v>46600</v>
      </c>
      <c r="BD3" s="160">
        <v>46631</v>
      </c>
      <c r="BE3" s="160">
        <v>46661</v>
      </c>
      <c r="BF3" s="160">
        <v>46692</v>
      </c>
      <c r="BG3" s="160">
        <v>46722</v>
      </c>
      <c r="BH3" s="160">
        <v>46753</v>
      </c>
      <c r="BI3" s="160">
        <v>46784</v>
      </c>
      <c r="BJ3" s="160">
        <v>46813</v>
      </c>
      <c r="BK3" s="160">
        <v>46844</v>
      </c>
      <c r="BL3" s="160">
        <v>46874</v>
      </c>
      <c r="BM3" s="160">
        <v>46905</v>
      </c>
      <c r="BN3" s="160">
        <v>46935</v>
      </c>
      <c r="BO3" s="160">
        <v>46966</v>
      </c>
      <c r="BP3" s="160">
        <v>46997</v>
      </c>
      <c r="BQ3" s="160">
        <v>47027</v>
      </c>
      <c r="BR3" s="160">
        <v>47058</v>
      </c>
      <c r="BS3" s="160">
        <v>47088</v>
      </c>
      <c r="BT3" s="160">
        <v>47119</v>
      </c>
      <c r="BU3" s="160">
        <v>47150</v>
      </c>
      <c r="BV3" s="160">
        <v>47178</v>
      </c>
      <c r="BW3" s="159">
        <v>47209</v>
      </c>
      <c r="BX3" s="159">
        <v>47239</v>
      </c>
      <c r="BY3" s="159">
        <v>47270</v>
      </c>
      <c r="BZ3" s="159">
        <v>47300</v>
      </c>
      <c r="CA3" s="159">
        <v>47331</v>
      </c>
      <c r="CB3" s="159">
        <v>47362</v>
      </c>
      <c r="CC3" s="159">
        <v>47392</v>
      </c>
      <c r="CD3" s="159">
        <v>47423</v>
      </c>
      <c r="CE3" s="159">
        <v>47453</v>
      </c>
      <c r="CF3" s="159">
        <v>47484</v>
      </c>
      <c r="CG3" s="159">
        <v>47515</v>
      </c>
      <c r="CH3" s="159">
        <v>47543</v>
      </c>
      <c r="CI3" s="159">
        <v>47574</v>
      </c>
      <c r="CJ3" s="159">
        <v>47604</v>
      </c>
      <c r="CK3" s="159">
        <v>47635</v>
      </c>
      <c r="CL3" s="159">
        <v>47665</v>
      </c>
      <c r="CM3" s="159">
        <v>47696</v>
      </c>
      <c r="CN3" s="159">
        <v>47727</v>
      </c>
      <c r="CO3" s="159">
        <v>47757</v>
      </c>
      <c r="CP3" s="159">
        <v>47788</v>
      </c>
      <c r="CQ3" s="159">
        <v>47818</v>
      </c>
      <c r="CR3" s="159">
        <v>47849</v>
      </c>
      <c r="CS3" s="159">
        <v>47880</v>
      </c>
      <c r="CT3" s="159">
        <v>47908</v>
      </c>
      <c r="CU3" s="159">
        <v>47939</v>
      </c>
      <c r="CV3" s="159">
        <v>47969</v>
      </c>
      <c r="CW3" s="159">
        <v>48000</v>
      </c>
      <c r="CX3" s="159">
        <v>48030</v>
      </c>
      <c r="CY3" s="159">
        <v>48061</v>
      </c>
      <c r="CZ3" s="159">
        <v>48092</v>
      </c>
      <c r="DA3" s="159">
        <v>48122</v>
      </c>
      <c r="DB3" s="159">
        <v>48153</v>
      </c>
      <c r="DC3" s="159">
        <v>48183</v>
      </c>
      <c r="DD3" s="159">
        <v>48214</v>
      </c>
      <c r="DE3" s="159">
        <v>48245</v>
      </c>
      <c r="DF3" s="159">
        <v>48274</v>
      </c>
      <c r="DG3" s="159">
        <v>48305</v>
      </c>
      <c r="DH3" s="159">
        <v>48335</v>
      </c>
      <c r="DI3" s="159">
        <v>48366</v>
      </c>
      <c r="DJ3" s="159">
        <v>48396</v>
      </c>
      <c r="DK3" s="159">
        <v>48427</v>
      </c>
      <c r="DL3" s="159">
        <v>48458</v>
      </c>
      <c r="DM3" s="159">
        <v>48488</v>
      </c>
      <c r="DN3" s="159">
        <v>48519</v>
      </c>
      <c r="DO3" s="159">
        <v>48549</v>
      </c>
      <c r="DP3" s="159">
        <v>48580</v>
      </c>
      <c r="DQ3" s="159">
        <v>48611</v>
      </c>
      <c r="DR3" s="159">
        <v>48639</v>
      </c>
      <c r="DS3" s="159">
        <v>48670</v>
      </c>
      <c r="DT3" s="159">
        <v>48700</v>
      </c>
      <c r="DU3" s="159">
        <v>48731</v>
      </c>
      <c r="DV3" s="159">
        <v>48761</v>
      </c>
      <c r="DW3" s="159">
        <v>48792</v>
      </c>
      <c r="DX3" s="159">
        <v>48823</v>
      </c>
      <c r="DY3" s="159">
        <v>48853</v>
      </c>
      <c r="DZ3" s="159">
        <v>48884</v>
      </c>
      <c r="EA3" s="159">
        <v>48914</v>
      </c>
      <c r="EB3" s="159">
        <v>48945</v>
      </c>
      <c r="EC3" s="159">
        <v>48976</v>
      </c>
      <c r="ED3" s="159">
        <v>49004</v>
      </c>
      <c r="EE3" s="159">
        <v>49035</v>
      </c>
      <c r="EF3" s="159">
        <v>49065</v>
      </c>
      <c r="EG3" s="159">
        <v>49096</v>
      </c>
      <c r="EH3" s="159">
        <v>49126</v>
      </c>
      <c r="EI3" s="159">
        <v>49157</v>
      </c>
      <c r="EJ3" s="159">
        <v>49188</v>
      </c>
      <c r="EK3" s="159">
        <v>49218</v>
      </c>
      <c r="EL3" s="159">
        <v>49249</v>
      </c>
      <c r="EM3" s="159">
        <v>49279</v>
      </c>
      <c r="EN3" s="159">
        <v>49310</v>
      </c>
      <c r="EO3" s="159">
        <v>49341</v>
      </c>
      <c r="EP3" s="159">
        <v>49369</v>
      </c>
      <c r="EQ3" s="159">
        <v>49369</v>
      </c>
    </row>
    <row r="4" spans="4:147" ht="14.45" thickTop="1">
      <c r="D4" s="73" t="s">
        <v>97</v>
      </c>
      <c r="E4" s="64"/>
      <c r="F4" s="64">
        <f>'Monthly Cash Inflow'!P10</f>
        <v>0.20759939999999999</v>
      </c>
      <c r="G4" s="64">
        <f>'Monthly Cash Inflow'!AC10</f>
        <v>0.83039760000000007</v>
      </c>
      <c r="H4" s="178">
        <f>'Monthly Cash Inflow'!AP10</f>
        <v>0.83039760000000007</v>
      </c>
      <c r="I4" s="178">
        <f>'Monthly Cash Inflow'!BC10</f>
        <v>0.83039760000000007</v>
      </c>
      <c r="J4" s="178">
        <f>'Monthly Cash Inflow'!BP10</f>
        <v>0.83039760000000007</v>
      </c>
      <c r="K4" s="178">
        <f>'Monthly Cash Inflow'!CC10</f>
        <v>0.83039760000000007</v>
      </c>
      <c r="L4" s="178">
        <f>'Monthly Cash Inflow'!CP10</f>
        <v>0.83039760000000007</v>
      </c>
      <c r="M4" s="178">
        <f>'Monthly Cash Inflow'!DC10</f>
        <v>0.83039760000000007</v>
      </c>
      <c r="N4" s="178">
        <f>'Monthly Cash Inflow'!DP10</f>
        <v>0.83039760000000007</v>
      </c>
      <c r="O4" s="179">
        <f>'Monthly Cash Inflow'!EC10</f>
        <v>0.83039760000000007</v>
      </c>
      <c r="R4" s="65" t="s">
        <v>82</v>
      </c>
      <c r="S4" s="66">
        <f>Summary!D14</f>
        <v>498</v>
      </c>
      <c r="T4" s="66">
        <f>S4*Summary!$K$22</f>
        <v>29.88</v>
      </c>
      <c r="U4" s="66">
        <f t="shared" ref="U4:U6" si="0">S4+T4</f>
        <v>527.88</v>
      </c>
      <c r="X4" s="168"/>
      <c r="Y4" s="58"/>
      <c r="Z4" s="57" t="s">
        <v>98</v>
      </c>
      <c r="AA4" s="161">
        <f>-Summary!B5</f>
        <v>-100</v>
      </c>
      <c r="AB4" s="161"/>
      <c r="AC4" s="161"/>
      <c r="AD4" s="161">
        <f>-Summary!B6</f>
        <v>-100</v>
      </c>
      <c r="AE4" s="161"/>
      <c r="AF4" s="162"/>
      <c r="AG4" s="162">
        <f>-Summary!B7</f>
        <v>-100</v>
      </c>
      <c r="AH4" s="162"/>
      <c r="AI4" s="162">
        <f>-Summary!B8</f>
        <v>-165</v>
      </c>
      <c r="AJ4" s="162"/>
      <c r="AK4" s="162"/>
      <c r="AL4" s="162"/>
      <c r="AM4" s="162"/>
      <c r="AN4" s="162"/>
      <c r="AO4" s="162"/>
      <c r="AP4" s="162"/>
      <c r="AQ4" s="162"/>
      <c r="AR4" s="162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P4" s="163">
        <f>-AA1</f>
        <v>0</v>
      </c>
      <c r="EQ4" s="31"/>
    </row>
    <row r="5" spans="4:147">
      <c r="D5" s="73" t="s">
        <v>20</v>
      </c>
      <c r="E5" s="188">
        <f>-Summary!B3</f>
        <v>-465</v>
      </c>
      <c r="F5" s="180">
        <f>SUM(F3:F4)</f>
        <v>0.20759939999999999</v>
      </c>
      <c r="G5" s="180">
        <f>SUM(G3:G4)</f>
        <v>18.011037600000002</v>
      </c>
      <c r="H5" s="180">
        <f t="shared" ref="H5:O5" si="1">SUM(H3:H4)</f>
        <v>36.909741599999997</v>
      </c>
      <c r="I5" s="180">
        <f t="shared" si="1"/>
        <v>38.713708799999992</v>
      </c>
      <c r="J5" s="180">
        <f t="shared" si="1"/>
        <v>40.607874359999997</v>
      </c>
      <c r="K5" s="180">
        <f t="shared" si="1"/>
        <v>42.596748198000007</v>
      </c>
      <c r="L5" s="180">
        <f t="shared" si="1"/>
        <v>44.685065727899996</v>
      </c>
      <c r="M5" s="180">
        <f t="shared" si="1"/>
        <v>46.877799134295003</v>
      </c>
      <c r="N5" s="180">
        <f t="shared" si="1"/>
        <v>49.180169211009762</v>
      </c>
      <c r="O5" s="180">
        <f t="shared" si="1"/>
        <v>51.597657791560245</v>
      </c>
      <c r="R5" s="65" t="s">
        <v>83</v>
      </c>
      <c r="S5" s="66">
        <f>U4</f>
        <v>527.88</v>
      </c>
      <c r="T5" s="66">
        <f>S5*Summary!$K$22</f>
        <v>31.672799999999999</v>
      </c>
      <c r="U5" s="66">
        <f t="shared" si="0"/>
        <v>559.55280000000005</v>
      </c>
      <c r="X5" s="67"/>
      <c r="Y5" s="67"/>
      <c r="Z5" s="57" t="s">
        <v>99</v>
      </c>
      <c r="AA5" s="67">
        <f>($T$4/12)*Financials!$O$28</f>
        <v>2.4899999999999998</v>
      </c>
      <c r="AB5" s="67">
        <f>($T$4/12)*Financials!$O$28</f>
        <v>2.4899999999999998</v>
      </c>
      <c r="AC5" s="67">
        <f>($T$4/12)*Financials!$O$28</f>
        <v>2.4899999999999998</v>
      </c>
      <c r="AD5" s="67">
        <f>($T$4/12)*Financials!$O$28</f>
        <v>2.4899999999999998</v>
      </c>
      <c r="AE5" s="67">
        <f>($T$4/12)*Financials!$O$28</f>
        <v>2.4899999999999998</v>
      </c>
      <c r="AF5" s="67">
        <f>($T$4/12)*Financials!$O$28</f>
        <v>2.4899999999999998</v>
      </c>
      <c r="AG5" s="67">
        <f>($T$4/12)*Financials!$O$28</f>
        <v>2.4899999999999998</v>
      </c>
      <c r="AH5" s="67">
        <f>($T$4/12)*Financials!$O$28</f>
        <v>2.4899999999999998</v>
      </c>
      <c r="AI5" s="67">
        <f>($T$4/12)*Financials!$O$28</f>
        <v>2.4899999999999998</v>
      </c>
      <c r="AJ5" s="67">
        <f>($T$4/12)*Financials!$O$28</f>
        <v>2.4899999999999998</v>
      </c>
      <c r="AK5" s="67">
        <f>($T$4/12)*Financials!$O$28</f>
        <v>2.4899999999999998</v>
      </c>
      <c r="AL5" s="67">
        <f>($T$4/12)*Financials!$O$28</f>
        <v>2.4899999999999998</v>
      </c>
      <c r="AM5" s="67">
        <f>($T$5/12)*Financials!$O$28</f>
        <v>2.6393999999999997</v>
      </c>
      <c r="AN5" s="67">
        <f>($T$5/12)*Financials!$O$28</f>
        <v>2.6393999999999997</v>
      </c>
      <c r="AO5" s="67">
        <f>($T$5/12)*Financials!$O$28</f>
        <v>2.6393999999999997</v>
      </c>
      <c r="AP5" s="67">
        <f>($T$5/12)*Financials!$O$28</f>
        <v>2.6393999999999997</v>
      </c>
      <c r="AQ5" s="67">
        <f>($T$5/12)*Financials!$O$28</f>
        <v>2.6393999999999997</v>
      </c>
      <c r="AR5" s="67">
        <f>($T$5/12)*Financials!$O$28</f>
        <v>2.6393999999999997</v>
      </c>
      <c r="AS5" s="67">
        <f>($T$5/12)*Financials!$O$28</f>
        <v>2.6393999999999997</v>
      </c>
      <c r="AT5" s="67">
        <f>($T$5/12)*Financials!$O$28</f>
        <v>2.6393999999999997</v>
      </c>
      <c r="AU5" s="67">
        <f>($T$5/12)*Financials!$O$28</f>
        <v>2.6393999999999997</v>
      </c>
      <c r="AV5" s="67">
        <f>($T$5/12)*Financials!$O$28</f>
        <v>2.6393999999999997</v>
      </c>
      <c r="AW5" s="67">
        <f>($T$5/12)*Financials!$O$28</f>
        <v>2.6393999999999997</v>
      </c>
      <c r="AX5" s="67">
        <f>($T$5/12)*Financials!$O$28</f>
        <v>2.6393999999999997</v>
      </c>
      <c r="AY5" s="67">
        <f>($T$6/12)*Financials!$O$28</f>
        <v>2.7977640000000004</v>
      </c>
      <c r="AZ5" s="67">
        <f>($T$6/12)*Financials!$O$28</f>
        <v>2.7977640000000004</v>
      </c>
      <c r="BA5" s="67">
        <f>($T$6/12)*Financials!$O$28</f>
        <v>2.7977640000000004</v>
      </c>
      <c r="BB5" s="67">
        <f>($T$6/12)*Financials!$O$28</f>
        <v>2.7977640000000004</v>
      </c>
      <c r="BC5" s="67">
        <f>($T$6/12)*Financials!$O$28</f>
        <v>2.7977640000000004</v>
      </c>
      <c r="BD5" s="67">
        <f>($T$6/12)*Financials!$O$28</f>
        <v>2.7977640000000004</v>
      </c>
      <c r="BE5" s="67">
        <f>($T$6/12)*Financials!$O$28</f>
        <v>2.7977640000000004</v>
      </c>
      <c r="BF5" s="67">
        <f>($T$6/12)*Financials!$O$28</f>
        <v>2.7977640000000004</v>
      </c>
      <c r="BG5" s="67">
        <f>($T$6/12)*Financials!$O$28</f>
        <v>2.7977640000000004</v>
      </c>
      <c r="BH5" s="67">
        <f>($T$6/12)*Financials!$O$28</f>
        <v>2.7977640000000004</v>
      </c>
      <c r="BI5" s="67">
        <f>($T$6/12)*Financials!$O$28</f>
        <v>2.7977640000000004</v>
      </c>
      <c r="BJ5" s="67">
        <f>($T$6/12)*Financials!$O$28</f>
        <v>2.7977640000000004</v>
      </c>
      <c r="BK5" s="67">
        <f>($T$7/12)*Financials!$O$28</f>
        <v>2.9656298400000001</v>
      </c>
      <c r="BL5" s="67">
        <f>($T$7/12)*Financials!$O$28</f>
        <v>2.9656298400000001</v>
      </c>
      <c r="BM5" s="67">
        <f>($T$7/12)*Financials!$O$28</f>
        <v>2.9656298400000001</v>
      </c>
      <c r="BN5" s="67">
        <f>($T$7/12)*Financials!$O$28</f>
        <v>2.9656298400000001</v>
      </c>
      <c r="BO5" s="67">
        <f>($T$7/12)*Financials!$O$28</f>
        <v>2.9656298400000001</v>
      </c>
      <c r="BP5" s="67">
        <f>($T$7/12)*Financials!$O$28</f>
        <v>2.9656298400000001</v>
      </c>
      <c r="BQ5" s="67">
        <f>($T$7/12)*Financials!$O$28</f>
        <v>2.9656298400000001</v>
      </c>
      <c r="BR5" s="67">
        <f>($T$7/12)*Financials!$O$28</f>
        <v>2.9656298400000001</v>
      </c>
      <c r="BS5" s="67">
        <f>($T$7/12)*Financials!$O$28</f>
        <v>2.9656298400000001</v>
      </c>
      <c r="BT5" s="67">
        <f>($T$7/12)*Financials!$O$28</f>
        <v>2.9656298400000001</v>
      </c>
      <c r="BU5" s="67">
        <f>($T$7/12)*Financials!$O$28</f>
        <v>2.9656298400000001</v>
      </c>
      <c r="BV5" s="67">
        <f>($T$7/12)*Financials!$O$28</f>
        <v>2.9656298400000001</v>
      </c>
      <c r="BW5" s="67">
        <f>($T$8/12)*Financials!$O$28</f>
        <v>3.1435676304000002</v>
      </c>
      <c r="BX5" s="67">
        <f>($T$8/12)*Financials!$O$28</f>
        <v>3.1435676304000002</v>
      </c>
      <c r="BY5" s="67">
        <f>($T$8/12)*Financials!$O$28</f>
        <v>3.1435676304000002</v>
      </c>
      <c r="BZ5" s="67">
        <f>($T$8/12)*Financials!$O$28</f>
        <v>3.1435676304000002</v>
      </c>
      <c r="CA5" s="67">
        <f>($T$8/12)*Financials!$O$28</f>
        <v>3.1435676304000002</v>
      </c>
      <c r="CB5" s="67">
        <f>($T$8/12)*Financials!$O$28</f>
        <v>3.1435676304000002</v>
      </c>
      <c r="CC5" s="67">
        <f>($T$8/12)*Financials!$O$28</f>
        <v>3.1435676304000002</v>
      </c>
      <c r="CD5" s="67">
        <f>($T$8/12)*Financials!$O$28</f>
        <v>3.1435676304000002</v>
      </c>
      <c r="CE5" s="67">
        <f>($T$8/12)*Financials!$O$28</f>
        <v>3.1435676304000002</v>
      </c>
      <c r="CF5" s="67">
        <f>($T$8/12)*Financials!$O$28</f>
        <v>3.1435676304000002</v>
      </c>
      <c r="CG5" s="67">
        <f>($T$8/12)*Financials!$O$28</f>
        <v>3.1435676304000002</v>
      </c>
      <c r="CH5" s="67">
        <f>($T$8/12)*Financials!$O$28</f>
        <v>3.1435676304000002</v>
      </c>
      <c r="CI5" s="67">
        <f>($T$9/12)*Financials!$O$28</f>
        <v>3.3321816882240007</v>
      </c>
      <c r="CJ5" s="67">
        <f>($T$9/12)*Financials!$O$28</f>
        <v>3.3321816882240007</v>
      </c>
      <c r="CK5" s="67">
        <f>($T$9/12)*Financials!$O$28</f>
        <v>3.3321816882240007</v>
      </c>
      <c r="CL5" s="67">
        <f>($T$9/12)*Financials!$O$28</f>
        <v>3.3321816882240007</v>
      </c>
      <c r="CM5" s="67">
        <f>($T$9/12)*Financials!$O$28</f>
        <v>3.3321816882240007</v>
      </c>
      <c r="CN5" s="67">
        <f>($T$9/12)*Financials!$O$28</f>
        <v>3.3321816882240007</v>
      </c>
      <c r="CO5" s="67">
        <f>($T$9/12)*Financials!$O$28</f>
        <v>3.3321816882240007</v>
      </c>
      <c r="CP5" s="67">
        <f>($T$9/12)*Financials!$O$28</f>
        <v>3.3321816882240007</v>
      </c>
      <c r="CQ5" s="67">
        <f>($T$9/12)*Financials!$O$28</f>
        <v>3.3321816882240007</v>
      </c>
      <c r="CR5" s="67">
        <f>($T$9/12)*Financials!$O$28</f>
        <v>3.3321816882240007</v>
      </c>
      <c r="CS5" s="67">
        <f>($T$9/12)*Financials!$O$28</f>
        <v>3.3321816882240007</v>
      </c>
      <c r="CT5" s="67">
        <f>($T$9/12)*Financials!$O$28</f>
        <v>3.3321816882240007</v>
      </c>
      <c r="CU5" s="67">
        <f>($T$10/12)*Financials!$O$28</f>
        <v>3.5321125895174408</v>
      </c>
      <c r="CV5" s="67">
        <f>($T$10/12)*Financials!$O$28</f>
        <v>3.5321125895174408</v>
      </c>
      <c r="CW5" s="67">
        <f>($T$10/12)*Financials!$O$28</f>
        <v>3.5321125895174408</v>
      </c>
      <c r="CX5" s="67">
        <f>($T$10/12)*Financials!$O$28</f>
        <v>3.5321125895174408</v>
      </c>
      <c r="CY5" s="67">
        <f>($T$10/12)*Financials!$O$28</f>
        <v>3.5321125895174408</v>
      </c>
      <c r="CZ5" s="67">
        <f>($T$10/12)*Financials!$O$28</f>
        <v>3.5321125895174408</v>
      </c>
      <c r="DA5" s="67">
        <f>($T$10/12)*Financials!$O$28</f>
        <v>3.5321125895174408</v>
      </c>
      <c r="DB5" s="67">
        <f>($T$10/12)*Financials!$O$28</f>
        <v>3.5321125895174408</v>
      </c>
      <c r="DC5" s="67">
        <f>($T$10/12)*Financials!$O$28</f>
        <v>3.5321125895174408</v>
      </c>
      <c r="DD5" s="67">
        <f>($T$10/12)*Financials!$O$28</f>
        <v>3.5321125895174408</v>
      </c>
      <c r="DE5" s="67">
        <f>($T$10/12)*Financials!$O$28</f>
        <v>3.5321125895174408</v>
      </c>
      <c r="DF5" s="67">
        <f>($T$10/12)*Financials!$O$28</f>
        <v>3.5321125895174408</v>
      </c>
      <c r="DG5" s="67">
        <f>($T$11/12)*Financials!$O$28</f>
        <v>3.744039344888487</v>
      </c>
      <c r="DH5" s="67">
        <f>($T$11/12)*Financials!$O$28</f>
        <v>3.744039344888487</v>
      </c>
      <c r="DI5" s="67">
        <f>($T$11/12)*Financials!$O$28</f>
        <v>3.744039344888487</v>
      </c>
      <c r="DJ5" s="67">
        <f>($T$11/12)*Financials!$O$28</f>
        <v>3.744039344888487</v>
      </c>
      <c r="DK5" s="67">
        <f>($T$11/12)*Financials!$O$28</f>
        <v>3.744039344888487</v>
      </c>
      <c r="DL5" s="67">
        <f>($T$11/12)*Financials!$O$28</f>
        <v>3.744039344888487</v>
      </c>
      <c r="DM5" s="67">
        <f>($T$11/12)*Financials!$O$28</f>
        <v>3.744039344888487</v>
      </c>
      <c r="DN5" s="67">
        <f>($T$11/12)*Financials!$O$28</f>
        <v>3.744039344888487</v>
      </c>
      <c r="DO5" s="67">
        <f>($T$11/12)*Financials!$O$28</f>
        <v>3.744039344888487</v>
      </c>
      <c r="DP5" s="67">
        <f>($T$11/12)*Financials!$O$28</f>
        <v>3.744039344888487</v>
      </c>
      <c r="DQ5" s="67">
        <f>($T$11/12)*Financials!$O$28</f>
        <v>3.744039344888487</v>
      </c>
      <c r="DR5" s="67">
        <f>($T$11/12)*Financials!$O$28</f>
        <v>3.744039344888487</v>
      </c>
      <c r="DS5" s="67">
        <f>($T$12/12)*Financials!$O$28</f>
        <v>3.9686817055817962</v>
      </c>
      <c r="DT5" s="67">
        <f>($T$12/12)*Financials!$O$28</f>
        <v>3.9686817055817962</v>
      </c>
      <c r="DU5" s="67">
        <f>($T$12/12)*Financials!$O$28</f>
        <v>3.9686817055817962</v>
      </c>
      <c r="DV5" s="67">
        <f>($T$12/12)*Financials!$O$28</f>
        <v>3.9686817055817962</v>
      </c>
      <c r="DW5" s="67">
        <f>($T$12/12)*Financials!$O$28</f>
        <v>3.9686817055817962</v>
      </c>
      <c r="DX5" s="67">
        <f>($T$12/12)*Financials!$O$28</f>
        <v>3.9686817055817962</v>
      </c>
      <c r="DY5" s="67">
        <f>($T$12/12)*Financials!$O$28</f>
        <v>3.9686817055817962</v>
      </c>
      <c r="DZ5" s="67">
        <f>($T$12/12)*Financials!$O$28</f>
        <v>3.9686817055817962</v>
      </c>
      <c r="EA5" s="67">
        <f>($T$12/12)*Financials!$O$28</f>
        <v>3.9686817055817962</v>
      </c>
      <c r="EB5" s="67">
        <f>($T$12/12)*Financials!$O$28</f>
        <v>3.9686817055817962</v>
      </c>
      <c r="EC5" s="67">
        <f>($T$12/12)*Financials!$O$28</f>
        <v>3.9686817055817962</v>
      </c>
      <c r="ED5" s="67">
        <f>($T$12/12)*Financials!$O$28</f>
        <v>3.9686817055817962</v>
      </c>
      <c r="EE5" s="67">
        <f>($T$13/12)*Financials!$O$28</f>
        <v>4.2068026079167042</v>
      </c>
      <c r="EF5" s="67">
        <f>($T$13/12)*Financials!$O$28</f>
        <v>4.2068026079167042</v>
      </c>
      <c r="EG5" s="67">
        <f>($T$13/12)*Financials!$O$28</f>
        <v>4.2068026079167042</v>
      </c>
      <c r="EH5" s="67">
        <f>($T$13/12)*Financials!$O$28</f>
        <v>4.2068026079167042</v>
      </c>
      <c r="EI5" s="67">
        <f>($T$13/12)*Financials!$O$28</f>
        <v>4.2068026079167042</v>
      </c>
      <c r="EJ5" s="67">
        <f>($T$13/12)*Financials!$O$28</f>
        <v>4.2068026079167042</v>
      </c>
      <c r="EK5" s="67">
        <f>($T$13/12)*Financials!$O$28</f>
        <v>4.2068026079167042</v>
      </c>
      <c r="EL5" s="67">
        <f>($T$13/12)*Financials!$O$28</f>
        <v>4.2068026079167042</v>
      </c>
      <c r="EM5" s="67">
        <f>($T$13/12)*Financials!$O$28</f>
        <v>4.2068026079167042</v>
      </c>
      <c r="EN5" s="67">
        <f>($T$13/12)*Financials!$O$28</f>
        <v>4.2068026079167042</v>
      </c>
      <c r="EO5" s="67">
        <f>($T$13/12)*Financials!$O$28</f>
        <v>4.2068026079167042</v>
      </c>
      <c r="EP5" s="67">
        <f>($T$13/12)*Financials!$O$28</f>
        <v>4.2068026079167042</v>
      </c>
      <c r="EQ5" s="173">
        <f>N21</f>
        <v>891.84215287834127</v>
      </c>
    </row>
    <row r="6" spans="4:147">
      <c r="D6" s="181" t="s">
        <v>100</v>
      </c>
      <c r="E6" s="181"/>
      <c r="F6" s="182">
        <f>-F5/E5</f>
        <v>4.4645032258064512E-4</v>
      </c>
      <c r="G6" s="182">
        <f>-G5/$E$5</f>
        <v>3.8733414193548393E-2</v>
      </c>
      <c r="H6" s="182">
        <f>-H5/$E$5</f>
        <v>7.9375788387096774E-2</v>
      </c>
      <c r="I6" s="182">
        <f t="shared" ref="I6:O6" si="2">-I5/$E$5</f>
        <v>8.3255287741935469E-2</v>
      </c>
      <c r="J6" s="182">
        <f t="shared" si="2"/>
        <v>8.7328762064516119E-2</v>
      </c>
      <c r="K6" s="182">
        <f t="shared" si="2"/>
        <v>9.1605910103225816E-2</v>
      </c>
      <c r="L6" s="182">
        <f t="shared" si="2"/>
        <v>9.6096915543870953E-2</v>
      </c>
      <c r="M6" s="182">
        <f t="shared" si="2"/>
        <v>0.10081247125654839</v>
      </c>
      <c r="N6" s="182">
        <f t="shared" si="2"/>
        <v>0.10576380475485971</v>
      </c>
      <c r="O6" s="182">
        <f t="shared" si="2"/>
        <v>0.11096270492808655</v>
      </c>
      <c r="R6" s="65" t="s">
        <v>84</v>
      </c>
      <c r="S6" s="66">
        <f>U5</f>
        <v>559.55280000000005</v>
      </c>
      <c r="T6" s="66">
        <f>S6*Summary!$K$22</f>
        <v>33.573168000000003</v>
      </c>
      <c r="U6" s="66">
        <f t="shared" si="0"/>
        <v>593.12596800000006</v>
      </c>
      <c r="X6" s="169"/>
      <c r="Y6" s="170"/>
      <c r="Z6" s="31" t="s">
        <v>101</v>
      </c>
      <c r="AA6" s="164">
        <f>SUMIF('Monthly Cash Inflow'!$D$2:$EC$2,'Cash Flow'!AA$3,'Monthly Cash Inflow'!$D$12:$EC$12)</f>
        <v>0</v>
      </c>
      <c r="AB6" s="164">
        <f>SUMIF('Monthly Cash Inflow'!$D$2:$EC$2,'Cash Flow'!AB$3,'Monthly Cash Inflow'!$D$12:$EC$12)</f>
        <v>0</v>
      </c>
      <c r="AC6" s="164">
        <f>SUMIF('Monthly Cash Inflow'!$D$2:$EC$2,'Cash Flow'!AC$3,'Monthly Cash Inflow'!$D$12:$EC$12)</f>
        <v>0</v>
      </c>
      <c r="AD6" s="164">
        <f>SUMIF('Monthly Cash Inflow'!$D$2:$EC$2,'Cash Flow'!AD$3,'Monthly Cash Inflow'!$D$12:$EC$12)</f>
        <v>0</v>
      </c>
      <c r="AE6" s="164">
        <f>SUMIF('Monthly Cash Inflow'!$D$2:$EC$2,'Cash Flow'!AE$3,'Monthly Cash Inflow'!$D$12:$EC$12)</f>
        <v>0</v>
      </c>
      <c r="AF6" s="164">
        <f>SUMIF('Monthly Cash Inflow'!$D$2:$EC$2,'Cash Flow'!AF$3,'Monthly Cash Inflow'!$D$12:$EC$12)</f>
        <v>0</v>
      </c>
      <c r="AG6" s="164">
        <f>SUMIF('Monthly Cash Inflow'!$D$2:$EC$2,'Cash Flow'!AG$3,'Monthly Cash Inflow'!$D$12:$EC$12)</f>
        <v>0</v>
      </c>
      <c r="AH6" s="164">
        <f>SUMIF('Monthly Cash Inflow'!$D$2:$EC$2,'Cash Flow'!AH$3,'Monthly Cash Inflow'!$D$12:$EC$12)</f>
        <v>0</v>
      </c>
      <c r="AI6" s="164">
        <f>SUMIF('Monthly Cash Inflow'!$D$2:$EC$2,'Cash Flow'!AI$3,'Monthly Cash Inflow'!$D$12:$EC$12)</f>
        <v>0</v>
      </c>
      <c r="AJ6" s="164">
        <f>SUMIF('Monthly Cash Inflow'!$D$2:$EC$2,'Cash Flow'!AJ$3,'Monthly Cash Inflow'!$D$12:$EC$12)</f>
        <v>6.9199799999999992E-2</v>
      </c>
      <c r="AK6" s="164">
        <f>SUMIF('Monthly Cash Inflow'!$D$2:$EC$2,'Cash Flow'!AK$3,'Monthly Cash Inflow'!$D$12:$EC$12)</f>
        <v>6.9199799999999992E-2</v>
      </c>
      <c r="AL6" s="164">
        <f>SUMIF('Monthly Cash Inflow'!$D$2:$EC$2,'Cash Flow'!AL$3,'Monthly Cash Inflow'!$D$12:$EC$12)</f>
        <v>6.9199799999999992E-2</v>
      </c>
      <c r="AM6" s="164">
        <f>SUMIF('Monthly Cash Inflow'!$D$2:$EC$2,'Cash Flow'!AM$3,'Monthly Cash Inflow'!$D$12:$EC$12)</f>
        <v>6.9199799999999992E-2</v>
      </c>
      <c r="AN6" s="164">
        <f>SUMIF('Monthly Cash Inflow'!$D$2:$EC$2,'Cash Flow'!AN$3,'Monthly Cash Inflow'!$D$12:$EC$12)</f>
        <v>6.9199799999999992E-2</v>
      </c>
      <c r="AO6" s="164">
        <f>SUMIF('Monthly Cash Inflow'!$D$2:$EC$2,'Cash Flow'!AO$3,'Monthly Cash Inflow'!$D$12:$EC$12)</f>
        <v>6.9199799999999992E-2</v>
      </c>
      <c r="AP6" s="164">
        <f>SUMIF('Monthly Cash Inflow'!$D$2:$EC$2,'Cash Flow'!AP$3,'Monthly Cash Inflow'!$D$12:$EC$12)</f>
        <v>6.9199799999999992E-2</v>
      </c>
      <c r="AQ6" s="164">
        <f>SUMIF('Monthly Cash Inflow'!$D$2:$EC$2,'Cash Flow'!AQ$3,'Monthly Cash Inflow'!$D$12:$EC$12)</f>
        <v>6.9199799999999992E-2</v>
      </c>
      <c r="AR6" s="164">
        <f>SUMIF('Monthly Cash Inflow'!$D$2:$EC$2,'Cash Flow'!AR$3,'Monthly Cash Inflow'!$D$12:$EC$12)</f>
        <v>6.9199799999999992E-2</v>
      </c>
      <c r="AS6" s="164">
        <f>SUMIF('Monthly Cash Inflow'!$D$2:$EC$2,'Cash Flow'!AS$3,'Monthly Cash Inflow'!$D$12:$EC$12)</f>
        <v>2.9326398</v>
      </c>
      <c r="AT6" s="164">
        <f>SUMIF('Monthly Cash Inflow'!$D$2:$EC$2,'Cash Flow'!AT$3,'Monthly Cash Inflow'!$D$12:$EC$12)</f>
        <v>2.9326398</v>
      </c>
      <c r="AU6" s="164">
        <f>SUMIF('Monthly Cash Inflow'!$D$2:$EC$2,'Cash Flow'!AU$3,'Monthly Cash Inflow'!$D$12:$EC$12)</f>
        <v>2.9326398</v>
      </c>
      <c r="AV6" s="164">
        <f>SUMIF('Monthly Cash Inflow'!$D$2:$EC$2,'Cash Flow'!AV$3,'Monthly Cash Inflow'!$D$12:$EC$12)</f>
        <v>2.9326398</v>
      </c>
      <c r="AW6" s="164">
        <f>SUMIF('Monthly Cash Inflow'!$D$2:$EC$2,'Cash Flow'!AW$3,'Monthly Cash Inflow'!$D$12:$EC$12)</f>
        <v>2.9326398</v>
      </c>
      <c r="AX6" s="164">
        <f>SUMIF('Monthly Cash Inflow'!$D$2:$EC$2,'Cash Flow'!AX$3,'Monthly Cash Inflow'!$D$12:$EC$12)</f>
        <v>2.9326398</v>
      </c>
      <c r="AY6" s="164">
        <f>SUMIF('Monthly Cash Inflow'!$D$2:$EC$2,'Cash Flow'!AY$3,'Monthly Cash Inflow'!$D$12:$EC$12)</f>
        <v>3.0758118000000003</v>
      </c>
      <c r="AZ6" s="164">
        <f>SUMIF('Monthly Cash Inflow'!$D$2:$EC$2,'Cash Flow'!AZ$3,'Monthly Cash Inflow'!$D$12:$EC$12)</f>
        <v>3.0758118000000003</v>
      </c>
      <c r="BA6" s="164">
        <f>SUMIF('Monthly Cash Inflow'!$D$2:$EC$2,'Cash Flow'!BA$3,'Monthly Cash Inflow'!$D$12:$EC$12)</f>
        <v>3.0758118000000003</v>
      </c>
      <c r="BB6" s="164">
        <f>SUMIF('Monthly Cash Inflow'!$D$2:$EC$2,'Cash Flow'!BB$3,'Monthly Cash Inflow'!$D$12:$EC$12)</f>
        <v>3.0758118000000003</v>
      </c>
      <c r="BC6" s="164">
        <f>SUMIF('Monthly Cash Inflow'!$D$2:$EC$2,'Cash Flow'!BC$3,'Monthly Cash Inflow'!$D$12:$EC$12)</f>
        <v>3.0758118000000003</v>
      </c>
      <c r="BD6" s="164">
        <f>SUMIF('Monthly Cash Inflow'!$D$2:$EC$2,'Cash Flow'!BD$3,'Monthly Cash Inflow'!$D$12:$EC$12)</f>
        <v>3.0758118000000003</v>
      </c>
      <c r="BE6" s="164">
        <f>SUMIF('Monthly Cash Inflow'!$D$2:$EC$2,'Cash Flow'!BE$3,'Monthly Cash Inflow'!$D$12:$EC$12)</f>
        <v>3.0758118000000003</v>
      </c>
      <c r="BF6" s="164">
        <f>SUMIF('Monthly Cash Inflow'!$D$2:$EC$2,'Cash Flow'!BF$3,'Monthly Cash Inflow'!$D$12:$EC$12)</f>
        <v>3.0758118000000003</v>
      </c>
      <c r="BG6" s="164">
        <f>SUMIF('Monthly Cash Inflow'!$D$2:$EC$2,'Cash Flow'!BG$3,'Monthly Cash Inflow'!$D$12:$EC$12)</f>
        <v>3.0758118000000003</v>
      </c>
      <c r="BH6" s="164">
        <f>SUMIF('Monthly Cash Inflow'!$D$2:$EC$2,'Cash Flow'!BH$3,'Monthly Cash Inflow'!$D$12:$EC$12)</f>
        <v>3.0758118000000003</v>
      </c>
      <c r="BI6" s="164">
        <f>SUMIF('Monthly Cash Inflow'!$D$2:$EC$2,'Cash Flow'!BI$3,'Monthly Cash Inflow'!$D$12:$EC$12)</f>
        <v>3.0758118000000003</v>
      </c>
      <c r="BJ6" s="164">
        <f>SUMIF('Monthly Cash Inflow'!$D$2:$EC$2,'Cash Flow'!BJ$3,'Monthly Cash Inflow'!$D$12:$EC$12)</f>
        <v>3.0758118000000003</v>
      </c>
      <c r="BK6" s="164">
        <f>SUMIF('Monthly Cash Inflow'!$D$2:$EC$2,'Cash Flow'!BK$3,'Monthly Cash Inflow'!$D$12:$EC$12)</f>
        <v>3.2261424000000001</v>
      </c>
      <c r="BL6" s="164">
        <f>SUMIF('Monthly Cash Inflow'!$D$2:$EC$2,'Cash Flow'!BL$3,'Monthly Cash Inflow'!$D$12:$EC$12)</f>
        <v>3.2261424000000001</v>
      </c>
      <c r="BM6" s="164">
        <f>SUMIF('Monthly Cash Inflow'!$D$2:$EC$2,'Cash Flow'!BM$3,'Monthly Cash Inflow'!$D$12:$EC$12)</f>
        <v>3.2261424000000001</v>
      </c>
      <c r="BN6" s="164">
        <f>SUMIF('Monthly Cash Inflow'!$D$2:$EC$2,'Cash Flow'!BN$3,'Monthly Cash Inflow'!$D$12:$EC$12)</f>
        <v>3.2261424000000001</v>
      </c>
      <c r="BO6" s="164">
        <f>SUMIF('Monthly Cash Inflow'!$D$2:$EC$2,'Cash Flow'!BO$3,'Monthly Cash Inflow'!$D$12:$EC$12)</f>
        <v>3.2261424000000001</v>
      </c>
      <c r="BP6" s="164">
        <f>SUMIF('Monthly Cash Inflow'!$D$2:$EC$2,'Cash Flow'!BP$3,'Monthly Cash Inflow'!$D$12:$EC$12)</f>
        <v>3.2261424000000001</v>
      </c>
      <c r="BQ6" s="164">
        <f>SUMIF('Monthly Cash Inflow'!$D$2:$EC$2,'Cash Flow'!BQ$3,'Monthly Cash Inflow'!$D$12:$EC$12)</f>
        <v>3.2261424000000001</v>
      </c>
      <c r="BR6" s="164">
        <f>SUMIF('Monthly Cash Inflow'!$D$2:$EC$2,'Cash Flow'!BR$3,'Monthly Cash Inflow'!$D$12:$EC$12)</f>
        <v>3.2261424000000001</v>
      </c>
      <c r="BS6" s="164">
        <f>SUMIF('Monthly Cash Inflow'!$D$2:$EC$2,'Cash Flow'!BS$3,'Monthly Cash Inflow'!$D$12:$EC$12)</f>
        <v>3.2261424000000001</v>
      </c>
      <c r="BT6" s="164">
        <f>SUMIF('Monthly Cash Inflow'!$D$2:$EC$2,'Cash Flow'!BT$3,'Monthly Cash Inflow'!$D$12:$EC$12)</f>
        <v>3.2261424000000001</v>
      </c>
      <c r="BU6" s="164">
        <f>SUMIF('Monthly Cash Inflow'!$D$2:$EC$2,'Cash Flow'!BU$3,'Monthly Cash Inflow'!$D$12:$EC$12)</f>
        <v>3.2261424000000001</v>
      </c>
      <c r="BV6" s="164">
        <f>SUMIF('Monthly Cash Inflow'!$D$2:$EC$2,'Cash Flow'!BV$3,'Monthly Cash Inflow'!$D$12:$EC$12)</f>
        <v>3.2261424000000001</v>
      </c>
      <c r="BW6" s="164">
        <f>SUMIF('Monthly Cash Inflow'!$D$2:$EC$2,'Cash Flow'!BW$3,'Monthly Cash Inflow'!$D$12:$EC$12)</f>
        <v>3.38398953</v>
      </c>
      <c r="BX6" s="164">
        <f>SUMIF('Monthly Cash Inflow'!$D$2:$EC$2,'Cash Flow'!BX$3,'Monthly Cash Inflow'!$D$12:$EC$12)</f>
        <v>3.38398953</v>
      </c>
      <c r="BY6" s="164">
        <f>SUMIF('Monthly Cash Inflow'!$D$2:$EC$2,'Cash Flow'!BY$3,'Monthly Cash Inflow'!$D$12:$EC$12)</f>
        <v>3.38398953</v>
      </c>
      <c r="BZ6" s="164">
        <f>SUMIF('Monthly Cash Inflow'!$D$2:$EC$2,'Cash Flow'!BZ$3,'Monthly Cash Inflow'!$D$12:$EC$12)</f>
        <v>3.38398953</v>
      </c>
      <c r="CA6" s="164">
        <f>SUMIF('Monthly Cash Inflow'!$D$2:$EC$2,'Cash Flow'!CA$3,'Monthly Cash Inflow'!$D$12:$EC$12)</f>
        <v>3.38398953</v>
      </c>
      <c r="CB6" s="164">
        <f>SUMIF('Monthly Cash Inflow'!$D$2:$EC$2,'Cash Flow'!CB$3,'Monthly Cash Inflow'!$D$12:$EC$12)</f>
        <v>3.38398953</v>
      </c>
      <c r="CC6" s="164">
        <f>SUMIF('Monthly Cash Inflow'!$D$2:$EC$2,'Cash Flow'!CC$3,'Monthly Cash Inflow'!$D$12:$EC$12)</f>
        <v>3.38398953</v>
      </c>
      <c r="CD6" s="164">
        <f>SUMIF('Monthly Cash Inflow'!$D$2:$EC$2,'Cash Flow'!CD$3,'Monthly Cash Inflow'!$D$12:$EC$12)</f>
        <v>3.38398953</v>
      </c>
      <c r="CE6" s="164">
        <f>SUMIF('Monthly Cash Inflow'!$D$2:$EC$2,'Cash Flow'!CE$3,'Monthly Cash Inflow'!$D$12:$EC$12)</f>
        <v>3.38398953</v>
      </c>
      <c r="CF6" s="164">
        <f>SUMIF('Monthly Cash Inflow'!$D$2:$EC$2,'Cash Flow'!CF$3,'Monthly Cash Inflow'!$D$12:$EC$12)</f>
        <v>3.38398953</v>
      </c>
      <c r="CG6" s="164">
        <f>SUMIF('Monthly Cash Inflow'!$D$2:$EC$2,'Cash Flow'!CG$3,'Monthly Cash Inflow'!$D$12:$EC$12)</f>
        <v>3.38398953</v>
      </c>
      <c r="CH6" s="164">
        <f>SUMIF('Monthly Cash Inflow'!$D$2:$EC$2,'Cash Flow'!CH$3,'Monthly Cash Inflow'!$D$12:$EC$12)</f>
        <v>3.38398953</v>
      </c>
      <c r="CI6" s="164">
        <f>SUMIF('Monthly Cash Inflow'!$D$2:$EC$2,'Cash Flow'!CI$3,'Monthly Cash Inflow'!$D$12:$EC$12)</f>
        <v>3.5497290165000002</v>
      </c>
      <c r="CJ6" s="164">
        <f>SUMIF('Monthly Cash Inflow'!$D$2:$EC$2,'Cash Flow'!CJ$3,'Monthly Cash Inflow'!$D$12:$EC$12)</f>
        <v>3.5497290165000002</v>
      </c>
      <c r="CK6" s="164">
        <f>SUMIF('Monthly Cash Inflow'!$D$2:$EC$2,'Cash Flow'!CK$3,'Monthly Cash Inflow'!$D$12:$EC$12)</f>
        <v>3.5497290165000002</v>
      </c>
      <c r="CL6" s="164">
        <f>SUMIF('Monthly Cash Inflow'!$D$2:$EC$2,'Cash Flow'!CL$3,'Monthly Cash Inflow'!$D$12:$EC$12)</f>
        <v>3.5497290165000002</v>
      </c>
      <c r="CM6" s="164">
        <f>SUMIF('Monthly Cash Inflow'!$D$2:$EC$2,'Cash Flow'!CM$3,'Monthly Cash Inflow'!$D$12:$EC$12)</f>
        <v>3.5497290165000002</v>
      </c>
      <c r="CN6" s="164">
        <f>SUMIF('Monthly Cash Inflow'!$D$2:$EC$2,'Cash Flow'!CN$3,'Monthly Cash Inflow'!$D$12:$EC$12)</f>
        <v>3.5497290165000002</v>
      </c>
      <c r="CO6" s="164">
        <f>SUMIF('Monthly Cash Inflow'!$D$2:$EC$2,'Cash Flow'!CO$3,'Monthly Cash Inflow'!$D$12:$EC$12)</f>
        <v>3.5497290165000002</v>
      </c>
      <c r="CP6" s="164">
        <f>SUMIF('Monthly Cash Inflow'!$D$2:$EC$2,'Cash Flow'!CP$3,'Monthly Cash Inflow'!$D$12:$EC$12)</f>
        <v>3.5497290165000002</v>
      </c>
      <c r="CQ6" s="164">
        <f>SUMIF('Monthly Cash Inflow'!$D$2:$EC$2,'Cash Flow'!CQ$3,'Monthly Cash Inflow'!$D$12:$EC$12)</f>
        <v>3.5497290165000002</v>
      </c>
      <c r="CR6" s="164">
        <f>SUMIF('Monthly Cash Inflow'!$D$2:$EC$2,'Cash Flow'!CR$3,'Monthly Cash Inflow'!$D$12:$EC$12)</f>
        <v>3.5497290165000002</v>
      </c>
      <c r="CS6" s="164">
        <f>SUMIF('Monthly Cash Inflow'!$D$2:$EC$2,'Cash Flow'!CS$3,'Monthly Cash Inflow'!$D$12:$EC$12)</f>
        <v>3.5497290165000002</v>
      </c>
      <c r="CT6" s="164">
        <f>SUMIF('Monthly Cash Inflow'!$D$2:$EC$2,'Cash Flow'!CT$3,'Monthly Cash Inflow'!$D$12:$EC$12)</f>
        <v>3.5497290165000002</v>
      </c>
      <c r="CU6" s="164">
        <f>SUMIF('Monthly Cash Inflow'!$D$2:$EC$2,'Cash Flow'!CU$3,'Monthly Cash Inflow'!$D$12:$EC$12)</f>
        <v>3.7237554773250006</v>
      </c>
      <c r="CV6" s="164">
        <f>SUMIF('Monthly Cash Inflow'!$D$2:$EC$2,'Cash Flow'!CV$3,'Monthly Cash Inflow'!$D$12:$EC$12)</f>
        <v>3.7237554773250006</v>
      </c>
      <c r="CW6" s="164">
        <f>SUMIF('Monthly Cash Inflow'!$D$2:$EC$2,'Cash Flow'!CW$3,'Monthly Cash Inflow'!$D$12:$EC$12)</f>
        <v>3.7237554773250006</v>
      </c>
      <c r="CX6" s="164">
        <f>SUMIF('Monthly Cash Inflow'!$D$2:$EC$2,'Cash Flow'!CX$3,'Monthly Cash Inflow'!$D$12:$EC$12)</f>
        <v>3.7237554773250006</v>
      </c>
      <c r="CY6" s="164">
        <f>SUMIF('Monthly Cash Inflow'!$D$2:$EC$2,'Cash Flow'!CY$3,'Monthly Cash Inflow'!$D$12:$EC$12)</f>
        <v>3.7237554773250006</v>
      </c>
      <c r="CZ6" s="164">
        <f>SUMIF('Monthly Cash Inflow'!$D$2:$EC$2,'Cash Flow'!CZ$3,'Monthly Cash Inflow'!$D$12:$EC$12)</f>
        <v>3.7237554773250006</v>
      </c>
      <c r="DA6" s="164">
        <f>SUMIF('Monthly Cash Inflow'!$D$2:$EC$2,'Cash Flow'!DA$3,'Monthly Cash Inflow'!$D$12:$EC$12)</f>
        <v>3.7237554773250006</v>
      </c>
      <c r="DB6" s="164">
        <f>SUMIF('Monthly Cash Inflow'!$D$2:$EC$2,'Cash Flow'!DB$3,'Monthly Cash Inflow'!$D$12:$EC$12)</f>
        <v>3.7237554773250006</v>
      </c>
      <c r="DC6" s="164">
        <f>SUMIF('Monthly Cash Inflow'!$D$2:$EC$2,'Cash Flow'!DC$3,'Monthly Cash Inflow'!$D$12:$EC$12)</f>
        <v>3.7237554773250006</v>
      </c>
      <c r="DD6" s="164">
        <f>SUMIF('Monthly Cash Inflow'!$D$2:$EC$2,'Cash Flow'!DD$3,'Monthly Cash Inflow'!$D$12:$EC$12)</f>
        <v>3.7237554773250006</v>
      </c>
      <c r="DE6" s="164">
        <f>SUMIF('Monthly Cash Inflow'!$D$2:$EC$2,'Cash Flow'!DE$3,'Monthly Cash Inflow'!$D$12:$EC$12)</f>
        <v>3.7237554773250006</v>
      </c>
      <c r="DF6" s="164">
        <f>SUMIF('Monthly Cash Inflow'!$D$2:$EC$2,'Cash Flow'!DF$3,'Monthly Cash Inflow'!$D$12:$EC$12)</f>
        <v>3.7237554773250006</v>
      </c>
      <c r="DG6" s="164">
        <f>SUMIF('Monthly Cash Inflow'!$D$2:$EC$2,'Cash Flow'!DG$3,'Monthly Cash Inflow'!$D$12:$EC$12)</f>
        <v>3.9064832611912506</v>
      </c>
      <c r="DH6" s="164">
        <f>SUMIF('Monthly Cash Inflow'!$D$2:$EC$2,'Cash Flow'!DH$3,'Monthly Cash Inflow'!$D$12:$EC$12)</f>
        <v>3.9064832611912506</v>
      </c>
      <c r="DI6" s="164">
        <f>SUMIF('Monthly Cash Inflow'!$D$2:$EC$2,'Cash Flow'!DI$3,'Monthly Cash Inflow'!$D$12:$EC$12)</f>
        <v>3.9064832611912506</v>
      </c>
      <c r="DJ6" s="164">
        <f>SUMIF('Monthly Cash Inflow'!$D$2:$EC$2,'Cash Flow'!DJ$3,'Monthly Cash Inflow'!$D$12:$EC$12)</f>
        <v>3.9064832611912506</v>
      </c>
      <c r="DK6" s="164">
        <f>SUMIF('Monthly Cash Inflow'!$D$2:$EC$2,'Cash Flow'!DK$3,'Monthly Cash Inflow'!$D$12:$EC$12)</f>
        <v>3.9064832611912506</v>
      </c>
      <c r="DL6" s="164">
        <f>SUMIF('Monthly Cash Inflow'!$D$2:$EC$2,'Cash Flow'!DL$3,'Monthly Cash Inflow'!$D$12:$EC$12)</f>
        <v>3.9064832611912506</v>
      </c>
      <c r="DM6" s="164">
        <f>SUMIF('Monthly Cash Inflow'!$D$2:$EC$2,'Cash Flow'!DM$3,'Monthly Cash Inflow'!$D$12:$EC$12)</f>
        <v>3.9064832611912506</v>
      </c>
      <c r="DN6" s="164">
        <f>SUMIF('Monthly Cash Inflow'!$D$2:$EC$2,'Cash Flow'!DN$3,'Monthly Cash Inflow'!$D$12:$EC$12)</f>
        <v>3.9064832611912506</v>
      </c>
      <c r="DO6" s="164">
        <f>SUMIF('Monthly Cash Inflow'!$D$2:$EC$2,'Cash Flow'!DO$3,'Monthly Cash Inflow'!$D$12:$EC$12)</f>
        <v>3.9064832611912506</v>
      </c>
      <c r="DP6" s="164">
        <f>SUMIF('Monthly Cash Inflow'!$D$2:$EC$2,'Cash Flow'!DP$3,'Monthly Cash Inflow'!$D$12:$EC$12)</f>
        <v>3.9064832611912506</v>
      </c>
      <c r="DQ6" s="164">
        <f>SUMIF('Monthly Cash Inflow'!$D$2:$EC$2,'Cash Flow'!DQ$3,'Monthly Cash Inflow'!$D$12:$EC$12)</f>
        <v>3.9064832611912506</v>
      </c>
      <c r="DR6" s="164">
        <f>SUMIF('Monthly Cash Inflow'!$D$2:$EC$2,'Cash Flow'!DR$3,'Monthly Cash Inflow'!$D$12:$EC$12)</f>
        <v>3.9064832611912506</v>
      </c>
      <c r="DS6" s="164">
        <f>SUMIF('Monthly Cash Inflow'!$D$2:$EC$2,'Cash Flow'!DS$3,'Monthly Cash Inflow'!$D$12:$EC$12)</f>
        <v>4.0983474342508135</v>
      </c>
      <c r="DT6" s="164">
        <f>SUMIF('Monthly Cash Inflow'!$D$2:$EC$2,'Cash Flow'!DT$3,'Monthly Cash Inflow'!$D$12:$EC$12)</f>
        <v>4.0983474342508135</v>
      </c>
      <c r="DU6" s="164">
        <f>SUMIF('Monthly Cash Inflow'!$D$2:$EC$2,'Cash Flow'!DU$3,'Monthly Cash Inflow'!$D$12:$EC$12)</f>
        <v>4.0983474342508135</v>
      </c>
      <c r="DV6" s="164">
        <f>SUMIF('Monthly Cash Inflow'!$D$2:$EC$2,'Cash Flow'!DV$3,'Monthly Cash Inflow'!$D$12:$EC$12)</f>
        <v>4.0983474342508135</v>
      </c>
      <c r="DW6" s="164">
        <f>SUMIF('Monthly Cash Inflow'!$D$2:$EC$2,'Cash Flow'!DW$3,'Monthly Cash Inflow'!$D$12:$EC$12)</f>
        <v>4.0983474342508135</v>
      </c>
      <c r="DX6" s="164">
        <f>SUMIF('Monthly Cash Inflow'!$D$2:$EC$2,'Cash Flow'!DX$3,'Monthly Cash Inflow'!$D$12:$EC$12)</f>
        <v>4.0983474342508135</v>
      </c>
      <c r="DY6" s="164">
        <f>SUMIF('Monthly Cash Inflow'!$D$2:$EC$2,'Cash Flow'!DY$3,'Monthly Cash Inflow'!$D$12:$EC$12)</f>
        <v>4.0983474342508135</v>
      </c>
      <c r="DZ6" s="164">
        <f>SUMIF('Monthly Cash Inflow'!$D$2:$EC$2,'Cash Flow'!DZ$3,'Monthly Cash Inflow'!$D$12:$EC$12)</f>
        <v>4.0983474342508135</v>
      </c>
      <c r="EA6" s="164">
        <f>SUMIF('Monthly Cash Inflow'!$D$2:$EC$2,'Cash Flow'!EA$3,'Monthly Cash Inflow'!$D$12:$EC$12)</f>
        <v>4.0983474342508135</v>
      </c>
      <c r="EB6" s="164">
        <f>SUMIF('Monthly Cash Inflow'!$D$2:$EC$2,'Cash Flow'!EB$3,'Monthly Cash Inflow'!$D$12:$EC$12)</f>
        <v>4.0983474342508135</v>
      </c>
      <c r="EC6" s="164">
        <f>SUMIF('Monthly Cash Inflow'!$D$2:$EC$2,'Cash Flow'!EC$3,'Monthly Cash Inflow'!$D$12:$EC$12)</f>
        <v>4.0983474342508135</v>
      </c>
      <c r="ED6" s="164">
        <f>SUMIF('Monthly Cash Inflow'!$D$2:$EC$2,'Cash Flow'!ED$3,'Monthly Cash Inflow'!$D$12:$EC$12)</f>
        <v>4.0983474342508135</v>
      </c>
      <c r="EE6" s="164">
        <f>SUMIF('Monthly Cash Inflow'!$D$2:$EC$2,'Cash Flow'!EE$3,'Monthly Cash Inflow'!$D$12:$EC$12)</f>
        <v>4.2998048159633546</v>
      </c>
      <c r="EF6" s="164">
        <f>SUMIF('Monthly Cash Inflow'!$D$2:$EC$2,'Cash Flow'!EF$3,'Monthly Cash Inflow'!$D$12:$EC$12)</f>
        <v>4.2998048159633546</v>
      </c>
      <c r="EG6" s="164">
        <f>SUMIF('Monthly Cash Inflow'!$D$2:$EC$2,'Cash Flow'!EG$3,'Monthly Cash Inflow'!$D$12:$EC$12)</f>
        <v>4.2998048159633546</v>
      </c>
      <c r="EH6" s="164">
        <f>SUMIF('Monthly Cash Inflow'!$D$2:$EC$2,'Cash Flow'!EH$3,'Monthly Cash Inflow'!$D$12:$EC$12)</f>
        <v>4.2998048159633546</v>
      </c>
      <c r="EI6" s="164">
        <f>SUMIF('Monthly Cash Inflow'!$D$2:$EC$2,'Cash Flow'!EI$3,'Monthly Cash Inflow'!$D$12:$EC$12)</f>
        <v>4.2998048159633546</v>
      </c>
      <c r="EJ6" s="164">
        <f>SUMIF('Monthly Cash Inflow'!$D$2:$EC$2,'Cash Flow'!EJ$3,'Monthly Cash Inflow'!$D$12:$EC$12)</f>
        <v>4.2998048159633546</v>
      </c>
      <c r="EK6" s="164">
        <f>SUMIF('Monthly Cash Inflow'!$D$2:$EC$2,'Cash Flow'!EK$3,'Monthly Cash Inflow'!$D$12:$EC$12)</f>
        <v>4.2998048159633546</v>
      </c>
      <c r="EL6" s="164">
        <f>SUMIF('Monthly Cash Inflow'!$D$2:$EC$2,'Cash Flow'!EL$3,'Monthly Cash Inflow'!$D$12:$EC$12)</f>
        <v>4.2998048159633546</v>
      </c>
      <c r="EM6" s="164">
        <f>SUMIF('Monthly Cash Inflow'!$D$2:$EC$2,'Cash Flow'!EM$3,'Monthly Cash Inflow'!$D$12:$EC$12)</f>
        <v>4.2998048159633546</v>
      </c>
      <c r="EN6" s="164">
        <f>SUMIF('Monthly Cash Inflow'!$D$2:$EC$2,'Cash Flow'!EN$3,'Monthly Cash Inflow'!$D$12:$EC$12)</f>
        <v>4.2998048159633546</v>
      </c>
      <c r="EO6" s="164">
        <f>SUMIF('Monthly Cash Inflow'!$D$2:$EC$2,'Cash Flow'!EO$3,'Monthly Cash Inflow'!$D$12:$EC$12)</f>
        <v>4.2998048159633546</v>
      </c>
      <c r="EP6" s="164">
        <f>SUMIF('Monthly Cash Inflow'!$D$2:$EC$2,'Cash Flow'!EP$3,'Monthly Cash Inflow'!$D$12:$EC$12)</f>
        <v>4.2998048159633546</v>
      </c>
      <c r="EQ6" s="31"/>
    </row>
    <row r="7" spans="4:147">
      <c r="D7" s="183" t="s">
        <v>102</v>
      </c>
      <c r="E7" s="189"/>
      <c r="F7" s="184">
        <f>T4*Financials!$O$28</f>
        <v>29.88</v>
      </c>
      <c r="G7" s="184">
        <f>T5*Financials!$O$28</f>
        <v>31.672799999999999</v>
      </c>
      <c r="H7" s="185">
        <f>T6*Financials!$O$28</f>
        <v>33.573168000000003</v>
      </c>
      <c r="I7" s="185">
        <f>T7*Financials!$O$28</f>
        <v>35.587558080000001</v>
      </c>
      <c r="J7" s="185">
        <f>T8*Financials!$O$28</f>
        <v>37.722811564800004</v>
      </c>
      <c r="K7" s="185">
        <f>T9*Financials!$O$28</f>
        <v>39.986180258688009</v>
      </c>
      <c r="L7" s="185">
        <f>T10*Financials!$O$28</f>
        <v>42.385351074209289</v>
      </c>
      <c r="M7" s="185">
        <f>T11*Financials!$O$28</f>
        <v>44.928472138661846</v>
      </c>
      <c r="N7" s="185">
        <f>T12*Financials!$O$28</f>
        <v>47.624180466981556</v>
      </c>
      <c r="O7" s="185">
        <f>T13*Financials!$O$28</f>
        <v>50.481631295000447</v>
      </c>
      <c r="R7" s="65" t="s">
        <v>85</v>
      </c>
      <c r="S7" s="66">
        <f t="shared" ref="S7:S13" si="3">U6</f>
        <v>593.12596800000006</v>
      </c>
      <c r="T7" s="66">
        <f>S7*Summary!$K$22</f>
        <v>35.587558080000001</v>
      </c>
      <c r="U7" s="66">
        <f t="shared" ref="U7:U13" si="4">S7+T7</f>
        <v>628.71352608000007</v>
      </c>
      <c r="W7" s="72"/>
      <c r="X7" s="169"/>
      <c r="Y7" s="170"/>
      <c r="Z7" s="69" t="s">
        <v>103</v>
      </c>
      <c r="AA7" s="165">
        <f t="shared" ref="AA7:BF7" si="5">AA4+AA6</f>
        <v>-100</v>
      </c>
      <c r="AB7" s="165">
        <f t="shared" si="5"/>
        <v>0</v>
      </c>
      <c r="AC7" s="165">
        <f t="shared" si="5"/>
        <v>0</v>
      </c>
      <c r="AD7" s="165">
        <f t="shared" si="5"/>
        <v>-100</v>
      </c>
      <c r="AE7" s="165">
        <f t="shared" si="5"/>
        <v>0</v>
      </c>
      <c r="AF7" s="165">
        <f t="shared" si="5"/>
        <v>0</v>
      </c>
      <c r="AG7" s="165">
        <f t="shared" si="5"/>
        <v>-100</v>
      </c>
      <c r="AH7" s="165">
        <f t="shared" si="5"/>
        <v>0</v>
      </c>
      <c r="AI7" s="165">
        <f t="shared" si="5"/>
        <v>-165</v>
      </c>
      <c r="AJ7" s="165">
        <f t="shared" si="5"/>
        <v>6.9199799999999992E-2</v>
      </c>
      <c r="AK7" s="165">
        <f t="shared" si="5"/>
        <v>6.9199799999999992E-2</v>
      </c>
      <c r="AL7" s="165">
        <f t="shared" si="5"/>
        <v>6.9199799999999992E-2</v>
      </c>
      <c r="AM7" s="165">
        <f t="shared" si="5"/>
        <v>6.9199799999999992E-2</v>
      </c>
      <c r="AN7" s="165">
        <f t="shared" si="5"/>
        <v>6.9199799999999992E-2</v>
      </c>
      <c r="AO7" s="165">
        <f t="shared" si="5"/>
        <v>6.9199799999999992E-2</v>
      </c>
      <c r="AP7" s="165">
        <f t="shared" si="5"/>
        <v>6.9199799999999992E-2</v>
      </c>
      <c r="AQ7" s="165">
        <f t="shared" si="5"/>
        <v>6.9199799999999992E-2</v>
      </c>
      <c r="AR7" s="165">
        <f t="shared" si="5"/>
        <v>6.9199799999999992E-2</v>
      </c>
      <c r="AS7" s="165">
        <f t="shared" si="5"/>
        <v>2.9326398</v>
      </c>
      <c r="AT7" s="165">
        <f t="shared" si="5"/>
        <v>2.9326398</v>
      </c>
      <c r="AU7" s="165">
        <f t="shared" si="5"/>
        <v>2.9326398</v>
      </c>
      <c r="AV7" s="165">
        <f t="shared" si="5"/>
        <v>2.9326398</v>
      </c>
      <c r="AW7" s="165">
        <f t="shared" si="5"/>
        <v>2.9326398</v>
      </c>
      <c r="AX7" s="165">
        <f t="shared" si="5"/>
        <v>2.9326398</v>
      </c>
      <c r="AY7" s="165">
        <f t="shared" si="5"/>
        <v>3.0758118000000003</v>
      </c>
      <c r="AZ7" s="165">
        <f t="shared" si="5"/>
        <v>3.0758118000000003</v>
      </c>
      <c r="BA7" s="165">
        <f t="shared" si="5"/>
        <v>3.0758118000000003</v>
      </c>
      <c r="BB7" s="165">
        <f t="shared" si="5"/>
        <v>3.0758118000000003</v>
      </c>
      <c r="BC7" s="165">
        <f t="shared" si="5"/>
        <v>3.0758118000000003</v>
      </c>
      <c r="BD7" s="165">
        <f t="shared" si="5"/>
        <v>3.0758118000000003</v>
      </c>
      <c r="BE7" s="165">
        <f t="shared" si="5"/>
        <v>3.0758118000000003</v>
      </c>
      <c r="BF7" s="165">
        <f t="shared" si="5"/>
        <v>3.0758118000000003</v>
      </c>
      <c r="BG7" s="165">
        <f t="shared" ref="BG7:CL7" si="6">BG4+BG6</f>
        <v>3.0758118000000003</v>
      </c>
      <c r="BH7" s="165">
        <f t="shared" si="6"/>
        <v>3.0758118000000003</v>
      </c>
      <c r="BI7" s="165">
        <f t="shared" si="6"/>
        <v>3.0758118000000003</v>
      </c>
      <c r="BJ7" s="165">
        <f t="shared" si="6"/>
        <v>3.0758118000000003</v>
      </c>
      <c r="BK7" s="165">
        <f t="shared" si="6"/>
        <v>3.2261424000000001</v>
      </c>
      <c r="BL7" s="165">
        <f t="shared" si="6"/>
        <v>3.2261424000000001</v>
      </c>
      <c r="BM7" s="165">
        <f t="shared" si="6"/>
        <v>3.2261424000000001</v>
      </c>
      <c r="BN7" s="165">
        <f t="shared" si="6"/>
        <v>3.2261424000000001</v>
      </c>
      <c r="BO7" s="165">
        <f t="shared" si="6"/>
        <v>3.2261424000000001</v>
      </c>
      <c r="BP7" s="165">
        <f t="shared" si="6"/>
        <v>3.2261424000000001</v>
      </c>
      <c r="BQ7" s="165">
        <f t="shared" si="6"/>
        <v>3.2261424000000001</v>
      </c>
      <c r="BR7" s="165">
        <f t="shared" si="6"/>
        <v>3.2261424000000001</v>
      </c>
      <c r="BS7" s="165">
        <f t="shared" si="6"/>
        <v>3.2261424000000001</v>
      </c>
      <c r="BT7" s="165">
        <f t="shared" si="6"/>
        <v>3.2261424000000001</v>
      </c>
      <c r="BU7" s="165">
        <f t="shared" si="6"/>
        <v>3.2261424000000001</v>
      </c>
      <c r="BV7" s="165">
        <f t="shared" si="6"/>
        <v>3.2261424000000001</v>
      </c>
      <c r="BW7" s="165">
        <f t="shared" si="6"/>
        <v>3.38398953</v>
      </c>
      <c r="BX7" s="165">
        <f t="shared" si="6"/>
        <v>3.38398953</v>
      </c>
      <c r="BY7" s="165">
        <f t="shared" si="6"/>
        <v>3.38398953</v>
      </c>
      <c r="BZ7" s="165">
        <f t="shared" si="6"/>
        <v>3.38398953</v>
      </c>
      <c r="CA7" s="165">
        <f t="shared" si="6"/>
        <v>3.38398953</v>
      </c>
      <c r="CB7" s="165">
        <f t="shared" si="6"/>
        <v>3.38398953</v>
      </c>
      <c r="CC7" s="165">
        <f t="shared" si="6"/>
        <v>3.38398953</v>
      </c>
      <c r="CD7" s="165">
        <f t="shared" si="6"/>
        <v>3.38398953</v>
      </c>
      <c r="CE7" s="165">
        <f t="shared" si="6"/>
        <v>3.38398953</v>
      </c>
      <c r="CF7" s="165">
        <f t="shared" si="6"/>
        <v>3.38398953</v>
      </c>
      <c r="CG7" s="165">
        <f t="shared" si="6"/>
        <v>3.38398953</v>
      </c>
      <c r="CH7" s="165">
        <f t="shared" si="6"/>
        <v>3.38398953</v>
      </c>
      <c r="CI7" s="165">
        <f t="shared" si="6"/>
        <v>3.5497290165000002</v>
      </c>
      <c r="CJ7" s="165">
        <f t="shared" si="6"/>
        <v>3.5497290165000002</v>
      </c>
      <c r="CK7" s="165">
        <f t="shared" si="6"/>
        <v>3.5497290165000002</v>
      </c>
      <c r="CL7" s="165">
        <f t="shared" si="6"/>
        <v>3.5497290165000002</v>
      </c>
      <c r="CM7" s="165">
        <f t="shared" ref="CM7:DR7" si="7">CM4+CM6</f>
        <v>3.5497290165000002</v>
      </c>
      <c r="CN7" s="165">
        <f t="shared" si="7"/>
        <v>3.5497290165000002</v>
      </c>
      <c r="CO7" s="165">
        <f t="shared" si="7"/>
        <v>3.5497290165000002</v>
      </c>
      <c r="CP7" s="165">
        <f t="shared" si="7"/>
        <v>3.5497290165000002</v>
      </c>
      <c r="CQ7" s="165">
        <f t="shared" si="7"/>
        <v>3.5497290165000002</v>
      </c>
      <c r="CR7" s="165">
        <f t="shared" si="7"/>
        <v>3.5497290165000002</v>
      </c>
      <c r="CS7" s="165">
        <f t="shared" si="7"/>
        <v>3.5497290165000002</v>
      </c>
      <c r="CT7" s="165">
        <f t="shared" si="7"/>
        <v>3.5497290165000002</v>
      </c>
      <c r="CU7" s="165">
        <f t="shared" si="7"/>
        <v>3.7237554773250006</v>
      </c>
      <c r="CV7" s="165">
        <f t="shared" si="7"/>
        <v>3.7237554773250006</v>
      </c>
      <c r="CW7" s="165">
        <f t="shared" si="7"/>
        <v>3.7237554773250006</v>
      </c>
      <c r="CX7" s="165">
        <f t="shared" si="7"/>
        <v>3.7237554773250006</v>
      </c>
      <c r="CY7" s="165">
        <f t="shared" si="7"/>
        <v>3.7237554773250006</v>
      </c>
      <c r="CZ7" s="165">
        <f t="shared" si="7"/>
        <v>3.7237554773250006</v>
      </c>
      <c r="DA7" s="165">
        <f t="shared" si="7"/>
        <v>3.7237554773250006</v>
      </c>
      <c r="DB7" s="165">
        <f t="shared" si="7"/>
        <v>3.7237554773250006</v>
      </c>
      <c r="DC7" s="165">
        <f t="shared" si="7"/>
        <v>3.7237554773250006</v>
      </c>
      <c r="DD7" s="165">
        <f t="shared" si="7"/>
        <v>3.7237554773250006</v>
      </c>
      <c r="DE7" s="165">
        <f t="shared" si="7"/>
        <v>3.7237554773250006</v>
      </c>
      <c r="DF7" s="165">
        <f t="shared" si="7"/>
        <v>3.7237554773250006</v>
      </c>
      <c r="DG7" s="165">
        <f t="shared" si="7"/>
        <v>3.9064832611912506</v>
      </c>
      <c r="DH7" s="165">
        <f t="shared" si="7"/>
        <v>3.9064832611912506</v>
      </c>
      <c r="DI7" s="165">
        <f t="shared" si="7"/>
        <v>3.9064832611912506</v>
      </c>
      <c r="DJ7" s="165">
        <f t="shared" si="7"/>
        <v>3.9064832611912506</v>
      </c>
      <c r="DK7" s="165">
        <f t="shared" si="7"/>
        <v>3.9064832611912506</v>
      </c>
      <c r="DL7" s="165">
        <f t="shared" si="7"/>
        <v>3.9064832611912506</v>
      </c>
      <c r="DM7" s="165">
        <f t="shared" si="7"/>
        <v>3.9064832611912506</v>
      </c>
      <c r="DN7" s="165">
        <f t="shared" si="7"/>
        <v>3.9064832611912506</v>
      </c>
      <c r="DO7" s="165">
        <f t="shared" si="7"/>
        <v>3.9064832611912506</v>
      </c>
      <c r="DP7" s="165">
        <f t="shared" si="7"/>
        <v>3.9064832611912506</v>
      </c>
      <c r="DQ7" s="165">
        <f t="shared" si="7"/>
        <v>3.9064832611912506</v>
      </c>
      <c r="DR7" s="165">
        <f t="shared" si="7"/>
        <v>3.9064832611912506</v>
      </c>
      <c r="DS7" s="165">
        <f t="shared" ref="DS7:EN7" si="8">DS4+DS6</f>
        <v>4.0983474342508135</v>
      </c>
      <c r="DT7" s="165">
        <f t="shared" si="8"/>
        <v>4.0983474342508135</v>
      </c>
      <c r="DU7" s="165">
        <f t="shared" si="8"/>
        <v>4.0983474342508135</v>
      </c>
      <c r="DV7" s="165">
        <f t="shared" si="8"/>
        <v>4.0983474342508135</v>
      </c>
      <c r="DW7" s="165">
        <f t="shared" si="8"/>
        <v>4.0983474342508135</v>
      </c>
      <c r="DX7" s="165">
        <f t="shared" si="8"/>
        <v>4.0983474342508135</v>
      </c>
      <c r="DY7" s="165">
        <f t="shared" si="8"/>
        <v>4.0983474342508135</v>
      </c>
      <c r="DZ7" s="165">
        <f t="shared" si="8"/>
        <v>4.0983474342508135</v>
      </c>
      <c r="EA7" s="165">
        <f t="shared" si="8"/>
        <v>4.0983474342508135</v>
      </c>
      <c r="EB7" s="165">
        <f t="shared" si="8"/>
        <v>4.0983474342508135</v>
      </c>
      <c r="EC7" s="165">
        <f t="shared" si="8"/>
        <v>4.0983474342508135</v>
      </c>
      <c r="ED7" s="165">
        <f t="shared" si="8"/>
        <v>4.0983474342508135</v>
      </c>
      <c r="EE7" s="165">
        <f t="shared" si="8"/>
        <v>4.2998048159633546</v>
      </c>
      <c r="EF7" s="165">
        <f t="shared" si="8"/>
        <v>4.2998048159633546</v>
      </c>
      <c r="EG7" s="165">
        <f t="shared" si="8"/>
        <v>4.2998048159633546</v>
      </c>
      <c r="EH7" s="165">
        <f t="shared" si="8"/>
        <v>4.2998048159633546</v>
      </c>
      <c r="EI7" s="165">
        <f t="shared" si="8"/>
        <v>4.2998048159633546</v>
      </c>
      <c r="EJ7" s="165">
        <f t="shared" si="8"/>
        <v>4.2998048159633546</v>
      </c>
      <c r="EK7" s="165">
        <f t="shared" si="8"/>
        <v>4.2998048159633546</v>
      </c>
      <c r="EL7" s="165">
        <f t="shared" si="8"/>
        <v>4.2998048159633546</v>
      </c>
      <c r="EM7" s="165">
        <f t="shared" si="8"/>
        <v>4.2998048159633546</v>
      </c>
      <c r="EN7" s="165">
        <f t="shared" si="8"/>
        <v>4.2998048159633546</v>
      </c>
      <c r="EO7" s="165">
        <f t="shared" ref="EO7:EP7" si="9">EO4+EO6</f>
        <v>4.2998048159633546</v>
      </c>
      <c r="EP7" s="165">
        <f t="shared" si="9"/>
        <v>4.2998048159633546</v>
      </c>
      <c r="EQ7" s="165">
        <f>EQ4+EQ5</f>
        <v>891.84215287834127</v>
      </c>
    </row>
    <row r="8" spans="4:147" ht="14.45" thickBot="1">
      <c r="D8" s="73" t="s">
        <v>104</v>
      </c>
      <c r="E8" s="73"/>
      <c r="F8" s="186">
        <f>F5+F7</f>
        <v>30.087599399999998</v>
      </c>
      <c r="G8" s="186">
        <f>G5+G7</f>
        <v>49.683837600000004</v>
      </c>
      <c r="H8" s="186">
        <f>H5+H7</f>
        <v>70.482909599999999</v>
      </c>
      <c r="I8" s="186">
        <f t="shared" ref="I8:O8" si="10">I5+I7</f>
        <v>74.301266879999986</v>
      </c>
      <c r="J8" s="186">
        <f t="shared" si="10"/>
        <v>78.330685924800008</v>
      </c>
      <c r="K8" s="186">
        <f t="shared" si="10"/>
        <v>82.582928456688023</v>
      </c>
      <c r="L8" s="186">
        <f t="shared" si="10"/>
        <v>87.070416802109293</v>
      </c>
      <c r="M8" s="186">
        <f t="shared" si="10"/>
        <v>91.806271272956849</v>
      </c>
      <c r="N8" s="186">
        <f t="shared" si="10"/>
        <v>96.804349677991326</v>
      </c>
      <c r="O8" s="186">
        <f t="shared" si="10"/>
        <v>102.07928908656069</v>
      </c>
      <c r="R8" s="65" t="s">
        <v>86</v>
      </c>
      <c r="S8" s="66">
        <f t="shared" si="3"/>
        <v>628.71352608000007</v>
      </c>
      <c r="T8" s="66">
        <f>S8*Summary!$K$22</f>
        <v>37.722811564800004</v>
      </c>
      <c r="U8" s="66">
        <f t="shared" si="4"/>
        <v>666.43633764480012</v>
      </c>
      <c r="Z8" s="166" t="s">
        <v>105</v>
      </c>
      <c r="AA8" s="167">
        <f t="shared" ref="AA8:BF8" si="11">AA4+AA5+AA6</f>
        <v>-97.51</v>
      </c>
      <c r="AB8" s="167">
        <f t="shared" si="11"/>
        <v>2.4899999999999998</v>
      </c>
      <c r="AC8" s="167">
        <f t="shared" si="11"/>
        <v>2.4899999999999998</v>
      </c>
      <c r="AD8" s="167">
        <f t="shared" si="11"/>
        <v>-97.51</v>
      </c>
      <c r="AE8" s="167">
        <f t="shared" si="11"/>
        <v>2.4899999999999998</v>
      </c>
      <c r="AF8" s="167">
        <f t="shared" si="11"/>
        <v>2.4899999999999998</v>
      </c>
      <c r="AG8" s="167">
        <f t="shared" si="11"/>
        <v>-97.51</v>
      </c>
      <c r="AH8" s="167">
        <f t="shared" si="11"/>
        <v>2.4899999999999998</v>
      </c>
      <c r="AI8" s="167">
        <f t="shared" si="11"/>
        <v>-162.51</v>
      </c>
      <c r="AJ8" s="167">
        <f t="shared" si="11"/>
        <v>2.5591997999999996</v>
      </c>
      <c r="AK8" s="167">
        <f t="shared" si="11"/>
        <v>2.5591997999999996</v>
      </c>
      <c r="AL8" s="167">
        <f t="shared" si="11"/>
        <v>2.5591997999999996</v>
      </c>
      <c r="AM8" s="167">
        <f t="shared" si="11"/>
        <v>2.7085997999999996</v>
      </c>
      <c r="AN8" s="167">
        <f t="shared" si="11"/>
        <v>2.7085997999999996</v>
      </c>
      <c r="AO8" s="167">
        <f t="shared" si="11"/>
        <v>2.7085997999999996</v>
      </c>
      <c r="AP8" s="167">
        <f t="shared" si="11"/>
        <v>2.7085997999999996</v>
      </c>
      <c r="AQ8" s="167">
        <f t="shared" si="11"/>
        <v>2.7085997999999996</v>
      </c>
      <c r="AR8" s="167">
        <f t="shared" si="11"/>
        <v>2.7085997999999996</v>
      </c>
      <c r="AS8" s="167">
        <f t="shared" si="11"/>
        <v>5.5720397999999998</v>
      </c>
      <c r="AT8" s="167">
        <f t="shared" si="11"/>
        <v>5.5720397999999998</v>
      </c>
      <c r="AU8" s="167">
        <f t="shared" si="11"/>
        <v>5.5720397999999998</v>
      </c>
      <c r="AV8" s="167">
        <f t="shared" si="11"/>
        <v>5.5720397999999998</v>
      </c>
      <c r="AW8" s="167">
        <f t="shared" si="11"/>
        <v>5.5720397999999998</v>
      </c>
      <c r="AX8" s="167">
        <f t="shared" si="11"/>
        <v>5.5720397999999998</v>
      </c>
      <c r="AY8" s="167">
        <f t="shared" si="11"/>
        <v>5.8735758000000011</v>
      </c>
      <c r="AZ8" s="167">
        <f t="shared" si="11"/>
        <v>5.8735758000000011</v>
      </c>
      <c r="BA8" s="167">
        <f t="shared" si="11"/>
        <v>5.8735758000000011</v>
      </c>
      <c r="BB8" s="167">
        <f t="shared" si="11"/>
        <v>5.8735758000000011</v>
      </c>
      <c r="BC8" s="167">
        <f t="shared" si="11"/>
        <v>5.8735758000000011</v>
      </c>
      <c r="BD8" s="167">
        <f t="shared" si="11"/>
        <v>5.8735758000000011</v>
      </c>
      <c r="BE8" s="167">
        <f t="shared" si="11"/>
        <v>5.8735758000000011</v>
      </c>
      <c r="BF8" s="167">
        <f t="shared" si="11"/>
        <v>5.8735758000000011</v>
      </c>
      <c r="BG8" s="167">
        <f t="shared" ref="BG8:CL8" si="12">BG4+BG5+BG6</f>
        <v>5.8735758000000011</v>
      </c>
      <c r="BH8" s="167">
        <f t="shared" si="12"/>
        <v>5.8735758000000011</v>
      </c>
      <c r="BI8" s="167">
        <f t="shared" si="12"/>
        <v>5.8735758000000011</v>
      </c>
      <c r="BJ8" s="167">
        <f t="shared" si="12"/>
        <v>5.8735758000000011</v>
      </c>
      <c r="BK8" s="167">
        <f t="shared" si="12"/>
        <v>6.1917722400000006</v>
      </c>
      <c r="BL8" s="167">
        <f t="shared" si="12"/>
        <v>6.1917722400000006</v>
      </c>
      <c r="BM8" s="167">
        <f t="shared" si="12"/>
        <v>6.1917722400000006</v>
      </c>
      <c r="BN8" s="167">
        <f t="shared" si="12"/>
        <v>6.1917722400000006</v>
      </c>
      <c r="BO8" s="167">
        <f t="shared" si="12"/>
        <v>6.1917722400000006</v>
      </c>
      <c r="BP8" s="167">
        <f t="shared" si="12"/>
        <v>6.1917722400000006</v>
      </c>
      <c r="BQ8" s="167">
        <f t="shared" si="12"/>
        <v>6.1917722400000006</v>
      </c>
      <c r="BR8" s="167">
        <f t="shared" si="12"/>
        <v>6.1917722400000006</v>
      </c>
      <c r="BS8" s="167">
        <f t="shared" si="12"/>
        <v>6.1917722400000006</v>
      </c>
      <c r="BT8" s="167">
        <f t="shared" si="12"/>
        <v>6.1917722400000006</v>
      </c>
      <c r="BU8" s="167">
        <f t="shared" si="12"/>
        <v>6.1917722400000006</v>
      </c>
      <c r="BV8" s="167">
        <f t="shared" si="12"/>
        <v>6.1917722400000006</v>
      </c>
      <c r="BW8" s="167">
        <f t="shared" si="12"/>
        <v>6.5275571604000007</v>
      </c>
      <c r="BX8" s="167">
        <f t="shared" si="12"/>
        <v>6.5275571604000007</v>
      </c>
      <c r="BY8" s="167">
        <f t="shared" si="12"/>
        <v>6.5275571604000007</v>
      </c>
      <c r="BZ8" s="167">
        <f t="shared" si="12"/>
        <v>6.5275571604000007</v>
      </c>
      <c r="CA8" s="167">
        <f t="shared" si="12"/>
        <v>6.5275571604000007</v>
      </c>
      <c r="CB8" s="167">
        <f t="shared" si="12"/>
        <v>6.5275571604000007</v>
      </c>
      <c r="CC8" s="167">
        <f t="shared" si="12"/>
        <v>6.5275571604000007</v>
      </c>
      <c r="CD8" s="167">
        <f t="shared" si="12"/>
        <v>6.5275571604000007</v>
      </c>
      <c r="CE8" s="167">
        <f t="shared" si="12"/>
        <v>6.5275571604000007</v>
      </c>
      <c r="CF8" s="167">
        <f t="shared" si="12"/>
        <v>6.5275571604000007</v>
      </c>
      <c r="CG8" s="167">
        <f t="shared" si="12"/>
        <v>6.5275571604000007</v>
      </c>
      <c r="CH8" s="167">
        <f t="shared" si="12"/>
        <v>6.5275571604000007</v>
      </c>
      <c r="CI8" s="167">
        <f t="shared" si="12"/>
        <v>6.8819107047240013</v>
      </c>
      <c r="CJ8" s="167">
        <f t="shared" si="12"/>
        <v>6.8819107047240013</v>
      </c>
      <c r="CK8" s="167">
        <f t="shared" si="12"/>
        <v>6.8819107047240013</v>
      </c>
      <c r="CL8" s="167">
        <f t="shared" si="12"/>
        <v>6.8819107047240013</v>
      </c>
      <c r="CM8" s="167">
        <f t="shared" ref="CM8:DR8" si="13">CM4+CM5+CM6</f>
        <v>6.8819107047240013</v>
      </c>
      <c r="CN8" s="167">
        <f t="shared" si="13"/>
        <v>6.8819107047240013</v>
      </c>
      <c r="CO8" s="167">
        <f t="shared" si="13"/>
        <v>6.8819107047240013</v>
      </c>
      <c r="CP8" s="167">
        <f t="shared" si="13"/>
        <v>6.8819107047240013</v>
      </c>
      <c r="CQ8" s="167">
        <f t="shared" si="13"/>
        <v>6.8819107047240013</v>
      </c>
      <c r="CR8" s="167">
        <f t="shared" si="13"/>
        <v>6.8819107047240013</v>
      </c>
      <c r="CS8" s="167">
        <f t="shared" si="13"/>
        <v>6.8819107047240013</v>
      </c>
      <c r="CT8" s="167">
        <f t="shared" si="13"/>
        <v>6.8819107047240013</v>
      </c>
      <c r="CU8" s="167">
        <f t="shared" si="13"/>
        <v>7.2558680668424413</v>
      </c>
      <c r="CV8" s="167">
        <f t="shared" si="13"/>
        <v>7.2558680668424413</v>
      </c>
      <c r="CW8" s="167">
        <f t="shared" si="13"/>
        <v>7.2558680668424413</v>
      </c>
      <c r="CX8" s="167">
        <f t="shared" si="13"/>
        <v>7.2558680668424413</v>
      </c>
      <c r="CY8" s="167">
        <f t="shared" si="13"/>
        <v>7.2558680668424413</v>
      </c>
      <c r="CZ8" s="167">
        <f t="shared" si="13"/>
        <v>7.2558680668424413</v>
      </c>
      <c r="DA8" s="167">
        <f t="shared" si="13"/>
        <v>7.2558680668424413</v>
      </c>
      <c r="DB8" s="167">
        <f t="shared" si="13"/>
        <v>7.2558680668424413</v>
      </c>
      <c r="DC8" s="167">
        <f t="shared" si="13"/>
        <v>7.2558680668424413</v>
      </c>
      <c r="DD8" s="167">
        <f t="shared" si="13"/>
        <v>7.2558680668424413</v>
      </c>
      <c r="DE8" s="167">
        <f t="shared" si="13"/>
        <v>7.2558680668424413</v>
      </c>
      <c r="DF8" s="167">
        <f t="shared" si="13"/>
        <v>7.2558680668424413</v>
      </c>
      <c r="DG8" s="167">
        <f t="shared" si="13"/>
        <v>7.650522606079738</v>
      </c>
      <c r="DH8" s="167">
        <f t="shared" si="13"/>
        <v>7.650522606079738</v>
      </c>
      <c r="DI8" s="167">
        <f t="shared" si="13"/>
        <v>7.650522606079738</v>
      </c>
      <c r="DJ8" s="167">
        <f t="shared" si="13"/>
        <v>7.650522606079738</v>
      </c>
      <c r="DK8" s="167">
        <f t="shared" si="13"/>
        <v>7.650522606079738</v>
      </c>
      <c r="DL8" s="167">
        <f t="shared" si="13"/>
        <v>7.650522606079738</v>
      </c>
      <c r="DM8" s="167">
        <f t="shared" si="13"/>
        <v>7.650522606079738</v>
      </c>
      <c r="DN8" s="167">
        <f t="shared" si="13"/>
        <v>7.650522606079738</v>
      </c>
      <c r="DO8" s="167">
        <f t="shared" si="13"/>
        <v>7.650522606079738</v>
      </c>
      <c r="DP8" s="167">
        <f t="shared" si="13"/>
        <v>7.650522606079738</v>
      </c>
      <c r="DQ8" s="167">
        <f t="shared" si="13"/>
        <v>7.650522606079738</v>
      </c>
      <c r="DR8" s="167">
        <f t="shared" si="13"/>
        <v>7.650522606079738</v>
      </c>
      <c r="DS8" s="167">
        <f t="shared" ref="DS8:EP8" si="14">DS4+DS5+DS6</f>
        <v>8.0670291398326093</v>
      </c>
      <c r="DT8" s="167">
        <f t="shared" si="14"/>
        <v>8.0670291398326093</v>
      </c>
      <c r="DU8" s="167">
        <f t="shared" si="14"/>
        <v>8.0670291398326093</v>
      </c>
      <c r="DV8" s="167">
        <f t="shared" si="14"/>
        <v>8.0670291398326093</v>
      </c>
      <c r="DW8" s="167">
        <f t="shared" si="14"/>
        <v>8.0670291398326093</v>
      </c>
      <c r="DX8" s="167">
        <f t="shared" si="14"/>
        <v>8.0670291398326093</v>
      </c>
      <c r="DY8" s="167">
        <f t="shared" si="14"/>
        <v>8.0670291398326093</v>
      </c>
      <c r="DZ8" s="167">
        <f t="shared" si="14"/>
        <v>8.0670291398326093</v>
      </c>
      <c r="EA8" s="167">
        <f t="shared" si="14"/>
        <v>8.0670291398326093</v>
      </c>
      <c r="EB8" s="167">
        <f t="shared" si="14"/>
        <v>8.0670291398326093</v>
      </c>
      <c r="EC8" s="167">
        <f t="shared" si="14"/>
        <v>8.0670291398326093</v>
      </c>
      <c r="ED8" s="167">
        <f t="shared" si="14"/>
        <v>8.0670291398326093</v>
      </c>
      <c r="EE8" s="167">
        <f t="shared" si="14"/>
        <v>8.5066074238800589</v>
      </c>
      <c r="EF8" s="167">
        <f t="shared" si="14"/>
        <v>8.5066074238800589</v>
      </c>
      <c r="EG8" s="167">
        <f t="shared" si="14"/>
        <v>8.5066074238800589</v>
      </c>
      <c r="EH8" s="167">
        <f t="shared" si="14"/>
        <v>8.5066074238800589</v>
      </c>
      <c r="EI8" s="167">
        <f t="shared" si="14"/>
        <v>8.5066074238800589</v>
      </c>
      <c r="EJ8" s="167">
        <f t="shared" si="14"/>
        <v>8.5066074238800589</v>
      </c>
      <c r="EK8" s="167">
        <f t="shared" si="14"/>
        <v>8.5066074238800589</v>
      </c>
      <c r="EL8" s="167">
        <f t="shared" si="14"/>
        <v>8.5066074238800589</v>
      </c>
      <c r="EM8" s="167">
        <f t="shared" si="14"/>
        <v>8.5066074238800589</v>
      </c>
      <c r="EN8" s="167">
        <f t="shared" si="14"/>
        <v>8.5066074238800589</v>
      </c>
      <c r="EO8" s="167">
        <f t="shared" si="14"/>
        <v>8.5066074238800589</v>
      </c>
      <c r="EP8" s="167">
        <f t="shared" si="14"/>
        <v>8.5066074238800589</v>
      </c>
      <c r="EQ8" s="172">
        <f>-SUM(AA4:EQ4)</f>
        <v>465</v>
      </c>
    </row>
    <row r="9" spans="4:147" ht="14.45" thickTop="1">
      <c r="D9" s="68" t="s">
        <v>106</v>
      </c>
      <c r="E9" s="68"/>
      <c r="F9" s="187">
        <f>F8/-$E$5</f>
        <v>6.4704514838709676E-2</v>
      </c>
      <c r="G9" s="187">
        <f>G8/-$E$5</f>
        <v>0.10684696258064517</v>
      </c>
      <c r="H9" s="187">
        <f>H8/-$E$5</f>
        <v>0.15157614967741936</v>
      </c>
      <c r="I9" s="187">
        <f t="shared" ref="I9:O9" si="15">I8/-$E$5</f>
        <v>0.15978767070967739</v>
      </c>
      <c r="J9" s="187">
        <f t="shared" si="15"/>
        <v>0.1684530880103226</v>
      </c>
      <c r="K9" s="187">
        <f t="shared" si="15"/>
        <v>0.1775976956057807</v>
      </c>
      <c r="L9" s="187">
        <f t="shared" si="15"/>
        <v>0.18724820817657911</v>
      </c>
      <c r="M9" s="187">
        <f t="shared" si="15"/>
        <v>0.19743284144721904</v>
      </c>
      <c r="N9" s="187">
        <f t="shared" si="15"/>
        <v>0.20818139715697059</v>
      </c>
      <c r="O9" s="187">
        <f t="shared" si="15"/>
        <v>0.21952535287432406</v>
      </c>
      <c r="R9" s="65" t="s">
        <v>87</v>
      </c>
      <c r="S9" s="66">
        <f t="shared" si="3"/>
        <v>666.43633764480012</v>
      </c>
      <c r="T9" s="66">
        <f>S9*Summary!$K$22</f>
        <v>39.986180258688009</v>
      </c>
      <c r="U9" s="66">
        <f t="shared" si="4"/>
        <v>706.42251790348814</v>
      </c>
      <c r="X9" s="157"/>
      <c r="Y9" s="59"/>
      <c r="EQ9" s="58"/>
    </row>
    <row r="10" spans="4:147">
      <c r="D10" s="59"/>
      <c r="E10" s="59"/>
      <c r="F10" s="60"/>
      <c r="G10" s="74"/>
      <c r="H10" s="74"/>
      <c r="I10" s="74"/>
      <c r="J10" s="74"/>
      <c r="K10" s="74"/>
      <c r="L10" s="74"/>
      <c r="M10" s="74"/>
      <c r="N10" s="74"/>
      <c r="O10" s="74"/>
      <c r="R10" s="65" t="s">
        <v>88</v>
      </c>
      <c r="S10" s="66">
        <f t="shared" si="3"/>
        <v>706.42251790348814</v>
      </c>
      <c r="T10" s="66">
        <f>S10*Summary!$K$22</f>
        <v>42.385351074209289</v>
      </c>
      <c r="U10" s="66">
        <f t="shared" si="4"/>
        <v>748.80786897769747</v>
      </c>
      <c r="X10" s="157"/>
      <c r="Y10" s="59"/>
      <c r="Z10" s="158" t="s">
        <v>107</v>
      </c>
      <c r="AA10" s="174">
        <f>XIRR(AA8:EQ8,AA3:EQ3)</f>
        <v>0.17088577151298523</v>
      </c>
    </row>
    <row r="11" spans="4:147">
      <c r="D11" s="235" t="s">
        <v>108</v>
      </c>
      <c r="E11" s="236">
        <f>MEDIAN(F6:O6)</f>
        <v>8.9467336083870974E-2</v>
      </c>
      <c r="F11" s="61"/>
      <c r="G11" s="74"/>
      <c r="H11" s="74"/>
      <c r="I11" s="74"/>
      <c r="J11" s="74"/>
      <c r="K11" s="74"/>
      <c r="L11" s="74"/>
      <c r="M11" s="74"/>
      <c r="N11" s="74"/>
      <c r="O11" s="74"/>
      <c r="R11" s="65" t="s">
        <v>89</v>
      </c>
      <c r="S11" s="66">
        <f t="shared" si="3"/>
        <v>748.80786897769747</v>
      </c>
      <c r="T11" s="66">
        <f>S11*Summary!$K$22</f>
        <v>44.928472138661846</v>
      </c>
      <c r="U11" s="66">
        <f t="shared" si="4"/>
        <v>793.73634111635931</v>
      </c>
      <c r="Z11" s="158" t="s">
        <v>109</v>
      </c>
      <c r="AA11" s="174">
        <f>XIRR(AA7:EQ7,AA3:EQ3)</f>
        <v>0.13266134858131412</v>
      </c>
      <c r="AB11" s="234"/>
    </row>
    <row r="12" spans="4:147">
      <c r="F12" s="61"/>
      <c r="G12" s="74"/>
      <c r="H12" s="74"/>
      <c r="I12" s="74"/>
      <c r="J12" s="74"/>
      <c r="K12" s="74"/>
      <c r="L12" s="74"/>
      <c r="M12" s="74"/>
      <c r="N12" s="74"/>
      <c r="O12" s="74"/>
      <c r="R12" s="65" t="s">
        <v>90</v>
      </c>
      <c r="S12" s="66">
        <f t="shared" si="3"/>
        <v>793.73634111635931</v>
      </c>
      <c r="T12" s="66">
        <f>S12*Summary!$K$22</f>
        <v>47.624180466981556</v>
      </c>
      <c r="U12" s="66">
        <f t="shared" si="4"/>
        <v>841.36052158334087</v>
      </c>
    </row>
    <row r="13" spans="4:147" ht="14.45">
      <c r="D13" s="59"/>
      <c r="E13" s="59"/>
      <c r="F13" s="61"/>
      <c r="G13" s="74"/>
      <c r="H13" s="74"/>
      <c r="I13" s="74"/>
      <c r="J13" s="74"/>
      <c r="K13" s="74"/>
      <c r="L13" s="74"/>
      <c r="M13" s="74"/>
      <c r="N13" s="74"/>
      <c r="O13" s="74"/>
      <c r="R13" s="65" t="s">
        <v>91</v>
      </c>
      <c r="S13" s="66">
        <f t="shared" si="3"/>
        <v>841.36052158334087</v>
      </c>
      <c r="T13" s="66">
        <f>S13*Summary!$K$22</f>
        <v>50.481631295000447</v>
      </c>
      <c r="U13" s="66">
        <f t="shared" si="4"/>
        <v>891.84215287834127</v>
      </c>
      <c r="Z13" s="171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</row>
    <row r="14" spans="4:147">
      <c r="D14" s="59"/>
      <c r="E14" s="59"/>
      <c r="F14" s="61"/>
      <c r="G14" s="74"/>
      <c r="H14" s="74"/>
      <c r="I14" s="74"/>
      <c r="J14" s="74"/>
      <c r="K14" s="74"/>
      <c r="L14" s="74"/>
      <c r="M14" s="74"/>
      <c r="N14" s="74"/>
      <c r="O14" s="74"/>
      <c r="AA14" s="231"/>
      <c r="EQ14" s="67"/>
    </row>
    <row r="15" spans="4:147">
      <c r="D15" s="59"/>
      <c r="E15" s="59"/>
      <c r="F15" s="61"/>
      <c r="G15" s="61"/>
      <c r="H15" s="61"/>
      <c r="I15" s="61"/>
      <c r="J15" s="61"/>
      <c r="K15" s="61"/>
      <c r="L15" s="61"/>
      <c r="M15" s="61"/>
      <c r="N15" s="61"/>
      <c r="O15" s="61"/>
      <c r="R15" s="69"/>
      <c r="S15" s="70"/>
      <c r="T15" s="70">
        <f>SUM(T4:T13)</f>
        <v>393.84215287834121</v>
      </c>
      <c r="U15" s="70"/>
      <c r="V15" s="71">
        <f>-SUM($AA$4:$EQ$4)/S4</f>
        <v>0.9337349397590361</v>
      </c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</row>
    <row r="16" spans="4:147">
      <c r="D16" s="59"/>
      <c r="E16" s="59"/>
      <c r="F16" s="61"/>
      <c r="G16" s="74"/>
      <c r="H16" s="74"/>
      <c r="I16" s="74"/>
      <c r="J16" s="74"/>
      <c r="K16" s="74"/>
      <c r="L16" s="74"/>
      <c r="M16" s="74"/>
      <c r="N16" s="74"/>
      <c r="O16" s="74"/>
      <c r="P16" s="74"/>
      <c r="T16" s="67"/>
      <c r="V16" s="67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</row>
    <row r="17" spans="4:147">
      <c r="D17" s="75" t="s">
        <v>110</v>
      </c>
      <c r="H17" s="61"/>
      <c r="I17" s="61"/>
      <c r="J17" s="61"/>
      <c r="K17" s="61"/>
      <c r="L17" s="61"/>
      <c r="M17" s="61"/>
      <c r="N17" s="61"/>
      <c r="O17" s="61"/>
      <c r="P17" s="74"/>
      <c r="R17" s="65" t="s">
        <v>82</v>
      </c>
      <c r="S17" s="66">
        <f>Summary!B14</f>
        <v>465</v>
      </c>
      <c r="T17" s="66">
        <f>S17*Summary!$K$22</f>
        <v>27.9</v>
      </c>
      <c r="U17" s="66">
        <f t="shared" ref="U17:U19" si="16">S17+T17</f>
        <v>492.9</v>
      </c>
      <c r="W17" s="7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</row>
    <row r="18" spans="4:147">
      <c r="D18" s="242" t="s">
        <v>111</v>
      </c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P18" s="74"/>
      <c r="R18" s="65" t="s">
        <v>83</v>
      </c>
      <c r="S18" s="66">
        <f>U17</f>
        <v>492.9</v>
      </c>
      <c r="T18" s="66">
        <f>S18*Summary!$K$22</f>
        <v>29.573999999999998</v>
      </c>
      <c r="U18" s="66">
        <f t="shared" si="16"/>
        <v>522.47399999999993</v>
      </c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</row>
    <row r="19" spans="4:147">
      <c r="D19" s="152" t="s">
        <v>77</v>
      </c>
      <c r="E19" s="152" t="s">
        <v>82</v>
      </c>
      <c r="F19" s="153" t="s">
        <v>83</v>
      </c>
      <c r="G19" s="153" t="s">
        <v>84</v>
      </c>
      <c r="H19" s="153" t="s">
        <v>85</v>
      </c>
      <c r="I19" s="153" t="s">
        <v>86</v>
      </c>
      <c r="J19" s="153" t="s">
        <v>87</v>
      </c>
      <c r="K19" s="153" t="s">
        <v>88</v>
      </c>
      <c r="L19" s="153" t="s">
        <v>89</v>
      </c>
      <c r="M19" s="153" t="s">
        <v>90</v>
      </c>
      <c r="N19" s="153" t="s">
        <v>91</v>
      </c>
      <c r="P19" s="74"/>
      <c r="R19" s="65" t="s">
        <v>84</v>
      </c>
      <c r="S19" s="66">
        <f>U18</f>
        <v>522.47399999999993</v>
      </c>
      <c r="T19" s="66">
        <f>S19*Summary!$K$22</f>
        <v>31.348439999999997</v>
      </c>
      <c r="U19" s="66">
        <f t="shared" si="16"/>
        <v>553.82243999999992</v>
      </c>
    </row>
    <row r="20" spans="4:147" ht="15" customHeight="1">
      <c r="D20" s="76" t="s">
        <v>112</v>
      </c>
      <c r="E20" s="48">
        <f>E5</f>
        <v>-465</v>
      </c>
      <c r="F20" s="77">
        <f>G5</f>
        <v>18.011037600000002</v>
      </c>
      <c r="G20" s="77">
        <f>H5</f>
        <v>36.909741599999997</v>
      </c>
      <c r="H20" s="77">
        <f t="shared" ref="H20:N20" si="17">I5</f>
        <v>38.713708799999992</v>
      </c>
      <c r="I20" s="77">
        <f t="shared" si="17"/>
        <v>40.607874359999997</v>
      </c>
      <c r="J20" s="77">
        <f t="shared" si="17"/>
        <v>42.596748198000007</v>
      </c>
      <c r="K20" s="77">
        <f t="shared" si="17"/>
        <v>44.685065727899996</v>
      </c>
      <c r="L20" s="77">
        <f t="shared" si="17"/>
        <v>46.877799134295003</v>
      </c>
      <c r="M20" s="77">
        <f t="shared" si="17"/>
        <v>49.180169211009762</v>
      </c>
      <c r="N20" s="77">
        <f t="shared" si="17"/>
        <v>51.597657791560245</v>
      </c>
      <c r="P20" s="74"/>
      <c r="R20" s="65" t="s">
        <v>85</v>
      </c>
      <c r="S20" s="66">
        <f t="shared" ref="S20:S26" si="18">U19</f>
        <v>553.82243999999992</v>
      </c>
      <c r="T20" s="66">
        <f>S20*Summary!$K$22</f>
        <v>33.229346399999997</v>
      </c>
      <c r="U20" s="66">
        <f t="shared" ref="U20:U26" si="19">S20+T20</f>
        <v>587.05178639999986</v>
      </c>
      <c r="Z20" s="59"/>
      <c r="AA20" s="233"/>
    </row>
    <row r="21" spans="4:147">
      <c r="D21" s="78" t="s">
        <v>113</v>
      </c>
      <c r="E21" s="49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154">
        <f>U13*V27</f>
        <v>891.84215287834127</v>
      </c>
      <c r="P21" s="74"/>
      <c r="R21" s="65" t="s">
        <v>86</v>
      </c>
      <c r="S21" s="66">
        <f t="shared" si="18"/>
        <v>587.05178639999986</v>
      </c>
      <c r="T21" s="66">
        <f>S21*Summary!$K$22</f>
        <v>35.223107183999993</v>
      </c>
      <c r="U21" s="66">
        <f t="shared" si="19"/>
        <v>622.27489358399987</v>
      </c>
    </row>
    <row r="22" spans="4:147">
      <c r="D22" s="78" t="s">
        <v>114</v>
      </c>
      <c r="E22" s="49">
        <f>F7</f>
        <v>29.88</v>
      </c>
      <c r="F22" s="49">
        <f>G7</f>
        <v>31.672799999999999</v>
      </c>
      <c r="G22" s="49">
        <f>H7</f>
        <v>33.573168000000003</v>
      </c>
      <c r="H22" s="49">
        <f t="shared" ref="H22:N22" si="20">I7</f>
        <v>35.587558080000001</v>
      </c>
      <c r="I22" s="49">
        <f t="shared" si="20"/>
        <v>37.722811564800004</v>
      </c>
      <c r="J22" s="49">
        <f t="shared" si="20"/>
        <v>39.986180258688009</v>
      </c>
      <c r="K22" s="49">
        <f t="shared" si="20"/>
        <v>42.385351074209289</v>
      </c>
      <c r="L22" s="49">
        <f t="shared" si="20"/>
        <v>44.928472138661846</v>
      </c>
      <c r="M22" s="49">
        <f t="shared" si="20"/>
        <v>47.624180466981556</v>
      </c>
      <c r="N22" s="49">
        <f t="shared" si="20"/>
        <v>50.481631295000447</v>
      </c>
      <c r="P22" s="74"/>
      <c r="R22" s="65" t="s">
        <v>87</v>
      </c>
      <c r="S22" s="66">
        <f t="shared" si="18"/>
        <v>622.27489358399987</v>
      </c>
      <c r="T22" s="66">
        <f>S22*Summary!$K$22</f>
        <v>37.336493615039991</v>
      </c>
      <c r="U22" s="66">
        <f t="shared" si="19"/>
        <v>659.61138719903988</v>
      </c>
      <c r="W22" s="72"/>
    </row>
    <row r="23" spans="4:147">
      <c r="D23" s="79"/>
      <c r="E23" s="48">
        <f>SUM(E20:E21)</f>
        <v>-465</v>
      </c>
      <c r="F23" s="80">
        <f>SUM(F20:F21)</f>
        <v>18.011037600000002</v>
      </c>
      <c r="G23" s="80">
        <f>SUM(G20:G21)</f>
        <v>36.909741599999997</v>
      </c>
      <c r="H23" s="80">
        <f t="shared" ref="H23:N23" si="21">SUM(H20:H21)</f>
        <v>38.713708799999992</v>
      </c>
      <c r="I23" s="80">
        <f t="shared" si="21"/>
        <v>40.607874359999997</v>
      </c>
      <c r="J23" s="80">
        <f t="shared" si="21"/>
        <v>42.596748198000007</v>
      </c>
      <c r="K23" s="80">
        <f t="shared" si="21"/>
        <v>44.685065727899996</v>
      </c>
      <c r="L23" s="80">
        <f t="shared" si="21"/>
        <v>46.877799134295003</v>
      </c>
      <c r="M23" s="80">
        <f t="shared" si="21"/>
        <v>49.180169211009762</v>
      </c>
      <c r="N23" s="80">
        <f t="shared" si="21"/>
        <v>943.43981066990148</v>
      </c>
      <c r="P23" s="74"/>
      <c r="R23" s="65" t="s">
        <v>88</v>
      </c>
      <c r="S23" s="66">
        <f t="shared" si="18"/>
        <v>659.61138719903988</v>
      </c>
      <c r="T23" s="66">
        <f>S23*Summary!$K$22</f>
        <v>39.57668323194239</v>
      </c>
      <c r="U23" s="66">
        <f t="shared" si="19"/>
        <v>699.18807043098229</v>
      </c>
    </row>
    <row r="24" spans="4:147">
      <c r="D24" s="78" t="s">
        <v>20</v>
      </c>
      <c r="E24" s="52">
        <f t="shared" ref="E24:N24" si="22">E20+E21+E22</f>
        <v>-435.12</v>
      </c>
      <c r="F24" s="52">
        <f t="shared" si="22"/>
        <v>49.683837600000004</v>
      </c>
      <c r="G24" s="52">
        <f t="shared" si="22"/>
        <v>70.482909599999999</v>
      </c>
      <c r="H24" s="52">
        <f t="shared" si="22"/>
        <v>74.301266879999986</v>
      </c>
      <c r="I24" s="52">
        <f t="shared" si="22"/>
        <v>78.330685924800008</v>
      </c>
      <c r="J24" s="52">
        <f t="shared" si="22"/>
        <v>82.582928456688023</v>
      </c>
      <c r="K24" s="52">
        <f t="shared" si="22"/>
        <v>87.070416802109293</v>
      </c>
      <c r="L24" s="52">
        <f t="shared" si="22"/>
        <v>91.806271272956849</v>
      </c>
      <c r="M24" s="52">
        <f t="shared" si="22"/>
        <v>96.804349677991326</v>
      </c>
      <c r="N24" s="52">
        <f t="shared" si="22"/>
        <v>993.92144196490187</v>
      </c>
      <c r="P24" s="74"/>
      <c r="R24" s="65" t="s">
        <v>89</v>
      </c>
      <c r="S24" s="66">
        <f t="shared" si="18"/>
        <v>699.18807043098229</v>
      </c>
      <c r="T24" s="66">
        <f>S24*Summary!$K$22</f>
        <v>41.951284225858934</v>
      </c>
      <c r="U24" s="66">
        <f t="shared" si="19"/>
        <v>741.13935465684119</v>
      </c>
    </row>
    <row r="25" spans="4:147">
      <c r="D25" s="54"/>
      <c r="E25" s="51"/>
      <c r="F25" s="81"/>
      <c r="G25" s="81"/>
      <c r="P25" s="74"/>
      <c r="R25" s="65" t="s">
        <v>90</v>
      </c>
      <c r="S25" s="66">
        <f t="shared" si="18"/>
        <v>741.13935465684119</v>
      </c>
      <c r="T25" s="66">
        <f>S25*Summary!$K$22</f>
        <v>44.468361279410473</v>
      </c>
      <c r="U25" s="66">
        <f t="shared" si="19"/>
        <v>785.60771593625168</v>
      </c>
    </row>
    <row r="26" spans="4:147">
      <c r="D26" s="82" t="s">
        <v>115</v>
      </c>
      <c r="E26" s="83">
        <f>IRR(E24:N24)</f>
        <v>0.21748140197412136</v>
      </c>
      <c r="F26" s="81"/>
      <c r="G26" s="81"/>
      <c r="P26" s="74"/>
      <c r="R26" s="65" t="s">
        <v>91</v>
      </c>
      <c r="S26" s="66">
        <f t="shared" si="18"/>
        <v>785.60771593625168</v>
      </c>
      <c r="T26" s="66">
        <f>S26*Summary!$K$22</f>
        <v>47.136462956175102</v>
      </c>
      <c r="U26" s="66">
        <f t="shared" si="19"/>
        <v>832.74417889242682</v>
      </c>
    </row>
    <row r="27" spans="4:147">
      <c r="D27" s="82" t="s">
        <v>116</v>
      </c>
      <c r="E27" s="83">
        <f>AA10</f>
        <v>0.17088577151298523</v>
      </c>
      <c r="G27" s="84"/>
      <c r="P27" s="74"/>
      <c r="R27" s="69"/>
      <c r="S27" s="70"/>
      <c r="T27" s="70">
        <f>SUM(T17:T26)</f>
        <v>367.74417889242687</v>
      </c>
      <c r="U27" s="70"/>
      <c r="V27" s="71">
        <f>-SUM($AA$4:$EQ$4)/S17</f>
        <v>1</v>
      </c>
    </row>
    <row r="28" spans="4:147">
      <c r="D28" s="82" t="s">
        <v>117</v>
      </c>
      <c r="E28" s="83">
        <f>IRR(E23:N23)</f>
        <v>0.13930473379834418</v>
      </c>
      <c r="F28" s="85"/>
      <c r="H28" s="81"/>
      <c r="I28" s="81"/>
      <c r="J28" s="81"/>
      <c r="K28" s="81"/>
      <c r="L28" s="81"/>
      <c r="M28" s="81"/>
      <c r="N28" s="81"/>
      <c r="O28" s="81"/>
    </row>
    <row r="29" spans="4:147">
      <c r="D29" s="82" t="s">
        <v>118</v>
      </c>
      <c r="E29" s="83">
        <f>AA11</f>
        <v>0.13266134858131412</v>
      </c>
      <c r="F29" s="86"/>
    </row>
    <row r="30" spans="4:147">
      <c r="D30" s="87" t="s">
        <v>119</v>
      </c>
      <c r="E30" s="88">
        <f>AVERAGE(F6:O6)</f>
        <v>7.9438150929626888E-2</v>
      </c>
      <c r="F30" s="86"/>
    </row>
    <row r="31" spans="4:147">
      <c r="D31" s="89" t="s">
        <v>120</v>
      </c>
      <c r="E31" s="88">
        <f>AVERAGE(F9:O9)</f>
        <v>0.16413538810776479</v>
      </c>
    </row>
    <row r="32" spans="4:147">
      <c r="D32" s="89" t="s">
        <v>121</v>
      </c>
      <c r="E32" s="88">
        <v>4.4200000000000003E-2</v>
      </c>
      <c r="F32" s="90"/>
    </row>
    <row r="33" spans="4:15">
      <c r="D33" s="89" t="s">
        <v>122</v>
      </c>
      <c r="E33" s="88">
        <v>0.06</v>
      </c>
      <c r="H33" s="91"/>
      <c r="I33" s="91"/>
      <c r="J33" s="91"/>
      <c r="K33" s="91"/>
      <c r="L33" s="91"/>
      <c r="M33" s="91"/>
      <c r="N33" s="91"/>
      <c r="O33" s="91"/>
    </row>
  </sheetData>
  <mergeCells count="2">
    <mergeCell ref="R2:V2"/>
    <mergeCell ref="D18:N18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8DB2-F7CC-433E-8699-4467C3F220A8}">
  <dimension ref="B1:X39"/>
  <sheetViews>
    <sheetView showGridLines="0" topLeftCell="A10" zoomScale="95" zoomScaleNormal="95" workbookViewId="0">
      <selection activeCell="D29" sqref="D29"/>
    </sheetView>
  </sheetViews>
  <sheetFormatPr defaultColWidth="8.140625" defaultRowHeight="13.9"/>
  <cols>
    <col min="1" max="1" width="8.140625" style="53"/>
    <col min="2" max="2" width="41.5703125" style="53" bestFit="1" customWidth="1"/>
    <col min="3" max="4" width="7.5703125" style="53" bestFit="1" customWidth="1"/>
    <col min="5" max="5" width="7.5703125" style="53" customWidth="1"/>
    <col min="6" max="12" width="7.5703125" style="53" bestFit="1" customWidth="1"/>
    <col min="13" max="13" width="4.5703125" style="53" customWidth="1"/>
    <col min="14" max="14" width="32.5703125" style="53" bestFit="1" customWidth="1"/>
    <col min="15" max="15" width="7.5703125" style="53" bestFit="1" customWidth="1"/>
    <col min="16" max="16" width="7.7109375" style="53" bestFit="1" customWidth="1"/>
    <col min="17" max="24" width="8.7109375" style="53" bestFit="1" customWidth="1"/>
    <col min="25" max="16384" width="8.140625" style="53"/>
  </cols>
  <sheetData>
    <row r="1" spans="2:24">
      <c r="C1" s="92">
        <v>2026</v>
      </c>
      <c r="D1" s="92">
        <v>2027</v>
      </c>
      <c r="E1" s="92">
        <v>2028</v>
      </c>
      <c r="F1" s="92"/>
      <c r="G1" s="92"/>
      <c r="H1" s="92"/>
      <c r="I1" s="92"/>
      <c r="J1" s="92"/>
      <c r="K1" s="92"/>
    </row>
    <row r="2" spans="2:24" ht="16.899999999999999" customHeight="1">
      <c r="B2" s="93" t="s">
        <v>123</v>
      </c>
      <c r="C2" s="93"/>
      <c r="D2" s="93"/>
      <c r="E2" s="93"/>
      <c r="F2" s="150"/>
      <c r="G2" s="150"/>
      <c r="H2" s="150"/>
      <c r="I2" s="150"/>
      <c r="J2" s="150"/>
      <c r="K2" s="150"/>
      <c r="L2" s="150"/>
      <c r="N2" s="93" t="s">
        <v>124</v>
      </c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2:24">
      <c r="B3" s="94"/>
      <c r="C3" s="54" t="s">
        <v>82</v>
      </c>
      <c r="D3" s="95" t="s">
        <v>83</v>
      </c>
      <c r="E3" s="95" t="s">
        <v>84</v>
      </c>
      <c r="F3" s="95" t="s">
        <v>85</v>
      </c>
      <c r="G3" s="95" t="s">
        <v>86</v>
      </c>
      <c r="H3" s="95" t="s">
        <v>87</v>
      </c>
      <c r="I3" s="95" t="s">
        <v>88</v>
      </c>
      <c r="J3" s="95" t="s">
        <v>89</v>
      </c>
      <c r="K3" s="95" t="s">
        <v>90</v>
      </c>
      <c r="L3" s="95" t="s">
        <v>91</v>
      </c>
      <c r="N3" s="92"/>
      <c r="O3" s="95" t="s">
        <v>82</v>
      </c>
      <c r="P3" s="95" t="s">
        <v>83</v>
      </c>
      <c r="Q3" s="95" t="s">
        <v>84</v>
      </c>
      <c r="R3" s="95" t="s">
        <v>85</v>
      </c>
      <c r="S3" s="95" t="s">
        <v>86</v>
      </c>
      <c r="T3" s="95" t="s">
        <v>87</v>
      </c>
      <c r="U3" s="95" t="s">
        <v>88</v>
      </c>
      <c r="V3" s="95" t="s">
        <v>89</v>
      </c>
      <c r="W3" s="95" t="s">
        <v>90</v>
      </c>
      <c r="X3" s="95" t="s">
        <v>91</v>
      </c>
    </row>
    <row r="4" spans="2:24">
      <c r="B4" s="53" t="s">
        <v>92</v>
      </c>
      <c r="C4" s="96">
        <f>'Cash Flow'!F3</f>
        <v>0</v>
      </c>
      <c r="D4" s="96">
        <f>'Cash Flow'!G3</f>
        <v>17.18064</v>
      </c>
      <c r="E4" s="96">
        <f>'Cash Flow'!H3</f>
        <v>36.079343999999999</v>
      </c>
      <c r="F4" s="96">
        <f>'Cash Flow'!I3</f>
        <v>37.883311199999994</v>
      </c>
      <c r="G4" s="96">
        <f>'Cash Flow'!J3</f>
        <v>39.777476759999999</v>
      </c>
      <c r="H4" s="96">
        <f>'Cash Flow'!K3</f>
        <v>41.76635059800001</v>
      </c>
      <c r="I4" s="96">
        <f>'Cash Flow'!L3</f>
        <v>43.854668127899998</v>
      </c>
      <c r="J4" s="96">
        <f>'Cash Flow'!M3</f>
        <v>46.047401534295005</v>
      </c>
      <c r="K4" s="96">
        <f>'Cash Flow'!N3</f>
        <v>48.349771611009764</v>
      </c>
      <c r="L4" s="96">
        <f>'Cash Flow'!O3</f>
        <v>50.767260191560247</v>
      </c>
      <c r="N4" s="97" t="s">
        <v>125</v>
      </c>
      <c r="O4" s="98"/>
      <c r="P4" s="98"/>
      <c r="Q4" s="98"/>
    </row>
    <row r="5" spans="2:24">
      <c r="B5" s="99" t="s">
        <v>126</v>
      </c>
      <c r="C5" s="100">
        <f>'Cash Flow'!F4</f>
        <v>0.20759939999999999</v>
      </c>
      <c r="D5" s="100">
        <f>'Cash Flow'!G4</f>
        <v>0.83039760000000007</v>
      </c>
      <c r="E5" s="100">
        <f>'Cash Flow'!H4</f>
        <v>0.83039760000000007</v>
      </c>
      <c r="F5" s="100">
        <f>'Cash Flow'!I4</f>
        <v>0.83039760000000007</v>
      </c>
      <c r="G5" s="100">
        <f>'Cash Flow'!J4</f>
        <v>0.83039760000000007</v>
      </c>
      <c r="H5" s="100">
        <f>'Cash Flow'!K4</f>
        <v>0.83039760000000007</v>
      </c>
      <c r="I5" s="100">
        <f>'Cash Flow'!L4</f>
        <v>0.83039760000000007</v>
      </c>
      <c r="J5" s="100">
        <f>'Cash Flow'!M4</f>
        <v>0.83039760000000007</v>
      </c>
      <c r="K5" s="100">
        <f>'Cash Flow'!N4</f>
        <v>0.83039760000000007</v>
      </c>
      <c r="L5" s="100">
        <f>'Cash Flow'!O4</f>
        <v>0.83039760000000007</v>
      </c>
      <c r="N5" s="101" t="s">
        <v>127</v>
      </c>
      <c r="O5" s="102">
        <f>C35</f>
        <v>11.609106631019984</v>
      </c>
      <c r="P5" s="102">
        <f>D35</f>
        <v>25.086766067099987</v>
      </c>
      <c r="Q5" s="102">
        <f>E35</f>
        <v>52.706325706379985</v>
      </c>
      <c r="R5" s="102">
        <f t="shared" ref="R5:X5" si="0">F35</f>
        <v>81.675794001419973</v>
      </c>
      <c r="S5" s="102">
        <f t="shared" si="0"/>
        <v>112.06266638500797</v>
      </c>
      <c r="T5" s="102">
        <f t="shared" si="0"/>
        <v>143.93781306157138</v>
      </c>
      <c r="U5" s="102">
        <f t="shared" si="0"/>
        <v>177.37564774575895</v>
      </c>
      <c r="V5" s="102">
        <f t="shared" si="0"/>
        <v>212.4543048379519</v>
      </c>
      <c r="W5" s="102">
        <f t="shared" si="0"/>
        <v>249.2558254585505</v>
      </c>
      <c r="X5" s="102">
        <f t="shared" si="0"/>
        <v>287.86635278397506</v>
      </c>
    </row>
    <row r="6" spans="2:24">
      <c r="B6" s="54" t="s">
        <v>128</v>
      </c>
      <c r="C6" s="103">
        <f>SUM(C4:C5)</f>
        <v>0.20759939999999999</v>
      </c>
      <c r="D6" s="103">
        <f t="shared" ref="D6:L6" si="1">SUM(D4:D5)</f>
        <v>18.011037600000002</v>
      </c>
      <c r="E6" s="103">
        <f t="shared" si="1"/>
        <v>36.909741599999997</v>
      </c>
      <c r="F6" s="103">
        <f t="shared" si="1"/>
        <v>38.713708799999992</v>
      </c>
      <c r="G6" s="103">
        <f t="shared" si="1"/>
        <v>40.607874359999997</v>
      </c>
      <c r="H6" s="103">
        <f t="shared" si="1"/>
        <v>42.596748198000007</v>
      </c>
      <c r="I6" s="103">
        <f t="shared" si="1"/>
        <v>44.685065727899996</v>
      </c>
      <c r="J6" s="103">
        <f t="shared" si="1"/>
        <v>46.877799134295003</v>
      </c>
      <c r="K6" s="103">
        <f t="shared" si="1"/>
        <v>49.180169211009762</v>
      </c>
      <c r="L6" s="103">
        <f t="shared" si="1"/>
        <v>51.597657791560245</v>
      </c>
      <c r="N6" s="104" t="s">
        <v>129</v>
      </c>
      <c r="O6" s="105">
        <f>SUM(O5:O5)</f>
        <v>11.609106631019984</v>
      </c>
      <c r="P6" s="105">
        <f>SUM(P5:P5)</f>
        <v>25.086766067099987</v>
      </c>
      <c r="Q6" s="105">
        <f>SUM(Q5:Q5)</f>
        <v>52.706325706379985</v>
      </c>
      <c r="R6" s="105">
        <f t="shared" ref="R6:X6" si="2">SUM(R5:R5)</f>
        <v>81.675794001419973</v>
      </c>
      <c r="S6" s="105">
        <f t="shared" si="2"/>
        <v>112.06266638500797</v>
      </c>
      <c r="T6" s="105">
        <f t="shared" si="2"/>
        <v>143.93781306157138</v>
      </c>
      <c r="U6" s="105">
        <f t="shared" si="2"/>
        <v>177.37564774575895</v>
      </c>
      <c r="V6" s="105">
        <f t="shared" si="2"/>
        <v>212.4543048379519</v>
      </c>
      <c r="W6" s="105">
        <f t="shared" si="2"/>
        <v>249.2558254585505</v>
      </c>
      <c r="X6" s="105">
        <f t="shared" si="2"/>
        <v>287.86635278397506</v>
      </c>
    </row>
    <row r="7" spans="2:24">
      <c r="B7" s="54" t="s">
        <v>130</v>
      </c>
      <c r="C7" s="106"/>
      <c r="D7" s="106"/>
      <c r="E7" s="106"/>
      <c r="F7" s="106"/>
      <c r="G7" s="106"/>
      <c r="H7" s="106"/>
      <c r="I7" s="106"/>
      <c r="J7" s="106"/>
      <c r="K7" s="106"/>
      <c r="N7" s="101" t="s">
        <v>131</v>
      </c>
      <c r="O7" s="102">
        <f>$O$27</f>
        <v>465</v>
      </c>
      <c r="P7" s="102">
        <f t="shared" ref="P7:X7" si="3">$O$27</f>
        <v>465</v>
      </c>
      <c r="Q7" s="102">
        <f t="shared" si="3"/>
        <v>465</v>
      </c>
      <c r="R7" s="102">
        <f t="shared" si="3"/>
        <v>465</v>
      </c>
      <c r="S7" s="102">
        <f t="shared" si="3"/>
        <v>465</v>
      </c>
      <c r="T7" s="102">
        <f t="shared" si="3"/>
        <v>465</v>
      </c>
      <c r="U7" s="102">
        <f t="shared" si="3"/>
        <v>465</v>
      </c>
      <c r="V7" s="102">
        <f t="shared" si="3"/>
        <v>465</v>
      </c>
      <c r="W7" s="102">
        <f t="shared" si="3"/>
        <v>465</v>
      </c>
      <c r="X7" s="102">
        <f t="shared" si="3"/>
        <v>465</v>
      </c>
    </row>
    <row r="8" spans="2:24" ht="14.45" thickBot="1">
      <c r="B8" s="53" t="s">
        <v>132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N8" s="107" t="s">
        <v>133</v>
      </c>
      <c r="O8" s="108">
        <f>SUM(O6:O7)</f>
        <v>476.60910663101998</v>
      </c>
      <c r="P8" s="108">
        <f>SUM(P6:P7)</f>
        <v>490.08676606709997</v>
      </c>
      <c r="Q8" s="108">
        <f>SUM(Q6:Q7)</f>
        <v>517.70632570637997</v>
      </c>
      <c r="R8" s="108">
        <f t="shared" ref="R8:X8" si="4">SUM(R6:R7)</f>
        <v>546.67579400141994</v>
      </c>
      <c r="S8" s="108">
        <f t="shared" si="4"/>
        <v>577.06266638500801</v>
      </c>
      <c r="T8" s="108">
        <f t="shared" si="4"/>
        <v>608.93781306157143</v>
      </c>
      <c r="U8" s="108">
        <f t="shared" si="4"/>
        <v>642.3756477457589</v>
      </c>
      <c r="V8" s="108">
        <f t="shared" si="4"/>
        <v>677.4543048379519</v>
      </c>
      <c r="W8" s="108">
        <f t="shared" si="4"/>
        <v>714.25582545855048</v>
      </c>
      <c r="X8" s="108">
        <f t="shared" si="4"/>
        <v>752.86635278397512</v>
      </c>
    </row>
    <row r="9" spans="2:24" ht="14.45" thickTop="1">
      <c r="B9" s="53" t="s">
        <v>134</v>
      </c>
      <c r="C9" s="109">
        <f>SUM(C8:C8)</f>
        <v>0</v>
      </c>
      <c r="D9" s="109">
        <f t="shared" ref="D9:L9" si="5">SUM(D8:D8)</f>
        <v>0</v>
      </c>
      <c r="E9" s="109">
        <f t="shared" si="5"/>
        <v>0</v>
      </c>
      <c r="F9" s="109">
        <f t="shared" si="5"/>
        <v>0</v>
      </c>
      <c r="G9" s="109">
        <f t="shared" si="5"/>
        <v>0</v>
      </c>
      <c r="H9" s="109">
        <f t="shared" si="5"/>
        <v>0</v>
      </c>
      <c r="I9" s="109">
        <f t="shared" si="5"/>
        <v>0</v>
      </c>
      <c r="J9" s="109">
        <f t="shared" si="5"/>
        <v>0</v>
      </c>
      <c r="K9" s="109">
        <f t="shared" si="5"/>
        <v>0</v>
      </c>
      <c r="L9" s="109">
        <f t="shared" si="5"/>
        <v>0</v>
      </c>
      <c r="N9" s="97" t="s">
        <v>135</v>
      </c>
      <c r="O9" s="102"/>
      <c r="P9" s="102"/>
      <c r="Q9" s="102"/>
    </row>
    <row r="10" spans="2:24">
      <c r="B10" s="54" t="s">
        <v>136</v>
      </c>
      <c r="C10" s="110">
        <f>C6-C9</f>
        <v>0.20759939999999999</v>
      </c>
      <c r="D10" s="110">
        <f t="shared" ref="D10:L10" si="6">D6-D9</f>
        <v>18.011037600000002</v>
      </c>
      <c r="E10" s="110">
        <f t="shared" si="6"/>
        <v>36.909741599999997</v>
      </c>
      <c r="F10" s="110">
        <f t="shared" si="6"/>
        <v>38.713708799999992</v>
      </c>
      <c r="G10" s="110">
        <f t="shared" si="6"/>
        <v>40.607874359999997</v>
      </c>
      <c r="H10" s="110">
        <f t="shared" si="6"/>
        <v>42.596748198000007</v>
      </c>
      <c r="I10" s="110">
        <f t="shared" si="6"/>
        <v>44.685065727899996</v>
      </c>
      <c r="J10" s="110">
        <f t="shared" si="6"/>
        <v>46.877799134295003</v>
      </c>
      <c r="K10" s="110">
        <f t="shared" si="6"/>
        <v>49.180169211009762</v>
      </c>
      <c r="L10" s="110">
        <f t="shared" si="6"/>
        <v>51.597657791560245</v>
      </c>
      <c r="N10" s="101" t="s">
        <v>35</v>
      </c>
      <c r="O10" s="102">
        <f>C25</f>
        <v>11.453760000000001</v>
      </c>
      <c r="P10" s="102">
        <f>O10</f>
        <v>11.453760000000001</v>
      </c>
      <c r="Q10" s="102">
        <f>P10</f>
        <v>11.453760000000001</v>
      </c>
      <c r="R10" s="102">
        <f t="shared" ref="R10:X10" si="7">Q10</f>
        <v>11.453760000000001</v>
      </c>
      <c r="S10" s="102">
        <f t="shared" si="7"/>
        <v>11.453760000000001</v>
      </c>
      <c r="T10" s="102">
        <f t="shared" si="7"/>
        <v>11.453760000000001</v>
      </c>
      <c r="U10" s="102">
        <f t="shared" si="7"/>
        <v>11.453760000000001</v>
      </c>
      <c r="V10" s="102">
        <f t="shared" si="7"/>
        <v>11.453760000000001</v>
      </c>
      <c r="W10" s="102">
        <f t="shared" si="7"/>
        <v>11.453760000000001</v>
      </c>
      <c r="X10" s="102">
        <f t="shared" si="7"/>
        <v>11.453760000000001</v>
      </c>
    </row>
    <row r="11" spans="2:24">
      <c r="B11" s="54"/>
      <c r="C11" s="111"/>
      <c r="D11" s="111"/>
      <c r="E11" s="111"/>
      <c r="F11" s="111"/>
      <c r="G11" s="111"/>
      <c r="H11" s="111"/>
      <c r="I11" s="111"/>
      <c r="J11" s="111"/>
      <c r="K11" s="111"/>
      <c r="N11" s="101" t="s">
        <v>137</v>
      </c>
      <c r="O11" s="102">
        <f>'Monthly Cash Inflow'!P16</f>
        <v>0</v>
      </c>
      <c r="P11" s="102">
        <f>'Monthly Cash Inflow'!AC16</f>
        <v>0</v>
      </c>
      <c r="Q11" s="102">
        <f>'Monthly Cash Inflow'!AP16</f>
        <v>0</v>
      </c>
      <c r="R11" s="102">
        <f>'Monthly Cash Inflow'!BC16</f>
        <v>0</v>
      </c>
      <c r="S11" s="102">
        <f>'Monthly Cash Inflow'!BP16</f>
        <v>0</v>
      </c>
      <c r="T11" s="102">
        <f>'Monthly Cash Inflow'!CC16</f>
        <v>0</v>
      </c>
      <c r="U11" s="102">
        <f>'Monthly Cash Inflow'!CP16</f>
        <v>0</v>
      </c>
      <c r="V11" s="102">
        <f>'Monthly Cash Inflow'!DC16</f>
        <v>0</v>
      </c>
      <c r="W11" s="102">
        <f>'Monthly Cash Inflow'!DP16</f>
        <v>0</v>
      </c>
      <c r="X11" s="102">
        <f>'Monthly Cash Inflow'!EC16</f>
        <v>0</v>
      </c>
    </row>
    <row r="12" spans="2:24">
      <c r="B12" s="53" t="s">
        <v>138</v>
      </c>
      <c r="C12" s="100">
        <f>'Monthly Cash Inflow'!P14</f>
        <v>0</v>
      </c>
      <c r="D12" s="100">
        <f>'Monthly Cash Inflow'!AC14</f>
        <v>0</v>
      </c>
      <c r="E12" s="100">
        <f>'Monthly Cash Inflow'!AP14</f>
        <v>0</v>
      </c>
      <c r="F12" s="100">
        <f>'Monthly Cash Inflow'!BC14</f>
        <v>0</v>
      </c>
      <c r="G12" s="100">
        <f>'Monthly Cash Inflow'!BP14</f>
        <v>0</v>
      </c>
      <c r="H12" s="100">
        <f>'Monthly Cash Inflow'!CC14</f>
        <v>0</v>
      </c>
      <c r="I12" s="100">
        <f>'Monthly Cash Inflow'!CP14</f>
        <v>0</v>
      </c>
      <c r="J12" s="100">
        <f>'Monthly Cash Inflow'!DC14</f>
        <v>0</v>
      </c>
      <c r="K12" s="100">
        <f>'Monthly Cash Inflow'!DP14</f>
        <v>0</v>
      </c>
      <c r="L12" s="100">
        <f>'Monthly Cash Inflow'!EC14</f>
        <v>0</v>
      </c>
      <c r="N12" s="112" t="s">
        <v>139</v>
      </c>
      <c r="O12" s="113">
        <f t="shared" ref="O12:X12" si="8">SUM(O10:O11)</f>
        <v>11.453760000000001</v>
      </c>
      <c r="P12" s="113">
        <f t="shared" si="8"/>
        <v>11.453760000000001</v>
      </c>
      <c r="Q12" s="113">
        <f t="shared" si="8"/>
        <v>11.453760000000001</v>
      </c>
      <c r="R12" s="113">
        <f t="shared" si="8"/>
        <v>11.453760000000001</v>
      </c>
      <c r="S12" s="113">
        <f t="shared" si="8"/>
        <v>11.453760000000001</v>
      </c>
      <c r="T12" s="113">
        <f t="shared" si="8"/>
        <v>11.453760000000001</v>
      </c>
      <c r="U12" s="113">
        <f t="shared" si="8"/>
        <v>11.453760000000001</v>
      </c>
      <c r="V12" s="113">
        <f t="shared" si="8"/>
        <v>11.453760000000001</v>
      </c>
      <c r="W12" s="113">
        <f t="shared" si="8"/>
        <v>11.453760000000001</v>
      </c>
      <c r="X12" s="113">
        <f t="shared" si="8"/>
        <v>11.453760000000001</v>
      </c>
    </row>
    <row r="13" spans="2:24">
      <c r="B13" s="54" t="s">
        <v>140</v>
      </c>
      <c r="C13" s="114">
        <f>C10-C12</f>
        <v>0.20759939999999999</v>
      </c>
      <c r="D13" s="114">
        <f t="shared" ref="D13:L13" si="9">D10-D12</f>
        <v>18.011037600000002</v>
      </c>
      <c r="E13" s="114">
        <f t="shared" si="9"/>
        <v>36.909741599999997</v>
      </c>
      <c r="F13" s="114">
        <f t="shared" si="9"/>
        <v>38.713708799999992</v>
      </c>
      <c r="G13" s="114">
        <f t="shared" si="9"/>
        <v>40.607874359999997</v>
      </c>
      <c r="H13" s="114">
        <f t="shared" si="9"/>
        <v>42.596748198000007</v>
      </c>
      <c r="I13" s="114">
        <f t="shared" si="9"/>
        <v>44.685065727899996</v>
      </c>
      <c r="J13" s="114">
        <f t="shared" si="9"/>
        <v>46.877799134295003</v>
      </c>
      <c r="K13" s="114">
        <f t="shared" si="9"/>
        <v>49.180169211009762</v>
      </c>
      <c r="L13" s="114">
        <f t="shared" si="9"/>
        <v>51.597657791560245</v>
      </c>
      <c r="N13" s="97" t="s">
        <v>141</v>
      </c>
      <c r="O13" s="102"/>
      <c r="P13" s="102"/>
      <c r="Q13" s="102"/>
    </row>
    <row r="14" spans="2:24">
      <c r="B14" s="54"/>
      <c r="C14" s="111"/>
      <c r="D14" s="111"/>
      <c r="E14" s="111"/>
      <c r="F14" s="111"/>
      <c r="G14" s="111"/>
      <c r="H14" s="111"/>
      <c r="I14" s="111"/>
      <c r="J14" s="111"/>
      <c r="K14" s="111"/>
      <c r="N14" s="101" t="s">
        <v>142</v>
      </c>
      <c r="O14" s="102">
        <f>$C$30</f>
        <v>465</v>
      </c>
      <c r="P14" s="102">
        <f t="shared" ref="P14:X14" si="10">$C$30</f>
        <v>465</v>
      </c>
      <c r="Q14" s="102">
        <f t="shared" si="10"/>
        <v>465</v>
      </c>
      <c r="R14" s="102">
        <f t="shared" si="10"/>
        <v>465</v>
      </c>
      <c r="S14" s="102">
        <f t="shared" si="10"/>
        <v>465</v>
      </c>
      <c r="T14" s="102">
        <f t="shared" si="10"/>
        <v>465</v>
      </c>
      <c r="U14" s="102">
        <f t="shared" si="10"/>
        <v>465</v>
      </c>
      <c r="V14" s="102">
        <f t="shared" si="10"/>
        <v>465</v>
      </c>
      <c r="W14" s="102">
        <f t="shared" si="10"/>
        <v>465</v>
      </c>
      <c r="X14" s="102">
        <f t="shared" si="10"/>
        <v>465</v>
      </c>
    </row>
    <row r="15" spans="2:24">
      <c r="B15" s="53" t="s">
        <v>143</v>
      </c>
      <c r="C15" s="115">
        <f>IF(C13&lt;0,0,C13*$O$22)</f>
        <v>5.2252768979999996E-2</v>
      </c>
      <c r="D15" s="115">
        <f>IF(D13&lt;0,0,D13*$O$22)</f>
        <v>4.5333781639200001</v>
      </c>
      <c r="E15" s="115">
        <f>IF(E13&lt;0,0,E13*$O$22)</f>
        <v>9.2901819607199982</v>
      </c>
      <c r="F15" s="115">
        <f t="shared" ref="F15:L15" si="11">IF(F13&lt;0,0,F13*$O$22)</f>
        <v>9.7442405049599969</v>
      </c>
      <c r="G15" s="115">
        <f t="shared" si="11"/>
        <v>10.221001976411998</v>
      </c>
      <c r="H15" s="115">
        <f t="shared" si="11"/>
        <v>10.7216015214366</v>
      </c>
      <c r="I15" s="115">
        <f t="shared" si="11"/>
        <v>11.247231043712429</v>
      </c>
      <c r="J15" s="115">
        <f t="shared" si="11"/>
        <v>11.799142042102051</v>
      </c>
      <c r="K15" s="115">
        <f t="shared" si="11"/>
        <v>12.378648590411157</v>
      </c>
      <c r="L15" s="115">
        <f t="shared" si="11"/>
        <v>12.987130466135712</v>
      </c>
      <c r="N15" s="101" t="s">
        <v>144</v>
      </c>
      <c r="O15" s="102">
        <f>C16</f>
        <v>0.15534663101999999</v>
      </c>
      <c r="P15" s="102">
        <f>O15+D16</f>
        <v>13.633006067100002</v>
      </c>
      <c r="Q15" s="102">
        <f>P15+E16</f>
        <v>41.252565706379997</v>
      </c>
      <c r="R15" s="102">
        <f t="shared" ref="R15:X15" si="12">Q15+F16</f>
        <v>70.222034001419985</v>
      </c>
      <c r="S15" s="102">
        <f t="shared" si="12"/>
        <v>100.60890638500798</v>
      </c>
      <c r="T15" s="102">
        <f t="shared" si="12"/>
        <v>132.48405306157139</v>
      </c>
      <c r="U15" s="102">
        <f t="shared" si="12"/>
        <v>165.92188774575897</v>
      </c>
      <c r="V15" s="102">
        <f t="shared" si="12"/>
        <v>201.00054483795191</v>
      </c>
      <c r="W15" s="102">
        <f t="shared" si="12"/>
        <v>237.80206545855052</v>
      </c>
      <c r="X15" s="102">
        <f t="shared" si="12"/>
        <v>276.41259278397507</v>
      </c>
    </row>
    <row r="16" spans="2:24" ht="14.45" thickBot="1">
      <c r="B16" s="54" t="s">
        <v>145</v>
      </c>
      <c r="C16" s="116">
        <f>C13-C15</f>
        <v>0.15534663101999999</v>
      </c>
      <c r="D16" s="116">
        <f t="shared" ref="D16:L16" si="13">D13-D15</f>
        <v>13.477659436080001</v>
      </c>
      <c r="E16" s="116">
        <f t="shared" si="13"/>
        <v>27.619559639279998</v>
      </c>
      <c r="F16" s="116">
        <f t="shared" si="13"/>
        <v>28.969468295039995</v>
      </c>
      <c r="G16" s="116">
        <f t="shared" si="13"/>
        <v>30.386872383587999</v>
      </c>
      <c r="H16" s="116">
        <f t="shared" si="13"/>
        <v>31.875146676563407</v>
      </c>
      <c r="I16" s="116">
        <f t="shared" si="13"/>
        <v>33.437834684187564</v>
      </c>
      <c r="J16" s="116">
        <f t="shared" si="13"/>
        <v>35.078657092192955</v>
      </c>
      <c r="K16" s="116">
        <f t="shared" si="13"/>
        <v>36.801520620598609</v>
      </c>
      <c r="L16" s="116">
        <f t="shared" si="13"/>
        <v>38.610527325424535</v>
      </c>
      <c r="N16" s="117" t="s">
        <v>141</v>
      </c>
      <c r="O16" s="118">
        <f t="shared" ref="O16:X16" si="14">SUM(O14:O15)</f>
        <v>465.15534663102</v>
      </c>
      <c r="P16" s="118">
        <f t="shared" si="14"/>
        <v>478.63300606709998</v>
      </c>
      <c r="Q16" s="118">
        <f t="shared" si="14"/>
        <v>506.25256570637998</v>
      </c>
      <c r="R16" s="118">
        <f t="shared" si="14"/>
        <v>535.22203400141996</v>
      </c>
      <c r="S16" s="118">
        <f t="shared" si="14"/>
        <v>565.60890638500803</v>
      </c>
      <c r="T16" s="118">
        <f t="shared" si="14"/>
        <v>597.48405306157133</v>
      </c>
      <c r="U16" s="118">
        <f t="shared" si="14"/>
        <v>630.92188774575902</v>
      </c>
      <c r="V16" s="118">
        <f t="shared" si="14"/>
        <v>666.00054483795191</v>
      </c>
      <c r="W16" s="118">
        <f t="shared" si="14"/>
        <v>702.80206545855049</v>
      </c>
      <c r="X16" s="118">
        <f t="shared" si="14"/>
        <v>741.41259278397501</v>
      </c>
    </row>
    <row r="17" spans="2:24" ht="14.45" thickBot="1">
      <c r="B17" s="54"/>
      <c r="C17" s="119"/>
      <c r="D17" s="119"/>
      <c r="E17" s="119"/>
      <c r="F17" s="119"/>
      <c r="G17" s="119"/>
      <c r="H17" s="119"/>
      <c r="I17" s="119"/>
      <c r="J17" s="119"/>
      <c r="K17" s="119"/>
      <c r="N17" s="107" t="s">
        <v>146</v>
      </c>
      <c r="O17" s="108">
        <f>O12+O16</f>
        <v>476.60910663101998</v>
      </c>
      <c r="P17" s="108">
        <f>P12+P16</f>
        <v>490.08676606709997</v>
      </c>
      <c r="Q17" s="108">
        <f>Q12+Q16</f>
        <v>517.70632570637997</v>
      </c>
      <c r="R17" s="108">
        <f t="shared" ref="R17:X17" si="15">R12+R16</f>
        <v>546.67579400141994</v>
      </c>
      <c r="S17" s="108">
        <f t="shared" si="15"/>
        <v>577.06266638500801</v>
      </c>
      <c r="T17" s="108">
        <f t="shared" si="15"/>
        <v>608.93781306157132</v>
      </c>
      <c r="U17" s="108">
        <f t="shared" si="15"/>
        <v>642.37564774575901</v>
      </c>
      <c r="V17" s="108">
        <f t="shared" si="15"/>
        <v>677.4543048379519</v>
      </c>
      <c r="W17" s="108">
        <f t="shared" si="15"/>
        <v>714.25582545855048</v>
      </c>
      <c r="X17" s="108">
        <f t="shared" si="15"/>
        <v>752.866352783975</v>
      </c>
    </row>
    <row r="18" spans="2:24" ht="14.45" thickTop="1">
      <c r="B18" s="93" t="s">
        <v>147</v>
      </c>
      <c r="C18" s="120"/>
      <c r="D18" s="121">
        <v>2027</v>
      </c>
      <c r="E18" s="121">
        <v>2028</v>
      </c>
      <c r="F18" s="151"/>
      <c r="G18" s="151"/>
      <c r="H18" s="151"/>
      <c r="I18" s="151"/>
      <c r="J18" s="151"/>
      <c r="K18" s="151"/>
      <c r="L18" s="151"/>
      <c r="N18" s="122" t="s">
        <v>148</v>
      </c>
      <c r="O18" s="123">
        <f>O17-O8</f>
        <v>0</v>
      </c>
      <c r="P18" s="123">
        <f>P17-P8</f>
        <v>0</v>
      </c>
      <c r="Q18" s="123">
        <f>Q17-Q8</f>
        <v>0</v>
      </c>
      <c r="R18" s="123">
        <f t="shared" ref="R18:X18" si="16">R17-R8</f>
        <v>0</v>
      </c>
      <c r="S18" s="123">
        <f t="shared" si="16"/>
        <v>0</v>
      </c>
      <c r="T18" s="123">
        <f t="shared" si="16"/>
        <v>0</v>
      </c>
      <c r="U18" s="123">
        <f t="shared" si="16"/>
        <v>0</v>
      </c>
      <c r="V18" s="123">
        <f t="shared" si="16"/>
        <v>0</v>
      </c>
      <c r="W18" s="123">
        <f t="shared" si="16"/>
        <v>0</v>
      </c>
      <c r="X18" s="123">
        <f t="shared" si="16"/>
        <v>0</v>
      </c>
    </row>
    <row r="19" spans="2:24">
      <c r="B19" s="94"/>
      <c r="C19" s="95" t="s">
        <v>82</v>
      </c>
      <c r="D19" s="95" t="s">
        <v>83</v>
      </c>
      <c r="E19" s="95" t="s">
        <v>84</v>
      </c>
      <c r="F19" s="95" t="s">
        <v>85</v>
      </c>
      <c r="G19" s="95" t="s">
        <v>86</v>
      </c>
      <c r="H19" s="95" t="s">
        <v>87</v>
      </c>
      <c r="I19" s="95" t="s">
        <v>88</v>
      </c>
      <c r="J19" s="95" t="s">
        <v>89</v>
      </c>
      <c r="K19" s="95" t="s">
        <v>90</v>
      </c>
      <c r="L19" s="95" t="s">
        <v>91</v>
      </c>
      <c r="N19" s="124"/>
      <c r="P19" s="125"/>
      <c r="Q19" s="125"/>
      <c r="R19" s="125"/>
      <c r="S19" s="125"/>
    </row>
    <row r="20" spans="2:24">
      <c r="B20" s="126" t="s">
        <v>149</v>
      </c>
      <c r="C20" s="127"/>
      <c r="D20" s="127"/>
      <c r="E20" s="127"/>
      <c r="F20" s="127"/>
      <c r="G20" s="127"/>
      <c r="H20" s="127"/>
      <c r="I20" s="127"/>
      <c r="J20" s="127"/>
      <c r="K20" s="127"/>
      <c r="N20" s="128" t="s">
        <v>150</v>
      </c>
      <c r="O20" s="128"/>
      <c r="P20" s="125"/>
      <c r="Q20" s="125"/>
      <c r="R20" s="125"/>
      <c r="S20" s="125"/>
    </row>
    <row r="21" spans="2:24">
      <c r="B21" s="127" t="s">
        <v>145</v>
      </c>
      <c r="C21" s="129">
        <f t="shared" ref="C21:L21" si="17">C16</f>
        <v>0.15534663101999999</v>
      </c>
      <c r="D21" s="129">
        <f t="shared" si="17"/>
        <v>13.477659436080001</v>
      </c>
      <c r="E21" s="129">
        <f t="shared" si="17"/>
        <v>27.619559639279998</v>
      </c>
      <c r="F21" s="129">
        <f t="shared" si="17"/>
        <v>28.969468295039995</v>
      </c>
      <c r="G21" s="129">
        <f t="shared" si="17"/>
        <v>30.386872383587999</v>
      </c>
      <c r="H21" s="129">
        <f t="shared" si="17"/>
        <v>31.875146676563407</v>
      </c>
      <c r="I21" s="129">
        <f t="shared" si="17"/>
        <v>33.437834684187564</v>
      </c>
      <c r="J21" s="129">
        <f t="shared" si="17"/>
        <v>35.078657092192955</v>
      </c>
      <c r="K21" s="129">
        <f t="shared" si="17"/>
        <v>36.801520620598609</v>
      </c>
      <c r="L21" s="129">
        <f t="shared" si="17"/>
        <v>38.610527325424535</v>
      </c>
      <c r="N21" s="99" t="s">
        <v>151</v>
      </c>
      <c r="O21" s="130"/>
      <c r="P21" s="125"/>
      <c r="Q21" s="125"/>
    </row>
    <row r="22" spans="2:24">
      <c r="B22" s="127" t="s">
        <v>152</v>
      </c>
      <c r="C22" s="129">
        <f t="shared" ref="C22:L22" si="18">C8</f>
        <v>0</v>
      </c>
      <c r="D22" s="129">
        <f t="shared" si="18"/>
        <v>0</v>
      </c>
      <c r="E22" s="129">
        <f t="shared" si="18"/>
        <v>0</v>
      </c>
      <c r="F22" s="129">
        <f t="shared" si="18"/>
        <v>0</v>
      </c>
      <c r="G22" s="129">
        <f t="shared" si="18"/>
        <v>0</v>
      </c>
      <c r="H22" s="129">
        <f t="shared" si="18"/>
        <v>0</v>
      </c>
      <c r="I22" s="129">
        <f t="shared" si="18"/>
        <v>0</v>
      </c>
      <c r="J22" s="129">
        <f t="shared" si="18"/>
        <v>0</v>
      </c>
      <c r="K22" s="129">
        <f t="shared" si="18"/>
        <v>0</v>
      </c>
      <c r="L22" s="129">
        <f t="shared" si="18"/>
        <v>0</v>
      </c>
      <c r="N22" s="131" t="s">
        <v>153</v>
      </c>
      <c r="O22" s="132">
        <v>0.25169999999999998</v>
      </c>
      <c r="P22" s="133"/>
      <c r="Q22" s="133"/>
    </row>
    <row r="23" spans="2:24">
      <c r="B23" s="134" t="s">
        <v>154</v>
      </c>
      <c r="C23" s="135">
        <f>SUM(C21:C22)</f>
        <v>0.15534663101999999</v>
      </c>
      <c r="D23" s="135">
        <f>SUM(D21:D22)</f>
        <v>13.477659436080001</v>
      </c>
      <c r="E23" s="135">
        <f>SUM(E21:E22)</f>
        <v>27.619559639279998</v>
      </c>
      <c r="F23" s="135">
        <f t="shared" ref="F23:L23" si="19">SUM(F21:F22)</f>
        <v>28.969468295039995</v>
      </c>
      <c r="G23" s="135">
        <f t="shared" si="19"/>
        <v>30.386872383587999</v>
      </c>
      <c r="H23" s="135">
        <f t="shared" si="19"/>
        <v>31.875146676563407</v>
      </c>
      <c r="I23" s="135">
        <f t="shared" si="19"/>
        <v>33.437834684187564</v>
      </c>
      <c r="J23" s="135">
        <f t="shared" si="19"/>
        <v>35.078657092192955</v>
      </c>
      <c r="K23" s="135">
        <f t="shared" si="19"/>
        <v>36.801520620598609</v>
      </c>
      <c r="L23" s="135">
        <f t="shared" si="19"/>
        <v>38.610527325424535</v>
      </c>
      <c r="N23" s="53" t="s">
        <v>93</v>
      </c>
      <c r="O23" s="136">
        <f>Summary!B14</f>
        <v>465</v>
      </c>
      <c r="P23" s="133"/>
      <c r="Q23" s="133"/>
    </row>
    <row r="24" spans="2:24">
      <c r="B24" s="126" t="s">
        <v>155</v>
      </c>
      <c r="C24" s="137"/>
      <c r="D24" s="137"/>
      <c r="E24" s="137"/>
      <c r="F24" s="137"/>
      <c r="G24" s="137"/>
      <c r="H24" s="137"/>
      <c r="I24" s="137"/>
      <c r="J24" s="137"/>
      <c r="K24" s="137"/>
      <c r="N24" s="53" t="s">
        <v>156</v>
      </c>
      <c r="O24" s="138">
        <f>C29</f>
        <v>0</v>
      </c>
      <c r="P24" s="133"/>
      <c r="Q24" s="133"/>
    </row>
    <row r="25" spans="2:24">
      <c r="B25" s="127" t="s">
        <v>157</v>
      </c>
      <c r="C25" s="129">
        <f>Summary!K15*O28</f>
        <v>11.453760000000001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N25" s="53" t="s">
        <v>158</v>
      </c>
      <c r="O25" s="140">
        <f>Summary!B14</f>
        <v>465</v>
      </c>
      <c r="P25" s="133"/>
      <c r="Q25" s="133"/>
    </row>
    <row r="26" spans="2:24">
      <c r="B26" s="127" t="s">
        <v>159</v>
      </c>
      <c r="C26" s="141">
        <f>-O27</f>
        <v>-465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N26" s="53" t="s">
        <v>160</v>
      </c>
      <c r="O26" s="138">
        <v>35</v>
      </c>
      <c r="P26" s="133"/>
      <c r="Q26" s="133"/>
    </row>
    <row r="27" spans="2:24">
      <c r="B27" s="134" t="s">
        <v>161</v>
      </c>
      <c r="C27" s="135">
        <f t="shared" ref="C27:L27" si="20">SUM(C25:C26)</f>
        <v>-453.54624000000001</v>
      </c>
      <c r="D27" s="135">
        <f t="shared" si="20"/>
        <v>0</v>
      </c>
      <c r="E27" s="135">
        <f t="shared" si="20"/>
        <v>0</v>
      </c>
      <c r="F27" s="135">
        <f t="shared" si="20"/>
        <v>0</v>
      </c>
      <c r="G27" s="135">
        <f t="shared" si="20"/>
        <v>0</v>
      </c>
      <c r="H27" s="135">
        <f t="shared" si="20"/>
        <v>0</v>
      </c>
      <c r="I27" s="135">
        <f t="shared" si="20"/>
        <v>0</v>
      </c>
      <c r="J27" s="135">
        <f t="shared" si="20"/>
        <v>0</v>
      </c>
      <c r="K27" s="135">
        <f t="shared" si="20"/>
        <v>0</v>
      </c>
      <c r="L27" s="135">
        <f t="shared" si="20"/>
        <v>0</v>
      </c>
      <c r="N27" s="53" t="s">
        <v>5</v>
      </c>
      <c r="O27" s="133">
        <f>Summary!B3</f>
        <v>465</v>
      </c>
      <c r="P27" s="133"/>
      <c r="Q27" s="133"/>
    </row>
    <row r="28" spans="2:24">
      <c r="B28" s="126" t="s">
        <v>162</v>
      </c>
      <c r="C28" s="137"/>
      <c r="D28" s="137"/>
      <c r="E28" s="137"/>
      <c r="F28" s="137"/>
      <c r="G28" s="137"/>
      <c r="H28" s="137"/>
      <c r="I28" s="137"/>
      <c r="J28" s="137"/>
      <c r="K28" s="137"/>
      <c r="N28" s="53" t="s">
        <v>163</v>
      </c>
      <c r="O28" s="142">
        <f>O27/O25</f>
        <v>1</v>
      </c>
    </row>
    <row r="29" spans="2:24">
      <c r="B29" s="127" t="s">
        <v>164</v>
      </c>
      <c r="C29" s="141"/>
    </row>
    <row r="30" spans="2:24">
      <c r="B30" s="127" t="s">
        <v>165</v>
      </c>
      <c r="C30" s="141">
        <f>O27-C29</f>
        <v>465</v>
      </c>
      <c r="D30" s="141"/>
      <c r="E30" s="141"/>
      <c r="F30" s="141"/>
      <c r="G30" s="141"/>
      <c r="H30" s="141"/>
      <c r="I30" s="141"/>
      <c r="J30" s="141"/>
      <c r="K30" s="141"/>
      <c r="L30" s="141"/>
      <c r="N30" s="143"/>
      <c r="O30" s="144"/>
    </row>
    <row r="31" spans="2:24">
      <c r="B31" s="127" t="s">
        <v>166</v>
      </c>
      <c r="C31" s="141">
        <f>-'Monthly Cash Inflow'!P15</f>
        <v>0</v>
      </c>
      <c r="D31" s="141">
        <f>-'Monthly Cash Inflow'!AC15</f>
        <v>0</v>
      </c>
      <c r="E31" s="141">
        <f>-'Monthly Cash Inflow'!AP15</f>
        <v>0</v>
      </c>
      <c r="F31" s="141">
        <f>-'Monthly Cash Inflow'!BC15</f>
        <v>0</v>
      </c>
      <c r="G31" s="141">
        <f>-'Monthly Cash Inflow'!BP15</f>
        <v>0</v>
      </c>
      <c r="H31" s="141">
        <f>-'Monthly Cash Inflow'!CC15</f>
        <v>0</v>
      </c>
      <c r="I31" s="141">
        <f>-'Monthly Cash Inflow'!CP15</f>
        <v>0</v>
      </c>
      <c r="J31" s="141">
        <f>-'Monthly Cash Inflow'!DC15</f>
        <v>0</v>
      </c>
      <c r="K31" s="141">
        <f>-'Monthly Cash Inflow'!DP15</f>
        <v>0</v>
      </c>
      <c r="L31" s="141">
        <f>-'Monthly Cash Inflow'!EC15</f>
        <v>0</v>
      </c>
    </row>
    <row r="32" spans="2:24">
      <c r="B32" s="134" t="s">
        <v>167</v>
      </c>
      <c r="C32" s="135">
        <f t="shared" ref="C32" si="21">SUM(C29:C31)</f>
        <v>465</v>
      </c>
      <c r="D32" s="135">
        <f t="shared" ref="D32:L32" si="22">SUM(D30:D31)</f>
        <v>0</v>
      </c>
      <c r="E32" s="135">
        <f t="shared" si="22"/>
        <v>0</v>
      </c>
      <c r="F32" s="135">
        <f t="shared" si="22"/>
        <v>0</v>
      </c>
      <c r="G32" s="135">
        <f t="shared" si="22"/>
        <v>0</v>
      </c>
      <c r="H32" s="135">
        <f t="shared" si="22"/>
        <v>0</v>
      </c>
      <c r="I32" s="135">
        <f t="shared" si="22"/>
        <v>0</v>
      </c>
      <c r="J32" s="135">
        <f t="shared" si="22"/>
        <v>0</v>
      </c>
      <c r="K32" s="135">
        <f t="shared" si="22"/>
        <v>0</v>
      </c>
      <c r="L32" s="135">
        <f t="shared" si="22"/>
        <v>0</v>
      </c>
      <c r="N32" s="74"/>
      <c r="O32" s="227"/>
      <c r="P32" s="227"/>
      <c r="Q32" s="227"/>
      <c r="R32" s="227"/>
      <c r="S32" s="227"/>
      <c r="T32" s="227"/>
      <c r="U32" s="227"/>
      <c r="V32" s="227"/>
      <c r="W32" s="227"/>
      <c r="X32" s="227"/>
    </row>
    <row r="33" spans="2:24">
      <c r="B33" s="127" t="s">
        <v>168</v>
      </c>
      <c r="C33" s="141">
        <f>C23+C27+C32</f>
        <v>11.609106631019984</v>
      </c>
      <c r="D33" s="141">
        <f>D23+D27+D32</f>
        <v>13.477659436080001</v>
      </c>
      <c r="E33" s="141">
        <f>E23+E27+E32</f>
        <v>27.619559639279998</v>
      </c>
      <c r="F33" s="141">
        <f t="shared" ref="F33:L33" si="23">F23+F27+F32</f>
        <v>28.969468295039995</v>
      </c>
      <c r="G33" s="141">
        <f t="shared" si="23"/>
        <v>30.386872383587999</v>
      </c>
      <c r="H33" s="141">
        <f t="shared" si="23"/>
        <v>31.875146676563407</v>
      </c>
      <c r="I33" s="141">
        <f t="shared" si="23"/>
        <v>33.437834684187564</v>
      </c>
      <c r="J33" s="141">
        <f t="shared" si="23"/>
        <v>35.078657092192955</v>
      </c>
      <c r="K33" s="141">
        <f t="shared" si="23"/>
        <v>36.801520620598609</v>
      </c>
      <c r="L33" s="141">
        <f t="shared" si="23"/>
        <v>38.610527325424535</v>
      </c>
      <c r="N33" s="228"/>
      <c r="O33" s="229"/>
      <c r="P33" s="228"/>
      <c r="Q33" s="228"/>
      <c r="R33" s="228"/>
      <c r="S33" s="228"/>
      <c r="T33" s="228"/>
      <c r="U33" s="228"/>
      <c r="V33" s="228"/>
      <c r="W33" s="228"/>
      <c r="X33" s="228"/>
    </row>
    <row r="34" spans="2:24">
      <c r="B34" s="127" t="s">
        <v>169</v>
      </c>
      <c r="C34" s="145">
        <v>0</v>
      </c>
      <c r="D34" s="145">
        <f t="shared" ref="D34:E34" si="24">C35</f>
        <v>11.609106631019984</v>
      </c>
      <c r="E34" s="145">
        <f t="shared" si="24"/>
        <v>25.086766067099987</v>
      </c>
      <c r="F34" s="145">
        <f t="shared" ref="F34" si="25">E35</f>
        <v>52.706325706379985</v>
      </c>
      <c r="G34" s="145">
        <f t="shared" ref="G34" si="26">F35</f>
        <v>81.675794001419973</v>
      </c>
      <c r="H34" s="145">
        <f t="shared" ref="H34" si="27">G35</f>
        <v>112.06266638500797</v>
      </c>
      <c r="I34" s="145">
        <f t="shared" ref="I34" si="28">H35</f>
        <v>143.93781306157138</v>
      </c>
      <c r="J34" s="145">
        <f t="shared" ref="J34" si="29">I35</f>
        <v>177.37564774575895</v>
      </c>
      <c r="K34" s="145">
        <f t="shared" ref="K34:L34" si="30">J35</f>
        <v>212.4543048379519</v>
      </c>
      <c r="L34" s="145">
        <f t="shared" si="30"/>
        <v>249.2558254585505</v>
      </c>
      <c r="N34" s="228"/>
      <c r="O34" s="229"/>
      <c r="P34" s="229"/>
      <c r="Q34" s="229"/>
      <c r="R34" s="229"/>
      <c r="S34" s="229"/>
      <c r="T34" s="229"/>
      <c r="U34" s="229"/>
      <c r="V34" s="229"/>
      <c r="W34" s="229"/>
      <c r="X34" s="229"/>
    </row>
    <row r="35" spans="2:24">
      <c r="B35" s="134" t="s">
        <v>170</v>
      </c>
      <c r="C35" s="135">
        <f t="shared" ref="C35:L35" si="31">SUM(C33:C34)</f>
        <v>11.609106631019984</v>
      </c>
      <c r="D35" s="135">
        <f t="shared" si="31"/>
        <v>25.086766067099987</v>
      </c>
      <c r="E35" s="135">
        <f t="shared" si="31"/>
        <v>52.706325706379985</v>
      </c>
      <c r="F35" s="135">
        <f t="shared" si="31"/>
        <v>81.675794001419973</v>
      </c>
      <c r="G35" s="135">
        <f t="shared" si="31"/>
        <v>112.06266638500797</v>
      </c>
      <c r="H35" s="135">
        <f t="shared" si="31"/>
        <v>143.93781306157138</v>
      </c>
      <c r="I35" s="135">
        <f t="shared" si="31"/>
        <v>177.37564774575895</v>
      </c>
      <c r="J35" s="135">
        <f t="shared" si="31"/>
        <v>212.4543048379519</v>
      </c>
      <c r="K35" s="135">
        <f t="shared" si="31"/>
        <v>249.2558254585505</v>
      </c>
      <c r="L35" s="135">
        <f t="shared" si="31"/>
        <v>287.86635278397506</v>
      </c>
      <c r="N35" s="228"/>
      <c r="O35" s="229"/>
      <c r="P35" s="228"/>
      <c r="Q35" s="228"/>
      <c r="R35" s="228"/>
      <c r="S35" s="228"/>
      <c r="T35" s="228"/>
      <c r="U35" s="228"/>
      <c r="V35" s="228"/>
      <c r="W35" s="228"/>
      <c r="X35" s="228"/>
    </row>
    <row r="36" spans="2:24">
      <c r="N36" s="228"/>
      <c r="O36" s="229"/>
      <c r="P36" s="228"/>
      <c r="Q36" s="228"/>
      <c r="R36" s="228"/>
      <c r="S36" s="228"/>
      <c r="T36" s="228"/>
      <c r="U36" s="228"/>
      <c r="V36" s="228"/>
      <c r="W36" s="228"/>
      <c r="X36" s="228"/>
    </row>
    <row r="37" spans="2:24"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</row>
    <row r="38" spans="2:24">
      <c r="B38" s="148"/>
      <c r="C38" s="148"/>
      <c r="D38" s="148"/>
      <c r="E38" s="148"/>
      <c r="F38" s="148"/>
      <c r="G38" s="148"/>
      <c r="H38" s="148"/>
      <c r="I38" s="148"/>
      <c r="J38" s="148"/>
      <c r="K38" s="148"/>
    </row>
    <row r="39" spans="2:24">
      <c r="B39" s="149"/>
    </row>
  </sheetData>
  <phoneticPr fontId="5" type="noConversion"/>
  <conditionalFormatting sqref="B2:L2">
    <cfRule type="duplicateValues" dxfId="3" priority="10"/>
  </conditionalFormatting>
  <conditionalFormatting sqref="B18:L18">
    <cfRule type="duplicateValues" dxfId="2" priority="11"/>
  </conditionalFormatting>
  <conditionalFormatting sqref="N2:X2">
    <cfRule type="duplicateValues" dxfId="1" priority="13"/>
  </conditionalFormatting>
  <conditionalFormatting sqref="O32:X32">
    <cfRule type="duplicateValues" dxfId="0" priority="15"/>
  </conditionalFormatting>
  <pageMargins left="0.7" right="0.7" top="0.75" bottom="0.75" header="0.3" footer="0.3"/>
  <pageSetup scale="85" orientation="landscape" r:id="rId1"/>
  <ignoredErrors>
    <ignoredError sqref="O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D108-E891-4EC5-9A35-135C02340E61}">
  <dimension ref="A1:EC17"/>
  <sheetViews>
    <sheetView showGridLines="0" workbookViewId="0">
      <selection activeCell="C6" sqref="C6"/>
    </sheetView>
  </sheetViews>
  <sheetFormatPr defaultRowHeight="14.45" outlineLevelCol="1"/>
  <cols>
    <col min="1" max="1" width="27.85546875" customWidth="1"/>
    <col min="2" max="2" width="16.5703125" bestFit="1" customWidth="1"/>
    <col min="3" max="3" width="12.7109375" customWidth="1"/>
    <col min="4" max="4" width="20.42578125" hidden="1" customWidth="1" outlineLevel="1"/>
    <col min="5" max="9" width="8.5703125" hidden="1" customWidth="1" outlineLevel="1"/>
    <col min="10" max="15" width="8.85546875" hidden="1" customWidth="1" outlineLevel="1"/>
    <col min="16" max="16" width="9.5703125" bestFit="1" customWidth="1" collapsed="1"/>
    <col min="17" max="28" width="7.5703125" hidden="1" customWidth="1" outlineLevel="1"/>
    <col min="29" max="29" width="9.5703125" bestFit="1" customWidth="1" collapsed="1"/>
    <col min="30" max="41" width="7.5703125" hidden="1" customWidth="1" outlineLevel="1"/>
    <col min="42" max="42" width="8.5703125" bestFit="1" customWidth="1" collapsed="1"/>
    <col min="43" max="54" width="7.5703125" hidden="1" customWidth="1" outlineLevel="1"/>
    <col min="55" max="55" width="8.5703125" bestFit="1" customWidth="1" collapsed="1"/>
    <col min="56" max="67" width="7.5703125" hidden="1" customWidth="1" outlineLevel="1"/>
    <col min="68" max="68" width="8.5703125" bestFit="1" customWidth="1" collapsed="1"/>
    <col min="69" max="80" width="7.5703125" hidden="1" customWidth="1" outlineLevel="1"/>
    <col min="81" max="81" width="8.5703125" bestFit="1" customWidth="1" collapsed="1"/>
    <col min="82" max="93" width="7.5703125" hidden="1" customWidth="1" outlineLevel="1"/>
    <col min="94" max="94" width="8.5703125" bestFit="1" customWidth="1" collapsed="1"/>
    <col min="95" max="106" width="7.5703125" hidden="1" customWidth="1" outlineLevel="1"/>
    <col min="107" max="107" width="8.5703125" bestFit="1" customWidth="1" collapsed="1"/>
    <col min="108" max="119" width="7.5703125" hidden="1" customWidth="1" outlineLevel="1"/>
    <col min="120" max="120" width="8.5703125" bestFit="1" customWidth="1" collapsed="1"/>
    <col min="121" max="123" width="7.5703125" hidden="1" customWidth="1" outlineLevel="1"/>
    <col min="124" max="132" width="6.5703125" hidden="1" customWidth="1" outlineLevel="1"/>
    <col min="133" max="133" width="7.5703125" bestFit="1" customWidth="1" collapsed="1"/>
  </cols>
  <sheetData>
    <row r="1" spans="1:133">
      <c r="A1" s="39" t="s">
        <v>171</v>
      </c>
      <c r="B1" s="40" t="s">
        <v>172</v>
      </c>
      <c r="C1" s="40"/>
      <c r="D1" s="40" t="s">
        <v>82</v>
      </c>
      <c r="E1" s="40" t="s">
        <v>82</v>
      </c>
      <c r="F1" s="40" t="s">
        <v>82</v>
      </c>
      <c r="G1" s="40" t="s">
        <v>82</v>
      </c>
      <c r="H1" s="40" t="s">
        <v>82</v>
      </c>
      <c r="I1" s="40" t="s">
        <v>82</v>
      </c>
      <c r="J1" s="40" t="s">
        <v>82</v>
      </c>
      <c r="K1" s="40" t="s">
        <v>82</v>
      </c>
      <c r="L1" s="40" t="s">
        <v>82</v>
      </c>
      <c r="M1" s="40" t="s">
        <v>82</v>
      </c>
      <c r="N1" s="40" t="s">
        <v>82</v>
      </c>
      <c r="O1" s="40" t="s">
        <v>82</v>
      </c>
      <c r="P1" s="40" t="s">
        <v>173</v>
      </c>
      <c r="Q1" s="40" t="s">
        <v>83</v>
      </c>
      <c r="R1" s="40" t="s">
        <v>83</v>
      </c>
      <c r="S1" s="40" t="s">
        <v>83</v>
      </c>
      <c r="T1" s="40" t="s">
        <v>83</v>
      </c>
      <c r="U1" s="40" t="s">
        <v>83</v>
      </c>
      <c r="V1" s="40" t="s">
        <v>83</v>
      </c>
      <c r="W1" s="40" t="s">
        <v>83</v>
      </c>
      <c r="X1" s="40" t="s">
        <v>83</v>
      </c>
      <c r="Y1" s="40" t="s">
        <v>83</v>
      </c>
      <c r="Z1" s="40" t="s">
        <v>83</v>
      </c>
      <c r="AA1" s="40" t="s">
        <v>83</v>
      </c>
      <c r="AB1" s="40" t="s">
        <v>83</v>
      </c>
      <c r="AC1" s="40" t="s">
        <v>174</v>
      </c>
      <c r="AD1" s="40" t="s">
        <v>84</v>
      </c>
      <c r="AE1" s="40" t="s">
        <v>84</v>
      </c>
      <c r="AF1" s="40" t="s">
        <v>84</v>
      </c>
      <c r="AG1" s="40" t="s">
        <v>84</v>
      </c>
      <c r="AH1" s="40" t="s">
        <v>84</v>
      </c>
      <c r="AI1" s="40" t="s">
        <v>84</v>
      </c>
      <c r="AJ1" s="40" t="s">
        <v>84</v>
      </c>
      <c r="AK1" s="40" t="s">
        <v>84</v>
      </c>
      <c r="AL1" s="40" t="s">
        <v>84</v>
      </c>
      <c r="AM1" s="40" t="s">
        <v>84</v>
      </c>
      <c r="AN1" s="40" t="s">
        <v>84</v>
      </c>
      <c r="AO1" s="40" t="s">
        <v>84</v>
      </c>
      <c r="AP1" s="40" t="s">
        <v>175</v>
      </c>
      <c r="AQ1" s="40" t="s">
        <v>85</v>
      </c>
      <c r="AR1" s="40" t="s">
        <v>85</v>
      </c>
      <c r="AS1" s="40" t="s">
        <v>85</v>
      </c>
      <c r="AT1" s="40" t="s">
        <v>85</v>
      </c>
      <c r="AU1" s="40" t="s">
        <v>85</v>
      </c>
      <c r="AV1" s="40" t="s">
        <v>85</v>
      </c>
      <c r="AW1" s="40" t="s">
        <v>85</v>
      </c>
      <c r="AX1" s="40" t="s">
        <v>85</v>
      </c>
      <c r="AY1" s="40" t="s">
        <v>85</v>
      </c>
      <c r="AZ1" s="40" t="s">
        <v>85</v>
      </c>
      <c r="BA1" s="40" t="s">
        <v>85</v>
      </c>
      <c r="BB1" s="40" t="s">
        <v>85</v>
      </c>
      <c r="BC1" s="40" t="s">
        <v>176</v>
      </c>
      <c r="BD1" s="42" t="s">
        <v>86</v>
      </c>
      <c r="BE1" s="42" t="s">
        <v>86</v>
      </c>
      <c r="BF1" s="42" t="s">
        <v>86</v>
      </c>
      <c r="BG1" s="42" t="s">
        <v>86</v>
      </c>
      <c r="BH1" s="42" t="s">
        <v>86</v>
      </c>
      <c r="BI1" s="42" t="s">
        <v>86</v>
      </c>
      <c r="BJ1" s="42" t="s">
        <v>86</v>
      </c>
      <c r="BK1" s="42" t="s">
        <v>86</v>
      </c>
      <c r="BL1" s="42" t="s">
        <v>86</v>
      </c>
      <c r="BM1" s="42" t="s">
        <v>86</v>
      </c>
      <c r="BN1" s="42" t="s">
        <v>86</v>
      </c>
      <c r="BO1" s="42" t="s">
        <v>86</v>
      </c>
      <c r="BP1" s="42" t="s">
        <v>177</v>
      </c>
      <c r="BQ1" s="42" t="s">
        <v>87</v>
      </c>
      <c r="BR1" s="42" t="s">
        <v>87</v>
      </c>
      <c r="BS1" s="42" t="s">
        <v>87</v>
      </c>
      <c r="BT1" s="42" t="s">
        <v>87</v>
      </c>
      <c r="BU1" s="42" t="s">
        <v>87</v>
      </c>
      <c r="BV1" s="42" t="s">
        <v>87</v>
      </c>
      <c r="BW1" s="42" t="s">
        <v>87</v>
      </c>
      <c r="BX1" s="42" t="s">
        <v>87</v>
      </c>
      <c r="BY1" s="42" t="s">
        <v>87</v>
      </c>
      <c r="BZ1" s="42" t="s">
        <v>87</v>
      </c>
      <c r="CA1" s="42" t="s">
        <v>87</v>
      </c>
      <c r="CB1" s="42" t="s">
        <v>87</v>
      </c>
      <c r="CC1" s="42" t="s">
        <v>178</v>
      </c>
      <c r="CD1" s="42" t="s">
        <v>88</v>
      </c>
      <c r="CE1" s="42" t="s">
        <v>88</v>
      </c>
      <c r="CF1" s="42" t="s">
        <v>88</v>
      </c>
      <c r="CG1" s="42" t="s">
        <v>88</v>
      </c>
      <c r="CH1" s="42" t="s">
        <v>88</v>
      </c>
      <c r="CI1" s="42" t="s">
        <v>88</v>
      </c>
      <c r="CJ1" s="42" t="s">
        <v>88</v>
      </c>
      <c r="CK1" s="42" t="s">
        <v>88</v>
      </c>
      <c r="CL1" s="42" t="s">
        <v>88</v>
      </c>
      <c r="CM1" s="42" t="s">
        <v>88</v>
      </c>
      <c r="CN1" s="42" t="s">
        <v>88</v>
      </c>
      <c r="CO1" s="42" t="s">
        <v>88</v>
      </c>
      <c r="CP1" s="42" t="s">
        <v>179</v>
      </c>
      <c r="CQ1" s="42" t="s">
        <v>89</v>
      </c>
      <c r="CR1" s="42" t="s">
        <v>89</v>
      </c>
      <c r="CS1" s="42" t="s">
        <v>89</v>
      </c>
      <c r="CT1" s="42" t="s">
        <v>89</v>
      </c>
      <c r="CU1" s="42" t="s">
        <v>89</v>
      </c>
      <c r="CV1" s="42" t="s">
        <v>89</v>
      </c>
      <c r="CW1" s="42" t="s">
        <v>89</v>
      </c>
      <c r="CX1" s="42" t="s">
        <v>89</v>
      </c>
      <c r="CY1" s="42" t="s">
        <v>89</v>
      </c>
      <c r="CZ1" s="42" t="s">
        <v>89</v>
      </c>
      <c r="DA1" s="42" t="s">
        <v>89</v>
      </c>
      <c r="DB1" s="42" t="s">
        <v>89</v>
      </c>
      <c r="DC1" s="42" t="s">
        <v>180</v>
      </c>
      <c r="DD1" s="42" t="s">
        <v>90</v>
      </c>
      <c r="DE1" s="42" t="s">
        <v>90</v>
      </c>
      <c r="DF1" s="42" t="s">
        <v>90</v>
      </c>
      <c r="DG1" s="42" t="s">
        <v>90</v>
      </c>
      <c r="DH1" s="42" t="s">
        <v>90</v>
      </c>
      <c r="DI1" s="42" t="s">
        <v>90</v>
      </c>
      <c r="DJ1" s="42" t="s">
        <v>90</v>
      </c>
      <c r="DK1" s="42" t="s">
        <v>90</v>
      </c>
      <c r="DL1" s="42" t="s">
        <v>90</v>
      </c>
      <c r="DM1" s="42" t="s">
        <v>90</v>
      </c>
      <c r="DN1" s="42" t="s">
        <v>90</v>
      </c>
      <c r="DO1" s="42" t="s">
        <v>90</v>
      </c>
      <c r="DP1" s="42" t="s">
        <v>181</v>
      </c>
      <c r="DQ1" s="42" t="s">
        <v>91</v>
      </c>
      <c r="DR1" s="42" t="s">
        <v>91</v>
      </c>
      <c r="DS1" s="42" t="s">
        <v>91</v>
      </c>
      <c r="DT1" s="42" t="s">
        <v>91</v>
      </c>
      <c r="DU1" s="42" t="s">
        <v>91</v>
      </c>
      <c r="DV1" s="42" t="s">
        <v>91</v>
      </c>
      <c r="DW1" s="42" t="s">
        <v>91</v>
      </c>
      <c r="DX1" s="42" t="s">
        <v>91</v>
      </c>
      <c r="DY1" s="42" t="s">
        <v>91</v>
      </c>
      <c r="DZ1" s="42" t="s">
        <v>91</v>
      </c>
      <c r="EA1" s="42" t="s">
        <v>91</v>
      </c>
      <c r="EB1" s="42" t="s">
        <v>91</v>
      </c>
      <c r="EC1" s="42" t="s">
        <v>182</v>
      </c>
    </row>
    <row r="2" spans="1:133">
      <c r="A2" s="41"/>
      <c r="B2" s="42" t="s">
        <v>183</v>
      </c>
      <c r="C2" s="42"/>
      <c r="D2" s="43">
        <v>45748</v>
      </c>
      <c r="E2" s="43">
        <v>45778</v>
      </c>
      <c r="F2" s="43">
        <v>45809</v>
      </c>
      <c r="G2" s="43">
        <v>45839</v>
      </c>
      <c r="H2" s="43">
        <v>45870</v>
      </c>
      <c r="I2" s="43">
        <v>45901</v>
      </c>
      <c r="J2" s="43">
        <v>45931</v>
      </c>
      <c r="K2" s="43">
        <v>45962</v>
      </c>
      <c r="L2" s="43">
        <v>45992</v>
      </c>
      <c r="M2" s="43">
        <v>46023</v>
      </c>
      <c r="N2" s="43">
        <v>46054</v>
      </c>
      <c r="O2" s="43">
        <v>46082</v>
      </c>
      <c r="P2" s="43" t="s">
        <v>20</v>
      </c>
      <c r="Q2" s="43">
        <v>46113</v>
      </c>
      <c r="R2" s="43">
        <v>46143</v>
      </c>
      <c r="S2" s="43">
        <v>46174</v>
      </c>
      <c r="T2" s="43">
        <v>46204</v>
      </c>
      <c r="U2" s="43">
        <v>46235</v>
      </c>
      <c r="V2" s="43">
        <v>46266</v>
      </c>
      <c r="W2" s="43">
        <v>46296</v>
      </c>
      <c r="X2" s="43">
        <v>46327</v>
      </c>
      <c r="Y2" s="43">
        <v>46357</v>
      </c>
      <c r="Z2" s="43">
        <v>46388</v>
      </c>
      <c r="AA2" s="43">
        <v>46419</v>
      </c>
      <c r="AB2" s="43">
        <v>46447</v>
      </c>
      <c r="AC2" s="43" t="s">
        <v>20</v>
      </c>
      <c r="AD2" s="43">
        <v>46478</v>
      </c>
      <c r="AE2" s="43">
        <v>46508</v>
      </c>
      <c r="AF2" s="43">
        <v>46539</v>
      </c>
      <c r="AG2" s="43">
        <v>46569</v>
      </c>
      <c r="AH2" s="43">
        <v>46600</v>
      </c>
      <c r="AI2" s="43">
        <v>46631</v>
      </c>
      <c r="AJ2" s="43">
        <v>46661</v>
      </c>
      <c r="AK2" s="43">
        <v>46692</v>
      </c>
      <c r="AL2" s="43">
        <v>46722</v>
      </c>
      <c r="AM2" s="43">
        <v>46753</v>
      </c>
      <c r="AN2" s="43">
        <v>46784</v>
      </c>
      <c r="AO2" s="43">
        <v>46813</v>
      </c>
      <c r="AP2" s="43" t="s">
        <v>20</v>
      </c>
      <c r="AQ2" s="43">
        <v>46844</v>
      </c>
      <c r="AR2" s="43">
        <v>46874</v>
      </c>
      <c r="AS2" s="43">
        <v>46905</v>
      </c>
      <c r="AT2" s="43">
        <v>46935</v>
      </c>
      <c r="AU2" s="43">
        <v>46966</v>
      </c>
      <c r="AV2" s="43">
        <v>46997</v>
      </c>
      <c r="AW2" s="43">
        <v>47027</v>
      </c>
      <c r="AX2" s="43">
        <v>47058</v>
      </c>
      <c r="AY2" s="43">
        <v>47088</v>
      </c>
      <c r="AZ2" s="43">
        <v>47119</v>
      </c>
      <c r="BA2" s="43">
        <v>47150</v>
      </c>
      <c r="BB2" s="43">
        <v>47178</v>
      </c>
      <c r="BC2" s="43" t="s">
        <v>20</v>
      </c>
      <c r="BD2" s="43">
        <v>47209</v>
      </c>
      <c r="BE2" s="43">
        <v>47239</v>
      </c>
      <c r="BF2" s="43">
        <v>47270</v>
      </c>
      <c r="BG2" s="43">
        <v>47300</v>
      </c>
      <c r="BH2" s="43">
        <v>47331</v>
      </c>
      <c r="BI2" s="43">
        <v>47362</v>
      </c>
      <c r="BJ2" s="43">
        <v>47392</v>
      </c>
      <c r="BK2" s="43">
        <v>47423</v>
      </c>
      <c r="BL2" s="43">
        <v>47453</v>
      </c>
      <c r="BM2" s="43">
        <v>47484</v>
      </c>
      <c r="BN2" s="43">
        <v>47515</v>
      </c>
      <c r="BO2" s="43">
        <v>47543</v>
      </c>
      <c r="BP2" s="43" t="s">
        <v>20</v>
      </c>
      <c r="BQ2" s="43">
        <v>47574</v>
      </c>
      <c r="BR2" s="43">
        <v>47604</v>
      </c>
      <c r="BS2" s="43">
        <v>47635</v>
      </c>
      <c r="BT2" s="43">
        <v>47665</v>
      </c>
      <c r="BU2" s="43">
        <v>47696</v>
      </c>
      <c r="BV2" s="43">
        <v>47727</v>
      </c>
      <c r="BW2" s="43">
        <v>47757</v>
      </c>
      <c r="BX2" s="43">
        <v>47788</v>
      </c>
      <c r="BY2" s="43">
        <v>47818</v>
      </c>
      <c r="BZ2" s="43">
        <v>47849</v>
      </c>
      <c r="CA2" s="43">
        <v>47880</v>
      </c>
      <c r="CB2" s="43">
        <v>47908</v>
      </c>
      <c r="CC2" s="43" t="s">
        <v>20</v>
      </c>
      <c r="CD2" s="43">
        <v>47939</v>
      </c>
      <c r="CE2" s="43">
        <v>47969</v>
      </c>
      <c r="CF2" s="43">
        <v>48000</v>
      </c>
      <c r="CG2" s="43">
        <v>48030</v>
      </c>
      <c r="CH2" s="43">
        <v>48061</v>
      </c>
      <c r="CI2" s="43">
        <v>48092</v>
      </c>
      <c r="CJ2" s="43">
        <v>48122</v>
      </c>
      <c r="CK2" s="43">
        <v>48153</v>
      </c>
      <c r="CL2" s="43">
        <v>48183</v>
      </c>
      <c r="CM2" s="43">
        <v>48214</v>
      </c>
      <c r="CN2" s="43">
        <v>48245</v>
      </c>
      <c r="CO2" s="43">
        <v>48274</v>
      </c>
      <c r="CP2" s="43" t="s">
        <v>20</v>
      </c>
      <c r="CQ2" s="43">
        <v>48305</v>
      </c>
      <c r="CR2" s="43">
        <v>48335</v>
      </c>
      <c r="CS2" s="43">
        <v>48366</v>
      </c>
      <c r="CT2" s="43">
        <v>48396</v>
      </c>
      <c r="CU2" s="43">
        <v>48427</v>
      </c>
      <c r="CV2" s="43">
        <v>48458</v>
      </c>
      <c r="CW2" s="43">
        <v>48488</v>
      </c>
      <c r="CX2" s="43">
        <v>48519</v>
      </c>
      <c r="CY2" s="43">
        <v>48549</v>
      </c>
      <c r="CZ2" s="43">
        <v>48580</v>
      </c>
      <c r="DA2" s="43">
        <v>48611</v>
      </c>
      <c r="DB2" s="43">
        <v>48639</v>
      </c>
      <c r="DC2" s="43" t="s">
        <v>20</v>
      </c>
      <c r="DD2" s="43">
        <v>48670</v>
      </c>
      <c r="DE2" s="43">
        <v>48700</v>
      </c>
      <c r="DF2" s="43">
        <v>48731</v>
      </c>
      <c r="DG2" s="43">
        <v>48761</v>
      </c>
      <c r="DH2" s="43">
        <v>48792</v>
      </c>
      <c r="DI2" s="43">
        <v>48823</v>
      </c>
      <c r="DJ2" s="43">
        <v>48853</v>
      </c>
      <c r="DK2" s="43">
        <v>48884</v>
      </c>
      <c r="DL2" s="43">
        <v>48914</v>
      </c>
      <c r="DM2" s="43">
        <v>48945</v>
      </c>
      <c r="DN2" s="43">
        <v>48976</v>
      </c>
      <c r="DO2" s="43">
        <v>49004</v>
      </c>
      <c r="DP2" s="43" t="s">
        <v>20</v>
      </c>
      <c r="DQ2" s="43">
        <v>49035</v>
      </c>
      <c r="DR2" s="43">
        <v>49065</v>
      </c>
      <c r="DS2" s="43">
        <v>49096</v>
      </c>
      <c r="DT2" s="43">
        <v>49126</v>
      </c>
      <c r="DU2" s="43">
        <v>49157</v>
      </c>
      <c r="DV2" s="43">
        <v>49188</v>
      </c>
      <c r="DW2" s="43">
        <v>49218</v>
      </c>
      <c r="DX2" s="43">
        <v>49249</v>
      </c>
      <c r="DY2" s="43">
        <v>49279</v>
      </c>
      <c r="DZ2" s="43">
        <v>49310</v>
      </c>
      <c r="EA2" s="43">
        <v>49341</v>
      </c>
      <c r="EB2" s="43">
        <v>49369</v>
      </c>
      <c r="EC2" s="43" t="s">
        <v>20</v>
      </c>
    </row>
    <row r="3" spans="1:133">
      <c r="A3" s="32" t="s">
        <v>184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</row>
    <row r="4" spans="1:133">
      <c r="A4" s="33" t="s">
        <v>12</v>
      </c>
      <c r="B4" s="34">
        <v>39360</v>
      </c>
      <c r="C4" s="35">
        <v>110</v>
      </c>
      <c r="D4" s="50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</v>
      </c>
      <c r="P4" s="36">
        <f>SUM(D4:O4)</f>
        <v>0</v>
      </c>
      <c r="Q4" s="36">
        <f>$O4*(1+Summary!$K$19)</f>
        <v>0</v>
      </c>
      <c r="R4" s="36">
        <f>$O4*(1+Summary!$K$19)</f>
        <v>0</v>
      </c>
      <c r="S4" s="36">
        <f>$O4*(1+Summary!$K$19)</f>
        <v>0</v>
      </c>
      <c r="T4" s="36">
        <f>$O4*(1+Summary!$K$19)</f>
        <v>0</v>
      </c>
      <c r="U4" s="36">
        <f>$O4*(1+Summary!$K$19)</f>
        <v>0</v>
      </c>
      <c r="V4" s="36">
        <f>$O4*(1+Summary!$K$19)</f>
        <v>0</v>
      </c>
      <c r="W4" s="36">
        <f>($B$4*$C$4)/10^7*Financials!$O$28</f>
        <v>0.43296000000000001</v>
      </c>
      <c r="X4" s="36">
        <f>W4</f>
        <v>0.43296000000000001</v>
      </c>
      <c r="Y4" s="36">
        <f t="shared" ref="Y4:AB4" si="0">X4</f>
        <v>0.43296000000000001</v>
      </c>
      <c r="Z4" s="36">
        <f t="shared" si="0"/>
        <v>0.43296000000000001</v>
      </c>
      <c r="AA4" s="36">
        <f t="shared" si="0"/>
        <v>0.43296000000000001</v>
      </c>
      <c r="AB4" s="36">
        <f t="shared" si="0"/>
        <v>0.43296000000000001</v>
      </c>
      <c r="AC4" s="36">
        <f>SUM(Q4:AB4)</f>
        <v>2.5977600000000001</v>
      </c>
      <c r="AD4" s="36">
        <f>AB4*(1+Summary!$K$19)</f>
        <v>0.45460800000000001</v>
      </c>
      <c r="AE4" s="36">
        <f>AD4</f>
        <v>0.45460800000000001</v>
      </c>
      <c r="AF4" s="36">
        <f t="shared" ref="AF4:AO4" si="1">AE4</f>
        <v>0.45460800000000001</v>
      </c>
      <c r="AG4" s="36">
        <f t="shared" si="1"/>
        <v>0.45460800000000001</v>
      </c>
      <c r="AH4" s="36">
        <f t="shared" si="1"/>
        <v>0.45460800000000001</v>
      </c>
      <c r="AI4" s="36">
        <f t="shared" si="1"/>
        <v>0.45460800000000001</v>
      </c>
      <c r="AJ4" s="36">
        <f t="shared" si="1"/>
        <v>0.45460800000000001</v>
      </c>
      <c r="AK4" s="36">
        <f t="shared" si="1"/>
        <v>0.45460800000000001</v>
      </c>
      <c r="AL4" s="36">
        <f t="shared" si="1"/>
        <v>0.45460800000000001</v>
      </c>
      <c r="AM4" s="36">
        <f t="shared" si="1"/>
        <v>0.45460800000000001</v>
      </c>
      <c r="AN4" s="36">
        <f t="shared" si="1"/>
        <v>0.45460800000000001</v>
      </c>
      <c r="AO4" s="36">
        <f t="shared" si="1"/>
        <v>0.45460800000000001</v>
      </c>
      <c r="AP4" s="36">
        <f>SUM(AD4:AO4)</f>
        <v>5.4552960000000006</v>
      </c>
      <c r="AQ4" s="36">
        <f>$AO4*(1+Summary!$K$19)</f>
        <v>0.47733840000000005</v>
      </c>
      <c r="AR4" s="36">
        <f>$AO4*(1+Summary!$K$19)</f>
        <v>0.47733840000000005</v>
      </c>
      <c r="AS4" s="36">
        <f>$AO4*(1+Summary!$K$19)</f>
        <v>0.47733840000000005</v>
      </c>
      <c r="AT4" s="36">
        <f>$AO4*(1+Summary!$K$19)</f>
        <v>0.47733840000000005</v>
      </c>
      <c r="AU4" s="36">
        <f>$AO4*(1+Summary!$K$19)</f>
        <v>0.47733840000000005</v>
      </c>
      <c r="AV4" s="36">
        <f>$AO4*(1+Summary!$K$19)</f>
        <v>0.47733840000000005</v>
      </c>
      <c r="AW4" s="36">
        <f>$AO4*(1+Summary!$K$19)</f>
        <v>0.47733840000000005</v>
      </c>
      <c r="AX4" s="36">
        <f>$AO4*(1+Summary!$K$19)</f>
        <v>0.47733840000000005</v>
      </c>
      <c r="AY4" s="36">
        <f>$AO4*(1+Summary!$K$19)</f>
        <v>0.47733840000000005</v>
      </c>
      <c r="AZ4" s="36">
        <f>$AO4*(1+Summary!$K$19)</f>
        <v>0.47733840000000005</v>
      </c>
      <c r="BA4" s="36">
        <f>$AO4*(1+Summary!$K$19)</f>
        <v>0.47733840000000005</v>
      </c>
      <c r="BB4" s="36">
        <f>$AO4*(1+Summary!$K$19)</f>
        <v>0.47733840000000005</v>
      </c>
      <c r="BC4" s="36">
        <f>SUM(AQ4:BB4)</f>
        <v>5.7280607999999988</v>
      </c>
      <c r="BD4" s="38">
        <f>$BB4*(1+Summary!$K$19)</f>
        <v>0.50120532000000007</v>
      </c>
      <c r="BE4" s="38">
        <f>$BB4*(1+Summary!$K$19)</f>
        <v>0.50120532000000007</v>
      </c>
      <c r="BF4" s="38">
        <f>$BB4*(1+Summary!$K$19)</f>
        <v>0.50120532000000007</v>
      </c>
      <c r="BG4" s="38">
        <f>$BB4*(1+Summary!$K$19)</f>
        <v>0.50120532000000007</v>
      </c>
      <c r="BH4" s="38">
        <f>$BB4*(1+Summary!$K$19)</f>
        <v>0.50120532000000007</v>
      </c>
      <c r="BI4" s="38">
        <f>$BB4*(1+Summary!$K$19)</f>
        <v>0.50120532000000007</v>
      </c>
      <c r="BJ4" s="38">
        <f>$BB4*(1+Summary!$K$19)</f>
        <v>0.50120532000000007</v>
      </c>
      <c r="BK4" s="38">
        <f>$BB4*(1+Summary!$K$19)</f>
        <v>0.50120532000000007</v>
      </c>
      <c r="BL4" s="38">
        <f>$BB4*(1+Summary!$K$19)</f>
        <v>0.50120532000000007</v>
      </c>
      <c r="BM4" s="38">
        <f>$BB4*(1+Summary!$K$19)</f>
        <v>0.50120532000000007</v>
      </c>
      <c r="BN4" s="38">
        <f>$BB4*(1+Summary!$K$19)</f>
        <v>0.50120532000000007</v>
      </c>
      <c r="BO4" s="38">
        <f>$BB4*(1+Summary!$K$19)</f>
        <v>0.50120532000000007</v>
      </c>
      <c r="BP4" s="38">
        <f>SUM(BD4:BO4)</f>
        <v>6.0144638400000021</v>
      </c>
      <c r="BQ4" s="38">
        <f>$BO4*(1+Summary!$K$19)</f>
        <v>0.52626558600000006</v>
      </c>
      <c r="BR4" s="38">
        <f>$BO4*(1+Summary!$K$19)</f>
        <v>0.52626558600000006</v>
      </c>
      <c r="BS4" s="38">
        <f>$BO4*(1+Summary!$K$19)</f>
        <v>0.52626558600000006</v>
      </c>
      <c r="BT4" s="38">
        <f>$BO4*(1+Summary!$K$19)</f>
        <v>0.52626558600000006</v>
      </c>
      <c r="BU4" s="38">
        <f>$BO4*(1+Summary!$K$19)</f>
        <v>0.52626558600000006</v>
      </c>
      <c r="BV4" s="38">
        <f>$BO4*(1+Summary!$K$19)</f>
        <v>0.52626558600000006</v>
      </c>
      <c r="BW4" s="38">
        <f>$BO4*(1+Summary!$K$19)</f>
        <v>0.52626558600000006</v>
      </c>
      <c r="BX4" s="38">
        <f>$BO4*(1+Summary!$K$19)</f>
        <v>0.52626558600000006</v>
      </c>
      <c r="BY4" s="38">
        <f>$BO4*(1+Summary!$K$19)</f>
        <v>0.52626558600000006</v>
      </c>
      <c r="BZ4" s="38">
        <f>$BO4*(1+Summary!$K$19)</f>
        <v>0.52626558600000006</v>
      </c>
      <c r="CA4" s="38">
        <f>$BO4*(1+Summary!$K$19)</f>
        <v>0.52626558600000006</v>
      </c>
      <c r="CB4" s="38">
        <f>$BO4*(1+Summary!$K$19)</f>
        <v>0.52626558600000006</v>
      </c>
      <c r="CC4" s="38">
        <f>SUM(BQ4:CB4)</f>
        <v>6.3151870320000008</v>
      </c>
      <c r="CD4" s="38">
        <f>$CB4*(1+Summary!$K$19)</f>
        <v>0.55257886530000011</v>
      </c>
      <c r="CE4" s="38">
        <f>$CB4*(1+Summary!$K$19)</f>
        <v>0.55257886530000011</v>
      </c>
      <c r="CF4" s="38">
        <f>$CB4*(1+Summary!$K$19)</f>
        <v>0.55257886530000011</v>
      </c>
      <c r="CG4" s="38">
        <f>$CB4*(1+Summary!$K$19)</f>
        <v>0.55257886530000011</v>
      </c>
      <c r="CH4" s="38">
        <f>$CB4*(1+Summary!$K$19)</f>
        <v>0.55257886530000011</v>
      </c>
      <c r="CI4" s="38">
        <f>$CB4*(1+Summary!$K$19)</f>
        <v>0.55257886530000011</v>
      </c>
      <c r="CJ4" s="38">
        <f>$CB4*(1+Summary!$K$19)</f>
        <v>0.55257886530000011</v>
      </c>
      <c r="CK4" s="38">
        <f>$CB4*(1+Summary!$K$19)</f>
        <v>0.55257886530000011</v>
      </c>
      <c r="CL4" s="38">
        <f>$CB4*(1+Summary!$K$19)</f>
        <v>0.55257886530000011</v>
      </c>
      <c r="CM4" s="38">
        <f>$CB4*(1+Summary!$K$19)</f>
        <v>0.55257886530000011</v>
      </c>
      <c r="CN4" s="38">
        <f>$CB4*(1+Summary!$K$19)</f>
        <v>0.55257886530000011</v>
      </c>
      <c r="CO4" s="38">
        <f>$CB4*(1+Summary!$K$19)</f>
        <v>0.55257886530000011</v>
      </c>
      <c r="CP4" s="38">
        <f>SUM(CD4:CO4)</f>
        <v>6.6309463836000013</v>
      </c>
      <c r="CQ4" s="38">
        <f>$CO4*(1+Summary!$K$19)</f>
        <v>0.58020780856500009</v>
      </c>
      <c r="CR4" s="38">
        <f>$CO4*(1+Summary!$K$19)</f>
        <v>0.58020780856500009</v>
      </c>
      <c r="CS4" s="38">
        <f>$CO4*(1+Summary!$K$19)</f>
        <v>0.58020780856500009</v>
      </c>
      <c r="CT4" s="38">
        <f>$CO4*(1+Summary!$K$19)</f>
        <v>0.58020780856500009</v>
      </c>
      <c r="CU4" s="38">
        <f>$CO4*(1+Summary!$K$19)</f>
        <v>0.58020780856500009</v>
      </c>
      <c r="CV4" s="38">
        <f>$CO4*(1+Summary!$K$19)</f>
        <v>0.58020780856500009</v>
      </c>
      <c r="CW4" s="38">
        <f>$CO4*(1+Summary!$K$19)</f>
        <v>0.58020780856500009</v>
      </c>
      <c r="CX4" s="38">
        <f>$CO4*(1+Summary!$K$19)</f>
        <v>0.58020780856500009</v>
      </c>
      <c r="CY4" s="38">
        <f>$CO4*(1+Summary!$K$19)</f>
        <v>0.58020780856500009</v>
      </c>
      <c r="CZ4" s="38">
        <f>$CO4*(1+Summary!$K$19)</f>
        <v>0.58020780856500009</v>
      </c>
      <c r="DA4" s="38">
        <f>$CO4*(1+Summary!$K$19)</f>
        <v>0.58020780856500009</v>
      </c>
      <c r="DB4" s="38">
        <f>$CO4*(1+Summary!$K$19)</f>
        <v>0.58020780856500009</v>
      </c>
      <c r="DC4" s="38">
        <f>SUM(CQ4:DB4)</f>
        <v>6.9624937027800025</v>
      </c>
      <c r="DD4" s="38">
        <f>$DB4*(1+Summary!$K$19)</f>
        <v>0.60921819899325014</v>
      </c>
      <c r="DE4" s="38">
        <f>$DB4*(1+Summary!$K$19)</f>
        <v>0.60921819899325014</v>
      </c>
      <c r="DF4" s="38">
        <f>$DB4*(1+Summary!$K$19)</f>
        <v>0.60921819899325014</v>
      </c>
      <c r="DG4" s="38">
        <f>$DB4*(1+Summary!$K$19)</f>
        <v>0.60921819899325014</v>
      </c>
      <c r="DH4" s="38">
        <f>$DB4*(1+Summary!$K$19)</f>
        <v>0.60921819899325014</v>
      </c>
      <c r="DI4" s="38">
        <f>$DB4*(1+Summary!$K$19)</f>
        <v>0.60921819899325014</v>
      </c>
      <c r="DJ4" s="38">
        <f>$DB4*(1+Summary!$K$19)</f>
        <v>0.60921819899325014</v>
      </c>
      <c r="DK4" s="38">
        <f>$DB4*(1+Summary!$K$19)</f>
        <v>0.60921819899325014</v>
      </c>
      <c r="DL4" s="38">
        <f>$DB4*(1+Summary!$K$19)</f>
        <v>0.60921819899325014</v>
      </c>
      <c r="DM4" s="38">
        <f>$DB4*(1+Summary!$K$19)</f>
        <v>0.60921819899325014</v>
      </c>
      <c r="DN4" s="38">
        <f>$DB4*(1+Summary!$K$19)</f>
        <v>0.60921819899325014</v>
      </c>
      <c r="DO4" s="38">
        <f>$DB4*(1+Summary!$K$19)</f>
        <v>0.60921819899325014</v>
      </c>
      <c r="DP4" s="38">
        <f>SUM(DD4:DO4)</f>
        <v>7.3106183879190034</v>
      </c>
      <c r="DQ4" s="38">
        <f>$DO4*(1+Summary!$K$19)</f>
        <v>0.63967910894291269</v>
      </c>
      <c r="DR4" s="38">
        <f>DQ4</f>
        <v>0.63967910894291269</v>
      </c>
      <c r="DS4" s="38">
        <f t="shared" ref="DS4:EB4" si="2">DR4</f>
        <v>0.63967910894291269</v>
      </c>
      <c r="DT4" s="38">
        <f t="shared" si="2"/>
        <v>0.63967910894291269</v>
      </c>
      <c r="DU4" s="38">
        <f t="shared" si="2"/>
        <v>0.63967910894291269</v>
      </c>
      <c r="DV4" s="38">
        <f t="shared" si="2"/>
        <v>0.63967910894291269</v>
      </c>
      <c r="DW4" s="38">
        <f t="shared" si="2"/>
        <v>0.63967910894291269</v>
      </c>
      <c r="DX4" s="38">
        <f t="shared" si="2"/>
        <v>0.63967910894291269</v>
      </c>
      <c r="DY4" s="38">
        <f t="shared" si="2"/>
        <v>0.63967910894291269</v>
      </c>
      <c r="DZ4" s="38">
        <f t="shared" si="2"/>
        <v>0.63967910894291269</v>
      </c>
      <c r="EA4" s="38">
        <f t="shared" si="2"/>
        <v>0.63967910894291269</v>
      </c>
      <c r="EB4" s="38">
        <f t="shared" si="2"/>
        <v>0.63967910894291269</v>
      </c>
      <c r="EC4" s="38">
        <f>SUM(DQ4:EB4)</f>
        <v>7.6761493073149518</v>
      </c>
    </row>
    <row r="5" spans="1:133">
      <c r="A5" s="33" t="s">
        <v>15</v>
      </c>
      <c r="B5" s="34">
        <v>196800</v>
      </c>
      <c r="C5" s="35">
        <v>65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50">
        <v>0</v>
      </c>
      <c r="O5" s="50">
        <v>0</v>
      </c>
      <c r="P5" s="36">
        <f>SUM(D5:O5)</f>
        <v>0</v>
      </c>
      <c r="Q5" s="36">
        <f>$O5*(1+Summary!$K$19)</f>
        <v>0</v>
      </c>
      <c r="R5" s="36">
        <f>$O5*(1+Summary!$K$19)</f>
        <v>0</v>
      </c>
      <c r="S5" s="36">
        <f>$O5*(1+Summary!$K$19)</f>
        <v>0</v>
      </c>
      <c r="T5" s="36">
        <f>$O5*(1+Summary!$K$19)</f>
        <v>0</v>
      </c>
      <c r="U5" s="36">
        <f>$O5*(1+Summary!$K$19)</f>
        <v>0</v>
      </c>
      <c r="V5" s="36">
        <f>$O5*(1+Summary!$K$19)</f>
        <v>0</v>
      </c>
      <c r="W5" s="36">
        <f>($B$5*$C$5)/10^7*Financials!$O$28</f>
        <v>1.2791999999999999</v>
      </c>
      <c r="X5" s="36">
        <f t="shared" ref="X5:AB5" si="3">W5</f>
        <v>1.2791999999999999</v>
      </c>
      <c r="Y5" s="36">
        <f t="shared" si="3"/>
        <v>1.2791999999999999</v>
      </c>
      <c r="Z5" s="36">
        <f t="shared" si="3"/>
        <v>1.2791999999999999</v>
      </c>
      <c r="AA5" s="36">
        <f t="shared" si="3"/>
        <v>1.2791999999999999</v>
      </c>
      <c r="AB5" s="36">
        <f t="shared" si="3"/>
        <v>1.2791999999999999</v>
      </c>
      <c r="AC5" s="36">
        <f>SUM(Q5:AB5)</f>
        <v>7.6751999999999985</v>
      </c>
      <c r="AD5" s="36">
        <f>AB5*(1+Summary!$K$19)</f>
        <v>1.3431599999999999</v>
      </c>
      <c r="AE5" s="36">
        <f t="shared" ref="AE5:AO7" si="4">AD5</f>
        <v>1.3431599999999999</v>
      </c>
      <c r="AF5" s="36">
        <f t="shared" si="4"/>
        <v>1.3431599999999999</v>
      </c>
      <c r="AG5" s="36">
        <f t="shared" si="4"/>
        <v>1.3431599999999999</v>
      </c>
      <c r="AH5" s="36">
        <f t="shared" si="4"/>
        <v>1.3431599999999999</v>
      </c>
      <c r="AI5" s="36">
        <f t="shared" si="4"/>
        <v>1.3431599999999999</v>
      </c>
      <c r="AJ5" s="36">
        <f t="shared" si="4"/>
        <v>1.3431599999999999</v>
      </c>
      <c r="AK5" s="36">
        <f t="shared" si="4"/>
        <v>1.3431599999999999</v>
      </c>
      <c r="AL5" s="36">
        <f t="shared" si="4"/>
        <v>1.3431599999999999</v>
      </c>
      <c r="AM5" s="36">
        <f t="shared" si="4"/>
        <v>1.3431599999999999</v>
      </c>
      <c r="AN5" s="36">
        <f t="shared" si="4"/>
        <v>1.3431599999999999</v>
      </c>
      <c r="AO5" s="36">
        <f t="shared" si="4"/>
        <v>1.3431599999999999</v>
      </c>
      <c r="AP5" s="36">
        <f>SUM(AD5:AO5)</f>
        <v>16.117919999999994</v>
      </c>
      <c r="AQ5" s="36">
        <f>$AO5*(1+Summary!$K$19)</f>
        <v>1.410318</v>
      </c>
      <c r="AR5" s="36">
        <f>$AO5*(1+Summary!$K$19)</f>
        <v>1.410318</v>
      </c>
      <c r="AS5" s="36">
        <f>$AO5*(1+Summary!$K$19)</f>
        <v>1.410318</v>
      </c>
      <c r="AT5" s="36">
        <f>$AO5*(1+Summary!$K$19)</f>
        <v>1.410318</v>
      </c>
      <c r="AU5" s="36">
        <f>$AO5*(1+Summary!$K$19)</f>
        <v>1.410318</v>
      </c>
      <c r="AV5" s="36">
        <f>$AO5*(1+Summary!$K$19)</f>
        <v>1.410318</v>
      </c>
      <c r="AW5" s="36">
        <f>$AO5*(1+Summary!$K$19)</f>
        <v>1.410318</v>
      </c>
      <c r="AX5" s="36">
        <f>$AO5*(1+Summary!$K$19)</f>
        <v>1.410318</v>
      </c>
      <c r="AY5" s="36">
        <f>$AO5*(1+Summary!$K$19)</f>
        <v>1.410318</v>
      </c>
      <c r="AZ5" s="36">
        <f>$AO5*(1+Summary!$K$19)</f>
        <v>1.410318</v>
      </c>
      <c r="BA5" s="36">
        <f>$AO5*(1+Summary!$K$19)</f>
        <v>1.410318</v>
      </c>
      <c r="BB5" s="36">
        <f>$AO5*(1+Summary!$K$19)</f>
        <v>1.410318</v>
      </c>
      <c r="BC5" s="36">
        <f t="shared" ref="BC5:BC7" si="5">SUM(AQ5:BB5)</f>
        <v>16.923815999999999</v>
      </c>
      <c r="BD5" s="38">
        <f>$BB5*(1+Summary!$K$19)</f>
        <v>1.4808338999999999</v>
      </c>
      <c r="BE5" s="38">
        <f>$BB5*(1+Summary!$K$19)</f>
        <v>1.4808338999999999</v>
      </c>
      <c r="BF5" s="38">
        <f>$BB5*(1+Summary!$K$19)</f>
        <v>1.4808338999999999</v>
      </c>
      <c r="BG5" s="38">
        <f>$BB5*(1+Summary!$K$19)</f>
        <v>1.4808338999999999</v>
      </c>
      <c r="BH5" s="38">
        <f>$BB5*(1+Summary!$K$19)</f>
        <v>1.4808338999999999</v>
      </c>
      <c r="BI5" s="38">
        <f>$BB5*(1+Summary!$K$19)</f>
        <v>1.4808338999999999</v>
      </c>
      <c r="BJ5" s="38">
        <f>$BB5*(1+Summary!$K$19)</f>
        <v>1.4808338999999999</v>
      </c>
      <c r="BK5" s="38">
        <f>$BB5*(1+Summary!$K$19)</f>
        <v>1.4808338999999999</v>
      </c>
      <c r="BL5" s="38">
        <f>$BB5*(1+Summary!$K$19)</f>
        <v>1.4808338999999999</v>
      </c>
      <c r="BM5" s="38">
        <f>$BB5*(1+Summary!$K$19)</f>
        <v>1.4808338999999999</v>
      </c>
      <c r="BN5" s="38">
        <f>$BB5*(1+Summary!$K$19)</f>
        <v>1.4808338999999999</v>
      </c>
      <c r="BO5" s="38">
        <f>$BB5*(1+Summary!$K$19)</f>
        <v>1.4808338999999999</v>
      </c>
      <c r="BP5" s="38">
        <f t="shared" ref="BP5:BP7" si="6">SUM(BD5:BO5)</f>
        <v>17.770006800000001</v>
      </c>
      <c r="BQ5" s="38">
        <f>$BO5*(1+Summary!$K$19)</f>
        <v>1.5548755949999999</v>
      </c>
      <c r="BR5" s="38">
        <f>$BO5*(1+Summary!$K$19)</f>
        <v>1.5548755949999999</v>
      </c>
      <c r="BS5" s="38">
        <f>$BO5*(1+Summary!$K$19)</f>
        <v>1.5548755949999999</v>
      </c>
      <c r="BT5" s="38">
        <f>$BO5*(1+Summary!$K$19)</f>
        <v>1.5548755949999999</v>
      </c>
      <c r="BU5" s="38">
        <f>$BO5*(1+Summary!$K$19)</f>
        <v>1.5548755949999999</v>
      </c>
      <c r="BV5" s="38">
        <f>$BO5*(1+Summary!$K$19)</f>
        <v>1.5548755949999999</v>
      </c>
      <c r="BW5" s="38">
        <f>$BO5*(1+Summary!$K$19)</f>
        <v>1.5548755949999999</v>
      </c>
      <c r="BX5" s="38">
        <f>$BO5*(1+Summary!$K$19)</f>
        <v>1.5548755949999999</v>
      </c>
      <c r="BY5" s="38">
        <f>$BO5*(1+Summary!$K$19)</f>
        <v>1.5548755949999999</v>
      </c>
      <c r="BZ5" s="38">
        <f>$BO5*(1+Summary!$K$19)</f>
        <v>1.5548755949999999</v>
      </c>
      <c r="CA5" s="38">
        <f>$BO5*(1+Summary!$K$19)</f>
        <v>1.5548755949999999</v>
      </c>
      <c r="CB5" s="38">
        <f>$BO5*(1+Summary!$K$19)</f>
        <v>1.5548755949999999</v>
      </c>
      <c r="CC5" s="38">
        <f t="shared" ref="CC5:CC7" si="7">SUM(BQ5:CB5)</f>
        <v>18.658507140000001</v>
      </c>
      <c r="CD5" s="38">
        <f>$CB5*(1+Summary!$K$19)</f>
        <v>1.63261937475</v>
      </c>
      <c r="CE5" s="38">
        <f>$CB5*(1+Summary!$K$19)</f>
        <v>1.63261937475</v>
      </c>
      <c r="CF5" s="38">
        <f>$CB5*(1+Summary!$K$19)</f>
        <v>1.63261937475</v>
      </c>
      <c r="CG5" s="38">
        <f>$CB5*(1+Summary!$K$19)</f>
        <v>1.63261937475</v>
      </c>
      <c r="CH5" s="38">
        <f>$CB5*(1+Summary!$K$19)</f>
        <v>1.63261937475</v>
      </c>
      <c r="CI5" s="38">
        <f>$CB5*(1+Summary!$K$19)</f>
        <v>1.63261937475</v>
      </c>
      <c r="CJ5" s="38">
        <f>$CB5*(1+Summary!$K$19)</f>
        <v>1.63261937475</v>
      </c>
      <c r="CK5" s="38">
        <f>$CB5*(1+Summary!$K$19)</f>
        <v>1.63261937475</v>
      </c>
      <c r="CL5" s="38">
        <f>$CB5*(1+Summary!$K$19)</f>
        <v>1.63261937475</v>
      </c>
      <c r="CM5" s="38">
        <f>$CB5*(1+Summary!$K$19)</f>
        <v>1.63261937475</v>
      </c>
      <c r="CN5" s="38">
        <f>$CB5*(1+Summary!$K$19)</f>
        <v>1.63261937475</v>
      </c>
      <c r="CO5" s="38">
        <f>$CB5*(1+Summary!$K$19)</f>
        <v>1.63261937475</v>
      </c>
      <c r="CP5" s="38">
        <f t="shared" ref="CP5:CP7" si="8">SUM(CD5:CO5)</f>
        <v>19.591432497</v>
      </c>
      <c r="CQ5" s="38">
        <f>$CO5*(1+Summary!$K$19)</f>
        <v>1.7142503434875001</v>
      </c>
      <c r="CR5" s="38">
        <f>$CO5*(1+Summary!$K$19)</f>
        <v>1.7142503434875001</v>
      </c>
      <c r="CS5" s="38">
        <f>$CO5*(1+Summary!$K$19)</f>
        <v>1.7142503434875001</v>
      </c>
      <c r="CT5" s="38">
        <f>$CO5*(1+Summary!$K$19)</f>
        <v>1.7142503434875001</v>
      </c>
      <c r="CU5" s="38">
        <f>$CO5*(1+Summary!$K$19)</f>
        <v>1.7142503434875001</v>
      </c>
      <c r="CV5" s="38">
        <f>$CO5*(1+Summary!$K$19)</f>
        <v>1.7142503434875001</v>
      </c>
      <c r="CW5" s="38">
        <f>$CO5*(1+Summary!$K$19)</f>
        <v>1.7142503434875001</v>
      </c>
      <c r="CX5" s="38">
        <f>$CO5*(1+Summary!$K$19)</f>
        <v>1.7142503434875001</v>
      </c>
      <c r="CY5" s="38">
        <f>$CO5*(1+Summary!$K$19)</f>
        <v>1.7142503434875001</v>
      </c>
      <c r="CZ5" s="38">
        <f>$CO5*(1+Summary!$K$19)</f>
        <v>1.7142503434875001</v>
      </c>
      <c r="DA5" s="38">
        <f>$CO5*(1+Summary!$K$19)</f>
        <v>1.7142503434875001</v>
      </c>
      <c r="DB5" s="38">
        <f>$CO5*(1+Summary!$K$19)</f>
        <v>1.7142503434875001</v>
      </c>
      <c r="DC5" s="38">
        <f t="shared" ref="DC5:DC7" si="9">SUM(CQ5:DB5)</f>
        <v>20.571004121849999</v>
      </c>
      <c r="DD5" s="38">
        <f>$DB5*(1+Summary!$K$19)</f>
        <v>1.7999628606618752</v>
      </c>
      <c r="DE5" s="38">
        <f>$DB5*(1+Summary!$K$19)</f>
        <v>1.7999628606618752</v>
      </c>
      <c r="DF5" s="38">
        <f>$DB5*(1+Summary!$K$19)</f>
        <v>1.7999628606618752</v>
      </c>
      <c r="DG5" s="38">
        <f>$DB5*(1+Summary!$K$19)</f>
        <v>1.7999628606618752</v>
      </c>
      <c r="DH5" s="38">
        <f>$DB5*(1+Summary!$K$19)</f>
        <v>1.7999628606618752</v>
      </c>
      <c r="DI5" s="38">
        <f>$DB5*(1+Summary!$K$19)</f>
        <v>1.7999628606618752</v>
      </c>
      <c r="DJ5" s="38">
        <f>$DB5*(1+Summary!$K$19)</f>
        <v>1.7999628606618752</v>
      </c>
      <c r="DK5" s="38">
        <f>$DB5*(1+Summary!$K$19)</f>
        <v>1.7999628606618752</v>
      </c>
      <c r="DL5" s="38">
        <f>$DB5*(1+Summary!$K$19)</f>
        <v>1.7999628606618752</v>
      </c>
      <c r="DM5" s="38">
        <f>$DB5*(1+Summary!$K$19)</f>
        <v>1.7999628606618752</v>
      </c>
      <c r="DN5" s="38">
        <f>$DB5*(1+Summary!$K$19)</f>
        <v>1.7999628606618752</v>
      </c>
      <c r="DO5" s="38">
        <f>$DB5*(1+Summary!$K$19)</f>
        <v>1.7999628606618752</v>
      </c>
      <c r="DP5" s="38">
        <f t="shared" ref="DP5:DP7" si="10">SUM(DD5:DO5)</f>
        <v>21.599554327942503</v>
      </c>
      <c r="DQ5" s="38">
        <f>$DO5*(1+Summary!$K$19)</f>
        <v>1.889961003694969</v>
      </c>
      <c r="DR5" s="38">
        <f t="shared" ref="DR5:EB5" si="11">DQ5</f>
        <v>1.889961003694969</v>
      </c>
      <c r="DS5" s="38">
        <f t="shared" si="11"/>
        <v>1.889961003694969</v>
      </c>
      <c r="DT5" s="38">
        <f t="shared" si="11"/>
        <v>1.889961003694969</v>
      </c>
      <c r="DU5" s="38">
        <f t="shared" si="11"/>
        <v>1.889961003694969</v>
      </c>
      <c r="DV5" s="38">
        <f t="shared" si="11"/>
        <v>1.889961003694969</v>
      </c>
      <c r="DW5" s="38">
        <f t="shared" si="11"/>
        <v>1.889961003694969</v>
      </c>
      <c r="DX5" s="38">
        <f t="shared" si="11"/>
        <v>1.889961003694969</v>
      </c>
      <c r="DY5" s="38">
        <f t="shared" si="11"/>
        <v>1.889961003694969</v>
      </c>
      <c r="DZ5" s="38">
        <f t="shared" si="11"/>
        <v>1.889961003694969</v>
      </c>
      <c r="EA5" s="38">
        <f t="shared" si="11"/>
        <v>1.889961003694969</v>
      </c>
      <c r="EB5" s="38">
        <f t="shared" si="11"/>
        <v>1.889961003694969</v>
      </c>
      <c r="EC5" s="38">
        <f t="shared" ref="EC5:EC7" si="12">SUM(DQ5:EB5)</f>
        <v>22.679532044339624</v>
      </c>
    </row>
    <row r="6" spans="1:133">
      <c r="A6" s="33" t="s">
        <v>17</v>
      </c>
      <c r="B6" s="34">
        <v>196800</v>
      </c>
      <c r="C6" s="35">
        <v>45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36">
        <f>SUM(D6:O6)</f>
        <v>0</v>
      </c>
      <c r="Q6" s="36">
        <f>$O6*(1+Summary!$K$19)</f>
        <v>0</v>
      </c>
      <c r="R6" s="36">
        <f>$O6*(1+Summary!$K$19)</f>
        <v>0</v>
      </c>
      <c r="S6" s="36">
        <f>$O6*(1+Summary!$K$19)</f>
        <v>0</v>
      </c>
      <c r="T6" s="36">
        <f>$O6*(1+Summary!$K$19)</f>
        <v>0</v>
      </c>
      <c r="U6" s="36">
        <f>$O6*(1+Summary!$K$19)</f>
        <v>0</v>
      </c>
      <c r="V6" s="36">
        <f>$O6*(1+Summary!$K$19)</f>
        <v>0</v>
      </c>
      <c r="W6" s="36">
        <f>($B$6*$C$6)/10^7*Financials!$O$28</f>
        <v>0.88560000000000005</v>
      </c>
      <c r="X6" s="36">
        <f t="shared" ref="X6:AB6" si="13">W6</f>
        <v>0.88560000000000005</v>
      </c>
      <c r="Y6" s="36">
        <f t="shared" si="13"/>
        <v>0.88560000000000005</v>
      </c>
      <c r="Z6" s="36">
        <f t="shared" si="13"/>
        <v>0.88560000000000005</v>
      </c>
      <c r="AA6" s="36">
        <f t="shared" si="13"/>
        <v>0.88560000000000005</v>
      </c>
      <c r="AB6" s="36">
        <f t="shared" si="13"/>
        <v>0.88560000000000005</v>
      </c>
      <c r="AC6" s="36">
        <f>SUM(Q6:AB6)</f>
        <v>5.3136000000000001</v>
      </c>
      <c r="AD6" s="36">
        <f>AB6*(1+Summary!$K$19)</f>
        <v>0.92988000000000015</v>
      </c>
      <c r="AE6" s="36">
        <f t="shared" si="4"/>
        <v>0.92988000000000015</v>
      </c>
      <c r="AF6" s="36">
        <f t="shared" si="4"/>
        <v>0.92988000000000015</v>
      </c>
      <c r="AG6" s="36">
        <f t="shared" si="4"/>
        <v>0.92988000000000015</v>
      </c>
      <c r="AH6" s="36">
        <f t="shared" si="4"/>
        <v>0.92988000000000015</v>
      </c>
      <c r="AI6" s="36">
        <f t="shared" si="4"/>
        <v>0.92988000000000015</v>
      </c>
      <c r="AJ6" s="36">
        <f t="shared" si="4"/>
        <v>0.92988000000000015</v>
      </c>
      <c r="AK6" s="36">
        <f t="shared" si="4"/>
        <v>0.92988000000000015</v>
      </c>
      <c r="AL6" s="36">
        <f t="shared" si="4"/>
        <v>0.92988000000000015</v>
      </c>
      <c r="AM6" s="36">
        <f t="shared" si="4"/>
        <v>0.92988000000000015</v>
      </c>
      <c r="AN6" s="36">
        <f t="shared" si="4"/>
        <v>0.92988000000000015</v>
      </c>
      <c r="AO6" s="36">
        <f t="shared" si="4"/>
        <v>0.92988000000000015</v>
      </c>
      <c r="AP6" s="36">
        <f>SUM(AD6:AO6)</f>
        <v>11.158560000000003</v>
      </c>
      <c r="AQ6" s="36">
        <f>$AO6*(1+Summary!$K$19)</f>
        <v>0.97637400000000019</v>
      </c>
      <c r="AR6" s="36">
        <f>$AO6*(1+Summary!$K$19)</f>
        <v>0.97637400000000019</v>
      </c>
      <c r="AS6" s="36">
        <f>$AO6*(1+Summary!$K$19)</f>
        <v>0.97637400000000019</v>
      </c>
      <c r="AT6" s="36">
        <f>$AO6*(1+Summary!$K$19)</f>
        <v>0.97637400000000019</v>
      </c>
      <c r="AU6" s="36">
        <f>$AO6*(1+Summary!$K$19)</f>
        <v>0.97637400000000019</v>
      </c>
      <c r="AV6" s="36">
        <f>$AO6*(1+Summary!$K$19)</f>
        <v>0.97637400000000019</v>
      </c>
      <c r="AW6" s="36">
        <f>$AO6*(1+Summary!$K$19)</f>
        <v>0.97637400000000019</v>
      </c>
      <c r="AX6" s="36">
        <f>$AO6*(1+Summary!$K$19)</f>
        <v>0.97637400000000019</v>
      </c>
      <c r="AY6" s="36">
        <f>$AO6*(1+Summary!$K$19)</f>
        <v>0.97637400000000019</v>
      </c>
      <c r="AZ6" s="36">
        <f>$AO6*(1+Summary!$K$19)</f>
        <v>0.97637400000000019</v>
      </c>
      <c r="BA6" s="36">
        <f>$AO6*(1+Summary!$K$19)</f>
        <v>0.97637400000000019</v>
      </c>
      <c r="BB6" s="36">
        <f>$AO6*(1+Summary!$K$19)</f>
        <v>0.97637400000000019</v>
      </c>
      <c r="BC6" s="36">
        <f t="shared" si="5"/>
        <v>11.716488</v>
      </c>
      <c r="BD6" s="38">
        <f>$BB6*(1+Summary!$K$19)</f>
        <v>1.0251927000000003</v>
      </c>
      <c r="BE6" s="38">
        <f>$BB6*(1+Summary!$K$19)</f>
        <v>1.0251927000000003</v>
      </c>
      <c r="BF6" s="38">
        <f>$BB6*(1+Summary!$K$19)</f>
        <v>1.0251927000000003</v>
      </c>
      <c r="BG6" s="38">
        <f>$BB6*(1+Summary!$K$19)</f>
        <v>1.0251927000000003</v>
      </c>
      <c r="BH6" s="38">
        <f>$BB6*(1+Summary!$K$19)</f>
        <v>1.0251927000000003</v>
      </c>
      <c r="BI6" s="38">
        <f>$BB6*(1+Summary!$K$19)</f>
        <v>1.0251927000000003</v>
      </c>
      <c r="BJ6" s="38">
        <f>$BB6*(1+Summary!$K$19)</f>
        <v>1.0251927000000003</v>
      </c>
      <c r="BK6" s="38">
        <f>$BB6*(1+Summary!$K$19)</f>
        <v>1.0251927000000003</v>
      </c>
      <c r="BL6" s="38">
        <f>$BB6*(1+Summary!$K$19)</f>
        <v>1.0251927000000003</v>
      </c>
      <c r="BM6" s="38">
        <f>$BB6*(1+Summary!$K$19)</f>
        <v>1.0251927000000003</v>
      </c>
      <c r="BN6" s="38">
        <f>$BB6*(1+Summary!$K$19)</f>
        <v>1.0251927000000003</v>
      </c>
      <c r="BO6" s="38">
        <f>$BB6*(1+Summary!$K$19)</f>
        <v>1.0251927000000003</v>
      </c>
      <c r="BP6" s="38">
        <f t="shared" si="6"/>
        <v>12.3023124</v>
      </c>
      <c r="BQ6" s="38">
        <f>$BO6*(1+Summary!$K$19)</f>
        <v>1.0764523350000004</v>
      </c>
      <c r="BR6" s="38">
        <f>$BO6*(1+Summary!$K$19)</f>
        <v>1.0764523350000004</v>
      </c>
      <c r="BS6" s="38">
        <f>$BO6*(1+Summary!$K$19)</f>
        <v>1.0764523350000004</v>
      </c>
      <c r="BT6" s="38">
        <f>$BO6*(1+Summary!$K$19)</f>
        <v>1.0764523350000004</v>
      </c>
      <c r="BU6" s="38">
        <f>$BO6*(1+Summary!$K$19)</f>
        <v>1.0764523350000004</v>
      </c>
      <c r="BV6" s="38">
        <f>$BO6*(1+Summary!$K$19)</f>
        <v>1.0764523350000004</v>
      </c>
      <c r="BW6" s="38">
        <f>$BO6*(1+Summary!$K$19)</f>
        <v>1.0764523350000004</v>
      </c>
      <c r="BX6" s="38">
        <f>$BO6*(1+Summary!$K$19)</f>
        <v>1.0764523350000004</v>
      </c>
      <c r="BY6" s="38">
        <f>$BO6*(1+Summary!$K$19)</f>
        <v>1.0764523350000004</v>
      </c>
      <c r="BZ6" s="38">
        <f>$BO6*(1+Summary!$K$19)</f>
        <v>1.0764523350000004</v>
      </c>
      <c r="CA6" s="38">
        <f>$BO6*(1+Summary!$K$19)</f>
        <v>1.0764523350000004</v>
      </c>
      <c r="CB6" s="38">
        <f>$BO6*(1+Summary!$K$19)</f>
        <v>1.0764523350000004</v>
      </c>
      <c r="CC6" s="38">
        <f t="shared" si="7"/>
        <v>12.917428020000008</v>
      </c>
      <c r="CD6" s="38">
        <f>$CB6*(1+Summary!$K$19)</f>
        <v>1.1302749517500004</v>
      </c>
      <c r="CE6" s="38">
        <f>$CB6*(1+Summary!$K$19)</f>
        <v>1.1302749517500004</v>
      </c>
      <c r="CF6" s="38">
        <f>$CB6*(1+Summary!$K$19)</f>
        <v>1.1302749517500004</v>
      </c>
      <c r="CG6" s="38">
        <f>$CB6*(1+Summary!$K$19)</f>
        <v>1.1302749517500004</v>
      </c>
      <c r="CH6" s="38">
        <f>$CB6*(1+Summary!$K$19)</f>
        <v>1.1302749517500004</v>
      </c>
      <c r="CI6" s="38">
        <f>$CB6*(1+Summary!$K$19)</f>
        <v>1.1302749517500004</v>
      </c>
      <c r="CJ6" s="38">
        <f>$CB6*(1+Summary!$K$19)</f>
        <v>1.1302749517500004</v>
      </c>
      <c r="CK6" s="38">
        <f>$CB6*(1+Summary!$K$19)</f>
        <v>1.1302749517500004</v>
      </c>
      <c r="CL6" s="38">
        <f>$CB6*(1+Summary!$K$19)</f>
        <v>1.1302749517500004</v>
      </c>
      <c r="CM6" s="38">
        <f>$CB6*(1+Summary!$K$19)</f>
        <v>1.1302749517500004</v>
      </c>
      <c r="CN6" s="38">
        <f>$CB6*(1+Summary!$K$19)</f>
        <v>1.1302749517500004</v>
      </c>
      <c r="CO6" s="38">
        <f>$CB6*(1+Summary!$K$19)</f>
        <v>1.1302749517500004</v>
      </c>
      <c r="CP6" s="38">
        <f t="shared" si="8"/>
        <v>13.563299421000002</v>
      </c>
      <c r="CQ6" s="38">
        <f>$CO6*(1+Summary!$K$19)</f>
        <v>1.1867886993375005</v>
      </c>
      <c r="CR6" s="38">
        <f>$CO6*(1+Summary!$K$19)</f>
        <v>1.1867886993375005</v>
      </c>
      <c r="CS6" s="38">
        <f>$CO6*(1+Summary!$K$19)</f>
        <v>1.1867886993375005</v>
      </c>
      <c r="CT6" s="38">
        <f>$CO6*(1+Summary!$K$19)</f>
        <v>1.1867886993375005</v>
      </c>
      <c r="CU6" s="38">
        <f>$CO6*(1+Summary!$K$19)</f>
        <v>1.1867886993375005</v>
      </c>
      <c r="CV6" s="38">
        <f>$CO6*(1+Summary!$K$19)</f>
        <v>1.1867886993375005</v>
      </c>
      <c r="CW6" s="38">
        <f>$CO6*(1+Summary!$K$19)</f>
        <v>1.1867886993375005</v>
      </c>
      <c r="CX6" s="38">
        <f>$CO6*(1+Summary!$K$19)</f>
        <v>1.1867886993375005</v>
      </c>
      <c r="CY6" s="38">
        <f>$CO6*(1+Summary!$K$19)</f>
        <v>1.1867886993375005</v>
      </c>
      <c r="CZ6" s="38">
        <f>$CO6*(1+Summary!$K$19)</f>
        <v>1.1867886993375005</v>
      </c>
      <c r="DA6" s="38">
        <f>$CO6*(1+Summary!$K$19)</f>
        <v>1.1867886993375005</v>
      </c>
      <c r="DB6" s="38">
        <f>$CO6*(1+Summary!$K$19)</f>
        <v>1.1867886993375005</v>
      </c>
      <c r="DC6" s="38">
        <f t="shared" si="9"/>
        <v>14.241464392050004</v>
      </c>
      <c r="DD6" s="38">
        <f>$DB6*(1+Summary!$K$19)</f>
        <v>1.2461281343043755</v>
      </c>
      <c r="DE6" s="38">
        <f>$DB6*(1+Summary!$K$19)</f>
        <v>1.2461281343043755</v>
      </c>
      <c r="DF6" s="38">
        <f>$DB6*(1+Summary!$K$19)</f>
        <v>1.2461281343043755</v>
      </c>
      <c r="DG6" s="38">
        <f>$DB6*(1+Summary!$K$19)</f>
        <v>1.2461281343043755</v>
      </c>
      <c r="DH6" s="38">
        <f>$DB6*(1+Summary!$K$19)</f>
        <v>1.2461281343043755</v>
      </c>
      <c r="DI6" s="38">
        <f>$DB6*(1+Summary!$K$19)</f>
        <v>1.2461281343043755</v>
      </c>
      <c r="DJ6" s="38">
        <f>$DB6*(1+Summary!$K$19)</f>
        <v>1.2461281343043755</v>
      </c>
      <c r="DK6" s="38">
        <f>$DB6*(1+Summary!$K$19)</f>
        <v>1.2461281343043755</v>
      </c>
      <c r="DL6" s="38">
        <f>$DB6*(1+Summary!$K$19)</f>
        <v>1.2461281343043755</v>
      </c>
      <c r="DM6" s="38">
        <f>$DB6*(1+Summary!$K$19)</f>
        <v>1.2461281343043755</v>
      </c>
      <c r="DN6" s="38">
        <f>$DB6*(1+Summary!$K$19)</f>
        <v>1.2461281343043755</v>
      </c>
      <c r="DO6" s="38">
        <f>$DB6*(1+Summary!$K$19)</f>
        <v>1.2461281343043755</v>
      </c>
      <c r="DP6" s="38">
        <f t="shared" si="10"/>
        <v>14.953537611652509</v>
      </c>
      <c r="DQ6" s="38">
        <f>$DO6*(1+Summary!$K$19)</f>
        <v>1.3084345410195943</v>
      </c>
      <c r="DR6" s="38">
        <f t="shared" ref="DR6:EB6" si="14">DQ6</f>
        <v>1.3084345410195943</v>
      </c>
      <c r="DS6" s="38">
        <f t="shared" si="14"/>
        <v>1.3084345410195943</v>
      </c>
      <c r="DT6" s="38">
        <f t="shared" si="14"/>
        <v>1.3084345410195943</v>
      </c>
      <c r="DU6" s="38">
        <f t="shared" si="14"/>
        <v>1.3084345410195943</v>
      </c>
      <c r="DV6" s="38">
        <f t="shared" si="14"/>
        <v>1.3084345410195943</v>
      </c>
      <c r="DW6" s="38">
        <f t="shared" si="14"/>
        <v>1.3084345410195943</v>
      </c>
      <c r="DX6" s="38">
        <f t="shared" si="14"/>
        <v>1.3084345410195943</v>
      </c>
      <c r="DY6" s="38">
        <f t="shared" si="14"/>
        <v>1.3084345410195943</v>
      </c>
      <c r="DZ6" s="38">
        <f t="shared" si="14"/>
        <v>1.3084345410195943</v>
      </c>
      <c r="EA6" s="38">
        <f t="shared" si="14"/>
        <v>1.3084345410195943</v>
      </c>
      <c r="EB6" s="38">
        <f t="shared" si="14"/>
        <v>1.3084345410195943</v>
      </c>
      <c r="EC6" s="38">
        <f t="shared" si="12"/>
        <v>15.701214492235129</v>
      </c>
    </row>
    <row r="7" spans="1:133">
      <c r="A7" s="33" t="s">
        <v>18</v>
      </c>
      <c r="B7" s="34">
        <v>59040</v>
      </c>
      <c r="C7" s="35">
        <v>45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36">
        <f>SUM(D7:O7)</f>
        <v>0</v>
      </c>
      <c r="Q7" s="36">
        <f>$O7*(1+Summary!$K$19)</f>
        <v>0</v>
      </c>
      <c r="R7" s="36">
        <f>$O7*(1+Summary!$K$19)</f>
        <v>0</v>
      </c>
      <c r="S7" s="36">
        <f>$O7*(1+Summary!$K$19)</f>
        <v>0</v>
      </c>
      <c r="T7" s="36">
        <f>$O7*(1+Summary!$K$19)</f>
        <v>0</v>
      </c>
      <c r="U7" s="36">
        <f>$O7*(1+Summary!$K$19)</f>
        <v>0</v>
      </c>
      <c r="V7" s="36">
        <f>$O7*(1+Summary!$K$19)</f>
        <v>0</v>
      </c>
      <c r="W7" s="36">
        <f>($B$7*$C$7)/10^7*Financials!$O$28</f>
        <v>0.26568000000000003</v>
      </c>
      <c r="X7" s="36">
        <f t="shared" ref="X7:AB7" si="15">W7</f>
        <v>0.26568000000000003</v>
      </c>
      <c r="Y7" s="36">
        <f t="shared" si="15"/>
        <v>0.26568000000000003</v>
      </c>
      <c r="Z7" s="36">
        <f t="shared" si="15"/>
        <v>0.26568000000000003</v>
      </c>
      <c r="AA7" s="36">
        <f t="shared" si="15"/>
        <v>0.26568000000000003</v>
      </c>
      <c r="AB7" s="36">
        <f t="shared" si="15"/>
        <v>0.26568000000000003</v>
      </c>
      <c r="AC7" s="36">
        <f>SUM(Q7:AB7)</f>
        <v>1.5940800000000004</v>
      </c>
      <c r="AD7" s="36">
        <f>AB7*(1+Summary!$K$19)</f>
        <v>0.27896400000000005</v>
      </c>
      <c r="AE7" s="36">
        <f t="shared" si="4"/>
        <v>0.27896400000000005</v>
      </c>
      <c r="AF7" s="36">
        <f t="shared" si="4"/>
        <v>0.27896400000000005</v>
      </c>
      <c r="AG7" s="36">
        <f t="shared" si="4"/>
        <v>0.27896400000000005</v>
      </c>
      <c r="AH7" s="36">
        <f t="shared" si="4"/>
        <v>0.27896400000000005</v>
      </c>
      <c r="AI7" s="36">
        <f t="shared" si="4"/>
        <v>0.27896400000000005</v>
      </c>
      <c r="AJ7" s="36">
        <f t="shared" si="4"/>
        <v>0.27896400000000005</v>
      </c>
      <c r="AK7" s="36">
        <f t="shared" si="4"/>
        <v>0.27896400000000005</v>
      </c>
      <c r="AL7" s="36">
        <f t="shared" si="4"/>
        <v>0.27896400000000005</v>
      </c>
      <c r="AM7" s="36">
        <f t="shared" si="4"/>
        <v>0.27896400000000005</v>
      </c>
      <c r="AN7" s="36">
        <f t="shared" si="4"/>
        <v>0.27896400000000005</v>
      </c>
      <c r="AO7" s="36">
        <f t="shared" si="4"/>
        <v>0.27896400000000005</v>
      </c>
      <c r="AP7" s="36">
        <f>SUM(AD7:AO7)</f>
        <v>3.3475680000000012</v>
      </c>
      <c r="AQ7" s="36">
        <f>$AO7*(1+Summary!$K$19)</f>
        <v>0.29291220000000007</v>
      </c>
      <c r="AR7" s="36">
        <f>$AO7*(1+Summary!$K$19)</f>
        <v>0.29291220000000007</v>
      </c>
      <c r="AS7" s="36">
        <f>$AO7*(1+Summary!$K$19)</f>
        <v>0.29291220000000007</v>
      </c>
      <c r="AT7" s="36">
        <f>$AO7*(1+Summary!$K$19)</f>
        <v>0.29291220000000007</v>
      </c>
      <c r="AU7" s="36">
        <f>$AO7*(1+Summary!$K$19)</f>
        <v>0.29291220000000007</v>
      </c>
      <c r="AV7" s="36">
        <f>$AO7*(1+Summary!$K$19)</f>
        <v>0.29291220000000007</v>
      </c>
      <c r="AW7" s="36">
        <f>$AO7*(1+Summary!$K$19)</f>
        <v>0.29291220000000007</v>
      </c>
      <c r="AX7" s="36">
        <f>$AO7*(1+Summary!$K$19)</f>
        <v>0.29291220000000007</v>
      </c>
      <c r="AY7" s="36">
        <f>$AO7*(1+Summary!$K$19)</f>
        <v>0.29291220000000007</v>
      </c>
      <c r="AZ7" s="36">
        <f>$AO7*(1+Summary!$K$19)</f>
        <v>0.29291220000000007</v>
      </c>
      <c r="BA7" s="36">
        <f>$AO7*(1+Summary!$K$19)</f>
        <v>0.29291220000000007</v>
      </c>
      <c r="BB7" s="36">
        <f>$AO7*(1+Summary!$K$19)</f>
        <v>0.29291220000000007</v>
      </c>
      <c r="BC7" s="36">
        <f t="shared" si="5"/>
        <v>3.5149463999999999</v>
      </c>
      <c r="BD7" s="38">
        <f>$BB7*(1+Summary!$K$19)</f>
        <v>0.3075578100000001</v>
      </c>
      <c r="BE7" s="38">
        <f>$BB7*(1+Summary!$K$19)</f>
        <v>0.3075578100000001</v>
      </c>
      <c r="BF7" s="38">
        <f>$BB7*(1+Summary!$K$19)</f>
        <v>0.3075578100000001</v>
      </c>
      <c r="BG7" s="38">
        <f>$BB7*(1+Summary!$K$19)</f>
        <v>0.3075578100000001</v>
      </c>
      <c r="BH7" s="38">
        <f>$BB7*(1+Summary!$K$19)</f>
        <v>0.3075578100000001</v>
      </c>
      <c r="BI7" s="38">
        <f>$BB7*(1+Summary!$K$19)</f>
        <v>0.3075578100000001</v>
      </c>
      <c r="BJ7" s="38">
        <f>$BB7*(1+Summary!$K$19)</f>
        <v>0.3075578100000001</v>
      </c>
      <c r="BK7" s="38">
        <f>$BB7*(1+Summary!$K$19)</f>
        <v>0.3075578100000001</v>
      </c>
      <c r="BL7" s="38">
        <f>$BB7*(1+Summary!$K$19)</f>
        <v>0.3075578100000001</v>
      </c>
      <c r="BM7" s="38">
        <f>$BB7*(1+Summary!$K$19)</f>
        <v>0.3075578100000001</v>
      </c>
      <c r="BN7" s="38">
        <f>$BB7*(1+Summary!$K$19)</f>
        <v>0.3075578100000001</v>
      </c>
      <c r="BO7" s="38">
        <f>$BB7*(1+Summary!$K$19)</f>
        <v>0.3075578100000001</v>
      </c>
      <c r="BP7" s="38">
        <f t="shared" si="6"/>
        <v>3.690693720000001</v>
      </c>
      <c r="BQ7" s="38">
        <f>$BO7*(1+Summary!$K$19)</f>
        <v>0.32293570050000009</v>
      </c>
      <c r="BR7" s="38">
        <f>$BO7*(1+Summary!$K$19)</f>
        <v>0.32293570050000009</v>
      </c>
      <c r="BS7" s="38">
        <f>$BO7*(1+Summary!$K$19)</f>
        <v>0.32293570050000009</v>
      </c>
      <c r="BT7" s="38">
        <f>$BO7*(1+Summary!$K$19)</f>
        <v>0.32293570050000009</v>
      </c>
      <c r="BU7" s="38">
        <f>$BO7*(1+Summary!$K$19)</f>
        <v>0.32293570050000009</v>
      </c>
      <c r="BV7" s="38">
        <f>$BO7*(1+Summary!$K$19)</f>
        <v>0.32293570050000009</v>
      </c>
      <c r="BW7" s="38">
        <f>$BO7*(1+Summary!$K$19)</f>
        <v>0.32293570050000009</v>
      </c>
      <c r="BX7" s="38">
        <f>$BO7*(1+Summary!$K$19)</f>
        <v>0.32293570050000009</v>
      </c>
      <c r="BY7" s="38">
        <f>$BO7*(1+Summary!$K$19)</f>
        <v>0.32293570050000009</v>
      </c>
      <c r="BZ7" s="38">
        <f>$BO7*(1+Summary!$K$19)</f>
        <v>0.32293570050000009</v>
      </c>
      <c r="CA7" s="38">
        <f>$BO7*(1+Summary!$K$19)</f>
        <v>0.32293570050000009</v>
      </c>
      <c r="CB7" s="38">
        <f>$BO7*(1+Summary!$K$19)</f>
        <v>0.32293570050000009</v>
      </c>
      <c r="CC7" s="38">
        <f t="shared" si="7"/>
        <v>3.8752284060000002</v>
      </c>
      <c r="CD7" s="38">
        <f>$CB7*(1+Summary!$K$19)</f>
        <v>0.33908248552500009</v>
      </c>
      <c r="CE7" s="38">
        <f>$CB7*(1+Summary!$K$19)</f>
        <v>0.33908248552500009</v>
      </c>
      <c r="CF7" s="38">
        <f>$CB7*(1+Summary!$K$19)</f>
        <v>0.33908248552500009</v>
      </c>
      <c r="CG7" s="38">
        <f>$CB7*(1+Summary!$K$19)</f>
        <v>0.33908248552500009</v>
      </c>
      <c r="CH7" s="38">
        <f>$CB7*(1+Summary!$K$19)</f>
        <v>0.33908248552500009</v>
      </c>
      <c r="CI7" s="38">
        <f>$CB7*(1+Summary!$K$19)</f>
        <v>0.33908248552500009</v>
      </c>
      <c r="CJ7" s="38">
        <f>$CB7*(1+Summary!$K$19)</f>
        <v>0.33908248552500009</v>
      </c>
      <c r="CK7" s="38">
        <f>$CB7*(1+Summary!$K$19)</f>
        <v>0.33908248552500009</v>
      </c>
      <c r="CL7" s="38">
        <f>$CB7*(1+Summary!$K$19)</f>
        <v>0.33908248552500009</v>
      </c>
      <c r="CM7" s="38">
        <f>$CB7*(1+Summary!$K$19)</f>
        <v>0.33908248552500009</v>
      </c>
      <c r="CN7" s="38">
        <f>$CB7*(1+Summary!$K$19)</f>
        <v>0.33908248552500009</v>
      </c>
      <c r="CO7" s="38">
        <f>$CB7*(1+Summary!$K$19)</f>
        <v>0.33908248552500009</v>
      </c>
      <c r="CP7" s="38">
        <f t="shared" si="8"/>
        <v>4.0689898263000011</v>
      </c>
      <c r="CQ7" s="38">
        <f>$CO7*(1+Summary!$K$19)</f>
        <v>0.35603660980125013</v>
      </c>
      <c r="CR7" s="38">
        <f>$CO7*(1+Summary!$K$19)</f>
        <v>0.35603660980125013</v>
      </c>
      <c r="CS7" s="38">
        <f>$CO7*(1+Summary!$K$19)</f>
        <v>0.35603660980125013</v>
      </c>
      <c r="CT7" s="38">
        <f>$CO7*(1+Summary!$K$19)</f>
        <v>0.35603660980125013</v>
      </c>
      <c r="CU7" s="38">
        <f>$CO7*(1+Summary!$K$19)</f>
        <v>0.35603660980125013</v>
      </c>
      <c r="CV7" s="38">
        <f>$CO7*(1+Summary!$K$19)</f>
        <v>0.35603660980125013</v>
      </c>
      <c r="CW7" s="38">
        <f>$CO7*(1+Summary!$K$19)</f>
        <v>0.35603660980125013</v>
      </c>
      <c r="CX7" s="38">
        <f>$CO7*(1+Summary!$K$19)</f>
        <v>0.35603660980125013</v>
      </c>
      <c r="CY7" s="38">
        <f>$CO7*(1+Summary!$K$19)</f>
        <v>0.35603660980125013</v>
      </c>
      <c r="CZ7" s="38">
        <f>$CO7*(1+Summary!$K$19)</f>
        <v>0.35603660980125013</v>
      </c>
      <c r="DA7" s="38">
        <f>$CO7*(1+Summary!$K$19)</f>
        <v>0.35603660980125013</v>
      </c>
      <c r="DB7" s="38">
        <f>$CO7*(1+Summary!$K$19)</f>
        <v>0.35603660980125013</v>
      </c>
      <c r="DC7" s="38">
        <f t="shared" si="9"/>
        <v>4.2724393176150004</v>
      </c>
      <c r="DD7" s="38">
        <f>$DB7*(1+Summary!$K$19)</f>
        <v>0.37383844029131263</v>
      </c>
      <c r="DE7" s="38">
        <f>$DB7*(1+Summary!$K$19)</f>
        <v>0.37383844029131263</v>
      </c>
      <c r="DF7" s="38">
        <f>$DB7*(1+Summary!$K$19)</f>
        <v>0.37383844029131263</v>
      </c>
      <c r="DG7" s="38">
        <f>$DB7*(1+Summary!$K$19)</f>
        <v>0.37383844029131263</v>
      </c>
      <c r="DH7" s="38">
        <f>$DB7*(1+Summary!$K$19)</f>
        <v>0.37383844029131263</v>
      </c>
      <c r="DI7" s="38">
        <f>$DB7*(1+Summary!$K$19)</f>
        <v>0.37383844029131263</v>
      </c>
      <c r="DJ7" s="38">
        <f>$DB7*(1+Summary!$K$19)</f>
        <v>0.37383844029131263</v>
      </c>
      <c r="DK7" s="38">
        <f>$DB7*(1+Summary!$K$19)</f>
        <v>0.37383844029131263</v>
      </c>
      <c r="DL7" s="38">
        <f>$DB7*(1+Summary!$K$19)</f>
        <v>0.37383844029131263</v>
      </c>
      <c r="DM7" s="38">
        <f>$DB7*(1+Summary!$K$19)</f>
        <v>0.37383844029131263</v>
      </c>
      <c r="DN7" s="38">
        <f>$DB7*(1+Summary!$K$19)</f>
        <v>0.37383844029131263</v>
      </c>
      <c r="DO7" s="38">
        <f>$DB7*(1+Summary!$K$19)</f>
        <v>0.37383844029131263</v>
      </c>
      <c r="DP7" s="38">
        <f t="shared" si="10"/>
        <v>4.4860612834957525</v>
      </c>
      <c r="DQ7" s="38">
        <f>$DO7*(1+Summary!$K$19)</f>
        <v>0.39253036230587829</v>
      </c>
      <c r="DR7" s="38">
        <f t="shared" ref="DR7:EB7" si="16">DQ7</f>
        <v>0.39253036230587829</v>
      </c>
      <c r="DS7" s="38">
        <f t="shared" si="16"/>
        <v>0.39253036230587829</v>
      </c>
      <c r="DT7" s="38">
        <f t="shared" si="16"/>
        <v>0.39253036230587829</v>
      </c>
      <c r="DU7" s="38">
        <f t="shared" si="16"/>
        <v>0.39253036230587829</v>
      </c>
      <c r="DV7" s="38">
        <f t="shared" si="16"/>
        <v>0.39253036230587829</v>
      </c>
      <c r="DW7" s="38">
        <f t="shared" si="16"/>
        <v>0.39253036230587829</v>
      </c>
      <c r="DX7" s="38">
        <f t="shared" si="16"/>
        <v>0.39253036230587829</v>
      </c>
      <c r="DY7" s="38">
        <f t="shared" si="16"/>
        <v>0.39253036230587829</v>
      </c>
      <c r="DZ7" s="38">
        <f t="shared" si="16"/>
        <v>0.39253036230587829</v>
      </c>
      <c r="EA7" s="38">
        <f t="shared" si="16"/>
        <v>0.39253036230587829</v>
      </c>
      <c r="EB7" s="38">
        <f t="shared" si="16"/>
        <v>0.39253036230587829</v>
      </c>
      <c r="EC7" s="38">
        <f t="shared" si="12"/>
        <v>4.7103643476705406</v>
      </c>
    </row>
    <row r="8" spans="1:133">
      <c r="A8" s="44" t="s">
        <v>185</v>
      </c>
      <c r="B8" s="45"/>
      <c r="C8" s="45"/>
      <c r="D8" s="46">
        <f t="shared" ref="D8:AO8" si="17">SUM(D4:D7)</f>
        <v>0</v>
      </c>
      <c r="E8" s="46">
        <f t="shared" si="17"/>
        <v>0</v>
      </c>
      <c r="F8" s="46">
        <f t="shared" si="17"/>
        <v>0</v>
      </c>
      <c r="G8" s="46">
        <f t="shared" si="17"/>
        <v>0</v>
      </c>
      <c r="H8" s="46">
        <f t="shared" si="17"/>
        <v>0</v>
      </c>
      <c r="I8" s="46">
        <f t="shared" si="17"/>
        <v>0</v>
      </c>
      <c r="J8" s="46">
        <f t="shared" si="17"/>
        <v>0</v>
      </c>
      <c r="K8" s="46">
        <f t="shared" si="17"/>
        <v>0</v>
      </c>
      <c r="L8" s="46">
        <f t="shared" si="17"/>
        <v>0</v>
      </c>
      <c r="M8" s="46">
        <f t="shared" si="17"/>
        <v>0</v>
      </c>
      <c r="N8" s="46">
        <f t="shared" si="17"/>
        <v>0</v>
      </c>
      <c r="O8" s="46">
        <f t="shared" si="17"/>
        <v>0</v>
      </c>
      <c r="P8" s="46">
        <f>SUM(P4:P7)</f>
        <v>0</v>
      </c>
      <c r="Q8" s="46">
        <f t="shared" si="17"/>
        <v>0</v>
      </c>
      <c r="R8" s="46">
        <f t="shared" si="17"/>
        <v>0</v>
      </c>
      <c r="S8" s="46">
        <f t="shared" si="17"/>
        <v>0</v>
      </c>
      <c r="T8" s="46">
        <f t="shared" si="17"/>
        <v>0</v>
      </c>
      <c r="U8" s="46">
        <f t="shared" si="17"/>
        <v>0</v>
      </c>
      <c r="V8" s="46">
        <f t="shared" si="17"/>
        <v>0</v>
      </c>
      <c r="W8" s="46">
        <f t="shared" si="17"/>
        <v>2.8634400000000002</v>
      </c>
      <c r="X8" s="46">
        <f t="shared" si="17"/>
        <v>2.8634400000000002</v>
      </c>
      <c r="Y8" s="46">
        <f t="shared" si="17"/>
        <v>2.8634400000000002</v>
      </c>
      <c r="Z8" s="46">
        <f t="shared" si="17"/>
        <v>2.8634400000000002</v>
      </c>
      <c r="AA8" s="46">
        <f t="shared" si="17"/>
        <v>2.8634400000000002</v>
      </c>
      <c r="AB8" s="46">
        <f t="shared" si="17"/>
        <v>2.8634400000000002</v>
      </c>
      <c r="AC8" s="46">
        <f>SUM(AC4:AC7)</f>
        <v>17.18064</v>
      </c>
      <c r="AD8" s="46">
        <f t="shared" si="17"/>
        <v>3.0066120000000005</v>
      </c>
      <c r="AE8" s="46">
        <f t="shared" si="17"/>
        <v>3.0066120000000005</v>
      </c>
      <c r="AF8" s="46">
        <f t="shared" si="17"/>
        <v>3.0066120000000005</v>
      </c>
      <c r="AG8" s="46">
        <f t="shared" si="17"/>
        <v>3.0066120000000005</v>
      </c>
      <c r="AH8" s="46">
        <f t="shared" si="17"/>
        <v>3.0066120000000005</v>
      </c>
      <c r="AI8" s="46">
        <f t="shared" si="17"/>
        <v>3.0066120000000005</v>
      </c>
      <c r="AJ8" s="46">
        <f t="shared" si="17"/>
        <v>3.0066120000000005</v>
      </c>
      <c r="AK8" s="46">
        <f t="shared" si="17"/>
        <v>3.0066120000000005</v>
      </c>
      <c r="AL8" s="46">
        <f t="shared" si="17"/>
        <v>3.0066120000000005</v>
      </c>
      <c r="AM8" s="46">
        <f t="shared" si="17"/>
        <v>3.0066120000000005</v>
      </c>
      <c r="AN8" s="46">
        <f t="shared" si="17"/>
        <v>3.0066120000000005</v>
      </c>
      <c r="AO8" s="46">
        <f t="shared" si="17"/>
        <v>3.0066120000000005</v>
      </c>
      <c r="AP8" s="46">
        <f>SUM(AP4:AP7)</f>
        <v>36.079343999999999</v>
      </c>
      <c r="AQ8" s="46">
        <f t="shared" ref="AQ8:DB8" si="18">SUM(AQ4:AQ7)</f>
        <v>3.1569426000000003</v>
      </c>
      <c r="AR8" s="46">
        <f t="shared" si="18"/>
        <v>3.1569426000000003</v>
      </c>
      <c r="AS8" s="46">
        <f t="shared" si="18"/>
        <v>3.1569426000000003</v>
      </c>
      <c r="AT8" s="46">
        <f t="shared" si="18"/>
        <v>3.1569426000000003</v>
      </c>
      <c r="AU8" s="46">
        <f t="shared" si="18"/>
        <v>3.1569426000000003</v>
      </c>
      <c r="AV8" s="46">
        <f t="shared" si="18"/>
        <v>3.1569426000000003</v>
      </c>
      <c r="AW8" s="46">
        <f t="shared" si="18"/>
        <v>3.1569426000000003</v>
      </c>
      <c r="AX8" s="46">
        <f t="shared" si="18"/>
        <v>3.1569426000000003</v>
      </c>
      <c r="AY8" s="46">
        <f t="shared" si="18"/>
        <v>3.1569426000000003</v>
      </c>
      <c r="AZ8" s="46">
        <f t="shared" si="18"/>
        <v>3.1569426000000003</v>
      </c>
      <c r="BA8" s="46">
        <f t="shared" si="18"/>
        <v>3.1569426000000003</v>
      </c>
      <c r="BB8" s="46">
        <f t="shared" si="18"/>
        <v>3.1569426000000003</v>
      </c>
      <c r="BC8" s="46">
        <f t="shared" si="18"/>
        <v>37.883311199999994</v>
      </c>
      <c r="BD8" s="46">
        <f t="shared" si="18"/>
        <v>3.3147897300000002</v>
      </c>
      <c r="BE8" s="46">
        <f t="shared" si="18"/>
        <v>3.3147897300000002</v>
      </c>
      <c r="BF8" s="46">
        <f t="shared" si="18"/>
        <v>3.3147897300000002</v>
      </c>
      <c r="BG8" s="46">
        <f t="shared" si="18"/>
        <v>3.3147897300000002</v>
      </c>
      <c r="BH8" s="46">
        <f t="shared" si="18"/>
        <v>3.3147897300000002</v>
      </c>
      <c r="BI8" s="46">
        <f t="shared" si="18"/>
        <v>3.3147897300000002</v>
      </c>
      <c r="BJ8" s="46">
        <f t="shared" si="18"/>
        <v>3.3147897300000002</v>
      </c>
      <c r="BK8" s="46">
        <f t="shared" si="18"/>
        <v>3.3147897300000002</v>
      </c>
      <c r="BL8" s="46">
        <f t="shared" si="18"/>
        <v>3.3147897300000002</v>
      </c>
      <c r="BM8" s="46">
        <f t="shared" si="18"/>
        <v>3.3147897300000002</v>
      </c>
      <c r="BN8" s="46">
        <f t="shared" si="18"/>
        <v>3.3147897300000002</v>
      </c>
      <c r="BO8" s="46">
        <f t="shared" si="18"/>
        <v>3.3147897300000002</v>
      </c>
      <c r="BP8" s="46">
        <f t="shared" si="18"/>
        <v>39.777476759999999</v>
      </c>
      <c r="BQ8" s="46">
        <f t="shared" si="18"/>
        <v>3.4805292165000004</v>
      </c>
      <c r="BR8" s="46">
        <f t="shared" si="18"/>
        <v>3.4805292165000004</v>
      </c>
      <c r="BS8" s="46">
        <f t="shared" si="18"/>
        <v>3.4805292165000004</v>
      </c>
      <c r="BT8" s="46">
        <f t="shared" si="18"/>
        <v>3.4805292165000004</v>
      </c>
      <c r="BU8" s="46">
        <f t="shared" si="18"/>
        <v>3.4805292165000004</v>
      </c>
      <c r="BV8" s="46">
        <f t="shared" si="18"/>
        <v>3.4805292165000004</v>
      </c>
      <c r="BW8" s="46">
        <f t="shared" si="18"/>
        <v>3.4805292165000004</v>
      </c>
      <c r="BX8" s="46">
        <f t="shared" si="18"/>
        <v>3.4805292165000004</v>
      </c>
      <c r="BY8" s="46">
        <f t="shared" si="18"/>
        <v>3.4805292165000004</v>
      </c>
      <c r="BZ8" s="46">
        <f t="shared" si="18"/>
        <v>3.4805292165000004</v>
      </c>
      <c r="CA8" s="46">
        <f t="shared" si="18"/>
        <v>3.4805292165000004</v>
      </c>
      <c r="CB8" s="46">
        <f t="shared" si="18"/>
        <v>3.4805292165000004</v>
      </c>
      <c r="CC8" s="46">
        <f t="shared" si="18"/>
        <v>41.76635059800001</v>
      </c>
      <c r="CD8" s="46">
        <f t="shared" si="18"/>
        <v>3.6545556773250008</v>
      </c>
      <c r="CE8" s="46">
        <f t="shared" si="18"/>
        <v>3.6545556773250008</v>
      </c>
      <c r="CF8" s="46">
        <f t="shared" si="18"/>
        <v>3.6545556773250008</v>
      </c>
      <c r="CG8" s="46">
        <f t="shared" si="18"/>
        <v>3.6545556773250008</v>
      </c>
      <c r="CH8" s="46">
        <f t="shared" si="18"/>
        <v>3.6545556773250008</v>
      </c>
      <c r="CI8" s="46">
        <f t="shared" si="18"/>
        <v>3.6545556773250008</v>
      </c>
      <c r="CJ8" s="46">
        <f t="shared" si="18"/>
        <v>3.6545556773250008</v>
      </c>
      <c r="CK8" s="46">
        <f t="shared" si="18"/>
        <v>3.6545556773250008</v>
      </c>
      <c r="CL8" s="46">
        <f t="shared" si="18"/>
        <v>3.6545556773250008</v>
      </c>
      <c r="CM8" s="46">
        <f t="shared" si="18"/>
        <v>3.6545556773250008</v>
      </c>
      <c r="CN8" s="46">
        <f t="shared" si="18"/>
        <v>3.6545556773250008</v>
      </c>
      <c r="CO8" s="46">
        <f t="shared" si="18"/>
        <v>3.6545556773250008</v>
      </c>
      <c r="CP8" s="46">
        <f t="shared" si="18"/>
        <v>43.854668127899998</v>
      </c>
      <c r="CQ8" s="46">
        <f t="shared" si="18"/>
        <v>3.8372834611912507</v>
      </c>
      <c r="CR8" s="46">
        <f t="shared" si="18"/>
        <v>3.8372834611912507</v>
      </c>
      <c r="CS8" s="46">
        <f t="shared" si="18"/>
        <v>3.8372834611912507</v>
      </c>
      <c r="CT8" s="46">
        <f t="shared" si="18"/>
        <v>3.8372834611912507</v>
      </c>
      <c r="CU8" s="46">
        <f t="shared" si="18"/>
        <v>3.8372834611912507</v>
      </c>
      <c r="CV8" s="46">
        <f t="shared" si="18"/>
        <v>3.8372834611912507</v>
      </c>
      <c r="CW8" s="46">
        <f t="shared" si="18"/>
        <v>3.8372834611912507</v>
      </c>
      <c r="CX8" s="46">
        <f t="shared" si="18"/>
        <v>3.8372834611912507</v>
      </c>
      <c r="CY8" s="46">
        <f t="shared" si="18"/>
        <v>3.8372834611912507</v>
      </c>
      <c r="CZ8" s="46">
        <f t="shared" si="18"/>
        <v>3.8372834611912507</v>
      </c>
      <c r="DA8" s="46">
        <f t="shared" si="18"/>
        <v>3.8372834611912507</v>
      </c>
      <c r="DB8" s="46">
        <f t="shared" si="18"/>
        <v>3.8372834611912507</v>
      </c>
      <c r="DC8" s="46">
        <f t="shared" ref="DC8:EB8" si="19">SUM(DC4:DC7)</f>
        <v>46.047401534295005</v>
      </c>
      <c r="DD8" s="46">
        <f t="shared" si="19"/>
        <v>4.0291476342508137</v>
      </c>
      <c r="DE8" s="46">
        <f t="shared" si="19"/>
        <v>4.0291476342508137</v>
      </c>
      <c r="DF8" s="46">
        <f t="shared" si="19"/>
        <v>4.0291476342508137</v>
      </c>
      <c r="DG8" s="46">
        <f t="shared" si="19"/>
        <v>4.0291476342508137</v>
      </c>
      <c r="DH8" s="46">
        <f t="shared" si="19"/>
        <v>4.0291476342508137</v>
      </c>
      <c r="DI8" s="46">
        <f t="shared" si="19"/>
        <v>4.0291476342508137</v>
      </c>
      <c r="DJ8" s="46">
        <f t="shared" si="19"/>
        <v>4.0291476342508137</v>
      </c>
      <c r="DK8" s="46">
        <f t="shared" si="19"/>
        <v>4.0291476342508137</v>
      </c>
      <c r="DL8" s="46">
        <f t="shared" si="19"/>
        <v>4.0291476342508137</v>
      </c>
      <c r="DM8" s="46">
        <f t="shared" si="19"/>
        <v>4.0291476342508137</v>
      </c>
      <c r="DN8" s="46">
        <f t="shared" si="19"/>
        <v>4.0291476342508137</v>
      </c>
      <c r="DO8" s="46">
        <f t="shared" si="19"/>
        <v>4.0291476342508137</v>
      </c>
      <c r="DP8" s="46">
        <f t="shared" si="19"/>
        <v>48.349771611009764</v>
      </c>
      <c r="DQ8" s="46">
        <f t="shared" si="19"/>
        <v>4.2306050159633548</v>
      </c>
      <c r="DR8" s="46">
        <f t="shared" si="19"/>
        <v>4.2306050159633548</v>
      </c>
      <c r="DS8" s="46">
        <f t="shared" si="19"/>
        <v>4.2306050159633548</v>
      </c>
      <c r="DT8" s="46">
        <f t="shared" si="19"/>
        <v>4.2306050159633548</v>
      </c>
      <c r="DU8" s="46">
        <f t="shared" si="19"/>
        <v>4.2306050159633548</v>
      </c>
      <c r="DV8" s="46">
        <f t="shared" si="19"/>
        <v>4.2306050159633548</v>
      </c>
      <c r="DW8" s="46">
        <f t="shared" si="19"/>
        <v>4.2306050159633548</v>
      </c>
      <c r="DX8" s="46">
        <f t="shared" si="19"/>
        <v>4.2306050159633548</v>
      </c>
      <c r="DY8" s="46">
        <f t="shared" si="19"/>
        <v>4.2306050159633548</v>
      </c>
      <c r="DZ8" s="46">
        <f t="shared" si="19"/>
        <v>4.2306050159633548</v>
      </c>
      <c r="EA8" s="46">
        <f t="shared" si="19"/>
        <v>4.2306050159633548</v>
      </c>
      <c r="EB8" s="46">
        <f t="shared" si="19"/>
        <v>4.2306050159633548</v>
      </c>
      <c r="EC8" s="46">
        <f t="shared" ref="EC8" si="20">SUM(EC4:EC7)</f>
        <v>50.767260191560247</v>
      </c>
    </row>
    <row r="9" spans="1:133">
      <c r="A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</row>
    <row r="10" spans="1:133">
      <c r="A10" s="37" t="s">
        <v>186</v>
      </c>
      <c r="B10" s="1">
        <v>7.2499999999999995E-2</v>
      </c>
      <c r="D10" s="38"/>
      <c r="E10" s="38"/>
      <c r="F10" s="38"/>
      <c r="G10" s="38"/>
      <c r="H10" s="38"/>
      <c r="I10" s="38"/>
      <c r="J10" s="38"/>
      <c r="K10" s="38"/>
      <c r="L10" s="38"/>
      <c r="M10" s="38">
        <f>(Summary!$K$16*Summary!$K$17)/12</f>
        <v>6.9199799999999992E-2</v>
      </c>
      <c r="N10" s="38">
        <f>(Summary!$K$16*Summary!$K$17)/12</f>
        <v>6.9199799999999992E-2</v>
      </c>
      <c r="O10" s="38">
        <f>(Summary!$K$16*Summary!$K$17)/12</f>
        <v>6.9199799999999992E-2</v>
      </c>
      <c r="P10" s="36">
        <f>SUM(D10:O10)</f>
        <v>0.20759939999999999</v>
      </c>
      <c r="Q10" s="38">
        <f>(Summary!$K$16*Summary!$K$17)/12</f>
        <v>6.9199799999999992E-2</v>
      </c>
      <c r="R10" s="38">
        <f>(Summary!$K$16*Summary!$K$17)/12</f>
        <v>6.9199799999999992E-2</v>
      </c>
      <c r="S10" s="38">
        <f>(Summary!$K$16*Summary!$K$17)/12</f>
        <v>6.9199799999999992E-2</v>
      </c>
      <c r="T10" s="38">
        <f>(Summary!$K$16*Summary!$K$17)/12</f>
        <v>6.9199799999999992E-2</v>
      </c>
      <c r="U10" s="38">
        <f>(Summary!$K$16*Summary!$K$17)/12</f>
        <v>6.9199799999999992E-2</v>
      </c>
      <c r="V10" s="38">
        <f>(Summary!$K$16*Summary!$K$17)/12</f>
        <v>6.9199799999999992E-2</v>
      </c>
      <c r="W10" s="38">
        <f>(Summary!$K$16*Summary!$K$17)/12</f>
        <v>6.9199799999999992E-2</v>
      </c>
      <c r="X10" s="38">
        <f>(Summary!$K$16*Summary!$K$17)/12</f>
        <v>6.9199799999999992E-2</v>
      </c>
      <c r="Y10" s="38">
        <f>(Summary!$K$16*Summary!$K$17)/12</f>
        <v>6.9199799999999992E-2</v>
      </c>
      <c r="Z10" s="38">
        <f>(Summary!$K$16*Summary!$K$17)/12</f>
        <v>6.9199799999999992E-2</v>
      </c>
      <c r="AA10" s="38">
        <f>(Summary!$K$16*Summary!$K$17)/12</f>
        <v>6.9199799999999992E-2</v>
      </c>
      <c r="AB10" s="38">
        <f>(Summary!$K$16*Summary!$K$17)/12</f>
        <v>6.9199799999999992E-2</v>
      </c>
      <c r="AC10" s="36">
        <f>SUM(Q10:AB10)</f>
        <v>0.83039760000000007</v>
      </c>
      <c r="AD10" s="38">
        <f>(Summary!$K$16*Summary!$K$17)/12</f>
        <v>6.9199799999999992E-2</v>
      </c>
      <c r="AE10" s="38">
        <f>(Summary!$K$16*Summary!$K$17)/12</f>
        <v>6.9199799999999992E-2</v>
      </c>
      <c r="AF10" s="38">
        <f>(Summary!$K$16*Summary!$K$17)/12</f>
        <v>6.9199799999999992E-2</v>
      </c>
      <c r="AG10" s="38">
        <f>(Summary!$K$16*Summary!$K$17)/12</f>
        <v>6.9199799999999992E-2</v>
      </c>
      <c r="AH10" s="38">
        <f>(Summary!$K$16*Summary!$K$17)/12</f>
        <v>6.9199799999999992E-2</v>
      </c>
      <c r="AI10" s="38">
        <f>(Summary!$K$16*Summary!$K$17)/12</f>
        <v>6.9199799999999992E-2</v>
      </c>
      <c r="AJ10" s="38">
        <f>(Summary!$K$16*Summary!$K$17)/12</f>
        <v>6.9199799999999992E-2</v>
      </c>
      <c r="AK10" s="38">
        <f>(Summary!$K$16*Summary!$K$17)/12</f>
        <v>6.9199799999999992E-2</v>
      </c>
      <c r="AL10" s="38">
        <f>(Summary!$K$16*Summary!$K$17)/12</f>
        <v>6.9199799999999992E-2</v>
      </c>
      <c r="AM10" s="38">
        <f>(Summary!$K$16*Summary!$K$17)/12</f>
        <v>6.9199799999999992E-2</v>
      </c>
      <c r="AN10" s="38">
        <f>(Summary!$K$16*Summary!$K$17)/12</f>
        <v>6.9199799999999992E-2</v>
      </c>
      <c r="AO10" s="38">
        <f>(Summary!$K$16*Summary!$K$17)/12</f>
        <v>6.9199799999999992E-2</v>
      </c>
      <c r="AP10" s="36">
        <f>SUM(AD10:AO10)</f>
        <v>0.83039760000000007</v>
      </c>
      <c r="AQ10" s="38">
        <f>(Summary!$K$16*Summary!$K$17)/12</f>
        <v>6.9199799999999992E-2</v>
      </c>
      <c r="AR10" s="38">
        <f>(Summary!$K$16*Summary!$K$17)/12</f>
        <v>6.9199799999999992E-2</v>
      </c>
      <c r="AS10" s="38">
        <f>(Summary!$K$16*Summary!$K$17)/12</f>
        <v>6.9199799999999992E-2</v>
      </c>
      <c r="AT10" s="38">
        <f>(Summary!$K$16*Summary!$K$17)/12</f>
        <v>6.9199799999999992E-2</v>
      </c>
      <c r="AU10" s="38">
        <f>(Summary!$K$16*Summary!$K$17)/12</f>
        <v>6.9199799999999992E-2</v>
      </c>
      <c r="AV10" s="38">
        <f>(Summary!$K$16*Summary!$K$17)/12</f>
        <v>6.9199799999999992E-2</v>
      </c>
      <c r="AW10" s="38">
        <f>(Summary!$K$16*Summary!$K$17)/12</f>
        <v>6.9199799999999992E-2</v>
      </c>
      <c r="AX10" s="38">
        <f>(Summary!$K$16*Summary!$K$17)/12</f>
        <v>6.9199799999999992E-2</v>
      </c>
      <c r="AY10" s="38">
        <f>(Summary!$K$16*Summary!$K$17)/12</f>
        <v>6.9199799999999992E-2</v>
      </c>
      <c r="AZ10" s="38">
        <f>(Summary!$K$16*Summary!$K$17)/12</f>
        <v>6.9199799999999992E-2</v>
      </c>
      <c r="BA10" s="38">
        <f>(Summary!$K$16*Summary!$K$17)/12</f>
        <v>6.9199799999999992E-2</v>
      </c>
      <c r="BB10" s="38">
        <f>(Summary!$K$16*Summary!$K$17)/12</f>
        <v>6.9199799999999992E-2</v>
      </c>
      <c r="BC10" s="36">
        <f>SUM(AQ10:BB10)</f>
        <v>0.83039760000000007</v>
      </c>
      <c r="BD10" s="38">
        <f>(Summary!$K$16*Summary!$K$17)/12</f>
        <v>6.9199799999999992E-2</v>
      </c>
      <c r="BE10" s="38">
        <f>(Summary!$K$16*Summary!$K$17)/12</f>
        <v>6.9199799999999992E-2</v>
      </c>
      <c r="BF10" s="38">
        <f>(Summary!$K$16*Summary!$K$17)/12</f>
        <v>6.9199799999999992E-2</v>
      </c>
      <c r="BG10" s="38">
        <f>(Summary!$K$16*Summary!$K$17)/12</f>
        <v>6.9199799999999992E-2</v>
      </c>
      <c r="BH10" s="38">
        <f>(Summary!$K$16*Summary!$K$17)/12</f>
        <v>6.9199799999999992E-2</v>
      </c>
      <c r="BI10" s="38">
        <f>(Summary!$K$16*Summary!$K$17)/12</f>
        <v>6.9199799999999992E-2</v>
      </c>
      <c r="BJ10" s="38">
        <f>(Summary!$K$16*Summary!$K$17)/12</f>
        <v>6.9199799999999992E-2</v>
      </c>
      <c r="BK10" s="38">
        <f>(Summary!$K$16*Summary!$K$17)/12</f>
        <v>6.9199799999999992E-2</v>
      </c>
      <c r="BL10" s="38">
        <f>(Summary!$K$16*Summary!$K$17)/12</f>
        <v>6.9199799999999992E-2</v>
      </c>
      <c r="BM10" s="38">
        <f>(Summary!$K$16*Summary!$K$17)/12</f>
        <v>6.9199799999999992E-2</v>
      </c>
      <c r="BN10" s="38">
        <f>(Summary!$K$16*Summary!$K$17)/12</f>
        <v>6.9199799999999992E-2</v>
      </c>
      <c r="BO10" s="38">
        <f>(Summary!$K$16*Summary!$K$17)/12</f>
        <v>6.9199799999999992E-2</v>
      </c>
      <c r="BP10" s="36">
        <f>SUM(BD10:BO10)</f>
        <v>0.83039760000000007</v>
      </c>
      <c r="BQ10" s="38">
        <f>(Summary!$K$16*Summary!$K$17)/12</f>
        <v>6.9199799999999992E-2</v>
      </c>
      <c r="BR10" s="38">
        <f>(Summary!$K$16*Summary!$K$17)/12</f>
        <v>6.9199799999999992E-2</v>
      </c>
      <c r="BS10" s="38">
        <f>(Summary!$K$16*Summary!$K$17)/12</f>
        <v>6.9199799999999992E-2</v>
      </c>
      <c r="BT10" s="38">
        <f>(Summary!$K$16*Summary!$K$17)/12</f>
        <v>6.9199799999999992E-2</v>
      </c>
      <c r="BU10" s="38">
        <f>(Summary!$K$16*Summary!$K$17)/12</f>
        <v>6.9199799999999992E-2</v>
      </c>
      <c r="BV10" s="38">
        <f>(Summary!$K$16*Summary!$K$17)/12</f>
        <v>6.9199799999999992E-2</v>
      </c>
      <c r="BW10" s="38">
        <f>(Summary!$K$16*Summary!$K$17)/12</f>
        <v>6.9199799999999992E-2</v>
      </c>
      <c r="BX10" s="38">
        <f>(Summary!$K$16*Summary!$K$17)/12</f>
        <v>6.9199799999999992E-2</v>
      </c>
      <c r="BY10" s="38">
        <f>(Summary!$K$16*Summary!$K$17)/12</f>
        <v>6.9199799999999992E-2</v>
      </c>
      <c r="BZ10" s="38">
        <f>(Summary!$K$16*Summary!$K$17)/12</f>
        <v>6.9199799999999992E-2</v>
      </c>
      <c r="CA10" s="38">
        <f>(Summary!$K$16*Summary!$K$17)/12</f>
        <v>6.9199799999999992E-2</v>
      </c>
      <c r="CB10" s="38">
        <f>(Summary!$K$16*Summary!$K$17)/12</f>
        <v>6.9199799999999992E-2</v>
      </c>
      <c r="CC10" s="36">
        <f>SUM(BQ10:CB10)</f>
        <v>0.83039760000000007</v>
      </c>
      <c r="CD10" s="38">
        <f>(Summary!$K$16*Summary!$K$17)/12</f>
        <v>6.9199799999999992E-2</v>
      </c>
      <c r="CE10" s="38">
        <f>(Summary!$K$16*Summary!$K$17)/12</f>
        <v>6.9199799999999992E-2</v>
      </c>
      <c r="CF10" s="38">
        <f>(Summary!$K$16*Summary!$K$17)/12</f>
        <v>6.9199799999999992E-2</v>
      </c>
      <c r="CG10" s="38">
        <f>(Summary!$K$16*Summary!$K$17)/12</f>
        <v>6.9199799999999992E-2</v>
      </c>
      <c r="CH10" s="38">
        <f>(Summary!$K$16*Summary!$K$17)/12</f>
        <v>6.9199799999999992E-2</v>
      </c>
      <c r="CI10" s="38">
        <f>(Summary!$K$16*Summary!$K$17)/12</f>
        <v>6.9199799999999992E-2</v>
      </c>
      <c r="CJ10" s="38">
        <f>(Summary!$K$16*Summary!$K$17)/12</f>
        <v>6.9199799999999992E-2</v>
      </c>
      <c r="CK10" s="38">
        <f>(Summary!$K$16*Summary!$K$17)/12</f>
        <v>6.9199799999999992E-2</v>
      </c>
      <c r="CL10" s="38">
        <f>(Summary!$K$16*Summary!$K$17)/12</f>
        <v>6.9199799999999992E-2</v>
      </c>
      <c r="CM10" s="38">
        <f>(Summary!$K$16*Summary!$K$17)/12</f>
        <v>6.9199799999999992E-2</v>
      </c>
      <c r="CN10" s="38">
        <f>(Summary!$K$16*Summary!$K$17)/12</f>
        <v>6.9199799999999992E-2</v>
      </c>
      <c r="CO10" s="38">
        <f>(Summary!$K$16*Summary!$K$17)/12</f>
        <v>6.9199799999999992E-2</v>
      </c>
      <c r="CP10" s="36">
        <f>SUM(CD10:CO10)</f>
        <v>0.83039760000000007</v>
      </c>
      <c r="CQ10" s="38">
        <f>(Summary!$K$16*Summary!$K$17)/12</f>
        <v>6.9199799999999992E-2</v>
      </c>
      <c r="CR10" s="38">
        <f>(Summary!$K$16*Summary!$K$17)/12</f>
        <v>6.9199799999999992E-2</v>
      </c>
      <c r="CS10" s="38">
        <f>(Summary!$K$16*Summary!$K$17)/12</f>
        <v>6.9199799999999992E-2</v>
      </c>
      <c r="CT10" s="38">
        <f>(Summary!$K$16*Summary!$K$17)/12</f>
        <v>6.9199799999999992E-2</v>
      </c>
      <c r="CU10" s="38">
        <f>(Summary!$K$16*Summary!$K$17)/12</f>
        <v>6.9199799999999992E-2</v>
      </c>
      <c r="CV10" s="38">
        <f>(Summary!$K$16*Summary!$K$17)/12</f>
        <v>6.9199799999999992E-2</v>
      </c>
      <c r="CW10" s="38">
        <f>(Summary!$K$16*Summary!$K$17)/12</f>
        <v>6.9199799999999992E-2</v>
      </c>
      <c r="CX10" s="38">
        <f>(Summary!$K$16*Summary!$K$17)/12</f>
        <v>6.9199799999999992E-2</v>
      </c>
      <c r="CY10" s="38">
        <f>(Summary!$K$16*Summary!$K$17)/12</f>
        <v>6.9199799999999992E-2</v>
      </c>
      <c r="CZ10" s="38">
        <f>(Summary!$K$16*Summary!$K$17)/12</f>
        <v>6.9199799999999992E-2</v>
      </c>
      <c r="DA10" s="38">
        <f>(Summary!$K$16*Summary!$K$17)/12</f>
        <v>6.9199799999999992E-2</v>
      </c>
      <c r="DB10" s="38">
        <f>(Summary!$K$16*Summary!$K$17)/12</f>
        <v>6.9199799999999992E-2</v>
      </c>
      <c r="DC10" s="36">
        <f>SUM(CQ10:DB10)</f>
        <v>0.83039760000000007</v>
      </c>
      <c r="DD10" s="38">
        <f>(Summary!$K$16*Summary!$K$17)/12</f>
        <v>6.9199799999999992E-2</v>
      </c>
      <c r="DE10" s="38">
        <f>(Summary!$K$16*Summary!$K$17)/12</f>
        <v>6.9199799999999992E-2</v>
      </c>
      <c r="DF10" s="38">
        <f>(Summary!$K$16*Summary!$K$17)/12</f>
        <v>6.9199799999999992E-2</v>
      </c>
      <c r="DG10" s="38">
        <f>(Summary!$K$16*Summary!$K$17)/12</f>
        <v>6.9199799999999992E-2</v>
      </c>
      <c r="DH10" s="38">
        <f>(Summary!$K$16*Summary!$K$17)/12</f>
        <v>6.9199799999999992E-2</v>
      </c>
      <c r="DI10" s="38">
        <f>(Summary!$K$16*Summary!$K$17)/12</f>
        <v>6.9199799999999992E-2</v>
      </c>
      <c r="DJ10" s="38">
        <f>(Summary!$K$16*Summary!$K$17)/12</f>
        <v>6.9199799999999992E-2</v>
      </c>
      <c r="DK10" s="38">
        <f>(Summary!$K$16*Summary!$K$17)/12</f>
        <v>6.9199799999999992E-2</v>
      </c>
      <c r="DL10" s="38">
        <f>(Summary!$K$16*Summary!$K$17)/12</f>
        <v>6.9199799999999992E-2</v>
      </c>
      <c r="DM10" s="38">
        <f>(Summary!$K$16*Summary!$K$17)/12</f>
        <v>6.9199799999999992E-2</v>
      </c>
      <c r="DN10" s="38">
        <f>(Summary!$K$16*Summary!$K$17)/12</f>
        <v>6.9199799999999992E-2</v>
      </c>
      <c r="DO10" s="38">
        <f>(Summary!$K$16*Summary!$K$17)/12</f>
        <v>6.9199799999999992E-2</v>
      </c>
      <c r="DP10" s="36">
        <f>SUM(DD10:DO10)</f>
        <v>0.83039760000000007</v>
      </c>
      <c r="DQ10" s="38">
        <f>(Summary!$K$16*Summary!$K$17)/12</f>
        <v>6.9199799999999992E-2</v>
      </c>
      <c r="DR10" s="38">
        <f>(Summary!$K$16*Summary!$K$17)/12</f>
        <v>6.9199799999999992E-2</v>
      </c>
      <c r="DS10" s="38">
        <f>(Summary!$K$16*Summary!$K$17)/12</f>
        <v>6.9199799999999992E-2</v>
      </c>
      <c r="DT10" s="38">
        <f>(Summary!$K$16*Summary!$K$17)/12</f>
        <v>6.9199799999999992E-2</v>
      </c>
      <c r="DU10" s="38">
        <f>(Summary!$K$16*Summary!$K$17)/12</f>
        <v>6.9199799999999992E-2</v>
      </c>
      <c r="DV10" s="38">
        <f>(Summary!$K$16*Summary!$K$17)/12</f>
        <v>6.9199799999999992E-2</v>
      </c>
      <c r="DW10" s="38">
        <f>(Summary!$K$16*Summary!$K$17)/12</f>
        <v>6.9199799999999992E-2</v>
      </c>
      <c r="DX10" s="38">
        <f>(Summary!$K$16*Summary!$K$17)/12</f>
        <v>6.9199799999999992E-2</v>
      </c>
      <c r="DY10" s="38">
        <f>(Summary!$K$16*Summary!$K$17)/12</f>
        <v>6.9199799999999992E-2</v>
      </c>
      <c r="DZ10" s="38">
        <f>(Summary!$K$16*Summary!$K$17)/12</f>
        <v>6.9199799999999992E-2</v>
      </c>
      <c r="EA10" s="38">
        <f>(Summary!$K$16*Summary!$K$17)/12</f>
        <v>6.9199799999999992E-2</v>
      </c>
      <c r="EB10" s="38">
        <f>(Summary!$K$16*Summary!$K$17)/12</f>
        <v>6.9199799999999992E-2</v>
      </c>
      <c r="EC10" s="36">
        <f>SUM(DQ10:EB10)</f>
        <v>0.83039760000000007</v>
      </c>
    </row>
    <row r="11" spans="1:133">
      <c r="A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</row>
    <row r="12" spans="1:133">
      <c r="A12" s="44" t="s">
        <v>187</v>
      </c>
      <c r="B12" s="45"/>
      <c r="C12" s="45"/>
      <c r="D12" s="47"/>
      <c r="E12" s="47">
        <f t="shared" ref="E12:AB12" si="21">E8+E10</f>
        <v>0</v>
      </c>
      <c r="F12" s="47">
        <f t="shared" si="21"/>
        <v>0</v>
      </c>
      <c r="G12" s="47">
        <f t="shared" si="21"/>
        <v>0</v>
      </c>
      <c r="H12" s="47">
        <f t="shared" si="21"/>
        <v>0</v>
      </c>
      <c r="I12" s="47">
        <f t="shared" si="21"/>
        <v>0</v>
      </c>
      <c r="J12" s="47">
        <f t="shared" si="21"/>
        <v>0</v>
      </c>
      <c r="K12" s="47">
        <f t="shared" si="21"/>
        <v>0</v>
      </c>
      <c r="L12" s="47">
        <f t="shared" si="21"/>
        <v>0</v>
      </c>
      <c r="M12" s="47">
        <f t="shared" si="21"/>
        <v>6.9199799999999992E-2</v>
      </c>
      <c r="N12" s="47">
        <f t="shared" si="21"/>
        <v>6.9199799999999992E-2</v>
      </c>
      <c r="O12" s="47">
        <f t="shared" si="21"/>
        <v>6.9199799999999992E-2</v>
      </c>
      <c r="P12" s="46">
        <f>P8+P10</f>
        <v>0.20759939999999999</v>
      </c>
      <c r="Q12" s="47">
        <f t="shared" si="21"/>
        <v>6.9199799999999992E-2</v>
      </c>
      <c r="R12" s="47">
        <f t="shared" si="21"/>
        <v>6.9199799999999992E-2</v>
      </c>
      <c r="S12" s="47">
        <f t="shared" si="21"/>
        <v>6.9199799999999992E-2</v>
      </c>
      <c r="T12" s="47">
        <f t="shared" si="21"/>
        <v>6.9199799999999992E-2</v>
      </c>
      <c r="U12" s="47">
        <f t="shared" si="21"/>
        <v>6.9199799999999992E-2</v>
      </c>
      <c r="V12" s="47">
        <f t="shared" si="21"/>
        <v>6.9199799999999992E-2</v>
      </c>
      <c r="W12" s="47">
        <f t="shared" si="21"/>
        <v>2.9326398</v>
      </c>
      <c r="X12" s="47">
        <f t="shared" si="21"/>
        <v>2.9326398</v>
      </c>
      <c r="Y12" s="47">
        <f t="shared" si="21"/>
        <v>2.9326398</v>
      </c>
      <c r="Z12" s="47">
        <f t="shared" si="21"/>
        <v>2.9326398</v>
      </c>
      <c r="AA12" s="47">
        <f t="shared" si="21"/>
        <v>2.9326398</v>
      </c>
      <c r="AB12" s="47">
        <f t="shared" si="21"/>
        <v>2.9326398</v>
      </c>
      <c r="AC12" s="46">
        <f>AC8+AC10</f>
        <v>18.011037600000002</v>
      </c>
      <c r="AD12" s="47">
        <f t="shared" ref="AD12:AO12" si="22">AD8+AD10</f>
        <v>3.0758118000000003</v>
      </c>
      <c r="AE12" s="47">
        <f t="shared" si="22"/>
        <v>3.0758118000000003</v>
      </c>
      <c r="AF12" s="47">
        <f t="shared" si="22"/>
        <v>3.0758118000000003</v>
      </c>
      <c r="AG12" s="47">
        <f t="shared" si="22"/>
        <v>3.0758118000000003</v>
      </c>
      <c r="AH12" s="47">
        <f t="shared" si="22"/>
        <v>3.0758118000000003</v>
      </c>
      <c r="AI12" s="47">
        <f t="shared" si="22"/>
        <v>3.0758118000000003</v>
      </c>
      <c r="AJ12" s="47">
        <f t="shared" si="22"/>
        <v>3.0758118000000003</v>
      </c>
      <c r="AK12" s="47">
        <f t="shared" si="22"/>
        <v>3.0758118000000003</v>
      </c>
      <c r="AL12" s="47">
        <f t="shared" si="22"/>
        <v>3.0758118000000003</v>
      </c>
      <c r="AM12" s="47">
        <f t="shared" si="22"/>
        <v>3.0758118000000003</v>
      </c>
      <c r="AN12" s="47">
        <f t="shared" si="22"/>
        <v>3.0758118000000003</v>
      </c>
      <c r="AO12" s="47">
        <f t="shared" si="22"/>
        <v>3.0758118000000003</v>
      </c>
      <c r="AP12" s="46">
        <f>AP8+AP10</f>
        <v>36.909741599999997</v>
      </c>
      <c r="AQ12" s="46">
        <f t="shared" ref="AQ12:DB12" si="23">AQ8+AQ10</f>
        <v>3.2261424000000001</v>
      </c>
      <c r="AR12" s="46">
        <f t="shared" si="23"/>
        <v>3.2261424000000001</v>
      </c>
      <c r="AS12" s="46">
        <f t="shared" si="23"/>
        <v>3.2261424000000001</v>
      </c>
      <c r="AT12" s="46">
        <f t="shared" si="23"/>
        <v>3.2261424000000001</v>
      </c>
      <c r="AU12" s="46">
        <f t="shared" si="23"/>
        <v>3.2261424000000001</v>
      </c>
      <c r="AV12" s="46">
        <f t="shared" si="23"/>
        <v>3.2261424000000001</v>
      </c>
      <c r="AW12" s="46">
        <f t="shared" si="23"/>
        <v>3.2261424000000001</v>
      </c>
      <c r="AX12" s="46">
        <f t="shared" si="23"/>
        <v>3.2261424000000001</v>
      </c>
      <c r="AY12" s="46">
        <f t="shared" si="23"/>
        <v>3.2261424000000001</v>
      </c>
      <c r="AZ12" s="46">
        <f t="shared" si="23"/>
        <v>3.2261424000000001</v>
      </c>
      <c r="BA12" s="46">
        <f t="shared" si="23"/>
        <v>3.2261424000000001</v>
      </c>
      <c r="BB12" s="46">
        <f t="shared" si="23"/>
        <v>3.2261424000000001</v>
      </c>
      <c r="BC12" s="46">
        <f t="shared" si="23"/>
        <v>38.713708799999992</v>
      </c>
      <c r="BD12" s="46">
        <f t="shared" si="23"/>
        <v>3.38398953</v>
      </c>
      <c r="BE12" s="46">
        <f t="shared" si="23"/>
        <v>3.38398953</v>
      </c>
      <c r="BF12" s="46">
        <f t="shared" si="23"/>
        <v>3.38398953</v>
      </c>
      <c r="BG12" s="46">
        <f t="shared" si="23"/>
        <v>3.38398953</v>
      </c>
      <c r="BH12" s="46">
        <f t="shared" si="23"/>
        <v>3.38398953</v>
      </c>
      <c r="BI12" s="46">
        <f t="shared" si="23"/>
        <v>3.38398953</v>
      </c>
      <c r="BJ12" s="46">
        <f t="shared" si="23"/>
        <v>3.38398953</v>
      </c>
      <c r="BK12" s="46">
        <f t="shared" si="23"/>
        <v>3.38398953</v>
      </c>
      <c r="BL12" s="46">
        <f t="shared" si="23"/>
        <v>3.38398953</v>
      </c>
      <c r="BM12" s="46">
        <f t="shared" si="23"/>
        <v>3.38398953</v>
      </c>
      <c r="BN12" s="46">
        <f t="shared" si="23"/>
        <v>3.38398953</v>
      </c>
      <c r="BO12" s="46">
        <f t="shared" si="23"/>
        <v>3.38398953</v>
      </c>
      <c r="BP12" s="46">
        <f t="shared" si="23"/>
        <v>40.607874359999997</v>
      </c>
      <c r="BQ12" s="46">
        <f t="shared" si="23"/>
        <v>3.5497290165000002</v>
      </c>
      <c r="BR12" s="46">
        <f t="shared" si="23"/>
        <v>3.5497290165000002</v>
      </c>
      <c r="BS12" s="46">
        <f t="shared" si="23"/>
        <v>3.5497290165000002</v>
      </c>
      <c r="BT12" s="46">
        <f t="shared" si="23"/>
        <v>3.5497290165000002</v>
      </c>
      <c r="BU12" s="46">
        <f t="shared" si="23"/>
        <v>3.5497290165000002</v>
      </c>
      <c r="BV12" s="46">
        <f t="shared" si="23"/>
        <v>3.5497290165000002</v>
      </c>
      <c r="BW12" s="46">
        <f t="shared" si="23"/>
        <v>3.5497290165000002</v>
      </c>
      <c r="BX12" s="46">
        <f t="shared" si="23"/>
        <v>3.5497290165000002</v>
      </c>
      <c r="BY12" s="46">
        <f t="shared" si="23"/>
        <v>3.5497290165000002</v>
      </c>
      <c r="BZ12" s="46">
        <f t="shared" si="23"/>
        <v>3.5497290165000002</v>
      </c>
      <c r="CA12" s="46">
        <f t="shared" si="23"/>
        <v>3.5497290165000002</v>
      </c>
      <c r="CB12" s="46">
        <f t="shared" si="23"/>
        <v>3.5497290165000002</v>
      </c>
      <c r="CC12" s="46">
        <f t="shared" si="23"/>
        <v>42.596748198000007</v>
      </c>
      <c r="CD12" s="46">
        <f t="shared" si="23"/>
        <v>3.7237554773250006</v>
      </c>
      <c r="CE12" s="46">
        <f t="shared" si="23"/>
        <v>3.7237554773250006</v>
      </c>
      <c r="CF12" s="46">
        <f t="shared" si="23"/>
        <v>3.7237554773250006</v>
      </c>
      <c r="CG12" s="46">
        <f t="shared" si="23"/>
        <v>3.7237554773250006</v>
      </c>
      <c r="CH12" s="46">
        <f t="shared" si="23"/>
        <v>3.7237554773250006</v>
      </c>
      <c r="CI12" s="46">
        <f t="shared" si="23"/>
        <v>3.7237554773250006</v>
      </c>
      <c r="CJ12" s="46">
        <f t="shared" si="23"/>
        <v>3.7237554773250006</v>
      </c>
      <c r="CK12" s="46">
        <f t="shared" si="23"/>
        <v>3.7237554773250006</v>
      </c>
      <c r="CL12" s="46">
        <f t="shared" si="23"/>
        <v>3.7237554773250006</v>
      </c>
      <c r="CM12" s="46">
        <f t="shared" si="23"/>
        <v>3.7237554773250006</v>
      </c>
      <c r="CN12" s="46">
        <f t="shared" si="23"/>
        <v>3.7237554773250006</v>
      </c>
      <c r="CO12" s="46">
        <f t="shared" si="23"/>
        <v>3.7237554773250006</v>
      </c>
      <c r="CP12" s="46">
        <f t="shared" si="23"/>
        <v>44.685065727899996</v>
      </c>
      <c r="CQ12" s="46">
        <f t="shared" si="23"/>
        <v>3.9064832611912506</v>
      </c>
      <c r="CR12" s="46">
        <f t="shared" si="23"/>
        <v>3.9064832611912506</v>
      </c>
      <c r="CS12" s="46">
        <f t="shared" si="23"/>
        <v>3.9064832611912506</v>
      </c>
      <c r="CT12" s="46">
        <f t="shared" si="23"/>
        <v>3.9064832611912506</v>
      </c>
      <c r="CU12" s="46">
        <f t="shared" si="23"/>
        <v>3.9064832611912506</v>
      </c>
      <c r="CV12" s="46">
        <f t="shared" si="23"/>
        <v>3.9064832611912506</v>
      </c>
      <c r="CW12" s="46">
        <f t="shared" si="23"/>
        <v>3.9064832611912506</v>
      </c>
      <c r="CX12" s="46">
        <f t="shared" si="23"/>
        <v>3.9064832611912506</v>
      </c>
      <c r="CY12" s="46">
        <f t="shared" si="23"/>
        <v>3.9064832611912506</v>
      </c>
      <c r="CZ12" s="46">
        <f t="shared" si="23"/>
        <v>3.9064832611912506</v>
      </c>
      <c r="DA12" s="46">
        <f t="shared" si="23"/>
        <v>3.9064832611912506</v>
      </c>
      <c r="DB12" s="46">
        <f t="shared" si="23"/>
        <v>3.9064832611912506</v>
      </c>
      <c r="DC12" s="46">
        <f t="shared" ref="DC12:EC12" si="24">DC8+DC10</f>
        <v>46.877799134295003</v>
      </c>
      <c r="DD12" s="46">
        <f t="shared" si="24"/>
        <v>4.0983474342508135</v>
      </c>
      <c r="DE12" s="46">
        <f t="shared" si="24"/>
        <v>4.0983474342508135</v>
      </c>
      <c r="DF12" s="46">
        <f t="shared" si="24"/>
        <v>4.0983474342508135</v>
      </c>
      <c r="DG12" s="46">
        <f t="shared" si="24"/>
        <v>4.0983474342508135</v>
      </c>
      <c r="DH12" s="46">
        <f t="shared" si="24"/>
        <v>4.0983474342508135</v>
      </c>
      <c r="DI12" s="46">
        <f t="shared" si="24"/>
        <v>4.0983474342508135</v>
      </c>
      <c r="DJ12" s="46">
        <f t="shared" si="24"/>
        <v>4.0983474342508135</v>
      </c>
      <c r="DK12" s="46">
        <f t="shared" si="24"/>
        <v>4.0983474342508135</v>
      </c>
      <c r="DL12" s="46">
        <f t="shared" si="24"/>
        <v>4.0983474342508135</v>
      </c>
      <c r="DM12" s="46">
        <f t="shared" si="24"/>
        <v>4.0983474342508135</v>
      </c>
      <c r="DN12" s="46">
        <f t="shared" si="24"/>
        <v>4.0983474342508135</v>
      </c>
      <c r="DO12" s="46">
        <f t="shared" si="24"/>
        <v>4.0983474342508135</v>
      </c>
      <c r="DP12" s="46">
        <f t="shared" si="24"/>
        <v>49.180169211009762</v>
      </c>
      <c r="DQ12" s="46">
        <f t="shared" si="24"/>
        <v>4.2998048159633546</v>
      </c>
      <c r="DR12" s="46">
        <f t="shared" si="24"/>
        <v>4.2998048159633546</v>
      </c>
      <c r="DS12" s="46">
        <f t="shared" si="24"/>
        <v>4.2998048159633546</v>
      </c>
      <c r="DT12" s="46">
        <f t="shared" si="24"/>
        <v>4.2998048159633546</v>
      </c>
      <c r="DU12" s="46">
        <f t="shared" si="24"/>
        <v>4.2998048159633546</v>
      </c>
      <c r="DV12" s="46">
        <f t="shared" si="24"/>
        <v>4.2998048159633546</v>
      </c>
      <c r="DW12" s="46">
        <f t="shared" si="24"/>
        <v>4.2998048159633546</v>
      </c>
      <c r="DX12" s="46">
        <f t="shared" si="24"/>
        <v>4.2998048159633546</v>
      </c>
      <c r="DY12" s="46">
        <f t="shared" si="24"/>
        <v>4.2998048159633546</v>
      </c>
      <c r="DZ12" s="46">
        <f t="shared" si="24"/>
        <v>4.2998048159633546</v>
      </c>
      <c r="EA12" s="46">
        <f t="shared" si="24"/>
        <v>4.2998048159633546</v>
      </c>
      <c r="EB12" s="46">
        <f t="shared" si="24"/>
        <v>4.2998048159633546</v>
      </c>
      <c r="EC12" s="46">
        <f t="shared" si="24"/>
        <v>51.597657791560245</v>
      </c>
    </row>
    <row r="14" spans="1:133"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</row>
    <row r="15" spans="1:133"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</row>
    <row r="16" spans="1:133"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</row>
    <row r="17" spans="15:15">
      <c r="O17" s="155"/>
    </row>
  </sheetData>
  <pageMargins left="0.7" right="0.7" top="0.75" bottom="0.75" header="0.3" footer="0.3"/>
  <ignoredErrors>
    <ignoredError sqref="P10 AC10 AP10:EC10 W5:W7" formula="1"/>
    <ignoredError sqref="D8 P4:P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Parin Shah</dc:creator>
  <cp:keywords/>
  <dc:description/>
  <cp:lastModifiedBy/>
  <cp:revision/>
  <dcterms:created xsi:type="dcterms:W3CDTF">2024-08-08T12:04:22Z</dcterms:created>
  <dcterms:modified xsi:type="dcterms:W3CDTF">2025-05-03T15:37:44Z</dcterms:modified>
  <cp:category/>
  <cp:contentStatus/>
</cp:coreProperties>
</file>