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fe5c169079f8688/Documents/Links/"/>
    </mc:Choice>
  </mc:AlternateContent>
  <xr:revisionPtr revIDLastSave="75" documentId="8_{0A4AE51D-E0D3-46AD-B38D-4C9A86665ECC}" xr6:coauthVersionLast="47" xr6:coauthVersionMax="47" xr10:uidLastSave="{AE748EE2-02FF-40FC-A053-7EC0A8ADBC80}"/>
  <bookViews>
    <workbookView xWindow="648" yWindow="444" windowWidth="21360" windowHeight="11808" tabRatio="805" firstSheet="1" activeTab="5" xr2:uid="{D5A44B93-6420-422B-AD45-1BA96BA51EA3}"/>
  </bookViews>
  <sheets>
    <sheet name="Sheet1" sheetId="11" state="hidden" r:id="rId1"/>
    <sheet name="Operating" sheetId="2" r:id="rId2"/>
    <sheet name="Regular Restricted" sheetId="3" r:id="rId3"/>
    <sheet name="Special Restricted" sheetId="4" r:id="rId4"/>
    <sheet name="Operating Budget" sheetId="5" r:id="rId5"/>
    <sheet name="Program Budget" sheetId="6" r:id="rId6"/>
    <sheet name="Scholarships" sheetId="7" r:id="rId7"/>
    <sheet name="Foundation Summary" sheetId="9" r:id="rId8"/>
    <sheet name="Sheet2" sheetId="14" r:id="rId9"/>
    <sheet name="Events FY24" sheetId="13" r:id="rId10"/>
    <sheet name="Events FY23" sheetId="10" r:id="rId11"/>
    <sheet name="Overage FY2023" sheetId="12" r:id="rId12"/>
  </sheets>
  <externalReferences>
    <externalReference r:id="rId13"/>
  </externalReferences>
  <definedNames>
    <definedName name="_xlnm.Print_Area" localSheetId="10">'Events FY23'!$A$1:$D$28</definedName>
    <definedName name="_xlnm.Print_Area" localSheetId="1">Operating!$A$1:$E$67</definedName>
    <definedName name="_xlnm.Print_Area" localSheetId="4">'Operating Budget'!$A$1:$S$56</definedName>
    <definedName name="_xlnm.Print_Area" localSheetId="5">'Program Budget'!$A$1:$T$25</definedName>
    <definedName name="_xlnm.Print_Area" localSheetId="2">'Regular Restricted'!$A$1:$F$37</definedName>
    <definedName name="_xlnm.Print_Area" localSheetId="6">Scholarships!$A$1:$L$36</definedName>
    <definedName name="_xlnm.Print_Area" localSheetId="0">Sheet1!$A$1:$F$11</definedName>
    <definedName name="_xlnm.Print_Area" localSheetId="3">'Special Restricted'!$A$1:$E$21</definedName>
    <definedName name="_xlnm.Print_Titles" localSheetId="1">Operating!$1:$5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2" l="1"/>
  <c r="E31" i="6"/>
  <c r="N11" i="7"/>
  <c r="N16" i="7" s="1"/>
  <c r="N22" i="7" s="1"/>
  <c r="N28" i="7" s="1"/>
  <c r="E34" i="6"/>
  <c r="N34" i="7" l="1"/>
  <c r="E35" i="2" l="1"/>
  <c r="S20" i="6"/>
  <c r="T20" i="6" s="1"/>
  <c r="R15" i="6"/>
  <c r="R10" i="6"/>
  <c r="C85" i="2" l="1"/>
  <c r="C101" i="2"/>
  <c r="C84" i="2" l="1"/>
  <c r="C75" i="2" l="1"/>
  <c r="R22" i="6" l="1"/>
  <c r="P21" i="6" l="1"/>
  <c r="S22" i="6" l="1"/>
  <c r="T22" i="6" s="1"/>
  <c r="Q11" i="6" l="1"/>
  <c r="P10" i="6" l="1"/>
  <c r="P11" i="6"/>
  <c r="P7" i="6"/>
  <c r="E11" i="6"/>
  <c r="S21" i="6"/>
  <c r="T21" i="6" s="1"/>
  <c r="O26" i="5"/>
  <c r="O42" i="5"/>
  <c r="N35" i="5" l="1"/>
  <c r="M26" i="5"/>
  <c r="E14" i="2" l="1"/>
  <c r="I15" i="6"/>
  <c r="E12" i="4" l="1"/>
  <c r="V11" i="6" l="1"/>
  <c r="J28" i="9" l="1"/>
  <c r="E28" i="9"/>
  <c r="E26" i="9"/>
  <c r="C76" i="2" l="1"/>
  <c r="C74" i="2"/>
  <c r="C93" i="2"/>
  <c r="C94" i="2"/>
  <c r="C73" i="2" l="1"/>
  <c r="D23" i="13" l="1"/>
  <c r="D27" i="13" s="1"/>
  <c r="D29" i="13" s="1"/>
  <c r="L4" i="6" l="1"/>
  <c r="K59" i="2" l="1"/>
  <c r="L37" i="5" l="1"/>
  <c r="L35" i="5"/>
  <c r="K47" i="2" l="1"/>
  <c r="K48" i="2" s="1"/>
  <c r="J5" i="13" l="1"/>
  <c r="E13" i="6" l="1"/>
  <c r="D15" i="13" l="1"/>
  <c r="D8" i="13"/>
  <c r="E29" i="6"/>
  <c r="J28" i="5"/>
  <c r="C77" i="2"/>
  <c r="C92" i="2"/>
  <c r="C103" i="2" s="1"/>
  <c r="C72" i="2"/>
  <c r="C89" i="2" l="1"/>
  <c r="C104" i="2" s="1"/>
  <c r="D16" i="13"/>
  <c r="D17" i="13" l="1"/>
  <c r="D18" i="13" s="1"/>
  <c r="E14" i="3"/>
  <c r="E19" i="4" l="1"/>
  <c r="E27" i="9" l="1"/>
  <c r="E29" i="9" s="1"/>
  <c r="E18" i="9"/>
  <c r="E11" i="9"/>
  <c r="E10" i="9"/>
  <c r="E12" i="9" s="1"/>
  <c r="E9" i="9"/>
  <c r="E8" i="9"/>
  <c r="E5" i="9"/>
  <c r="E4" i="9"/>
  <c r="E3" i="9"/>
  <c r="E30" i="6" l="1"/>
  <c r="E6" i="9"/>
  <c r="E14" i="9"/>
  <c r="C46" i="7"/>
  <c r="M11" i="7"/>
  <c r="M16" i="7" s="1"/>
  <c r="M22" i="7" s="1"/>
  <c r="M28" i="7" s="1"/>
  <c r="M34" i="7" s="1"/>
  <c r="L11" i="7"/>
  <c r="L16" i="7" s="1"/>
  <c r="L22" i="7" s="1"/>
  <c r="L28" i="7" s="1"/>
  <c r="L34" i="7" s="1"/>
  <c r="K11" i="7"/>
  <c r="K16" i="7" s="1"/>
  <c r="K22" i="7" s="1"/>
  <c r="K28" i="7" s="1"/>
  <c r="J11" i="7"/>
  <c r="J16" i="7" s="1"/>
  <c r="J22" i="7" s="1"/>
  <c r="J28" i="7" s="1"/>
  <c r="J34" i="7" s="1"/>
  <c r="I11" i="7"/>
  <c r="I16" i="7" s="1"/>
  <c r="I22" i="7" s="1"/>
  <c r="I28" i="7" s="1"/>
  <c r="I34" i="7" s="1"/>
  <c r="S16" i="6"/>
  <c r="S15" i="6"/>
  <c r="S14" i="6"/>
  <c r="S13" i="6"/>
  <c r="K34" i="7" l="1"/>
  <c r="N35" i="7" s="1"/>
  <c r="T16" i="6"/>
  <c r="T15" i="6"/>
  <c r="T14" i="6"/>
  <c r="T13" i="6"/>
  <c r="E18" i="6"/>
  <c r="D50" i="10" l="1"/>
  <c r="D56" i="10" s="1"/>
  <c r="D55" i="10"/>
  <c r="D51" i="10" l="1"/>
  <c r="E9" i="11" l="1"/>
  <c r="D8" i="11"/>
  <c r="F8" i="11" s="1"/>
  <c r="D7" i="11"/>
  <c r="C7" i="11"/>
  <c r="C9" i="11" s="1"/>
  <c r="C4" i="11"/>
  <c r="C2" i="11"/>
  <c r="D2" i="11"/>
  <c r="D41" i="10"/>
  <c r="D44" i="10" s="1"/>
  <c r="D34" i="10"/>
  <c r="D33" i="10"/>
  <c r="D9" i="11" l="1"/>
  <c r="D35" i="10"/>
  <c r="D45" i="10" s="1"/>
  <c r="F7" i="11"/>
  <c r="F9" i="11" s="1"/>
  <c r="D9" i="10" l="1"/>
  <c r="D18" i="10"/>
  <c r="D20" i="10" s="1"/>
  <c r="D3" i="10"/>
  <c r="D4" i="10"/>
  <c r="D27" i="10" l="1"/>
  <c r="D13" i="10" l="1"/>
  <c r="D5" i="10" l="1"/>
  <c r="E2" i="11"/>
  <c r="F2" i="11" s="1"/>
  <c r="S26" i="6" l="1"/>
  <c r="T26" i="6" s="1"/>
  <c r="R46" i="5"/>
  <c r="S46" i="5" s="1"/>
  <c r="R42" i="5"/>
  <c r="S42" i="5" s="1"/>
  <c r="R41" i="5"/>
  <c r="R40" i="5"/>
  <c r="E24" i="6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P18" i="6" l="1"/>
  <c r="O18" i="6"/>
  <c r="N18" i="6"/>
  <c r="M18" i="6"/>
  <c r="L18" i="6"/>
  <c r="K18" i="6"/>
  <c r="J18" i="6"/>
  <c r="I18" i="6"/>
  <c r="H18" i="6"/>
  <c r="G18" i="6"/>
  <c r="R18" i="6" l="1"/>
  <c r="Q18" i="6" l="1"/>
  <c r="S24" i="6" l="1"/>
  <c r="T24" i="6" s="1"/>
  <c r="E58" i="2" l="1"/>
  <c r="E53" i="5"/>
  <c r="S41" i="5"/>
  <c r="S40" i="5"/>
  <c r="R4" i="6" l="1"/>
  <c r="Q4" i="6"/>
  <c r="P4" i="6"/>
  <c r="O4" i="6"/>
  <c r="N4" i="6"/>
  <c r="M4" i="6"/>
  <c r="K4" i="6"/>
  <c r="J4" i="6"/>
  <c r="I4" i="6"/>
  <c r="H4" i="6"/>
  <c r="G4" i="6"/>
  <c r="A5" i="3" l="1"/>
  <c r="A5" i="4" s="1"/>
  <c r="A8" i="3" l="1"/>
  <c r="A8" i="4" s="1"/>
  <c r="S23" i="5" l="1"/>
  <c r="S12" i="6"/>
  <c r="T12" i="6" s="1"/>
  <c r="S7" i="6"/>
  <c r="T7" i="6" s="1"/>
  <c r="S10" i="6"/>
  <c r="T10" i="6" s="1"/>
  <c r="S9" i="6"/>
  <c r="T9" i="6" s="1"/>
  <c r="S8" i="6"/>
  <c r="S6" i="6"/>
  <c r="E10" i="5"/>
  <c r="P44" i="5"/>
  <c r="N44" i="5"/>
  <c r="M44" i="5"/>
  <c r="L44" i="5"/>
  <c r="J44" i="5"/>
  <c r="I44" i="5"/>
  <c r="H44" i="5"/>
  <c r="G44" i="5"/>
  <c r="F44" i="5"/>
  <c r="E44" i="5"/>
  <c r="S39" i="5"/>
  <c r="S38" i="5"/>
  <c r="K44" i="5"/>
  <c r="S36" i="5"/>
  <c r="S35" i="5"/>
  <c r="S34" i="5"/>
  <c r="S33" i="5"/>
  <c r="S32" i="5"/>
  <c r="S31" i="5"/>
  <c r="S30" i="5"/>
  <c r="S29" i="5"/>
  <c r="S28" i="5"/>
  <c r="S27" i="5"/>
  <c r="O44" i="5"/>
  <c r="S26" i="5"/>
  <c r="S25" i="5"/>
  <c r="S24" i="5"/>
  <c r="S22" i="5"/>
  <c r="S21" i="5"/>
  <c r="S20" i="5"/>
  <c r="S19" i="5"/>
  <c r="S18" i="5"/>
  <c r="S17" i="5"/>
  <c r="S16" i="5"/>
  <c r="S15" i="5"/>
  <c r="R14" i="5"/>
  <c r="S14" i="5" s="1"/>
  <c r="Q10" i="5"/>
  <c r="P10" i="5"/>
  <c r="O10" i="5"/>
  <c r="N10" i="5"/>
  <c r="M10" i="5"/>
  <c r="L10" i="5"/>
  <c r="K10" i="5"/>
  <c r="J10" i="5"/>
  <c r="I10" i="5"/>
  <c r="H10" i="5"/>
  <c r="G10" i="5"/>
  <c r="F10" i="5"/>
  <c r="R9" i="5"/>
  <c r="S9" i="5" s="1"/>
  <c r="R8" i="5"/>
  <c r="E4" i="11"/>
  <c r="D4" i="11"/>
  <c r="E34" i="3"/>
  <c r="E15" i="2"/>
  <c r="E36" i="2" s="1"/>
  <c r="E3" i="11" l="1"/>
  <c r="F4" i="11"/>
  <c r="E15" i="3"/>
  <c r="D3" i="11"/>
  <c r="T8" i="6"/>
  <c r="T6" i="6"/>
  <c r="S11" i="6"/>
  <c r="S18" i="6" s="1"/>
  <c r="R10" i="5"/>
  <c r="S10" i="5"/>
  <c r="Q44" i="5"/>
  <c r="E13" i="4"/>
  <c r="E20" i="4" s="1"/>
  <c r="C3" i="11" l="1"/>
  <c r="F3" i="11" s="1"/>
  <c r="E35" i="3"/>
  <c r="S37" i="5"/>
  <c r="S44" i="5" s="1"/>
  <c r="E44" i="2" s="1"/>
  <c r="T11" i="6"/>
  <c r="R44" i="5"/>
  <c r="E25" i="6" l="1"/>
  <c r="T18" i="6"/>
  <c r="E38" i="6" l="1"/>
  <c r="E59" i="2"/>
</calcChain>
</file>

<file path=xl/sharedStrings.xml><?xml version="1.0" encoding="utf-8"?>
<sst xmlns="http://schemas.openxmlformats.org/spreadsheetml/2006/main" count="644" uniqueCount="472">
  <si>
    <t>Beginning Balances</t>
  </si>
  <si>
    <t>Deposits</t>
  </si>
  <si>
    <t>Expenditures</t>
  </si>
  <si>
    <t>Ending Balance</t>
  </si>
  <si>
    <t>Operating Account</t>
  </si>
  <si>
    <t>Regular Restricted</t>
  </si>
  <si>
    <t>Special Restricted</t>
  </si>
  <si>
    <t>January</t>
  </si>
  <si>
    <t>February</t>
  </si>
  <si>
    <t>March</t>
  </si>
  <si>
    <t>Total</t>
  </si>
  <si>
    <t>Financial Secretary</t>
  </si>
  <si>
    <t>Treasurer Deposits</t>
  </si>
  <si>
    <t>Difference</t>
  </si>
  <si>
    <t>Treasurer deposit includes PayPal transfer</t>
  </si>
  <si>
    <t>Treasurer's Report</t>
  </si>
  <si>
    <t>Columbia MD Chapter of The Links. Incorporated</t>
  </si>
  <si>
    <t>Unrestricted  - Operations</t>
  </si>
  <si>
    <t>Monthly Financial Report</t>
  </si>
  <si>
    <t>April 1, 2024 - April  30, 2024</t>
  </si>
  <si>
    <t>Balance Brought Forward March 31, 2024</t>
  </si>
  <si>
    <t>Income/Receipts</t>
  </si>
  <si>
    <t>Various</t>
  </si>
  <si>
    <t>Dues</t>
  </si>
  <si>
    <t>Transfer from RR Account</t>
  </si>
  <si>
    <t>Total Deposits and Interest</t>
  </si>
  <si>
    <t>Total Income/Receipts</t>
  </si>
  <si>
    <t>Date</t>
  </si>
  <si>
    <t>Check #</t>
  </si>
  <si>
    <t>Payee</t>
  </si>
  <si>
    <t>Purpose</t>
  </si>
  <si>
    <t>Amount</t>
  </si>
  <si>
    <t>Debit Card</t>
  </si>
  <si>
    <t>Mailchimp</t>
  </si>
  <si>
    <t>Subscription fee</t>
  </si>
  <si>
    <t>ACH</t>
  </si>
  <si>
    <t>The Links Foundation</t>
  </si>
  <si>
    <t>Member dues</t>
  </si>
  <si>
    <t>Need Voucher</t>
  </si>
  <si>
    <t>M&amp;T Bank</t>
  </si>
  <si>
    <t>Service Chg</t>
  </si>
  <si>
    <t>The Links Inc.</t>
  </si>
  <si>
    <t>R. Clay Assembly registration</t>
  </si>
  <si>
    <t>Shaydra Robinson</t>
  </si>
  <si>
    <t>Deposit for caterer-May meeting</t>
  </si>
  <si>
    <t>Vivian M. Lawyer</t>
  </si>
  <si>
    <t>Kindness Food Pantry Donation</t>
  </si>
  <si>
    <t>Lisa Cooper-Lucas</t>
  </si>
  <si>
    <t>April hostess fees</t>
  </si>
  <si>
    <t>Abrahms, Foster, Nole &amp; Williams</t>
  </si>
  <si>
    <t>Form 990 prep - FY2023</t>
  </si>
  <si>
    <t>Elizabeth C. Adams</t>
  </si>
  <si>
    <t>Reimbursement-Dues overpayment</t>
  </si>
  <si>
    <t>Germaine B. Leftridge</t>
  </si>
  <si>
    <t>Chinyere Watson</t>
  </si>
  <si>
    <t>Carol Brown Jackson</t>
  </si>
  <si>
    <t>Candace D. Reed</t>
  </si>
  <si>
    <t>Total Expenditures</t>
  </si>
  <si>
    <t>Ending Book Balance</t>
  </si>
  <si>
    <t>FY 2024 Remaining Budget Balance</t>
  </si>
  <si>
    <t>FY 25 Dues</t>
  </si>
  <si>
    <t>Due From SR Account</t>
  </si>
  <si>
    <t>Due To RR Account</t>
  </si>
  <si>
    <t>Operating Overage</t>
  </si>
  <si>
    <t>Fabulous Brooch</t>
  </si>
  <si>
    <t>Pins for event</t>
  </si>
  <si>
    <t>Events Wholesale</t>
  </si>
  <si>
    <t>Vases for tables</t>
  </si>
  <si>
    <t>Deposit for photographer</t>
  </si>
  <si>
    <t>Bradenton (FL) County</t>
  </si>
  <si>
    <t>Link Cestaine transfer dues</t>
  </si>
  <si>
    <t>Putting on the Ritz</t>
  </si>
  <si>
    <t>Deposit EA Director Reception</t>
  </si>
  <si>
    <t>Extraodinary Entertainment</t>
  </si>
  <si>
    <t>Deposit - Photobooth</t>
  </si>
  <si>
    <t>2nd Payment EA Director Reception</t>
  </si>
  <si>
    <t>Highstarr</t>
  </si>
  <si>
    <t>Jazz brunch - copy and print services</t>
  </si>
  <si>
    <t>Rebecca Reed</t>
  </si>
  <si>
    <t>Flowers for EAD reception</t>
  </si>
  <si>
    <t>EAD Reception</t>
  </si>
  <si>
    <t>Annapolis (MD) Chapter</t>
  </si>
  <si>
    <t>W.Nelson dues transfer</t>
  </si>
  <si>
    <t>Wanda Nelson</t>
  </si>
  <si>
    <t>Return of Hostess fees</t>
  </si>
  <si>
    <t>Available Overage</t>
  </si>
  <si>
    <t>Due from Fundraising</t>
  </si>
  <si>
    <t>August Treasurer's Deposit to Chapter Account</t>
  </si>
  <si>
    <t>September Treasurer's Deposit to Chapter Account</t>
  </si>
  <si>
    <t>August tranmissions to the Foundation</t>
  </si>
  <si>
    <t>September transmissions to the Foundation</t>
  </si>
  <si>
    <t>October Treasurer's Deposit to the Chapter Account</t>
  </si>
  <si>
    <t>October transmissions to the Foundation</t>
  </si>
  <si>
    <t>November Treasurer's Deposit to the Chapter Accounts</t>
  </si>
  <si>
    <t>November transmissions to the Foundation</t>
  </si>
  <si>
    <t>EventBrite</t>
  </si>
  <si>
    <t>December Treasurer's Deposit to the Chapter Accounts</t>
  </si>
  <si>
    <t>December transmissions to the Foundation</t>
  </si>
  <si>
    <t>January Treasurer's Deposit to the Chapter Accounts</t>
  </si>
  <si>
    <t>January transmissions to the Foundation</t>
  </si>
  <si>
    <t>February Treasurer's Deposit to the Chapter Accounts</t>
  </si>
  <si>
    <t>February transmissions to the Foundation</t>
  </si>
  <si>
    <t>March Treasurer's Deposit to the Chapter Accounts</t>
  </si>
  <si>
    <t>April Treasurer's Deposit to the Chapter Accounts</t>
  </si>
  <si>
    <t>April transmissions to the Foundation</t>
  </si>
  <si>
    <t>May Treasurer's Deposit to the Chapter Accounts</t>
  </si>
  <si>
    <t>Total Deposits through April</t>
  </si>
  <si>
    <t>Financial Secretary's August Report</t>
  </si>
  <si>
    <t>Financial Secretary's September Report</t>
  </si>
  <si>
    <t>Financial Secretary's October Report</t>
  </si>
  <si>
    <t>Financial Secretary's November Report</t>
  </si>
  <si>
    <t>Financial Secretary's December Report</t>
  </si>
  <si>
    <t>Financial Secretary's January Report</t>
  </si>
  <si>
    <t>Financial Secretary's February Report</t>
  </si>
  <si>
    <t>Financial Secretary's March Report</t>
  </si>
  <si>
    <t>Missing 3500 to Foundation</t>
  </si>
  <si>
    <t>Financial Secretary's April Report</t>
  </si>
  <si>
    <t>Regular Restricted  - Programs</t>
  </si>
  <si>
    <t>Regular Restricted Account</t>
  </si>
  <si>
    <t xml:space="preserve">  Deposits</t>
  </si>
  <si>
    <t>Black Kare Grant</t>
  </si>
  <si>
    <t>1147</t>
  </si>
  <si>
    <t>Lisa H. Carter</t>
  </si>
  <si>
    <t>Black KARE gift cards</t>
  </si>
  <si>
    <t>1148</t>
  </si>
  <si>
    <t>National Kidney Foundation</t>
  </si>
  <si>
    <t>Black KARE screenings</t>
  </si>
  <si>
    <t>1149</t>
  </si>
  <si>
    <t>G. Sanford Group, LLC</t>
  </si>
  <si>
    <t>Black KARE books</t>
  </si>
  <si>
    <t>1150</t>
  </si>
  <si>
    <t>AACR</t>
  </si>
  <si>
    <t>Black KARE donation</t>
  </si>
  <si>
    <t>Electronic Pymt</t>
  </si>
  <si>
    <t>Infinite Motion X LLC</t>
  </si>
  <si>
    <t>Black KARE photographer</t>
  </si>
  <si>
    <t>1151</t>
  </si>
  <si>
    <t>Dennis Rhinehart</t>
  </si>
  <si>
    <t>Grassroots fish fry</t>
  </si>
  <si>
    <t>Transfer</t>
  </si>
  <si>
    <t>Operating Acct</t>
  </si>
  <si>
    <t>Transfer to Operating Account</t>
  </si>
  <si>
    <t>1152</t>
  </si>
  <si>
    <t>Audra Nixon</t>
  </si>
  <si>
    <t>Horizon Foundation grant - Mental Health Forum</t>
  </si>
  <si>
    <t>1153</t>
  </si>
  <si>
    <t>Rhonda Ricks</t>
  </si>
  <si>
    <t>Labels</t>
  </si>
  <si>
    <t>1154</t>
  </si>
  <si>
    <t>Logan Forrest</t>
  </si>
  <si>
    <t>Special scholarship award</t>
  </si>
  <si>
    <t>1155</t>
  </si>
  <si>
    <t>HoCo Public Schools</t>
  </si>
  <si>
    <t>MESA</t>
  </si>
  <si>
    <t>1156</t>
  </si>
  <si>
    <t>Rochelle M Conway</t>
  </si>
  <si>
    <t>Grassroots gift cards</t>
  </si>
  <si>
    <t>Adj.</t>
  </si>
  <si>
    <t>Write off</t>
  </si>
  <si>
    <t>Stale checks</t>
  </si>
  <si>
    <t>Special Restricted  - Fundraising</t>
  </si>
  <si>
    <t>Special Restricted Account</t>
  </si>
  <si>
    <t>Columbia MD Chapter of The Links, Inc.</t>
  </si>
  <si>
    <t>2021-2022 Actuals against Budget</t>
  </si>
  <si>
    <t>Operating (Unrestricted Account)</t>
  </si>
  <si>
    <t>Budget</t>
  </si>
  <si>
    <t>May 2023</t>
  </si>
  <si>
    <t>June 2023</t>
  </si>
  <si>
    <t>July 2023</t>
  </si>
  <si>
    <t>Aug 2023</t>
  </si>
  <si>
    <t>Sept 2023</t>
  </si>
  <si>
    <t>Oct 2023</t>
  </si>
  <si>
    <t>Nov 2023</t>
  </si>
  <si>
    <t>Dec 2023</t>
  </si>
  <si>
    <t>Jan 2024</t>
  </si>
  <si>
    <t>Feb 2024</t>
  </si>
  <si>
    <t>Mar 2024</t>
  </si>
  <si>
    <t>April 2024</t>
  </si>
  <si>
    <t>Remaining Against Budget</t>
  </si>
  <si>
    <t>Income</t>
  </si>
  <si>
    <t>Chapter Dues @ $200 (53 members)</t>
  </si>
  <si>
    <t>Hostess Fees @ $0 - Chapter Meeting Expenses</t>
  </si>
  <si>
    <t>$0 chapter meetings</t>
  </si>
  <si>
    <t>Expenses</t>
  </si>
  <si>
    <t>Delegate National Assembly</t>
  </si>
  <si>
    <t>Alternate Delegate National Assembly</t>
  </si>
  <si>
    <t>Ads</t>
  </si>
  <si>
    <t>African American Community Roundtable</t>
  </si>
  <si>
    <t>Archives</t>
  </si>
  <si>
    <t>Bank Fees</t>
  </si>
  <si>
    <t>Bonding Fee</t>
  </si>
  <si>
    <t>Charitable Contributions</t>
  </si>
  <si>
    <t>External Auditor</t>
  </si>
  <si>
    <t>Finance Committee</t>
  </si>
  <si>
    <t>Heir-O-Links</t>
  </si>
  <si>
    <t>Hospitality</t>
  </si>
  <si>
    <t>Membership Committee</t>
  </si>
  <si>
    <t>Post Office Box</t>
  </si>
  <si>
    <t>President's Operating Expenses</t>
  </si>
  <si>
    <t>Printing and Postage</t>
  </si>
  <si>
    <t>Protocol and Rituals</t>
  </si>
  <si>
    <t>Columbia Chapter Retreat</t>
  </si>
  <si>
    <t>Scholarship Committee</t>
  </si>
  <si>
    <t>Supplies</t>
  </si>
  <si>
    <t>Strategic Planning</t>
  </si>
  <si>
    <t>Technology</t>
  </si>
  <si>
    <t>Accounting Quickbooks/annual</t>
  </si>
  <si>
    <t>Friendship Activity</t>
  </si>
  <si>
    <t>Conferences or Programming</t>
  </si>
  <si>
    <t>Marketing (Includes $500 from the Horizon Foundation)</t>
  </si>
  <si>
    <t>Chapter Website</t>
  </si>
  <si>
    <t>Conference and Assembly</t>
  </si>
  <si>
    <t>Hostess Costs</t>
  </si>
  <si>
    <t>Final</t>
  </si>
  <si>
    <t>Health and Human Services Facet - Horizon Foundation Grant</t>
  </si>
  <si>
    <t>Total costs applied to Overage</t>
  </si>
  <si>
    <t>Total Applied to Overage</t>
  </si>
  <si>
    <t>Columbia MD Chapter of the Links, Inc.</t>
  </si>
  <si>
    <t>2023-2024 Actuals against Budget</t>
  </si>
  <si>
    <t>Programming-Restricted</t>
  </si>
  <si>
    <t>Amended Budget</t>
  </si>
  <si>
    <t>Arts Facet</t>
  </si>
  <si>
    <t>Peabody Donation</t>
  </si>
  <si>
    <t>Health and Human Services Facet</t>
  </si>
  <si>
    <t>International Trends Facet</t>
  </si>
  <si>
    <t>National Trends Facet</t>
  </si>
  <si>
    <t>Peabody Concert Expenses</t>
  </si>
  <si>
    <t xml:space="preserve">Services to Youth Facet </t>
  </si>
  <si>
    <t xml:space="preserve">      Scholarships </t>
  </si>
  <si>
    <t xml:space="preserve">      MESA</t>
  </si>
  <si>
    <t xml:space="preserve">      Other Programming</t>
  </si>
  <si>
    <t xml:space="preserve">      HBCU Contribution</t>
  </si>
  <si>
    <t>Diabetes Grant</t>
  </si>
  <si>
    <t>Black KARE</t>
  </si>
  <si>
    <t>Summary of Program/Scholarship Cash Available</t>
  </si>
  <si>
    <t>Regular Restricted Ending Balance 04/30/2024</t>
  </si>
  <si>
    <t>Deferred to FY2025 from September</t>
  </si>
  <si>
    <t>Deferred to FY2025 From August</t>
  </si>
  <si>
    <t>Less: Outstanding Budget</t>
  </si>
  <si>
    <t>Deposit from Foundation</t>
  </si>
  <si>
    <t>Peabody FY2023</t>
  </si>
  <si>
    <t>Required Deposit from Foundation</t>
  </si>
  <si>
    <t>For Scholarships</t>
  </si>
  <si>
    <t>Earmarked for Scholarships</t>
  </si>
  <si>
    <t>Earmarked for HHS</t>
  </si>
  <si>
    <t>Earmarked for STY Diabeties grant</t>
  </si>
  <si>
    <t>Due - 2nd Black KARE payment</t>
  </si>
  <si>
    <t>Due From Foundation for FY2025</t>
  </si>
  <si>
    <t>Due from Operating</t>
  </si>
  <si>
    <t>Available Funds in the Regular Restricted account</t>
  </si>
  <si>
    <t>Approved Scholarship Schedule</t>
  </si>
  <si>
    <t>Links Fiscal Year</t>
  </si>
  <si>
    <t>Award Date</t>
  </si>
  <si>
    <t>Student School Year</t>
  </si>
  <si>
    <t>5/1/18-4/30/19</t>
  </si>
  <si>
    <t>5/1/19-4/30/20</t>
  </si>
  <si>
    <t>5/1/22-4/30/23</t>
  </si>
  <si>
    <t>5/1/23-4/30/24</t>
  </si>
  <si>
    <t>5/1/24-4/30/25</t>
  </si>
  <si>
    <t>5/1/25-4/30/26</t>
  </si>
  <si>
    <t>5/1/26-4/30/27</t>
  </si>
  <si>
    <t>5/1/27-4/30/28</t>
  </si>
  <si>
    <t>2017 - Award Recipient</t>
  </si>
  <si>
    <t>Year 4 of 4</t>
  </si>
  <si>
    <t>K.Purdue</t>
  </si>
  <si>
    <t>HBCU Scholarship</t>
  </si>
  <si>
    <t>2017 - 2021</t>
  </si>
  <si>
    <t>2021 Award Recipient</t>
  </si>
  <si>
    <t>E. Harris</t>
  </si>
  <si>
    <t>Non-HBCU</t>
  </si>
  <si>
    <t>4/2021</t>
  </si>
  <si>
    <t>2021 - 2025</t>
  </si>
  <si>
    <t>C. Young</t>
  </si>
  <si>
    <t>Total End of FY21</t>
  </si>
  <si>
    <t>2022 Award Recipient</t>
  </si>
  <si>
    <t>Year 3 of 4</t>
  </si>
  <si>
    <t>McKenzie Carter</t>
  </si>
  <si>
    <t>4/2022</t>
  </si>
  <si>
    <t>2022 - 2026</t>
  </si>
  <si>
    <t>Evan Spann**</t>
  </si>
  <si>
    <t>Total End of FY22</t>
  </si>
  <si>
    <t xml:space="preserve"> </t>
  </si>
  <si>
    <t>2023 Award Recipient</t>
  </si>
  <si>
    <t>Year 2 of 4</t>
  </si>
  <si>
    <t>Sydnee Cobb</t>
  </si>
  <si>
    <t>4/2023</t>
  </si>
  <si>
    <t>2023 - 2027</t>
  </si>
  <si>
    <t>Xavier Manigault</t>
  </si>
  <si>
    <t>Special Award</t>
  </si>
  <si>
    <t>N/A</t>
  </si>
  <si>
    <t>Total End of FY23</t>
  </si>
  <si>
    <t>2024 Award Recipient</t>
  </si>
  <si>
    <t>Year 1 of 4</t>
  </si>
  <si>
    <t>Danielle Nelson</t>
  </si>
  <si>
    <t>4/2024</t>
  </si>
  <si>
    <t>2024 - 2028</t>
  </si>
  <si>
    <t>Zaiden Meadows</t>
  </si>
  <si>
    <t>Total End of FY24</t>
  </si>
  <si>
    <t>2025 Award Recipient</t>
  </si>
  <si>
    <t>XX</t>
  </si>
  <si>
    <t>2025 - 2029</t>
  </si>
  <si>
    <t>Scelene Kenneth</t>
  </si>
  <si>
    <t>HCC</t>
  </si>
  <si>
    <t>2025 - 2027</t>
  </si>
  <si>
    <t>Total End of FY25</t>
  </si>
  <si>
    <t>Remaining Amount Obligated</t>
  </si>
  <si>
    <t>Pd 7/10/2023</t>
  </si>
  <si>
    <t>Pd from FY24</t>
  </si>
  <si>
    <t>+</t>
  </si>
  <si>
    <t>Foundation Summary</t>
  </si>
  <si>
    <t xml:space="preserve">Beginning Balance </t>
  </si>
  <si>
    <t>Due For Existing Scholarship Obligation</t>
  </si>
  <si>
    <t>Due From Foundation for Peabody</t>
  </si>
  <si>
    <t>Available</t>
  </si>
  <si>
    <t>Balances @ December 31, 2022</t>
  </si>
  <si>
    <t>Operating</t>
  </si>
  <si>
    <t>Regular Restricted Balance 12/31/22</t>
  </si>
  <si>
    <t>FY23 Operating Transfer</t>
  </si>
  <si>
    <t>FY23 Scholarship Payment due 4/30/23</t>
  </si>
  <si>
    <t>Budget Balance - Programs FY23</t>
  </si>
  <si>
    <t>Remaining Scholarship Funds due</t>
  </si>
  <si>
    <t>$27,500 From Foundation</t>
  </si>
  <si>
    <t>Scholarship Payment Schedule</t>
  </si>
  <si>
    <t>FY23</t>
  </si>
  <si>
    <t>FY 23 - FY25</t>
  </si>
  <si>
    <t>Total Scholarship Obligation</t>
  </si>
  <si>
    <t>Beginning Balance @ November 30, 2023</t>
  </si>
  <si>
    <t>December transmittal</t>
  </si>
  <si>
    <t>Requested for FY22/23 Peabody concert</t>
  </si>
  <si>
    <t>Requested for remaining fundraising expenses</t>
  </si>
  <si>
    <t>Earmarked For Existing Scholarship Obligation - To be requested</t>
  </si>
  <si>
    <t>Earmarked For FY2025 budget - To be requested</t>
  </si>
  <si>
    <t>$19500 went directly into Chapter program account</t>
  </si>
  <si>
    <t>Balance</t>
  </si>
  <si>
    <t>18th &amp; 21st</t>
  </si>
  <si>
    <t>Revenue:</t>
  </si>
  <si>
    <t>Paid directly to Foundation</t>
  </si>
  <si>
    <t>Checks received May Meeting</t>
  </si>
  <si>
    <t>Form 300 sent to Foundation</t>
  </si>
  <si>
    <t>Checks received at event</t>
  </si>
  <si>
    <t>Donations received at event</t>
  </si>
  <si>
    <t>Directly deposited to Fundraising account</t>
  </si>
  <si>
    <t>Total Revenue 18th &amp; 21st</t>
  </si>
  <si>
    <t>Expenses:</t>
  </si>
  <si>
    <t>Flyers</t>
  </si>
  <si>
    <t>Fabric for Pins</t>
  </si>
  <si>
    <t>Total Expenses 18th &amp; 21st</t>
  </si>
  <si>
    <t>Net Profit</t>
  </si>
  <si>
    <t>Seed Reserve</t>
  </si>
  <si>
    <t>Available for Scholarships</t>
  </si>
  <si>
    <t>EA Reception - December 9th 11am - 2pm </t>
  </si>
  <si>
    <t> Ten Oaks Fee ($400 will be returned) </t>
  </si>
  <si>
    <t> Putting on the Ritz </t>
  </si>
  <si>
    <t> Bouquet </t>
  </si>
  <si>
    <t> Photographer (Link Michelle's son??) </t>
  </si>
  <si>
    <t> Misc. (Poinsettia Centerpieces) </t>
  </si>
  <si>
    <t> Sub-Total </t>
  </si>
  <si>
    <t> Return of security deposit </t>
  </si>
  <si>
    <t> Total </t>
  </si>
  <si>
    <t>EA Reception</t>
  </si>
  <si>
    <t>Overage ($4,000 approved)</t>
  </si>
  <si>
    <t>Collected</t>
  </si>
  <si>
    <t>Total Available</t>
  </si>
  <si>
    <t>Lucinda Marie Ware</t>
  </si>
  <si>
    <t>Flowers - EA Director Reception for Link Lisa L. Lomas</t>
  </si>
  <si>
    <t>Regina Little Hollis</t>
  </si>
  <si>
    <t>Cattail Creek expenses - EA Director Reception for Link Lisa L. Lomas</t>
  </si>
  <si>
    <t>Cupcakes</t>
  </si>
  <si>
    <t>Regina Clay</t>
  </si>
  <si>
    <t>Suitcase gift for Lisa L. Lomas</t>
  </si>
  <si>
    <t>K. Michelle Sterrett</t>
  </si>
  <si>
    <t>Photographer EAD receptions</t>
  </si>
  <si>
    <t xml:space="preserve">  Total Expenditures</t>
  </si>
  <si>
    <t>Friendship Activities</t>
  </si>
  <si>
    <t>Friendship/Member Budget</t>
  </si>
  <si>
    <t>Robin L. Steele</t>
  </si>
  <si>
    <t>Deposit Dive Bar and Grille - Friendship Brunch</t>
  </si>
  <si>
    <t>Dive Bar and Grille</t>
  </si>
  <si>
    <t>Friendship brunch - final payment</t>
  </si>
  <si>
    <t>Robin Steele</t>
  </si>
  <si>
    <t>40 Flower Pins Friendship brunch</t>
  </si>
  <si>
    <t>AIDA's Bistro</t>
  </si>
  <si>
    <t>Holiday Social</t>
  </si>
  <si>
    <t>Peabody Concert</t>
  </si>
  <si>
    <t>From Foundation</t>
  </si>
  <si>
    <t>Arts Budget</t>
  </si>
  <si>
    <t>Catering</t>
  </si>
  <si>
    <t>Drapes</t>
  </si>
  <si>
    <t>Printing - Programs</t>
  </si>
  <si>
    <t>Student Payments</t>
  </si>
  <si>
    <t>C. Green</t>
  </si>
  <si>
    <t>Printing - Invitations/Postcards</t>
  </si>
  <si>
    <t xml:space="preserve">  Overage</t>
  </si>
  <si>
    <t>Women"s History Month Celebration</t>
  </si>
  <si>
    <t>The Kings Contrivance</t>
  </si>
  <si>
    <t>Women's History Month Celebration</t>
  </si>
  <si>
    <t>Columbia, MD Chapter of The Links, Inc.</t>
  </si>
  <si>
    <t>Transaction Report</t>
  </si>
  <si>
    <t>May 2022 - April 2023</t>
  </si>
  <si>
    <t>Transaction Type</t>
  </si>
  <si>
    <t>Num</t>
  </si>
  <si>
    <t>Name</t>
  </si>
  <si>
    <t>Memo/Description</t>
  </si>
  <si>
    <t>Account</t>
  </si>
  <si>
    <t>Split</t>
  </si>
  <si>
    <t>Operations</t>
  </si>
  <si>
    <t xml:space="preserve">   Other Misc (Overage)</t>
  </si>
  <si>
    <t xml:space="preserve">      Operations</t>
  </si>
  <si>
    <t xml:space="preserve">         General Operations</t>
  </si>
  <si>
    <t>09/09/2022</t>
  </si>
  <si>
    <t>Check</t>
  </si>
  <si>
    <t>Shaydra Robinson (vendor)</t>
  </si>
  <si>
    <t>Strategic Planning Session 2 - Lunch</t>
  </si>
  <si>
    <t>6199 Operations:Other Misc (Overage)</t>
  </si>
  <si>
    <t>1030 M&amp;T - Operating-1645</t>
  </si>
  <si>
    <t>02/02/2023</t>
  </si>
  <si>
    <t>Sharon Pinder</t>
  </si>
  <si>
    <t>Advertisements</t>
  </si>
  <si>
    <t>04/30/2023</t>
  </si>
  <si>
    <t>Journal Entry</t>
  </si>
  <si>
    <t>FoundationBalance</t>
  </si>
  <si>
    <t>Foundation Fees</t>
  </si>
  <si>
    <t>-Split-</t>
  </si>
  <si>
    <t xml:space="preserve">         Total for General Operations</t>
  </si>
  <si>
    <t xml:space="preserve">         Other Events</t>
  </si>
  <si>
    <t xml:space="preserve">            EA Reception</t>
  </si>
  <si>
    <t>09/24/2022</t>
  </si>
  <si>
    <t>Lucinda Marie Ware (Vendor)</t>
  </si>
  <si>
    <t>Flowers for Lisa Loury Lomas' EA Reception</t>
  </si>
  <si>
    <t>09/27/2022</t>
  </si>
  <si>
    <t>Regina Little Hollis (vendor)</t>
  </si>
  <si>
    <t>Cattail Creek expenses for Lisa Loury Lomas' EA Reception</t>
  </si>
  <si>
    <t>Cupcakes for Lisa Loury Lomas' EA Reception</t>
  </si>
  <si>
    <t>11/29/2022</t>
  </si>
  <si>
    <t>Suitcase Gift for Lisa L. Lomas</t>
  </si>
  <si>
    <t>Michelle Sterrett (Vendor)</t>
  </si>
  <si>
    <t>Photographer for EA Reception</t>
  </si>
  <si>
    <t xml:space="preserve">            Total for EA Reception</t>
  </si>
  <si>
    <t xml:space="preserve">         Total for Other Events</t>
  </si>
  <si>
    <t xml:space="preserve">         Overage</t>
  </si>
  <si>
    <t>06/13/2022</t>
  </si>
  <si>
    <t>Chesapeake Cluster</t>
  </si>
  <si>
    <t>Chesapeake Cluster - National Assembly requirement</t>
  </si>
  <si>
    <t>Lisa Cooper Lucas</t>
  </si>
  <si>
    <t>Assembly Conference Special Meeting</t>
  </si>
  <si>
    <t>02/11/2023</t>
  </si>
  <si>
    <t>EA Leadership Summit</t>
  </si>
  <si>
    <t>03/31/2023</t>
  </si>
  <si>
    <t>Expenditure</t>
  </si>
  <si>
    <t>The Links Incorporated</t>
  </si>
  <si>
    <t>EA Conference Chapter Ad</t>
  </si>
  <si>
    <t>04/03/2023</t>
  </si>
  <si>
    <t>MDJ Design</t>
  </si>
  <si>
    <t>Ad Design - Approved by Chapter</t>
  </si>
  <si>
    <t>EA Conference  Ad</t>
  </si>
  <si>
    <t>Harbor City (MD) Chapter</t>
  </si>
  <si>
    <t>BlackFamily Wellness Expo</t>
  </si>
  <si>
    <t xml:space="preserve">         Total for Overage</t>
  </si>
  <si>
    <t xml:space="preserve">      Total for Operations</t>
  </si>
  <si>
    <t xml:space="preserve">      Restricted/Programs</t>
  </si>
  <si>
    <t xml:space="preserve">         Peabody</t>
  </si>
  <si>
    <t xml:space="preserve">            Concert Expenses</t>
  </si>
  <si>
    <t>02/27/2023</t>
  </si>
  <si>
    <t>Dana Holt</t>
  </si>
  <si>
    <t>Drapery for Concert</t>
  </si>
  <si>
    <t xml:space="preserve">            Total for Concert Expenses</t>
  </si>
  <si>
    <t xml:space="preserve">         Total for Peabody</t>
  </si>
  <si>
    <t xml:space="preserve">      Total for Restricted/Programs</t>
  </si>
  <si>
    <t xml:space="preserve">   Total for Other Misc (Overage)</t>
  </si>
  <si>
    <t>Total for Operations</t>
  </si>
  <si>
    <t>TOTAL</t>
  </si>
  <si>
    <t>Sunday, Aug 27, 2023 09:13:21 AM GMT-7 - Accrual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</si>
</sst>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"/>
    <numFmt numFmtId="165" formatCode="&quot; &quot;&quot;$&quot;* #,##0.00&quot; &quot;;&quot; &quot;&quot;$&quot;* \(#,##0.00\);&quot; &quot;&quot;$&quot;* &quot;-&quot;??&quot; &quot;"/>
    <numFmt numFmtId="166" formatCode="&quot;$&quot;#,##0.00&quot; &quot;;\(&quot;$&quot;#,##0.00\)"/>
    <numFmt numFmtId="167" formatCode="#,##0.00\ _€"/>
    <numFmt numFmtId="168" formatCode="&quot;$&quot;* #,##0.00\ _€"/>
  </numFmts>
  <fonts count="2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i/>
      <sz val="10"/>
      <color rgb="FF000000"/>
      <name val="Calibri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Calibri"/>
      <family val="2"/>
    </font>
    <font>
      <sz val="10"/>
      <color theme="2"/>
      <name val="Calibri"/>
      <family val="2"/>
      <scheme val="minor"/>
    </font>
    <font>
      <sz val="10"/>
      <color rgb="FF1F1F1F"/>
      <name val="Calibri"/>
      <family val="2"/>
    </font>
    <font>
      <sz val="10"/>
      <color theme="0"/>
      <name val="Calibri"/>
      <family val="2"/>
      <scheme val="minor"/>
    </font>
    <font>
      <b/>
      <sz val="10"/>
      <color rgb="FF22222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31">
    <xf numFmtId="0" fontId="0" fillId="0" borderId="0" xfId="0"/>
    <xf numFmtId="49" fontId="1" fillId="0" borderId="0" xfId="0" applyNumberFormat="1" applyFont="1"/>
    <xf numFmtId="43" fontId="1" fillId="0" borderId="0" xfId="0" applyNumberFormat="1" applyFon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1" fillId="0" borderId="0" xfId="0" applyNumberFormat="1" applyFont="1"/>
    <xf numFmtId="44" fontId="2" fillId="0" borderId="0" xfId="0" applyNumberFormat="1" applyFont="1"/>
    <xf numFmtId="14" fontId="1" fillId="0" borderId="0" xfId="0" applyNumberFormat="1" applyFont="1"/>
    <xf numFmtId="0" fontId="5" fillId="0" borderId="0" xfId="0" applyFont="1"/>
    <xf numFmtId="14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43" fontId="5" fillId="0" borderId="0" xfId="0" applyNumberFormat="1" applyFont="1"/>
    <xf numFmtId="14" fontId="5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/>
    </xf>
    <xf numFmtId="43" fontId="2" fillId="0" borderId="1" xfId="0" applyNumberFormat="1" applyFont="1" applyBorder="1"/>
    <xf numFmtId="43" fontId="5" fillId="0" borderId="0" xfId="0" applyNumberFormat="1" applyFont="1" applyAlignment="1">
      <alignment vertical="center"/>
    </xf>
    <xf numFmtId="44" fontId="2" fillId="0" borderId="2" xfId="0" applyNumberFormat="1" applyFont="1" applyBorder="1"/>
    <xf numFmtId="0" fontId="5" fillId="0" borderId="0" xfId="0" applyFont="1" applyAlignment="1">
      <alignment vertical="center"/>
    </xf>
    <xf numFmtId="44" fontId="2" fillId="0" borderId="1" xfId="0" applyNumberFormat="1" applyFont="1" applyBorder="1"/>
    <xf numFmtId="0" fontId="9" fillId="0" borderId="7" xfId="0" applyFont="1" applyBorder="1" applyAlignment="1">
      <alignment horizontal="center" wrapText="1"/>
    </xf>
    <xf numFmtId="49" fontId="9" fillId="0" borderId="0" xfId="0" applyNumberFormat="1" applyFont="1" applyAlignment="1">
      <alignment horizontal="center"/>
    </xf>
    <xf numFmtId="49" fontId="12" fillId="0" borderId="0" xfId="0" applyNumberFormat="1" applyFont="1"/>
    <xf numFmtId="4" fontId="1" fillId="0" borderId="0" xfId="0" applyNumberFormat="1" applyFont="1"/>
    <xf numFmtId="43" fontId="1" fillId="2" borderId="0" xfId="0" applyNumberFormat="1" applyFont="1" applyFill="1"/>
    <xf numFmtId="43" fontId="10" fillId="2" borderId="0" xfId="0" applyNumberFormat="1" applyFont="1" applyFill="1"/>
    <xf numFmtId="43" fontId="1" fillId="0" borderId="2" xfId="0" applyNumberFormat="1" applyFont="1" applyBorder="1"/>
    <xf numFmtId="164" fontId="9" fillId="0" borderId="7" xfId="0" quotePrefix="1" applyNumberFormat="1" applyFont="1" applyBorder="1" applyAlignment="1">
      <alignment horizontal="center" wrapText="1"/>
    </xf>
    <xf numFmtId="164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43" fontId="1" fillId="0" borderId="0" xfId="0" applyNumberFormat="1" applyFont="1" applyAlignment="1">
      <alignment horizontal="right"/>
    </xf>
    <xf numFmtId="44" fontId="9" fillId="0" borderId="9" xfId="0" applyNumberFormat="1" applyFont="1" applyBorder="1" applyAlignment="1">
      <alignment horizontal="right"/>
    </xf>
    <xf numFmtId="43" fontId="6" fillId="0" borderId="0" xfId="0" applyNumberFormat="1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wrapText="1"/>
    </xf>
    <xf numFmtId="49" fontId="14" fillId="0" borderId="0" xfId="0" applyNumberFormat="1" applyFont="1" applyAlignment="1">
      <alignment horizontal="center" wrapText="1"/>
    </xf>
    <xf numFmtId="49" fontId="13" fillId="0" borderId="0" xfId="0" applyNumberFormat="1" applyFont="1"/>
    <xf numFmtId="49" fontId="13" fillId="0" borderId="0" xfId="0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49" fontId="14" fillId="0" borderId="0" xfId="0" applyNumberFormat="1" applyFont="1"/>
    <xf numFmtId="43" fontId="13" fillId="0" borderId="3" xfId="0" applyNumberFormat="1" applyFont="1" applyBorder="1"/>
    <xf numFmtId="165" fontId="14" fillId="0" borderId="0" xfId="0" applyNumberFormat="1" applyFont="1"/>
    <xf numFmtId="43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4" fontId="5" fillId="0" borderId="0" xfId="0" applyNumberFormat="1" applyFont="1"/>
    <xf numFmtId="43" fontId="1" fillId="0" borderId="10" xfId="0" applyNumberFormat="1" applyFont="1" applyBorder="1"/>
    <xf numFmtId="43" fontId="0" fillId="0" borderId="0" xfId="0" applyNumberFormat="1"/>
    <xf numFmtId="43" fontId="1" fillId="0" borderId="11" xfId="0" applyNumberFormat="1" applyFont="1" applyBorder="1"/>
    <xf numFmtId="165" fontId="13" fillId="0" borderId="0" xfId="0" applyNumberFormat="1" applyFont="1"/>
    <xf numFmtId="14" fontId="5" fillId="0" borderId="0" xfId="0" applyNumberFormat="1" applyFont="1" applyAlignment="1">
      <alignment wrapText="1"/>
    </xf>
    <xf numFmtId="49" fontId="5" fillId="0" borderId="0" xfId="0" quotePrefix="1" applyNumberFormat="1" applyFont="1"/>
    <xf numFmtId="44" fontId="9" fillId="0" borderId="8" xfId="0" applyNumberFormat="1" applyFont="1" applyBorder="1"/>
    <xf numFmtId="0" fontId="1" fillId="0" borderId="0" xfId="0" applyFont="1" applyAlignment="1">
      <alignment wrapText="1"/>
    </xf>
    <xf numFmtId="43" fontId="9" fillId="0" borderId="0" xfId="0" applyNumberFormat="1" applyFont="1" applyAlignment="1">
      <alignment horizontal="center"/>
    </xf>
    <xf numFmtId="0" fontId="12" fillId="0" borderId="0" xfId="0" applyFont="1"/>
    <xf numFmtId="43" fontId="9" fillId="0" borderId="0" xfId="0" applyNumberFormat="1" applyFont="1"/>
    <xf numFmtId="49" fontId="9" fillId="0" borderId="0" xfId="0" applyNumberFormat="1" applyFont="1"/>
    <xf numFmtId="8" fontId="1" fillId="0" borderId="0" xfId="0" applyNumberFormat="1" applyFont="1"/>
    <xf numFmtId="43" fontId="15" fillId="0" borderId="0" xfId="0" applyNumberFormat="1" applyFont="1"/>
    <xf numFmtId="0" fontId="5" fillId="0" borderId="0" xfId="0" applyFont="1" applyAlignment="1">
      <alignment wrapText="1"/>
    </xf>
    <xf numFmtId="0" fontId="16" fillId="0" borderId="0" xfId="0" applyFont="1"/>
    <xf numFmtId="43" fontId="16" fillId="0" borderId="0" xfId="0" applyNumberFormat="1" applyFont="1"/>
    <xf numFmtId="43" fontId="16" fillId="0" borderId="3" xfId="0" applyNumberFormat="1" applyFont="1" applyBorder="1"/>
    <xf numFmtId="0" fontId="6" fillId="0" borderId="0" xfId="0" applyFont="1"/>
    <xf numFmtId="0" fontId="0" fillId="0" borderId="12" xfId="0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4" xfId="0" applyFont="1" applyBorder="1"/>
    <xf numFmtId="43" fontId="1" fillId="0" borderId="14" xfId="0" applyNumberFormat="1" applyFont="1" applyBorder="1"/>
    <xf numFmtId="43" fontId="1" fillId="0" borderId="15" xfId="0" applyNumberFormat="1" applyFont="1" applyBorder="1"/>
    <xf numFmtId="43" fontId="1" fillId="0" borderId="16" xfId="0" applyNumberFormat="1" applyFont="1" applyBorder="1"/>
    <xf numFmtId="43" fontId="5" fillId="0" borderId="0" xfId="0" applyNumberFormat="1" applyFont="1" applyAlignment="1">
      <alignment vertical="center" wrapText="1"/>
    </xf>
    <xf numFmtId="16" fontId="5" fillId="0" borderId="0" xfId="0" applyNumberFormat="1" applyFont="1" applyAlignment="1">
      <alignment vertical="center" wrapText="1"/>
    </xf>
    <xf numFmtId="43" fontId="16" fillId="0" borderId="17" xfId="0" applyNumberFormat="1" applyFont="1" applyBorder="1"/>
    <xf numFmtId="43" fontId="0" fillId="0" borderId="2" xfId="0" applyNumberFormat="1" applyBorder="1"/>
    <xf numFmtId="44" fontId="0" fillId="0" borderId="0" xfId="0" applyNumberFormat="1"/>
    <xf numFmtId="43" fontId="1" fillId="0" borderId="19" xfId="0" applyNumberFormat="1" applyFont="1" applyBorder="1"/>
    <xf numFmtId="43" fontId="1" fillId="0" borderId="18" xfId="0" applyNumberFormat="1" applyFont="1" applyBorder="1"/>
    <xf numFmtId="0" fontId="16" fillId="0" borderId="20" xfId="0" applyFont="1" applyBorder="1" applyAlignment="1">
      <alignment horizontal="center" wrapText="1"/>
    </xf>
    <xf numFmtId="49" fontId="1" fillId="0" borderId="21" xfId="0" applyNumberFormat="1" applyFont="1" applyBorder="1"/>
    <xf numFmtId="44" fontId="5" fillId="0" borderId="0" xfId="0" applyNumberFormat="1" applyFont="1"/>
    <xf numFmtId="0" fontId="19" fillId="0" borderId="11" xfId="0" applyFont="1" applyBorder="1" applyAlignment="1">
      <alignment horizontal="center" wrapText="1"/>
    </xf>
    <xf numFmtId="0" fontId="20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  <xf numFmtId="167" fontId="21" fillId="0" borderId="0" xfId="0" applyNumberFormat="1" applyFont="1" applyAlignment="1">
      <alignment horizontal="right" wrapText="1"/>
    </xf>
    <xf numFmtId="0" fontId="21" fillId="0" borderId="0" xfId="0" quotePrefix="1" applyFont="1" applyAlignment="1">
      <alignment horizontal="left" wrapText="1"/>
    </xf>
    <xf numFmtId="168" fontId="20" fillId="0" borderId="17" xfId="0" applyNumberFormat="1" applyFont="1" applyBorder="1" applyAlignment="1">
      <alignment horizontal="right" wrapText="1"/>
    </xf>
    <xf numFmtId="43" fontId="0" fillId="0" borderId="3" xfId="0" applyNumberFormat="1" applyBorder="1"/>
    <xf numFmtId="43" fontId="0" fillId="0" borderId="17" xfId="0" applyNumberFormat="1" applyBorder="1"/>
    <xf numFmtId="49" fontId="5" fillId="0" borderId="0" xfId="0" quotePrefix="1" applyNumberFormat="1" applyFont="1" applyAlignment="1">
      <alignment horizontal="right"/>
    </xf>
    <xf numFmtId="0" fontId="22" fillId="0" borderId="0" xfId="0" applyFont="1"/>
    <xf numFmtId="0" fontId="22" fillId="0" borderId="0" xfId="0" applyFont="1" applyAlignment="1">
      <alignment horizontal="left" wrapText="1"/>
    </xf>
    <xf numFmtId="43" fontId="13" fillId="2" borderId="0" xfId="0" applyNumberFormat="1" applyFont="1" applyFill="1"/>
    <xf numFmtId="0" fontId="23" fillId="0" borderId="0" xfId="0" applyFont="1"/>
    <xf numFmtId="43" fontId="23" fillId="0" borderId="0" xfId="0" applyNumberFormat="1" applyFont="1" applyAlignment="1">
      <alignment horizontal="right"/>
    </xf>
    <xf numFmtId="43" fontId="23" fillId="0" borderId="0" xfId="0" applyNumberFormat="1" applyFont="1"/>
    <xf numFmtId="43" fontId="5" fillId="0" borderId="2" xfId="0" applyNumberFormat="1" applyFont="1" applyBorder="1" applyAlignment="1">
      <alignment vertical="center" wrapText="1"/>
    </xf>
    <xf numFmtId="43" fontId="5" fillId="0" borderId="3" xfId="0" applyNumberFormat="1" applyFont="1" applyBorder="1" applyAlignment="1">
      <alignment vertical="center" wrapText="1"/>
    </xf>
    <xf numFmtId="49" fontId="6" fillId="0" borderId="0" xfId="0" applyNumberFormat="1" applyFont="1"/>
    <xf numFmtId="43" fontId="2" fillId="0" borderId="0" xfId="0" applyNumberFormat="1" applyFont="1"/>
    <xf numFmtId="43" fontId="4" fillId="0" borderId="0" xfId="0" applyNumberFormat="1" applyFont="1"/>
    <xf numFmtId="0" fontId="1" fillId="0" borderId="0" xfId="0" applyFont="1" applyAlignment="1">
      <alignment horizontal="left"/>
    </xf>
    <xf numFmtId="0" fontId="24" fillId="0" borderId="0" xfId="0" applyFont="1"/>
    <xf numFmtId="0" fontId="25" fillId="0" borderId="0" xfId="0" applyFont="1"/>
    <xf numFmtId="0" fontId="26" fillId="3" borderId="0" xfId="0" applyFont="1" applyFill="1"/>
    <xf numFmtId="43" fontId="10" fillId="3" borderId="0" xfId="0" applyNumberFormat="1" applyFont="1" applyFill="1"/>
    <xf numFmtId="0" fontId="10" fillId="3" borderId="0" xfId="0" applyFont="1" applyFill="1"/>
    <xf numFmtId="43" fontId="10" fillId="3" borderId="8" xfId="0" applyNumberFormat="1" applyFont="1" applyFill="1" applyBorder="1"/>
    <xf numFmtId="43" fontId="10" fillId="3" borderId="22" xfId="0" applyNumberFormat="1" applyFont="1" applyFill="1" applyBorder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3" fontId="1" fillId="0" borderId="0" xfId="0" applyNumberFormat="1" applyFont="1" applyAlignment="1">
      <alignment horizontal="left"/>
    </xf>
    <xf numFmtId="44" fontId="2" fillId="0" borderId="10" xfId="0" applyNumberFormat="1" applyFont="1" applyBorder="1"/>
    <xf numFmtId="44" fontId="5" fillId="0" borderId="0" xfId="0" applyNumberFormat="1" applyFont="1" applyAlignment="1">
      <alignment vertical="center"/>
    </xf>
    <xf numFmtId="44" fontId="5" fillId="0" borderId="3" xfId="0" applyNumberFormat="1" applyFont="1" applyBorder="1" applyAlignment="1">
      <alignment vertical="center"/>
    </xf>
    <xf numFmtId="44" fontId="5" fillId="0" borderId="2" xfId="0" applyNumberFormat="1" applyFont="1" applyBorder="1" applyAlignment="1">
      <alignment horizontal="right" vertical="center" wrapText="1"/>
    </xf>
    <xf numFmtId="44" fontId="5" fillId="0" borderId="0" xfId="0" applyNumberFormat="1" applyFont="1" applyAlignment="1">
      <alignment horizontal="right" vertical="center" wrapText="1"/>
    </xf>
    <xf numFmtId="164" fontId="9" fillId="0" borderId="7" xfId="0" applyNumberFormat="1" applyFont="1" applyBorder="1" applyAlignment="1">
      <alignment horizontal="center" wrapText="1"/>
    </xf>
    <xf numFmtId="43" fontId="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9" fillId="0" borderId="4" xfId="0" applyFont="1" applyBorder="1" applyAlignment="1">
      <alignment horizontal="center" wrapText="1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1" fillId="0" borderId="5" xfId="0" applyFont="1" applyBorder="1" applyAlignment="1"/>
    <xf numFmtId="0" fontId="11" fillId="0" borderId="6" xfId="0" applyFont="1" applyBorder="1" applyAlignment="1"/>
    <xf numFmtId="0" fontId="0" fillId="0" borderId="0" xfId="0" applyAlignment="1"/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fe5c169079f8688/Documents/Links/Monthly%20Treasurer's%20Report_06302023.xlsx" TargetMode="External"/><Relationship Id="rId1" Type="http://schemas.openxmlformats.org/officeDocument/2006/relationships/externalLinkPath" Target="Monthly%20Treasurer's%20Report_063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Operating"/>
      <sheetName val="Regular Restricted"/>
      <sheetName val="Special Restricted"/>
      <sheetName val="Operating Budget"/>
      <sheetName val="Overage FY2023"/>
      <sheetName val="Program Budget"/>
      <sheetName val="Scholarships"/>
      <sheetName val="Foundation Summary"/>
      <sheetName val="Events"/>
    </sheetNames>
    <sheetDataSet>
      <sheetData sheetId="0"/>
      <sheetData sheetId="1">
        <row r="27">
          <cell r="E27">
            <v>84848.400000000009</v>
          </cell>
        </row>
        <row r="30">
          <cell r="E30">
            <v>-42200</v>
          </cell>
        </row>
      </sheetData>
      <sheetData sheetId="2">
        <row r="24">
          <cell r="E24">
            <v>26157.409999999996</v>
          </cell>
        </row>
      </sheetData>
      <sheetData sheetId="3">
        <row r="26">
          <cell r="E26">
            <v>3141.72</v>
          </cell>
        </row>
      </sheetData>
      <sheetData sheetId="4"/>
      <sheetData sheetId="5"/>
      <sheetData sheetId="6">
        <row r="18">
          <cell r="T18">
            <v>32067.67</v>
          </cell>
        </row>
      </sheetData>
      <sheetData sheetId="7">
        <row r="31">
          <cell r="I31">
            <v>20000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CCE3B-F551-4E52-AC30-E584E493AEDA}">
  <dimension ref="A1:F11"/>
  <sheetViews>
    <sheetView workbookViewId="0">
      <selection activeCell="C7" sqref="C7"/>
    </sheetView>
  </sheetViews>
  <sheetFormatPr defaultRowHeight="14.45"/>
  <cols>
    <col min="1" max="1" width="18.140625" customWidth="1"/>
    <col min="2" max="2" width="3.7109375" customWidth="1"/>
    <col min="3" max="3" width="11.140625" bestFit="1" customWidth="1"/>
    <col min="4" max="4" width="10.140625" bestFit="1" customWidth="1"/>
    <col min="5" max="5" width="12.85546875" customWidth="1"/>
    <col min="6" max="6" width="12.42578125" customWidth="1"/>
  </cols>
  <sheetData>
    <row r="1" spans="1:6" ht="28.9">
      <c r="C1" s="79" t="s">
        <v>0</v>
      </c>
      <c r="D1" s="79" t="s">
        <v>1</v>
      </c>
      <c r="E1" s="79" t="s">
        <v>2</v>
      </c>
      <c r="F1" s="79" t="s">
        <v>3</v>
      </c>
    </row>
    <row r="2" spans="1:6">
      <c r="A2" t="s">
        <v>4</v>
      </c>
      <c r="C2" s="76">
        <f>Operating!E8</f>
        <v>30717.08</v>
      </c>
      <c r="D2" s="48">
        <f>Operating!E14</f>
        <v>17921.510000000002</v>
      </c>
      <c r="E2" s="48">
        <f>Operating!E35</f>
        <v>-7664.2599999999993</v>
      </c>
      <c r="F2" s="48">
        <f>+C2+D2+E2</f>
        <v>40974.33</v>
      </c>
    </row>
    <row r="3" spans="1:6">
      <c r="A3" t="s">
        <v>5</v>
      </c>
      <c r="C3" s="76">
        <f>'Regular Restricted'!E15</f>
        <v>45368.21</v>
      </c>
      <c r="D3" s="48">
        <f>'Regular Restricted'!E14</f>
        <v>175.01</v>
      </c>
      <c r="E3" s="48">
        <f>'Regular Restricted'!E34</f>
        <v>-9858.19</v>
      </c>
      <c r="F3" s="48">
        <f>+C3+D3+E3</f>
        <v>35685.03</v>
      </c>
    </row>
    <row r="4" spans="1:6">
      <c r="A4" t="s">
        <v>6</v>
      </c>
      <c r="C4" s="76">
        <f>'Special Restricted'!E8</f>
        <v>7068.86</v>
      </c>
      <c r="D4" s="48">
        <f>'Special Restricted'!E12</f>
        <v>0</v>
      </c>
      <c r="E4" s="48">
        <f>'Special Restricted'!E19</f>
        <v>0</v>
      </c>
      <c r="F4" s="48">
        <f>+C4+D4+E4</f>
        <v>7068.86</v>
      </c>
    </row>
    <row r="5" spans="1:6" ht="15" thickBot="1"/>
    <row r="6" spans="1:6" s="9" customFormat="1" ht="15" thickBot="1">
      <c r="A6" s="66"/>
      <c r="C6" s="67" t="s">
        <v>7</v>
      </c>
      <c r="D6" s="67" t="s">
        <v>8</v>
      </c>
      <c r="E6" s="67" t="s">
        <v>9</v>
      </c>
      <c r="F6" s="67" t="s">
        <v>10</v>
      </c>
    </row>
    <row r="7" spans="1:6" s="9" customFormat="1" thickBot="1">
      <c r="A7" s="68" t="s">
        <v>11</v>
      </c>
      <c r="C7" s="69">
        <f>9007+4427.02</f>
        <v>13434.02</v>
      </c>
      <c r="D7" s="69">
        <f>28943.93+1261</f>
        <v>30204.93</v>
      </c>
      <c r="E7" s="69"/>
      <c r="F7" s="69">
        <f>+C7+D7+E7</f>
        <v>43638.95</v>
      </c>
    </row>
    <row r="8" spans="1:6" s="9" customFormat="1" thickBot="1">
      <c r="A8" s="68" t="s">
        <v>12</v>
      </c>
      <c r="C8" s="70">
        <v>9007</v>
      </c>
      <c r="D8" s="70">
        <f>4427.02+28943.93</f>
        <v>33370.949999999997</v>
      </c>
      <c r="E8" s="70">
        <v>1261</v>
      </c>
      <c r="F8" s="78">
        <f>+C8+D8+E8</f>
        <v>43638.95</v>
      </c>
    </row>
    <row r="9" spans="1:6" s="9" customFormat="1" thickBot="1">
      <c r="A9" s="68" t="s">
        <v>13</v>
      </c>
      <c r="C9" s="71">
        <f>+C8-C7</f>
        <v>-4427.0200000000004</v>
      </c>
      <c r="D9" s="71">
        <f>+D8-D7</f>
        <v>3166.0199999999968</v>
      </c>
      <c r="E9" s="71">
        <f>+E8-E7</f>
        <v>1261</v>
      </c>
      <c r="F9" s="77">
        <f>+F8-F7</f>
        <v>0</v>
      </c>
    </row>
    <row r="11" spans="1:6">
      <c r="A11" s="3" t="s">
        <v>14</v>
      </c>
    </row>
  </sheetData>
  <pageMargins left="1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54FE0-63FB-4C44-B242-18D106E4BEF5}">
  <dimension ref="A1:J32"/>
  <sheetViews>
    <sheetView topLeftCell="A3" workbookViewId="0">
      <selection activeCell="D4" sqref="D4"/>
    </sheetView>
  </sheetViews>
  <sheetFormatPr defaultRowHeight="14.45"/>
  <cols>
    <col min="1" max="1" width="18.5703125" customWidth="1"/>
    <col min="4" max="4" width="10.140625" style="48" bestFit="1" customWidth="1"/>
    <col min="9" max="10" width="9.140625" bestFit="1" customWidth="1"/>
  </cols>
  <sheetData>
    <row r="1" spans="1:10">
      <c r="A1" s="62" t="s">
        <v>334</v>
      </c>
      <c r="C1" s="48"/>
    </row>
    <row r="2" spans="1:10">
      <c r="A2" s="62" t="s">
        <v>335</v>
      </c>
    </row>
    <row r="3" spans="1:10">
      <c r="A3" t="s">
        <v>95</v>
      </c>
      <c r="D3" s="48">
        <v>4825</v>
      </c>
      <c r="E3" t="s">
        <v>336</v>
      </c>
    </row>
    <row r="4" spans="1:10">
      <c r="A4" t="s">
        <v>337</v>
      </c>
      <c r="D4" s="48">
        <v>2700</v>
      </c>
      <c r="E4" t="s">
        <v>338</v>
      </c>
      <c r="I4" s="48"/>
    </row>
    <row r="5" spans="1:10">
      <c r="A5" t="s">
        <v>339</v>
      </c>
      <c r="D5" s="48">
        <v>225</v>
      </c>
      <c r="E5" t="s">
        <v>338</v>
      </c>
      <c r="J5" s="48">
        <f>+D5+D4+D3</f>
        <v>7750</v>
      </c>
    </row>
    <row r="6" spans="1:10">
      <c r="A6" t="s">
        <v>340</v>
      </c>
      <c r="D6" s="48">
        <v>150</v>
      </c>
      <c r="E6" t="s">
        <v>341</v>
      </c>
    </row>
    <row r="8" spans="1:10" ht="15" thickBot="1">
      <c r="A8" t="s">
        <v>342</v>
      </c>
      <c r="D8" s="88">
        <f>SUM(D3:D7)</f>
        <v>7900</v>
      </c>
      <c r="J8" s="48"/>
    </row>
    <row r="10" spans="1:10">
      <c r="A10" s="62" t="s">
        <v>343</v>
      </c>
    </row>
    <row r="11" spans="1:10">
      <c r="A11" t="s">
        <v>334</v>
      </c>
      <c r="D11" s="48">
        <v>2000</v>
      </c>
    </row>
    <row r="12" spans="1:10">
      <c r="A12" t="s">
        <v>344</v>
      </c>
      <c r="D12" s="48">
        <v>110</v>
      </c>
    </row>
    <row r="13" spans="1:10">
      <c r="A13" t="s">
        <v>345</v>
      </c>
      <c r="D13" s="48">
        <v>47.85</v>
      </c>
    </row>
    <row r="15" spans="1:10">
      <c r="A15" t="s">
        <v>346</v>
      </c>
      <c r="D15" s="89">
        <f>SUM(D11:D14)</f>
        <v>2157.85</v>
      </c>
    </row>
    <row r="16" spans="1:10" ht="15" thickBot="1">
      <c r="A16" t="s">
        <v>347</v>
      </c>
      <c r="D16" s="88">
        <f>D8-D15</f>
        <v>5742.15</v>
      </c>
    </row>
    <row r="17" spans="1:5">
      <c r="A17" t="s">
        <v>348</v>
      </c>
      <c r="D17" s="48">
        <f>+D16*0.1</f>
        <v>574.21500000000003</v>
      </c>
    </row>
    <row r="18" spans="1:5" ht="15" thickBot="1">
      <c r="A18" t="s">
        <v>349</v>
      </c>
      <c r="D18" s="75">
        <f>+D16-D17</f>
        <v>5167.9349999999995</v>
      </c>
    </row>
    <row r="19" spans="1:5" ht="15" thickTop="1"/>
    <row r="21" spans="1:5">
      <c r="A21" s="105" t="s">
        <v>350</v>
      </c>
      <c r="B21" s="106"/>
      <c r="C21" s="107"/>
      <c r="D21" s="106"/>
    </row>
    <row r="22" spans="1:5">
      <c r="A22" s="107" t="s">
        <v>351</v>
      </c>
      <c r="B22" s="106"/>
      <c r="C22" s="107"/>
      <c r="D22" s="48">
        <v>1600</v>
      </c>
    </row>
    <row r="23" spans="1:5">
      <c r="A23" s="107" t="s">
        <v>352</v>
      </c>
      <c r="B23" s="106"/>
      <c r="C23" s="107"/>
      <c r="D23" s="48">
        <f>3190.5+1100</f>
        <v>4290.5</v>
      </c>
    </row>
    <row r="24" spans="1:5">
      <c r="A24" s="107" t="s">
        <v>353</v>
      </c>
      <c r="B24" s="106"/>
      <c r="C24" s="107"/>
      <c r="D24" s="48">
        <v>150</v>
      </c>
    </row>
    <row r="25" spans="1:5">
      <c r="A25" s="107" t="s">
        <v>354</v>
      </c>
      <c r="B25" s="106"/>
      <c r="C25" s="107"/>
      <c r="D25" s="48">
        <v>250</v>
      </c>
    </row>
    <row r="26" spans="1:5">
      <c r="A26" s="107" t="s">
        <v>355</v>
      </c>
      <c r="B26" s="106"/>
      <c r="C26" s="107"/>
      <c r="D26" s="48">
        <v>500</v>
      </c>
    </row>
    <row r="27" spans="1:5" ht="15" thickBot="1">
      <c r="A27" s="107" t="s">
        <v>356</v>
      </c>
      <c r="B27" s="106"/>
      <c r="C27" s="107"/>
      <c r="D27" s="108">
        <f>SUM(D22:D26)</f>
        <v>6790.5</v>
      </c>
      <c r="E27" s="107"/>
    </row>
    <row r="28" spans="1:5">
      <c r="A28" s="107" t="s">
        <v>357</v>
      </c>
      <c r="B28" s="106"/>
      <c r="C28" s="107"/>
      <c r="D28" s="48">
        <v>-400</v>
      </c>
      <c r="E28" s="107"/>
    </row>
    <row r="29" spans="1:5" ht="15" thickBot="1">
      <c r="A29" s="107" t="s">
        <v>358</v>
      </c>
      <c r="B29" s="106"/>
      <c r="C29" s="107"/>
      <c r="D29" s="109">
        <f>+D27+D28</f>
        <v>6390.5</v>
      </c>
      <c r="E29" s="107"/>
    </row>
    <row r="30" spans="1:5" ht="15" thickTop="1">
      <c r="B30" s="48"/>
      <c r="E30" s="48"/>
    </row>
    <row r="31" spans="1:5">
      <c r="B31" s="48"/>
      <c r="E31" s="48"/>
    </row>
    <row r="32" spans="1:5">
      <c r="B32" s="48"/>
      <c r="E32" s="48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1AA07-E78A-4CAF-B22F-30875D7369EB}">
  <dimension ref="A1:F56"/>
  <sheetViews>
    <sheetView topLeftCell="A56" workbookViewId="0">
      <selection activeCell="D69" sqref="D69"/>
    </sheetView>
  </sheetViews>
  <sheetFormatPr defaultRowHeight="14.45"/>
  <cols>
    <col min="1" max="1" width="12.85546875" customWidth="1"/>
    <col min="2" max="2" width="17.7109375" customWidth="1"/>
    <col min="3" max="3" width="42.5703125" style="48" customWidth="1"/>
    <col min="4" max="4" width="12" customWidth="1"/>
    <col min="5" max="5" width="9.7109375" bestFit="1" customWidth="1"/>
    <col min="6" max="6" width="9.140625" bestFit="1" customWidth="1"/>
  </cols>
  <sheetData>
    <row r="1" spans="1:6">
      <c r="A1" s="62" t="s">
        <v>359</v>
      </c>
    </row>
    <row r="3" spans="1:6">
      <c r="A3" t="s">
        <v>360</v>
      </c>
      <c r="D3" s="48">
        <f>4000-540.02-50-50</f>
        <v>3359.98</v>
      </c>
      <c r="E3" s="48"/>
      <c r="F3" s="48"/>
    </row>
    <row r="4" spans="1:6">
      <c r="A4" t="s">
        <v>361</v>
      </c>
      <c r="D4" s="48">
        <f>1150+50+50</f>
        <v>1250</v>
      </c>
      <c r="F4" s="48"/>
    </row>
    <row r="5" spans="1:6" ht="15" thickBot="1">
      <c r="A5" s="62" t="s">
        <v>362</v>
      </c>
      <c r="B5" s="62"/>
      <c r="C5" s="63"/>
      <c r="D5" s="64">
        <f>+D4+D3</f>
        <v>4609.9799999999996</v>
      </c>
    </row>
    <row r="7" spans="1:6">
      <c r="A7" t="s">
        <v>2</v>
      </c>
    </row>
    <row r="8" spans="1:6">
      <c r="A8" s="46">
        <v>44828</v>
      </c>
      <c r="B8" s="9" t="s">
        <v>363</v>
      </c>
      <c r="C8" s="9" t="s">
        <v>364</v>
      </c>
      <c r="D8" s="13">
        <v>-242.17</v>
      </c>
      <c r="E8" s="48"/>
    </row>
    <row r="9" spans="1:6" ht="27.6">
      <c r="A9" s="46">
        <v>44831</v>
      </c>
      <c r="B9" s="9" t="s">
        <v>365</v>
      </c>
      <c r="C9" s="61" t="s">
        <v>366</v>
      </c>
      <c r="D9" s="13">
        <f>-3802.11+155.25</f>
        <v>-3646.86</v>
      </c>
    </row>
    <row r="10" spans="1:6">
      <c r="A10" s="46">
        <v>44831</v>
      </c>
      <c r="B10" s="9" t="s">
        <v>365</v>
      </c>
      <c r="C10" s="61" t="s">
        <v>367</v>
      </c>
      <c r="D10" s="13">
        <v>-155.25</v>
      </c>
    </row>
    <row r="11" spans="1:6">
      <c r="A11" s="46">
        <v>44894</v>
      </c>
      <c r="B11" s="9" t="s">
        <v>368</v>
      </c>
      <c r="C11" s="9" t="s">
        <v>369</v>
      </c>
      <c r="D11" s="13">
        <v>-365.7</v>
      </c>
    </row>
    <row r="12" spans="1:6">
      <c r="A12" s="46">
        <v>44894</v>
      </c>
      <c r="B12" s="9" t="s">
        <v>370</v>
      </c>
      <c r="C12" s="9" t="s">
        <v>371</v>
      </c>
      <c r="D12" s="13">
        <v>-200</v>
      </c>
    </row>
    <row r="13" spans="1:6" s="62" customFormat="1" ht="15" thickBot="1">
      <c r="A13" s="62" t="s">
        <v>372</v>
      </c>
      <c r="C13" s="63"/>
      <c r="D13" s="64">
        <f>SUM(D8:D12)</f>
        <v>-4609.9800000000005</v>
      </c>
    </row>
    <row r="15" spans="1:6">
      <c r="D15" s="48"/>
    </row>
    <row r="16" spans="1:6">
      <c r="A16" s="62" t="s">
        <v>373</v>
      </c>
    </row>
    <row r="18" spans="1:6">
      <c r="A18" t="s">
        <v>374</v>
      </c>
      <c r="D18" s="48">
        <f>2100+394.66</f>
        <v>2494.66</v>
      </c>
    </row>
    <row r="19" spans="1:6">
      <c r="A19" t="s">
        <v>361</v>
      </c>
      <c r="D19" s="48">
        <v>920</v>
      </c>
      <c r="F19" s="48"/>
    </row>
    <row r="20" spans="1:6" s="62" customFormat="1" ht="15" thickBot="1">
      <c r="A20" s="62" t="s">
        <v>362</v>
      </c>
      <c r="C20" s="63"/>
      <c r="D20" s="64">
        <f>+D19+D18</f>
        <v>3414.66</v>
      </c>
    </row>
    <row r="22" spans="1:6">
      <c r="A22" t="s">
        <v>2</v>
      </c>
    </row>
    <row r="23" spans="1:6">
      <c r="A23" s="46">
        <v>44831</v>
      </c>
      <c r="B23" s="9" t="s">
        <v>375</v>
      </c>
      <c r="C23" s="9" t="s">
        <v>376</v>
      </c>
      <c r="D23" s="13">
        <v>-500</v>
      </c>
      <c r="E23" s="13"/>
    </row>
    <row r="24" spans="1:6">
      <c r="A24" s="46">
        <v>44873</v>
      </c>
      <c r="B24" s="9" t="s">
        <v>377</v>
      </c>
      <c r="C24" s="9" t="s">
        <v>378</v>
      </c>
      <c r="D24" s="13">
        <v>-1814.83</v>
      </c>
      <c r="E24" s="13"/>
    </row>
    <row r="25" spans="1:6">
      <c r="A25" s="46">
        <v>44894</v>
      </c>
      <c r="B25" s="9" t="s">
        <v>379</v>
      </c>
      <c r="C25" s="9" t="s">
        <v>380</v>
      </c>
      <c r="D25" s="13">
        <v>-138.19999999999999</v>
      </c>
      <c r="E25" s="13"/>
    </row>
    <row r="26" spans="1:6">
      <c r="A26" s="46">
        <v>44917</v>
      </c>
      <c r="B26" s="9" t="s">
        <v>381</v>
      </c>
      <c r="C26" s="9" t="s">
        <v>382</v>
      </c>
      <c r="D26" s="13">
        <v>-961.63</v>
      </c>
    </row>
    <row r="27" spans="1:6" s="62" customFormat="1" ht="15" thickBot="1">
      <c r="A27" s="62" t="s">
        <v>372</v>
      </c>
      <c r="C27" s="63"/>
      <c r="D27" s="64">
        <f>SUM(D23:D26)</f>
        <v>-3414.66</v>
      </c>
    </row>
    <row r="30" spans="1:6">
      <c r="A30" s="62" t="s">
        <v>383</v>
      </c>
    </row>
    <row r="32" spans="1:6">
      <c r="A32" t="s">
        <v>384</v>
      </c>
      <c r="D32" s="48">
        <v>3700</v>
      </c>
      <c r="E32" s="48"/>
    </row>
    <row r="33" spans="1:4">
      <c r="A33" t="s">
        <v>385</v>
      </c>
      <c r="D33" s="48">
        <f>'Program Budget'!E6</f>
        <v>1000</v>
      </c>
    </row>
    <row r="34" spans="1:4">
      <c r="A34" t="s">
        <v>222</v>
      </c>
      <c r="D34" s="48">
        <f>'Program Budget'!E7</f>
        <v>1500</v>
      </c>
    </row>
    <row r="35" spans="1:4" ht="15" thickBot="1">
      <c r="A35" s="62" t="s">
        <v>362</v>
      </c>
      <c r="B35" s="62"/>
      <c r="C35" s="63"/>
      <c r="D35" s="64">
        <f>SUM(D32:D34)</f>
        <v>6200</v>
      </c>
    </row>
    <row r="37" spans="1:4">
      <c r="A37" t="s">
        <v>2</v>
      </c>
    </row>
    <row r="38" spans="1:4">
      <c r="A38" s="46"/>
      <c r="B38" s="9"/>
      <c r="C38" s="3" t="s">
        <v>386</v>
      </c>
      <c r="D38" s="2">
        <v>4025.42</v>
      </c>
    </row>
    <row r="39" spans="1:4">
      <c r="A39" s="46"/>
      <c r="B39" s="9"/>
      <c r="C39" s="3" t="s">
        <v>387</v>
      </c>
      <c r="D39" s="2">
        <v>800</v>
      </c>
    </row>
    <row r="40" spans="1:4">
      <c r="A40" s="46"/>
      <c r="B40" s="9"/>
      <c r="C40" s="3" t="s">
        <v>388</v>
      </c>
      <c r="D40" s="2">
        <v>425.39</v>
      </c>
    </row>
    <row r="41" spans="1:4">
      <c r="A41" s="46"/>
      <c r="B41" s="9"/>
      <c r="C41" s="3" t="s">
        <v>389</v>
      </c>
      <c r="D41" s="2">
        <f>125*8</f>
        <v>1000</v>
      </c>
    </row>
    <row r="42" spans="1:4">
      <c r="B42" s="62"/>
      <c r="C42" s="3" t="s">
        <v>390</v>
      </c>
      <c r="D42" s="2">
        <v>500</v>
      </c>
    </row>
    <row r="43" spans="1:4">
      <c r="C43" s="3" t="s">
        <v>391</v>
      </c>
      <c r="D43" s="2">
        <v>165</v>
      </c>
    </row>
    <row r="44" spans="1:4">
      <c r="A44" s="62" t="s">
        <v>372</v>
      </c>
      <c r="D44" s="74">
        <f>SUM(D38:D43)</f>
        <v>6915.81</v>
      </c>
    </row>
    <row r="45" spans="1:4" ht="15" thickBot="1">
      <c r="A45" s="62" t="s">
        <v>392</v>
      </c>
      <c r="D45" s="75">
        <f>+D35-D44</f>
        <v>-715.8100000000004</v>
      </c>
    </row>
    <row r="46" spans="1:4" ht="15" thickTop="1"/>
    <row r="48" spans="1:4">
      <c r="A48" s="62" t="s">
        <v>393</v>
      </c>
    </row>
    <row r="50" spans="1:6">
      <c r="A50" t="s">
        <v>361</v>
      </c>
      <c r="D50" s="48">
        <f>1380+120</f>
        <v>1500</v>
      </c>
      <c r="F50" s="48"/>
    </row>
    <row r="51" spans="1:6" s="62" customFormat="1" ht="15" thickBot="1">
      <c r="A51" s="62" t="s">
        <v>362</v>
      </c>
      <c r="C51" s="63"/>
      <c r="D51" s="64">
        <f>+D50</f>
        <v>1500</v>
      </c>
    </row>
    <row r="53" spans="1:6">
      <c r="A53" t="s">
        <v>2</v>
      </c>
    </row>
    <row r="54" spans="1:6" s="4" customFormat="1" ht="13.9">
      <c r="A54" s="8">
        <v>45012</v>
      </c>
      <c r="B54" s="8" t="s">
        <v>394</v>
      </c>
      <c r="C54" s="8" t="s">
        <v>395</v>
      </c>
      <c r="D54" s="2">
        <v>1519.56</v>
      </c>
      <c r="E54" s="2"/>
    </row>
    <row r="55" spans="1:6" s="62" customFormat="1" ht="15" thickBot="1">
      <c r="A55" s="62" t="s">
        <v>372</v>
      </c>
      <c r="C55" s="63"/>
      <c r="D55" s="64">
        <f>SUM(D54:D54)</f>
        <v>1519.56</v>
      </c>
    </row>
    <row r="56" spans="1:6">
      <c r="D56" s="48">
        <f>D50-D54</f>
        <v>-19.559999999999945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95F83-7C80-4AFD-A945-356C2B74AAD8}">
  <dimension ref="A1:J45"/>
  <sheetViews>
    <sheetView zoomScale="125" zoomScaleNormal="125" workbookViewId="0">
      <pane ySplit="5" topLeftCell="A9" activePane="bottomLeft" state="frozen"/>
      <selection pane="bottomLeft" activeCell="F14" sqref="F14"/>
    </sheetView>
  </sheetViews>
  <sheetFormatPr defaultRowHeight="14.45"/>
  <cols>
    <col min="1" max="1" width="33.5703125" customWidth="1"/>
    <col min="2" max="2" width="9.42578125" customWidth="1"/>
    <col min="3" max="3" width="12" hidden="1" customWidth="1"/>
    <col min="4" max="4" width="15.42578125" hidden="1" customWidth="1"/>
    <col min="5" max="5" width="25.7109375" customWidth="1"/>
    <col min="6" max="6" width="49.85546875" customWidth="1"/>
    <col min="7" max="7" width="31.7109375" hidden="1" customWidth="1"/>
    <col min="8" max="8" width="22.28515625" hidden="1" customWidth="1"/>
    <col min="9" max="9" width="10.28515625" customWidth="1"/>
    <col min="10" max="10" width="7.7109375" customWidth="1"/>
  </cols>
  <sheetData>
    <row r="1" spans="1:10" ht="17.45">
      <c r="A1" s="125" t="s">
        <v>396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17.45">
      <c r="A2" s="125" t="s">
        <v>397</v>
      </c>
      <c r="B2" s="130"/>
      <c r="C2" s="130"/>
      <c r="D2" s="130"/>
      <c r="E2" s="130"/>
      <c r="F2" s="130"/>
      <c r="G2" s="130"/>
      <c r="H2" s="130"/>
      <c r="I2" s="130"/>
      <c r="J2" s="130"/>
    </row>
    <row r="3" spans="1:10">
      <c r="A3" s="126" t="s">
        <v>398</v>
      </c>
      <c r="B3" s="130"/>
      <c r="C3" s="130"/>
      <c r="D3" s="130"/>
      <c r="E3" s="130"/>
      <c r="F3" s="130"/>
      <c r="G3" s="130"/>
      <c r="H3" s="130"/>
      <c r="I3" s="130"/>
      <c r="J3" s="130"/>
    </row>
    <row r="5" spans="1:10" ht="24.6">
      <c r="B5" s="82" t="s">
        <v>27</v>
      </c>
      <c r="C5" s="82" t="s">
        <v>399</v>
      </c>
      <c r="D5" s="82" t="s">
        <v>400</v>
      </c>
      <c r="E5" s="82" t="s">
        <v>401</v>
      </c>
      <c r="F5" s="82" t="s">
        <v>402</v>
      </c>
      <c r="G5" s="82" t="s">
        <v>403</v>
      </c>
      <c r="H5" s="82" t="s">
        <v>404</v>
      </c>
      <c r="I5" s="82" t="s">
        <v>31</v>
      </c>
      <c r="J5" s="82" t="s">
        <v>333</v>
      </c>
    </row>
    <row r="6" spans="1:10">
      <c r="A6" s="83" t="s">
        <v>405</v>
      </c>
    </row>
    <row r="7" spans="1:10">
      <c r="A7" s="83" t="s">
        <v>406</v>
      </c>
    </row>
    <row r="8" spans="1:10">
      <c r="A8" s="83" t="s">
        <v>407</v>
      </c>
    </row>
    <row r="9" spans="1:10">
      <c r="A9" s="83" t="s">
        <v>408</v>
      </c>
    </row>
    <row r="10" spans="1:10">
      <c r="B10" s="84" t="s">
        <v>409</v>
      </c>
      <c r="C10" s="84" t="s">
        <v>410</v>
      </c>
      <c r="D10" s="84">
        <v>2863</v>
      </c>
      <c r="E10" s="84" t="s">
        <v>411</v>
      </c>
      <c r="F10" s="84" t="s">
        <v>412</v>
      </c>
      <c r="G10" s="84" t="s">
        <v>413</v>
      </c>
      <c r="H10" s="84" t="s">
        <v>414</v>
      </c>
      <c r="I10" s="85">
        <v>482.74</v>
      </c>
      <c r="J10" s="85">
        <v>482.74</v>
      </c>
    </row>
    <row r="11" spans="1:10">
      <c r="B11" s="84" t="s">
        <v>415</v>
      </c>
      <c r="C11" s="84" t="s">
        <v>410</v>
      </c>
      <c r="D11" s="84">
        <v>2873</v>
      </c>
      <c r="E11" s="84" t="s">
        <v>416</v>
      </c>
      <c r="F11" s="84" t="s">
        <v>417</v>
      </c>
      <c r="G11" s="84" t="s">
        <v>413</v>
      </c>
      <c r="H11" s="84" t="s">
        <v>414</v>
      </c>
      <c r="I11" s="85">
        <v>660</v>
      </c>
      <c r="J11" s="85">
        <v>1142.74</v>
      </c>
    </row>
    <row r="12" spans="1:10">
      <c r="B12" s="84" t="s">
        <v>418</v>
      </c>
      <c r="C12" s="84" t="s">
        <v>419</v>
      </c>
      <c r="D12" s="84" t="s">
        <v>420</v>
      </c>
      <c r="E12" s="84"/>
      <c r="F12" s="84" t="s">
        <v>421</v>
      </c>
      <c r="G12" s="84" t="s">
        <v>413</v>
      </c>
      <c r="H12" s="86" t="s">
        <v>422</v>
      </c>
      <c r="I12" s="85">
        <v>25</v>
      </c>
      <c r="J12" s="85">
        <v>1167.74</v>
      </c>
    </row>
    <row r="13" spans="1:10">
      <c r="A13" s="83" t="s">
        <v>423</v>
      </c>
      <c r="I13" s="87">
        <v>1167.74</v>
      </c>
    </row>
    <row r="14" spans="1:10">
      <c r="A14" s="83" t="s">
        <v>424</v>
      </c>
    </row>
    <row r="15" spans="1:10">
      <c r="A15" s="83" t="s">
        <v>425</v>
      </c>
    </row>
    <row r="16" spans="1:10">
      <c r="B16" s="84" t="s">
        <v>426</v>
      </c>
      <c r="C16" s="84" t="s">
        <v>410</v>
      </c>
      <c r="D16" s="84">
        <v>2865</v>
      </c>
      <c r="E16" s="84" t="s">
        <v>427</v>
      </c>
      <c r="F16" s="84" t="s">
        <v>428</v>
      </c>
      <c r="G16" s="84" t="s">
        <v>413</v>
      </c>
      <c r="H16" s="84" t="s">
        <v>414</v>
      </c>
      <c r="I16" s="85">
        <v>242.17</v>
      </c>
      <c r="J16" s="85">
        <v>242.17</v>
      </c>
    </row>
    <row r="17" spans="1:10">
      <c r="B17" s="84" t="s">
        <v>429</v>
      </c>
      <c r="C17" s="84" t="s">
        <v>410</v>
      </c>
      <c r="D17" s="84">
        <v>2866</v>
      </c>
      <c r="E17" s="84" t="s">
        <v>430</v>
      </c>
      <c r="F17" s="84" t="s">
        <v>431</v>
      </c>
      <c r="G17" s="84" t="s">
        <v>413</v>
      </c>
      <c r="H17" s="84" t="s">
        <v>414</v>
      </c>
      <c r="I17" s="85">
        <v>3646.86</v>
      </c>
      <c r="J17" s="85">
        <v>3889.03</v>
      </c>
    </row>
    <row r="18" spans="1:10">
      <c r="B18" s="84" t="s">
        <v>429</v>
      </c>
      <c r="C18" s="84" t="s">
        <v>410</v>
      </c>
      <c r="D18" s="84">
        <v>2866</v>
      </c>
      <c r="E18" s="84" t="s">
        <v>430</v>
      </c>
      <c r="F18" s="84" t="s">
        <v>432</v>
      </c>
      <c r="G18" s="84" t="s">
        <v>413</v>
      </c>
      <c r="H18" s="84" t="s">
        <v>414</v>
      </c>
      <c r="I18" s="85">
        <v>155.25</v>
      </c>
      <c r="J18" s="85">
        <v>4044.28</v>
      </c>
    </row>
    <row r="19" spans="1:10">
      <c r="B19" s="84" t="s">
        <v>433</v>
      </c>
      <c r="C19" s="84" t="s">
        <v>410</v>
      </c>
      <c r="D19" s="84">
        <v>2870</v>
      </c>
      <c r="E19" s="84" t="s">
        <v>368</v>
      </c>
      <c r="F19" s="84" t="s">
        <v>434</v>
      </c>
      <c r="G19" s="84" t="s">
        <v>413</v>
      </c>
      <c r="H19" s="84" t="s">
        <v>414</v>
      </c>
      <c r="I19" s="85">
        <v>365.7</v>
      </c>
      <c r="J19" s="85">
        <v>4409.9799999999996</v>
      </c>
    </row>
    <row r="20" spans="1:10">
      <c r="B20" s="84" t="s">
        <v>433</v>
      </c>
      <c r="C20" s="84" t="s">
        <v>410</v>
      </c>
      <c r="D20" s="84">
        <v>2872</v>
      </c>
      <c r="E20" s="84" t="s">
        <v>435</v>
      </c>
      <c r="F20" s="84" t="s">
        <v>436</v>
      </c>
      <c r="G20" s="84" t="s">
        <v>413</v>
      </c>
      <c r="H20" s="84" t="s">
        <v>414</v>
      </c>
      <c r="I20" s="85">
        <v>200</v>
      </c>
      <c r="J20" s="85">
        <v>4609.9799999999996</v>
      </c>
    </row>
    <row r="21" spans="1:10">
      <c r="A21" s="83" t="s">
        <v>437</v>
      </c>
      <c r="I21" s="87">
        <v>4609.9799999999996</v>
      </c>
    </row>
    <row r="22" spans="1:10">
      <c r="A22" s="83" t="s">
        <v>438</v>
      </c>
      <c r="I22" s="87">
        <v>4609.9799999999996</v>
      </c>
    </row>
    <row r="23" spans="1:10">
      <c r="A23" s="83" t="s">
        <v>439</v>
      </c>
    </row>
    <row r="24" spans="1:10">
      <c r="B24" s="84" t="s">
        <v>440</v>
      </c>
      <c r="C24" s="84" t="s">
        <v>410</v>
      </c>
      <c r="D24" s="84">
        <v>2861</v>
      </c>
      <c r="E24" s="84" t="s">
        <v>441</v>
      </c>
      <c r="F24" s="84" t="s">
        <v>442</v>
      </c>
      <c r="G24" s="84" t="s">
        <v>413</v>
      </c>
      <c r="H24" s="84" t="s">
        <v>414</v>
      </c>
      <c r="I24" s="85">
        <v>2000</v>
      </c>
      <c r="J24" s="85">
        <v>2000</v>
      </c>
    </row>
    <row r="25" spans="1:10">
      <c r="B25" s="84" t="s">
        <v>429</v>
      </c>
      <c r="C25" s="84" t="s">
        <v>410</v>
      </c>
      <c r="D25" s="84">
        <v>2867</v>
      </c>
      <c r="E25" s="84" t="s">
        <v>443</v>
      </c>
      <c r="F25" s="84" t="s">
        <v>444</v>
      </c>
      <c r="G25" s="84" t="s">
        <v>413</v>
      </c>
      <c r="H25" s="84" t="s">
        <v>414</v>
      </c>
      <c r="I25" s="85">
        <v>979.13</v>
      </c>
      <c r="J25" s="85">
        <v>2979.13</v>
      </c>
    </row>
    <row r="26" spans="1:10">
      <c r="B26" s="84" t="s">
        <v>445</v>
      </c>
      <c r="C26" s="84" t="s">
        <v>410</v>
      </c>
      <c r="D26" s="84">
        <v>2876</v>
      </c>
      <c r="E26" s="84" t="s">
        <v>443</v>
      </c>
      <c r="F26" s="84" t="s">
        <v>446</v>
      </c>
      <c r="G26" s="84" t="s">
        <v>413</v>
      </c>
      <c r="H26" s="84" t="s">
        <v>414</v>
      </c>
      <c r="I26" s="85">
        <v>971</v>
      </c>
      <c r="J26" s="85">
        <v>3950.13</v>
      </c>
    </row>
    <row r="27" spans="1:10">
      <c r="B27" s="84" t="s">
        <v>447</v>
      </c>
      <c r="C27" s="84" t="s">
        <v>448</v>
      </c>
      <c r="D27" s="84"/>
      <c r="E27" s="84" t="s">
        <v>449</v>
      </c>
      <c r="F27" s="84" t="s">
        <v>450</v>
      </c>
      <c r="G27" s="84" t="s">
        <v>413</v>
      </c>
      <c r="H27" s="84" t="s">
        <v>414</v>
      </c>
      <c r="I27" s="85">
        <v>1946</v>
      </c>
      <c r="J27" s="85">
        <v>5896.13</v>
      </c>
    </row>
    <row r="28" spans="1:10">
      <c r="B28" s="84" t="s">
        <v>451</v>
      </c>
      <c r="C28" s="84" t="s">
        <v>410</v>
      </c>
      <c r="D28" s="84" t="s">
        <v>32</v>
      </c>
      <c r="E28" s="84" t="s">
        <v>452</v>
      </c>
      <c r="F28" s="84" t="s">
        <v>453</v>
      </c>
      <c r="G28" s="84" t="s">
        <v>413</v>
      </c>
      <c r="H28" s="84" t="s">
        <v>414</v>
      </c>
      <c r="I28" s="85">
        <v>175</v>
      </c>
      <c r="J28" s="85">
        <v>6071.13</v>
      </c>
    </row>
    <row r="29" spans="1:10">
      <c r="B29" s="84" t="s">
        <v>451</v>
      </c>
      <c r="C29" s="84" t="s">
        <v>448</v>
      </c>
      <c r="D29" s="84"/>
      <c r="E29" s="84" t="s">
        <v>449</v>
      </c>
      <c r="F29" s="84" t="s">
        <v>454</v>
      </c>
      <c r="G29" s="84" t="s">
        <v>413</v>
      </c>
      <c r="H29" s="84" t="s">
        <v>414</v>
      </c>
      <c r="I29" s="85">
        <v>225</v>
      </c>
      <c r="J29" s="85">
        <v>6296.13</v>
      </c>
    </row>
    <row r="30" spans="1:10">
      <c r="B30" s="84" t="s">
        <v>418</v>
      </c>
      <c r="C30" s="84" t="s">
        <v>410</v>
      </c>
      <c r="D30" s="84">
        <v>2882</v>
      </c>
      <c r="E30" s="84" t="s">
        <v>455</v>
      </c>
      <c r="F30" s="84" t="s">
        <v>456</v>
      </c>
      <c r="G30" s="84" t="s">
        <v>413</v>
      </c>
      <c r="H30" s="84" t="s">
        <v>414</v>
      </c>
      <c r="I30" s="85">
        <v>1299.3399999999999</v>
      </c>
      <c r="J30" s="85">
        <v>7595.47</v>
      </c>
    </row>
    <row r="31" spans="1:10">
      <c r="A31" s="83" t="s">
        <v>457</v>
      </c>
      <c r="I31" s="87">
        <v>7595.47</v>
      </c>
    </row>
    <row r="32" spans="1:10">
      <c r="A32" s="83" t="s">
        <v>458</v>
      </c>
      <c r="I32" s="87">
        <v>13373.19</v>
      </c>
    </row>
    <row r="33" spans="1:10">
      <c r="A33" s="83" t="s">
        <v>459</v>
      </c>
    </row>
    <row r="34" spans="1:10">
      <c r="A34" s="83" t="s">
        <v>460</v>
      </c>
    </row>
    <row r="35" spans="1:10">
      <c r="A35" s="83" t="s">
        <v>461</v>
      </c>
    </row>
    <row r="36" spans="1:10">
      <c r="B36" s="84" t="s">
        <v>462</v>
      </c>
      <c r="C36" s="84" t="s">
        <v>410</v>
      </c>
      <c r="D36" s="84" t="s">
        <v>32</v>
      </c>
      <c r="E36" s="84" t="s">
        <v>463</v>
      </c>
      <c r="F36" s="84" t="s">
        <v>464</v>
      </c>
      <c r="G36" s="84" t="s">
        <v>413</v>
      </c>
      <c r="H36" s="84" t="s">
        <v>414</v>
      </c>
      <c r="I36" s="85">
        <v>800</v>
      </c>
      <c r="J36" s="85">
        <v>800</v>
      </c>
    </row>
    <row r="37" spans="1:10">
      <c r="A37" s="83" t="s">
        <v>465</v>
      </c>
      <c r="I37" s="87">
        <v>800</v>
      </c>
    </row>
    <row r="38" spans="1:10">
      <c r="A38" s="83" t="s">
        <v>466</v>
      </c>
      <c r="I38" s="87">
        <v>800</v>
      </c>
    </row>
    <row r="39" spans="1:10">
      <c r="A39" s="83" t="s">
        <v>467</v>
      </c>
      <c r="I39" s="87">
        <v>800</v>
      </c>
    </row>
    <row r="40" spans="1:10">
      <c r="A40" s="83" t="s">
        <v>468</v>
      </c>
      <c r="I40" s="87">
        <v>14173.19</v>
      </c>
    </row>
    <row r="41" spans="1:10">
      <c r="A41" s="83" t="s">
        <v>469</v>
      </c>
      <c r="I41" s="87">
        <v>14173.19</v>
      </c>
    </row>
    <row r="42" spans="1:10">
      <c r="A42" s="83" t="s">
        <v>470</v>
      </c>
      <c r="I42" s="87">
        <v>14173.19</v>
      </c>
    </row>
    <row r="45" spans="1:10">
      <c r="A45" s="127" t="s">
        <v>471</v>
      </c>
      <c r="B45" s="130"/>
      <c r="C45" s="130"/>
      <c r="D45" s="130"/>
      <c r="E45" s="130"/>
      <c r="F45" s="130"/>
      <c r="G45" s="130"/>
      <c r="H45" s="130"/>
      <c r="I45" s="130"/>
      <c r="J45" s="130"/>
    </row>
  </sheetData>
  <mergeCells count="4">
    <mergeCell ref="A1:J1"/>
    <mergeCell ref="A2:J2"/>
    <mergeCell ref="A3:J3"/>
    <mergeCell ref="A45:J4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E338A-0B1F-4007-BD02-9CC7BBEF8A26}">
  <dimension ref="A1:M153"/>
  <sheetViews>
    <sheetView zoomScale="101" zoomScaleNormal="110" zoomScaleSheetLayoutView="68" workbookViewId="0">
      <pane ySplit="5" topLeftCell="A29" activePane="bottomLeft" state="frozen"/>
      <selection pane="bottomLeft" activeCell="C41" sqref="C41"/>
    </sheetView>
  </sheetViews>
  <sheetFormatPr defaultColWidth="9.140625" defaultRowHeight="13.9"/>
  <cols>
    <col min="1" max="1" width="18.85546875" style="3" customWidth="1"/>
    <col min="2" max="2" width="20.7109375" style="3" customWidth="1"/>
    <col min="3" max="3" width="34" style="3" customWidth="1"/>
    <col min="4" max="4" width="44.28515625" style="3" customWidth="1"/>
    <col min="5" max="5" width="14.5703125" style="2" customWidth="1"/>
    <col min="6" max="7" width="11" style="3" bestFit="1" customWidth="1"/>
    <col min="8" max="10" width="9.140625" style="3"/>
    <col min="11" max="11" width="10" style="2" bestFit="1" customWidth="1"/>
    <col min="12" max="16384" width="9.140625" style="3"/>
  </cols>
  <sheetData>
    <row r="1" spans="1:11" s="5" customFormat="1" ht="15.6">
      <c r="A1" s="120" t="s">
        <v>15</v>
      </c>
      <c r="B1" s="120"/>
      <c r="C1" s="120"/>
      <c r="D1" s="120"/>
      <c r="E1" s="120"/>
      <c r="K1" s="101"/>
    </row>
    <row r="2" spans="1:11" s="5" customFormat="1" ht="15.6">
      <c r="A2" s="120" t="s">
        <v>16</v>
      </c>
      <c r="B2" s="120"/>
      <c r="C2" s="120"/>
      <c r="D2" s="120"/>
      <c r="E2" s="120"/>
      <c r="K2" s="101"/>
    </row>
    <row r="3" spans="1:11" s="5" customFormat="1" ht="15.6">
      <c r="A3" s="120" t="s">
        <v>17</v>
      </c>
      <c r="B3" s="120"/>
      <c r="C3" s="120"/>
      <c r="D3" s="120"/>
      <c r="E3" s="120"/>
      <c r="K3" s="101"/>
    </row>
    <row r="4" spans="1:11" s="5" customFormat="1" ht="15.6">
      <c r="A4" s="120" t="s">
        <v>18</v>
      </c>
      <c r="B4" s="120"/>
      <c r="C4" s="120"/>
      <c r="D4" s="120"/>
      <c r="E4" s="120"/>
      <c r="K4" s="101"/>
    </row>
    <row r="5" spans="1:11" s="5" customFormat="1" ht="15.6">
      <c r="A5" s="120" t="s">
        <v>19</v>
      </c>
      <c r="B5" s="120"/>
      <c r="C5" s="120"/>
      <c r="D5" s="120"/>
      <c r="E5" s="120"/>
      <c r="K5" s="101"/>
    </row>
    <row r="7" spans="1:11">
      <c r="A7" s="4" t="s">
        <v>4</v>
      </c>
    </row>
    <row r="8" spans="1:11">
      <c r="A8" s="4" t="s">
        <v>20</v>
      </c>
      <c r="B8" s="4"/>
      <c r="C8" s="4"/>
      <c r="D8" s="4"/>
      <c r="E8" s="6">
        <v>30717.08</v>
      </c>
      <c r="G8" s="6"/>
    </row>
    <row r="9" spans="1:11">
      <c r="A9" s="4" t="s">
        <v>21</v>
      </c>
      <c r="B9" s="4"/>
      <c r="C9" s="4"/>
      <c r="D9" s="4"/>
    </row>
    <row r="10" spans="1:11">
      <c r="A10" s="8">
        <v>45393</v>
      </c>
      <c r="B10" s="8"/>
      <c r="C10" s="8" t="s">
        <v>22</v>
      </c>
      <c r="D10" s="8" t="s">
        <v>23</v>
      </c>
      <c r="E10" s="2">
        <v>5636</v>
      </c>
    </row>
    <row r="11" spans="1:11">
      <c r="A11" s="8">
        <v>45411</v>
      </c>
      <c r="B11" s="4"/>
      <c r="C11" s="3" t="s">
        <v>5</v>
      </c>
      <c r="D11" s="3" t="s">
        <v>24</v>
      </c>
      <c r="E11" s="2">
        <v>2705.51</v>
      </c>
    </row>
    <row r="12" spans="1:11">
      <c r="A12" s="8">
        <v>45411</v>
      </c>
      <c r="B12" s="4"/>
      <c r="C12" s="8" t="s">
        <v>22</v>
      </c>
      <c r="D12" s="8" t="s">
        <v>23</v>
      </c>
      <c r="E12" s="2">
        <v>9580</v>
      </c>
    </row>
    <row r="13" spans="1:11">
      <c r="A13" s="14"/>
      <c r="C13" s="8"/>
      <c r="E13" s="2">
        <v>0</v>
      </c>
    </row>
    <row r="14" spans="1:11">
      <c r="A14" s="4" t="s">
        <v>25</v>
      </c>
      <c r="E14" s="16">
        <f>SUBTOTAL(9,E10:E13)</f>
        <v>17921.510000000002</v>
      </c>
    </row>
    <row r="15" spans="1:11">
      <c r="A15" s="4" t="s">
        <v>26</v>
      </c>
      <c r="E15" s="20">
        <f>SUBTOTAL(9,E8:E14)</f>
        <v>48638.590000000004</v>
      </c>
    </row>
    <row r="16" spans="1:11">
      <c r="A16" s="4"/>
      <c r="E16" s="7"/>
    </row>
    <row r="17" spans="1:11">
      <c r="A17" s="4" t="s">
        <v>2</v>
      </c>
    </row>
    <row r="19" spans="1:11" s="4" customFormat="1" ht="15.6">
      <c r="A19" s="45" t="s">
        <v>27</v>
      </c>
      <c r="B19" s="45" t="s">
        <v>28</v>
      </c>
      <c r="C19" s="45" t="s">
        <v>29</v>
      </c>
      <c r="D19" s="45" t="s">
        <v>30</v>
      </c>
      <c r="E19" s="44" t="s">
        <v>31</v>
      </c>
      <c r="K19" s="2"/>
    </row>
    <row r="20" spans="1:11" s="4" customFormat="1">
      <c r="A20" s="8">
        <v>45383</v>
      </c>
      <c r="B20" s="102" t="s">
        <v>32</v>
      </c>
      <c r="C20" s="102" t="s">
        <v>33</v>
      </c>
      <c r="D20" s="102" t="s">
        <v>34</v>
      </c>
      <c r="E20" s="112">
        <v>-20</v>
      </c>
      <c r="K20" s="2"/>
    </row>
    <row r="21" spans="1:11" s="4" customFormat="1">
      <c r="A21" s="8">
        <v>45383</v>
      </c>
      <c r="B21" s="102" t="s">
        <v>35</v>
      </c>
      <c r="C21" s="102" t="s">
        <v>36</v>
      </c>
      <c r="D21" s="102" t="s">
        <v>37</v>
      </c>
      <c r="E21" s="2">
        <v>-5250</v>
      </c>
      <c r="I21" s="104" t="s">
        <v>38</v>
      </c>
      <c r="K21" s="2"/>
    </row>
    <row r="22" spans="1:11" s="4" customFormat="1">
      <c r="A22" s="8">
        <v>45390</v>
      </c>
      <c r="B22" s="102" t="s">
        <v>35</v>
      </c>
      <c r="C22" s="102" t="s">
        <v>39</v>
      </c>
      <c r="D22" s="102" t="s">
        <v>40</v>
      </c>
      <c r="E22" s="2">
        <v>-28</v>
      </c>
      <c r="I22" s="104"/>
      <c r="K22" s="2"/>
    </row>
    <row r="23" spans="1:11" s="4" customFormat="1">
      <c r="A23" s="8">
        <v>45393</v>
      </c>
      <c r="B23" s="102" t="s">
        <v>32</v>
      </c>
      <c r="C23" s="102" t="s">
        <v>41</v>
      </c>
      <c r="D23" s="102" t="s">
        <v>42</v>
      </c>
      <c r="E23" s="2">
        <v>-1075</v>
      </c>
      <c r="F23" s="100"/>
      <c r="I23" s="104"/>
      <c r="K23" s="2"/>
    </row>
    <row r="24" spans="1:11" s="4" customFormat="1">
      <c r="A24" s="8">
        <v>45398</v>
      </c>
      <c r="B24" s="102">
        <v>2911</v>
      </c>
      <c r="C24" s="102" t="s">
        <v>43</v>
      </c>
      <c r="D24" s="102" t="s">
        <v>44</v>
      </c>
      <c r="E24" s="2">
        <v>-100</v>
      </c>
      <c r="F24" s="100"/>
      <c r="I24" s="104"/>
      <c r="K24" s="2"/>
    </row>
    <row r="25" spans="1:11" s="4" customFormat="1">
      <c r="A25" s="8">
        <v>45412</v>
      </c>
      <c r="B25" s="102" t="s">
        <v>32</v>
      </c>
      <c r="C25" s="102" t="s">
        <v>33</v>
      </c>
      <c r="D25" s="102" t="s">
        <v>34</v>
      </c>
      <c r="E25" s="2">
        <v>-20</v>
      </c>
      <c r="F25" s="100"/>
      <c r="I25" s="104"/>
      <c r="K25" s="2"/>
    </row>
    <row r="26" spans="1:11" s="4" customFormat="1">
      <c r="A26" s="8">
        <v>45412</v>
      </c>
      <c r="B26" s="102">
        <v>2912</v>
      </c>
      <c r="C26" s="102" t="s">
        <v>45</v>
      </c>
      <c r="D26" s="102" t="s">
        <v>46</v>
      </c>
      <c r="E26" s="2">
        <v>-131.37</v>
      </c>
      <c r="F26" s="100"/>
      <c r="I26" s="104"/>
      <c r="K26" s="2"/>
    </row>
    <row r="27" spans="1:11" s="4" customFormat="1">
      <c r="A27" s="8">
        <v>45412</v>
      </c>
      <c r="B27" s="102">
        <v>2914</v>
      </c>
      <c r="C27" s="102" t="s">
        <v>47</v>
      </c>
      <c r="D27" s="102" t="s">
        <v>48</v>
      </c>
      <c r="E27" s="2">
        <v>-443.4</v>
      </c>
      <c r="F27" s="100"/>
      <c r="I27" s="104"/>
      <c r="K27" s="2"/>
    </row>
    <row r="28" spans="1:11" s="4" customFormat="1">
      <c r="A28" s="8">
        <v>45412</v>
      </c>
      <c r="B28" s="102">
        <v>2915</v>
      </c>
      <c r="C28" s="102" t="s">
        <v>49</v>
      </c>
      <c r="D28" s="102" t="s">
        <v>50</v>
      </c>
      <c r="E28" s="2">
        <v>-500</v>
      </c>
      <c r="F28" s="100"/>
      <c r="I28" s="104"/>
      <c r="K28" s="2"/>
    </row>
    <row r="29" spans="1:11" s="4" customFormat="1">
      <c r="A29" s="8">
        <v>45412</v>
      </c>
      <c r="B29" s="102">
        <v>2917</v>
      </c>
      <c r="C29" s="102" t="s">
        <v>51</v>
      </c>
      <c r="D29" s="102" t="s">
        <v>52</v>
      </c>
      <c r="E29" s="2">
        <v>-41</v>
      </c>
      <c r="F29" s="100"/>
      <c r="I29" s="104"/>
      <c r="K29" s="2"/>
    </row>
    <row r="30" spans="1:11" s="4" customFormat="1">
      <c r="A30" s="8">
        <v>45412</v>
      </c>
      <c r="B30" s="102">
        <v>2918</v>
      </c>
      <c r="C30" s="102" t="s">
        <v>53</v>
      </c>
      <c r="D30" s="102" t="s">
        <v>52</v>
      </c>
      <c r="E30" s="2">
        <v>-24</v>
      </c>
      <c r="F30" s="100"/>
      <c r="I30" s="104"/>
      <c r="K30" s="2"/>
    </row>
    <row r="31" spans="1:11" s="4" customFormat="1">
      <c r="A31" s="8">
        <v>45412</v>
      </c>
      <c r="B31" s="102">
        <v>2919</v>
      </c>
      <c r="C31" s="102" t="s">
        <v>54</v>
      </c>
      <c r="D31" s="102" t="s">
        <v>52</v>
      </c>
      <c r="E31" s="2">
        <v>-23.49</v>
      </c>
      <c r="F31" s="100"/>
      <c r="I31" s="104"/>
      <c r="K31" s="2"/>
    </row>
    <row r="32" spans="1:11" s="4" customFormat="1">
      <c r="A32" s="8">
        <v>45412</v>
      </c>
      <c r="B32" s="102">
        <v>2920</v>
      </c>
      <c r="C32" s="102" t="s">
        <v>55</v>
      </c>
      <c r="D32" s="102" t="s">
        <v>52</v>
      </c>
      <c r="E32" s="2">
        <v>-18</v>
      </c>
      <c r="F32" s="100"/>
      <c r="I32" s="104"/>
      <c r="K32" s="2"/>
    </row>
    <row r="33" spans="1:11" s="4" customFormat="1">
      <c r="A33" s="8">
        <v>45412</v>
      </c>
      <c r="B33" s="102">
        <v>2921</v>
      </c>
      <c r="C33" s="102" t="s">
        <v>56</v>
      </c>
      <c r="D33" s="102" t="s">
        <v>52</v>
      </c>
      <c r="E33" s="2">
        <v>-10</v>
      </c>
      <c r="F33" s="100"/>
      <c r="I33" s="104"/>
      <c r="K33" s="2"/>
    </row>
    <row r="34" spans="1:11" s="9" customFormat="1">
      <c r="A34" s="14"/>
      <c r="B34" s="19"/>
      <c r="C34" s="19"/>
      <c r="D34" s="19"/>
      <c r="E34" s="17"/>
      <c r="K34" s="13"/>
    </row>
    <row r="35" spans="1:11" s="9" customFormat="1">
      <c r="A35" s="15" t="s">
        <v>57</v>
      </c>
      <c r="B35" s="11"/>
      <c r="C35" s="11"/>
      <c r="D35" s="11"/>
      <c r="E35" s="16">
        <f>SUBTOTAL(9,E21:E34)</f>
        <v>-7664.2599999999993</v>
      </c>
      <c r="F35" s="13"/>
      <c r="K35" s="13"/>
    </row>
    <row r="36" spans="1:11" s="9" customFormat="1" ht="14.45" thickBot="1">
      <c r="A36" s="15" t="s">
        <v>58</v>
      </c>
      <c r="B36" s="11"/>
      <c r="C36" s="11"/>
      <c r="D36" s="11"/>
      <c r="E36" s="113">
        <f>SUBTOTAL(9,E8:E35)</f>
        <v>40954.33</v>
      </c>
      <c r="F36" s="81"/>
      <c r="K36" s="13"/>
    </row>
    <row r="37" spans="1:11" s="9" customFormat="1" ht="14.45" thickTop="1">
      <c r="A37" s="10"/>
      <c r="B37" s="11"/>
      <c r="C37" s="11"/>
      <c r="D37" s="11"/>
      <c r="E37" s="114"/>
      <c r="K37" s="13"/>
    </row>
    <row r="38" spans="1:11" s="9" customFormat="1">
      <c r="A38" s="14" t="s">
        <v>59</v>
      </c>
      <c r="B38" s="11"/>
      <c r="C38" s="11"/>
      <c r="D38" s="11"/>
      <c r="E38" s="17">
        <v>0</v>
      </c>
      <c r="K38" s="13"/>
    </row>
    <row r="39" spans="1:11" s="9" customFormat="1">
      <c r="A39" s="14" t="s">
        <v>60</v>
      </c>
      <c r="B39" s="11"/>
      <c r="C39" s="11"/>
      <c r="D39" s="11"/>
      <c r="E39" s="17">
        <v>-29436</v>
      </c>
      <c r="K39" s="13"/>
    </row>
    <row r="40" spans="1:11" s="9" customFormat="1">
      <c r="A40" s="14" t="s">
        <v>61</v>
      </c>
      <c r="B40" s="11"/>
      <c r="C40" s="11"/>
      <c r="D40" s="11"/>
      <c r="E40" s="17">
        <v>8750</v>
      </c>
      <c r="F40" s="13"/>
      <c r="G40" s="13"/>
      <c r="K40" s="13"/>
    </row>
    <row r="41" spans="1:11" s="9" customFormat="1">
      <c r="A41" s="14" t="s">
        <v>62</v>
      </c>
      <c r="B41" s="11"/>
      <c r="C41" s="11"/>
      <c r="D41" s="11"/>
      <c r="E41" s="17">
        <f>606.75-3870+1590</f>
        <v>-1673.25</v>
      </c>
      <c r="F41" s="13"/>
      <c r="G41" s="13"/>
      <c r="K41" s="13"/>
    </row>
    <row r="42" spans="1:11" s="9" customFormat="1">
      <c r="A42" s="14"/>
      <c r="B42" s="11"/>
      <c r="C42" s="11"/>
      <c r="D42" s="11"/>
      <c r="E42" s="17"/>
      <c r="F42" s="13"/>
      <c r="G42" s="13"/>
      <c r="K42" s="13"/>
    </row>
    <row r="43" spans="1:11" s="9" customFormat="1">
      <c r="A43" s="33"/>
      <c r="B43" s="11"/>
      <c r="C43" s="11"/>
      <c r="D43" s="11"/>
      <c r="E43" s="17"/>
      <c r="K43" s="13"/>
    </row>
    <row r="44" spans="1:11" s="9" customFormat="1" ht="14.45" thickBot="1">
      <c r="A44" s="14" t="s">
        <v>63</v>
      </c>
      <c r="B44" s="19"/>
      <c r="C44" s="19"/>
      <c r="D44" s="19"/>
      <c r="E44" s="115">
        <f>SUBTOTAL(9,E8:E43)</f>
        <v>18595.080000000002</v>
      </c>
      <c r="F44" s="81"/>
      <c r="K44" s="13"/>
    </row>
    <row r="45" spans="1:11" s="9" customFormat="1">
      <c r="A45" s="10"/>
      <c r="B45" s="11"/>
      <c r="C45" s="11"/>
      <c r="D45" s="13"/>
      <c r="E45" s="114"/>
      <c r="K45" s="13">
        <v>26804.1</v>
      </c>
    </row>
    <row r="46" spans="1:11" s="4" customFormat="1">
      <c r="A46" s="8">
        <v>45201</v>
      </c>
      <c r="B46" s="8" t="s">
        <v>64</v>
      </c>
      <c r="C46" s="8" t="s">
        <v>65</v>
      </c>
      <c r="D46" s="2">
        <v>-194.15</v>
      </c>
      <c r="K46" s="2">
        <v>14173.19</v>
      </c>
    </row>
    <row r="47" spans="1:11" s="4" customFormat="1">
      <c r="A47" s="8">
        <v>45211</v>
      </c>
      <c r="B47" s="8" t="s">
        <v>66</v>
      </c>
      <c r="C47" s="8" t="s">
        <v>67</v>
      </c>
      <c r="D47" s="2">
        <v>-750</v>
      </c>
      <c r="G47" s="100"/>
      <c r="K47" s="2">
        <f>+K45-K46</f>
        <v>12630.909999999998</v>
      </c>
    </row>
    <row r="48" spans="1:11" s="4" customFormat="1">
      <c r="A48" s="8">
        <v>45213</v>
      </c>
      <c r="B48" s="8" t="s">
        <v>43</v>
      </c>
      <c r="C48" s="8" t="s">
        <v>68</v>
      </c>
      <c r="D48" s="2">
        <v>-388.82</v>
      </c>
      <c r="K48" s="2">
        <f>+K47-2100-1750</f>
        <v>8780.909999999998</v>
      </c>
    </row>
    <row r="49" spans="1:13" s="4" customFormat="1">
      <c r="A49" s="8">
        <v>45213</v>
      </c>
      <c r="B49" s="8" t="s">
        <v>69</v>
      </c>
      <c r="C49" s="8" t="s">
        <v>70</v>
      </c>
      <c r="D49" s="2">
        <v>-165</v>
      </c>
      <c r="K49" s="2"/>
    </row>
    <row r="50" spans="1:13" s="4" customFormat="1">
      <c r="A50" s="8">
        <v>45217</v>
      </c>
      <c r="B50" s="8" t="s">
        <v>71</v>
      </c>
      <c r="C50" s="8" t="s">
        <v>72</v>
      </c>
      <c r="D50" s="2">
        <v>-1000</v>
      </c>
      <c r="K50" s="2"/>
    </row>
    <row r="51" spans="1:13" s="4" customFormat="1">
      <c r="A51" s="8">
        <v>45222</v>
      </c>
      <c r="B51" s="8" t="s">
        <v>73</v>
      </c>
      <c r="C51" s="8" t="s">
        <v>74</v>
      </c>
      <c r="D51" s="2">
        <v>-371</v>
      </c>
      <c r="K51" s="2"/>
    </row>
    <row r="52" spans="1:13" s="4" customFormat="1">
      <c r="A52" s="8">
        <v>45226</v>
      </c>
      <c r="B52" s="8" t="s">
        <v>71</v>
      </c>
      <c r="C52" s="8" t="s">
        <v>75</v>
      </c>
      <c r="D52" s="2">
        <v>-1100</v>
      </c>
      <c r="F52" s="100"/>
      <c r="G52" s="100"/>
      <c r="K52" s="2"/>
    </row>
    <row r="53" spans="1:13" s="4" customFormat="1">
      <c r="A53" s="8">
        <v>45245</v>
      </c>
      <c r="B53" s="102" t="s">
        <v>76</v>
      </c>
      <c r="C53" s="3" t="s">
        <v>77</v>
      </c>
      <c r="D53" s="2">
        <v>-1049.5</v>
      </c>
      <c r="F53" s="100"/>
      <c r="G53" s="100"/>
      <c r="K53" s="2"/>
    </row>
    <row r="54" spans="1:13" s="4" customFormat="1">
      <c r="A54" s="8">
        <v>45269</v>
      </c>
      <c r="B54" s="102" t="s">
        <v>78</v>
      </c>
      <c r="C54" s="102" t="s">
        <v>79</v>
      </c>
      <c r="D54" s="2">
        <v>-144.57</v>
      </c>
      <c r="E54" s="2"/>
      <c r="F54" s="100"/>
      <c r="G54" s="100"/>
      <c r="K54" s="2"/>
    </row>
    <row r="55" spans="1:13" s="4" customFormat="1">
      <c r="A55" s="8">
        <v>45269</v>
      </c>
      <c r="B55" s="102" t="s">
        <v>71</v>
      </c>
      <c r="C55" s="102" t="s">
        <v>80</v>
      </c>
      <c r="D55" s="2"/>
      <c r="E55" s="2"/>
      <c r="F55" s="100"/>
      <c r="G55" s="100"/>
      <c r="K55" s="2"/>
    </row>
    <row r="56" spans="1:13" s="4" customFormat="1">
      <c r="A56" s="8">
        <v>45279</v>
      </c>
      <c r="B56" s="103" t="s">
        <v>81</v>
      </c>
      <c r="C56" s="102" t="s">
        <v>82</v>
      </c>
      <c r="D56" s="2">
        <v>-220</v>
      </c>
      <c r="E56" s="2"/>
      <c r="F56" s="100"/>
      <c r="G56" s="100"/>
      <c r="K56" s="2"/>
    </row>
    <row r="57" spans="1:13" s="4" customFormat="1">
      <c r="A57" s="8">
        <v>45279</v>
      </c>
      <c r="B57" s="102" t="s">
        <v>83</v>
      </c>
      <c r="C57" s="102" t="s">
        <v>84</v>
      </c>
      <c r="D57" s="2">
        <v>-75</v>
      </c>
      <c r="E57" s="2"/>
      <c r="K57" s="2"/>
    </row>
    <row r="58" spans="1:13" s="9" customFormat="1">
      <c r="A58" s="23"/>
      <c r="B58" s="11"/>
      <c r="C58" s="11"/>
      <c r="D58" s="13"/>
      <c r="E58" s="16">
        <f>SUBTOTAL(9,E45:E45)</f>
        <v>0</v>
      </c>
      <c r="K58" s="13"/>
    </row>
    <row r="59" spans="1:13" s="9" customFormat="1" ht="14.45" thickBot="1">
      <c r="A59" s="33" t="s">
        <v>85</v>
      </c>
      <c r="B59" s="11"/>
      <c r="C59" s="11"/>
      <c r="D59" s="13"/>
      <c r="E59" s="116">
        <f>SUBTOTAL(9,E8:E58)</f>
        <v>18595.080000000002</v>
      </c>
      <c r="F59" s="13"/>
      <c r="K59" s="100">
        <f>+D51+D48+D47+D46+D53</f>
        <v>-2753.4700000000003</v>
      </c>
      <c r="L59" s="4" t="s">
        <v>86</v>
      </c>
      <c r="M59" s="4"/>
    </row>
    <row r="60" spans="1:13" s="9" customFormat="1" ht="14.45" thickTop="1">
      <c r="A60" s="33"/>
      <c r="B60" s="11"/>
      <c r="C60" s="11"/>
      <c r="D60" s="11"/>
      <c r="E60" s="117"/>
      <c r="K60" s="13"/>
    </row>
    <row r="61" spans="1:13" s="9" customFormat="1">
      <c r="A61" s="33"/>
      <c r="B61" s="11"/>
      <c r="C61" s="11"/>
      <c r="D61" s="11"/>
      <c r="E61" s="117"/>
      <c r="K61" s="13"/>
    </row>
    <row r="62" spans="1:13" s="9" customFormat="1" ht="14.45">
      <c r="A62" s="110"/>
      <c r="B62" s="111"/>
      <c r="C62" s="111"/>
      <c r="D62" s="111"/>
      <c r="E62" s="111"/>
      <c r="K62" s="13"/>
    </row>
    <row r="63" spans="1:13" s="9" customFormat="1">
      <c r="A63" s="3"/>
      <c r="B63" s="2"/>
      <c r="C63" s="2"/>
      <c r="D63" s="2"/>
      <c r="E63" s="2"/>
      <c r="K63" s="13"/>
    </row>
    <row r="64" spans="1:13" s="9" customFormat="1">
      <c r="A64" s="3"/>
      <c r="B64" s="2"/>
      <c r="C64" s="2"/>
      <c r="D64" s="2"/>
      <c r="E64" s="2"/>
      <c r="K64" s="13"/>
    </row>
    <row r="65" spans="1:11" s="9" customFormat="1">
      <c r="A65" s="3"/>
      <c r="B65" s="2"/>
      <c r="C65" s="2"/>
      <c r="D65" s="2"/>
      <c r="E65" s="2"/>
      <c r="K65" s="13"/>
    </row>
    <row r="66" spans="1:11" s="9" customFormat="1">
      <c r="A66" s="33"/>
      <c r="B66" s="11"/>
      <c r="C66" s="11"/>
      <c r="D66" s="11"/>
      <c r="E66" s="117"/>
      <c r="K66" s="13"/>
    </row>
    <row r="67" spans="1:11" s="9" customFormat="1">
      <c r="A67" s="33"/>
      <c r="B67" s="11"/>
      <c r="C67" s="11"/>
      <c r="D67" s="72"/>
      <c r="E67" s="117"/>
      <c r="K67" s="13"/>
    </row>
    <row r="68" spans="1:11" s="9" customFormat="1">
      <c r="A68" s="33" t="s">
        <v>15</v>
      </c>
      <c r="B68" s="11"/>
      <c r="C68" s="72"/>
      <c r="D68" s="11"/>
      <c r="E68" s="117"/>
      <c r="K68" s="13"/>
    </row>
    <row r="69" spans="1:11" s="9" customFormat="1">
      <c r="A69" s="19" t="s">
        <v>87</v>
      </c>
      <c r="B69" s="73"/>
      <c r="C69" s="72">
        <v>1750</v>
      </c>
      <c r="D69" s="11"/>
      <c r="E69" s="117"/>
      <c r="K69" s="13"/>
    </row>
    <row r="70" spans="1:11" s="9" customFormat="1">
      <c r="A70" s="19" t="s">
        <v>88</v>
      </c>
      <c r="B70" s="10"/>
      <c r="C70" s="72">
        <v>17540</v>
      </c>
      <c r="D70" s="11"/>
      <c r="E70" s="12"/>
      <c r="K70" s="13"/>
    </row>
    <row r="71" spans="1:11" s="9" customFormat="1">
      <c r="A71" s="19" t="s">
        <v>89</v>
      </c>
      <c r="B71" s="10"/>
      <c r="C71" s="72">
        <v>19700</v>
      </c>
      <c r="D71" s="11"/>
      <c r="E71" s="12"/>
      <c r="K71" s="13"/>
    </row>
    <row r="72" spans="1:11" s="9" customFormat="1">
      <c r="A72" s="19" t="s">
        <v>90</v>
      </c>
      <c r="B72" s="10"/>
      <c r="C72" s="72">
        <f>21450+7375</f>
        <v>28825</v>
      </c>
      <c r="D72" s="11"/>
      <c r="E72" s="12"/>
      <c r="K72" s="13"/>
    </row>
    <row r="73" spans="1:11" s="9" customFormat="1">
      <c r="A73" s="19" t="s">
        <v>91</v>
      </c>
      <c r="B73" s="10"/>
      <c r="C73" s="72">
        <f>60+200</f>
        <v>260</v>
      </c>
      <c r="D73" s="11"/>
      <c r="E73" s="12"/>
      <c r="K73" s="13"/>
    </row>
    <row r="74" spans="1:11" s="9" customFormat="1">
      <c r="A74" s="19" t="s">
        <v>92</v>
      </c>
      <c r="B74" s="10"/>
      <c r="C74" s="72">
        <f>1750+1000+10000</f>
        <v>12750</v>
      </c>
      <c r="D74" s="11"/>
      <c r="E74" s="12"/>
      <c r="K74" s="13"/>
    </row>
    <row r="75" spans="1:11" s="9" customFormat="1">
      <c r="A75" s="19" t="s">
        <v>93</v>
      </c>
      <c r="B75" s="10"/>
      <c r="C75" s="72">
        <f>100+450</f>
        <v>550</v>
      </c>
      <c r="D75" s="11"/>
      <c r="E75" s="12"/>
      <c r="K75" s="13"/>
    </row>
    <row r="76" spans="1:11" s="9" customFormat="1">
      <c r="A76" s="19" t="s">
        <v>94</v>
      </c>
      <c r="B76" s="10"/>
      <c r="C76" s="72">
        <f>6475+250+2200+160</f>
        <v>9085</v>
      </c>
      <c r="D76" s="72"/>
      <c r="E76" s="12"/>
      <c r="K76" s="13"/>
    </row>
    <row r="77" spans="1:11" s="9" customFormat="1">
      <c r="A77" s="19" t="s">
        <v>95</v>
      </c>
      <c r="B77" s="10"/>
      <c r="C77" s="72">
        <f>1750+1750+1131.48+188.58+180.08+188.58+1885.8</f>
        <v>7074.5199999999995</v>
      </c>
      <c r="D77" s="72"/>
      <c r="E77" s="12"/>
      <c r="K77" s="13"/>
    </row>
    <row r="78" spans="1:11" s="9" customFormat="1">
      <c r="A78" s="19" t="s">
        <v>96</v>
      </c>
      <c r="B78" s="10"/>
      <c r="C78" s="72">
        <v>5200</v>
      </c>
      <c r="D78" s="11"/>
      <c r="E78" s="12"/>
      <c r="K78" s="13"/>
    </row>
    <row r="79" spans="1:11" s="9" customFormat="1">
      <c r="A79" s="19" t="s">
        <v>97</v>
      </c>
      <c r="B79" s="10"/>
      <c r="C79" s="72">
        <v>1100</v>
      </c>
      <c r="D79" s="11"/>
      <c r="E79" s="12"/>
      <c r="K79" s="13"/>
    </row>
    <row r="80" spans="1:11" s="9" customFormat="1">
      <c r="A80" s="19" t="s">
        <v>98</v>
      </c>
      <c r="B80" s="10"/>
      <c r="C80" s="72">
        <v>2155</v>
      </c>
      <c r="D80" s="11"/>
      <c r="E80" s="12"/>
      <c r="K80" s="13"/>
    </row>
    <row r="81" spans="1:11" s="9" customFormat="1">
      <c r="A81" s="19" t="s">
        <v>99</v>
      </c>
      <c r="B81" s="10"/>
      <c r="C81" s="72">
        <v>2000</v>
      </c>
      <c r="D81" s="11"/>
      <c r="E81" s="12"/>
      <c r="K81" s="13"/>
    </row>
    <row r="82" spans="1:11" s="9" customFormat="1">
      <c r="A82" s="19" t="s">
        <v>100</v>
      </c>
      <c r="B82" s="10"/>
      <c r="C82" s="72">
        <v>22511.68</v>
      </c>
      <c r="D82" s="72"/>
      <c r="E82" s="12"/>
      <c r="K82" s="13"/>
    </row>
    <row r="83" spans="1:11" s="9" customFormat="1">
      <c r="A83" s="19" t="s">
        <v>101</v>
      </c>
      <c r="B83" s="10"/>
      <c r="C83" s="72">
        <v>3500</v>
      </c>
      <c r="D83" s="11"/>
      <c r="E83" s="12"/>
      <c r="K83" s="13"/>
    </row>
    <row r="84" spans="1:11" s="9" customFormat="1">
      <c r="A84" s="19" t="s">
        <v>102</v>
      </c>
      <c r="B84" s="10"/>
      <c r="C84" s="72">
        <f>6055+5000</f>
        <v>11055</v>
      </c>
      <c r="D84" s="72"/>
      <c r="E84" s="12"/>
      <c r="K84" s="13"/>
    </row>
    <row r="85" spans="1:11" s="9" customFormat="1">
      <c r="A85" s="19" t="s">
        <v>103</v>
      </c>
      <c r="B85" s="10"/>
      <c r="C85" s="72">
        <f>5636+175.01+9580</f>
        <v>15391.01</v>
      </c>
      <c r="D85" s="11"/>
      <c r="E85" s="12"/>
      <c r="K85" s="13"/>
    </row>
    <row r="86" spans="1:11" s="9" customFormat="1">
      <c r="A86" s="19" t="s">
        <v>104</v>
      </c>
      <c r="B86" s="10"/>
      <c r="C86" s="72">
        <v>1750</v>
      </c>
      <c r="D86" s="11"/>
      <c r="E86" s="12"/>
      <c r="K86" s="13"/>
    </row>
    <row r="87" spans="1:11" s="9" customFormat="1">
      <c r="A87" s="19" t="s">
        <v>105</v>
      </c>
      <c r="B87" s="10"/>
      <c r="C87" s="72">
        <v>3600</v>
      </c>
      <c r="D87" s="11"/>
      <c r="E87" s="12"/>
      <c r="K87" s="13"/>
    </row>
    <row r="88" spans="1:11" s="9" customFormat="1">
      <c r="A88" s="19"/>
      <c r="B88" s="10"/>
      <c r="C88" s="72"/>
      <c r="D88" s="11"/>
      <c r="E88" s="12"/>
      <c r="K88" s="13"/>
    </row>
    <row r="89" spans="1:11" s="9" customFormat="1" ht="14.45" thickBot="1">
      <c r="A89" s="19" t="s">
        <v>106</v>
      </c>
      <c r="B89" s="10"/>
      <c r="C89" s="98">
        <f>SUM(C69:C88)</f>
        <v>165797.21000000002</v>
      </c>
      <c r="D89" s="11"/>
      <c r="E89" s="12"/>
      <c r="K89" s="13"/>
    </row>
    <row r="91" spans="1:11" s="9" customFormat="1">
      <c r="A91" s="19"/>
      <c r="B91" s="10"/>
      <c r="C91" s="72"/>
      <c r="D91" s="11"/>
      <c r="E91" s="12"/>
      <c r="K91" s="13"/>
    </row>
    <row r="92" spans="1:11" s="9" customFormat="1">
      <c r="A92" s="19" t="s">
        <v>107</v>
      </c>
      <c r="B92" s="10"/>
      <c r="C92" s="72">
        <f>69400-250</f>
        <v>69150</v>
      </c>
      <c r="D92" s="11"/>
      <c r="E92" s="12"/>
      <c r="K92" s="13"/>
    </row>
    <row r="93" spans="1:11" s="9" customFormat="1">
      <c r="A93" s="19" t="s">
        <v>108</v>
      </c>
      <c r="B93" s="11"/>
      <c r="C93" s="72">
        <f>18749.52</f>
        <v>18749.52</v>
      </c>
      <c r="D93" s="72"/>
      <c r="E93" s="12"/>
      <c r="K93" s="13"/>
    </row>
    <row r="94" spans="1:11" s="9" customFormat="1">
      <c r="A94" s="19" t="s">
        <v>109</v>
      </c>
      <c r="B94" s="11"/>
      <c r="C94" s="72">
        <f>7510</f>
        <v>7510</v>
      </c>
      <c r="D94" s="11"/>
      <c r="E94" s="12"/>
      <c r="K94" s="13"/>
    </row>
    <row r="95" spans="1:11" s="9" customFormat="1">
      <c r="A95" s="19" t="s">
        <v>110</v>
      </c>
      <c r="B95" s="11"/>
      <c r="C95" s="72">
        <v>2125</v>
      </c>
      <c r="D95" s="11"/>
      <c r="E95" s="12"/>
      <c r="K95" s="13"/>
    </row>
    <row r="96" spans="1:11" s="9" customFormat="1">
      <c r="A96" s="19" t="s">
        <v>111</v>
      </c>
      <c r="B96" s="11"/>
      <c r="C96" s="72">
        <v>6300</v>
      </c>
      <c r="D96" s="11"/>
      <c r="E96" s="12"/>
      <c r="K96" s="13"/>
    </row>
    <row r="97" spans="1:11" s="9" customFormat="1">
      <c r="A97" s="19" t="s">
        <v>112</v>
      </c>
      <c r="B97" s="11"/>
      <c r="C97" s="72">
        <v>4155</v>
      </c>
      <c r="D97" s="11"/>
      <c r="E97" s="12"/>
      <c r="K97" s="13"/>
    </row>
    <row r="98" spans="1:11" s="9" customFormat="1">
      <c r="A98" s="19" t="s">
        <v>113</v>
      </c>
      <c r="B98" s="11"/>
      <c r="C98" s="72">
        <v>25841.68</v>
      </c>
      <c r="D98" s="72"/>
      <c r="E98" s="12"/>
      <c r="K98" s="13"/>
    </row>
    <row r="99" spans="1:11" s="9" customFormat="1">
      <c r="A99" s="19" t="s">
        <v>114</v>
      </c>
      <c r="B99" s="11"/>
      <c r="C99" s="72">
        <v>13361</v>
      </c>
      <c r="D99" s="72"/>
      <c r="E99" s="12"/>
      <c r="K99" s="13"/>
    </row>
    <row r="100" spans="1:11" s="9" customFormat="1">
      <c r="A100" s="19" t="s">
        <v>115</v>
      </c>
      <c r="B100" s="11"/>
      <c r="C100" s="72">
        <v>3500</v>
      </c>
      <c r="D100" s="72"/>
      <c r="E100" s="12"/>
      <c r="K100" s="13"/>
    </row>
    <row r="101" spans="1:11" s="9" customFormat="1">
      <c r="A101" s="19" t="s">
        <v>116</v>
      </c>
      <c r="B101" s="11"/>
      <c r="C101" s="72">
        <f>14930+175.01</f>
        <v>15105.01</v>
      </c>
      <c r="D101" s="72"/>
      <c r="E101" s="12"/>
      <c r="K101" s="13"/>
    </row>
    <row r="102" spans="1:11" s="9" customFormat="1">
      <c r="A102" s="19"/>
      <c r="B102" s="11"/>
      <c r="C102" s="72"/>
      <c r="D102" s="11"/>
      <c r="E102" s="12"/>
      <c r="K102" s="13"/>
    </row>
    <row r="103" spans="1:11" s="9" customFormat="1" ht="14.45" thickBot="1">
      <c r="A103" s="19"/>
      <c r="B103" s="11"/>
      <c r="C103" s="97">
        <f>SUM(C92:C102)</f>
        <v>165797.21000000002</v>
      </c>
      <c r="D103" s="11"/>
      <c r="E103" s="12"/>
      <c r="K103" s="13"/>
    </row>
    <row r="104" spans="1:11" s="9" customFormat="1" ht="14.45" thickTop="1">
      <c r="A104" s="10"/>
      <c r="B104" s="11"/>
      <c r="C104" s="72">
        <f>C89-C103</f>
        <v>0</v>
      </c>
      <c r="D104" s="11"/>
      <c r="E104" s="12"/>
      <c r="K104" s="13"/>
    </row>
    <row r="105" spans="1:11" s="9" customFormat="1">
      <c r="A105" s="10"/>
      <c r="B105" s="11"/>
      <c r="C105" s="72"/>
      <c r="D105" s="11"/>
      <c r="E105" s="12"/>
      <c r="K105" s="13"/>
    </row>
    <row r="106" spans="1:11" s="9" customFormat="1">
      <c r="A106" s="10"/>
      <c r="B106" s="11"/>
      <c r="C106" s="72"/>
      <c r="D106" s="11"/>
      <c r="E106" s="12"/>
      <c r="K106" s="13"/>
    </row>
    <row r="107" spans="1:11" s="9" customFormat="1">
      <c r="A107" s="10"/>
      <c r="B107" s="11"/>
      <c r="C107" s="72"/>
      <c r="D107" s="11"/>
      <c r="E107" s="12"/>
      <c r="K107" s="13"/>
    </row>
    <row r="108" spans="1:11" s="9" customFormat="1">
      <c r="A108" s="10"/>
      <c r="B108" s="11"/>
      <c r="C108" s="72"/>
      <c r="D108" s="11"/>
      <c r="E108" s="12"/>
      <c r="K108" s="13"/>
    </row>
    <row r="109" spans="1:11" s="9" customFormat="1">
      <c r="A109" s="10"/>
      <c r="B109" s="11"/>
      <c r="C109" s="72"/>
      <c r="D109" s="11"/>
      <c r="E109" s="12"/>
      <c r="K109" s="13"/>
    </row>
    <row r="110" spans="1:11" s="9" customFormat="1">
      <c r="A110" s="10"/>
      <c r="B110" s="11"/>
      <c r="C110" s="72"/>
      <c r="D110" s="11"/>
      <c r="E110" s="12"/>
      <c r="K110" s="13"/>
    </row>
    <row r="111" spans="1:11" s="9" customFormat="1">
      <c r="A111" s="10"/>
      <c r="B111" s="11"/>
      <c r="C111" s="72"/>
      <c r="D111" s="11"/>
      <c r="E111" s="12"/>
      <c r="K111" s="13"/>
    </row>
    <row r="112" spans="1:11" s="9" customFormat="1">
      <c r="A112" s="10"/>
      <c r="B112" s="11"/>
      <c r="C112" s="72"/>
      <c r="D112" s="11"/>
      <c r="E112" s="12"/>
      <c r="K112" s="13"/>
    </row>
    <row r="113" spans="1:11" s="9" customFormat="1">
      <c r="A113" s="10"/>
      <c r="B113" s="11"/>
      <c r="C113" s="72"/>
      <c r="D113" s="11"/>
      <c r="E113" s="12"/>
      <c r="K113" s="13"/>
    </row>
    <row r="114" spans="1:11" s="9" customFormat="1">
      <c r="A114" s="10"/>
      <c r="B114" s="11"/>
      <c r="C114" s="72"/>
      <c r="D114" s="11"/>
      <c r="E114" s="12"/>
      <c r="K114" s="13"/>
    </row>
    <row r="115" spans="1:11" s="9" customFormat="1">
      <c r="A115" s="10"/>
      <c r="B115" s="11"/>
      <c r="C115" s="72"/>
      <c r="D115" s="11"/>
      <c r="E115" s="12"/>
      <c r="K115" s="13"/>
    </row>
    <row r="116" spans="1:11" s="9" customFormat="1">
      <c r="A116" s="10"/>
      <c r="B116" s="11"/>
      <c r="C116" s="72"/>
      <c r="D116" s="11"/>
      <c r="E116" s="12"/>
      <c r="K116" s="13"/>
    </row>
    <row r="117" spans="1:11" s="9" customFormat="1">
      <c r="A117" s="10"/>
      <c r="B117" s="11"/>
      <c r="C117" s="11"/>
      <c r="D117" s="11"/>
      <c r="E117" s="12"/>
      <c r="K117" s="13"/>
    </row>
    <row r="118" spans="1:11" s="9" customFormat="1">
      <c r="A118" s="10"/>
      <c r="B118" s="11"/>
      <c r="C118" s="11"/>
      <c r="D118" s="11"/>
      <c r="E118" s="12"/>
      <c r="K118" s="13"/>
    </row>
    <row r="119" spans="1:11" s="9" customFormat="1">
      <c r="A119" s="10"/>
      <c r="B119" s="11"/>
      <c r="C119" s="11"/>
      <c r="D119" s="11"/>
      <c r="E119" s="12"/>
      <c r="K119" s="13"/>
    </row>
    <row r="120" spans="1:11" s="9" customFormat="1">
      <c r="A120" s="10"/>
      <c r="B120" s="11"/>
      <c r="C120" s="11"/>
      <c r="D120" s="11"/>
      <c r="E120" s="12"/>
      <c r="K120" s="13"/>
    </row>
    <row r="121" spans="1:11" s="9" customFormat="1">
      <c r="A121" s="10"/>
      <c r="B121" s="11"/>
      <c r="C121" s="11"/>
      <c r="D121" s="11"/>
      <c r="E121" s="12"/>
      <c r="K121" s="13"/>
    </row>
    <row r="122" spans="1:11" s="9" customFormat="1">
      <c r="A122" s="10"/>
      <c r="B122" s="11"/>
      <c r="C122" s="11"/>
      <c r="D122" s="11"/>
      <c r="E122" s="12"/>
      <c r="K122" s="13"/>
    </row>
    <row r="123" spans="1:11" s="9" customFormat="1">
      <c r="A123" s="10"/>
      <c r="B123" s="11"/>
      <c r="C123" s="11"/>
      <c r="D123" s="11"/>
      <c r="E123" s="12"/>
      <c r="K123" s="13"/>
    </row>
    <row r="124" spans="1:11" s="9" customFormat="1">
      <c r="A124" s="10"/>
      <c r="B124" s="11"/>
      <c r="C124" s="11"/>
      <c r="D124" s="11"/>
      <c r="E124" s="12"/>
      <c r="K124" s="13"/>
    </row>
    <row r="125" spans="1:11" s="9" customFormat="1">
      <c r="A125" s="10"/>
      <c r="B125" s="11"/>
      <c r="C125" s="11"/>
      <c r="D125" s="11"/>
      <c r="E125" s="12"/>
      <c r="K125" s="13"/>
    </row>
    <row r="126" spans="1:11" s="9" customFormat="1">
      <c r="A126" s="10"/>
      <c r="B126" s="11"/>
      <c r="C126" s="11"/>
      <c r="D126" s="11"/>
      <c r="E126" s="12"/>
      <c r="K126" s="13"/>
    </row>
    <row r="127" spans="1:11" s="9" customFormat="1">
      <c r="A127" s="10"/>
      <c r="B127" s="11"/>
      <c r="C127" s="11"/>
      <c r="D127" s="11"/>
      <c r="E127" s="12"/>
      <c r="K127" s="13"/>
    </row>
    <row r="128" spans="1:11" s="9" customFormat="1">
      <c r="A128" s="10"/>
      <c r="B128" s="11"/>
      <c r="C128" s="11"/>
      <c r="D128" s="11"/>
      <c r="E128" s="12"/>
      <c r="K128" s="13"/>
    </row>
    <row r="129" spans="1:11" s="9" customFormat="1">
      <c r="A129" s="10"/>
      <c r="B129" s="11"/>
      <c r="C129" s="11"/>
      <c r="D129" s="11"/>
      <c r="E129" s="12"/>
      <c r="K129" s="13"/>
    </row>
    <row r="130" spans="1:11" s="9" customFormat="1">
      <c r="A130" s="10"/>
      <c r="B130" s="11"/>
      <c r="C130" s="11"/>
      <c r="D130" s="11"/>
      <c r="E130" s="12"/>
      <c r="K130" s="13"/>
    </row>
    <row r="131" spans="1:11" s="9" customFormat="1">
      <c r="A131" s="10"/>
      <c r="B131" s="11"/>
      <c r="C131" s="11"/>
      <c r="D131" s="11"/>
      <c r="E131" s="12"/>
      <c r="K131" s="13"/>
    </row>
    <row r="132" spans="1:11" s="9" customFormat="1">
      <c r="A132" s="10"/>
      <c r="B132" s="11"/>
      <c r="C132" s="11"/>
      <c r="D132" s="11"/>
      <c r="E132" s="12"/>
      <c r="K132" s="13"/>
    </row>
    <row r="133" spans="1:11" s="9" customFormat="1">
      <c r="A133" s="10"/>
      <c r="B133" s="11"/>
      <c r="C133" s="11"/>
      <c r="D133" s="11"/>
      <c r="E133" s="12"/>
      <c r="K133" s="13"/>
    </row>
    <row r="134" spans="1:11" s="9" customFormat="1">
      <c r="A134" s="10"/>
      <c r="B134" s="11"/>
      <c r="C134" s="11"/>
      <c r="D134" s="11"/>
      <c r="E134" s="12"/>
      <c r="K134" s="13"/>
    </row>
    <row r="135" spans="1:11" s="9" customFormat="1">
      <c r="A135" s="10"/>
      <c r="B135" s="11"/>
      <c r="C135" s="11"/>
      <c r="D135" s="11"/>
      <c r="E135" s="12"/>
      <c r="K135" s="13"/>
    </row>
    <row r="136" spans="1:11" s="9" customFormat="1">
      <c r="A136" s="10"/>
      <c r="B136" s="11"/>
      <c r="C136" s="11"/>
      <c r="D136" s="11"/>
      <c r="E136" s="12"/>
      <c r="K136" s="13"/>
    </row>
    <row r="137" spans="1:11" s="9" customFormat="1">
      <c r="A137" s="10"/>
      <c r="B137" s="11"/>
      <c r="C137" s="11"/>
      <c r="D137" s="11"/>
      <c r="E137" s="12"/>
      <c r="K137" s="13"/>
    </row>
    <row r="138" spans="1:11" s="9" customFormat="1">
      <c r="A138" s="10"/>
      <c r="B138" s="11"/>
      <c r="C138" s="11"/>
      <c r="D138" s="11"/>
      <c r="E138" s="12"/>
      <c r="K138" s="13"/>
    </row>
    <row r="139" spans="1:11" s="9" customFormat="1">
      <c r="A139" s="10"/>
      <c r="B139" s="11"/>
      <c r="C139" s="11"/>
      <c r="D139" s="11"/>
      <c r="E139" s="12"/>
      <c r="K139" s="13"/>
    </row>
    <row r="140" spans="1:11" s="9" customFormat="1">
      <c r="A140" s="10"/>
      <c r="B140" s="11"/>
      <c r="C140" s="11"/>
      <c r="D140" s="11"/>
      <c r="E140" s="12"/>
      <c r="K140" s="13"/>
    </row>
    <row r="141" spans="1:11" s="9" customFormat="1">
      <c r="A141" s="10"/>
      <c r="B141" s="11"/>
      <c r="C141" s="11"/>
      <c r="D141" s="11"/>
      <c r="E141" s="12"/>
      <c r="K141" s="13"/>
    </row>
    <row r="142" spans="1:11" s="9" customFormat="1">
      <c r="A142" s="10"/>
      <c r="B142" s="11"/>
      <c r="C142" s="11"/>
      <c r="D142" s="11"/>
      <c r="E142" s="12"/>
      <c r="K142" s="13"/>
    </row>
    <row r="143" spans="1:11" s="9" customFormat="1">
      <c r="A143" s="10"/>
      <c r="B143" s="11"/>
      <c r="C143" s="11"/>
      <c r="D143" s="11"/>
      <c r="E143" s="12"/>
      <c r="K143" s="13"/>
    </row>
    <row r="144" spans="1:11" s="9" customFormat="1">
      <c r="A144" s="10"/>
      <c r="B144" s="11"/>
      <c r="C144" s="11"/>
      <c r="D144" s="11"/>
      <c r="E144" s="12"/>
      <c r="K144" s="13"/>
    </row>
    <row r="145" spans="1:11" s="9" customFormat="1">
      <c r="A145" s="10"/>
      <c r="B145" s="11"/>
      <c r="C145" s="11"/>
      <c r="D145" s="11"/>
      <c r="E145" s="12"/>
      <c r="K145" s="13"/>
    </row>
    <row r="146" spans="1:11">
      <c r="A146" s="10"/>
      <c r="B146" s="11"/>
      <c r="C146" s="11"/>
      <c r="D146" s="11"/>
      <c r="E146" s="12"/>
    </row>
    <row r="147" spans="1:11">
      <c r="A147" s="10"/>
      <c r="B147" s="11"/>
      <c r="C147" s="11"/>
      <c r="D147" s="11"/>
      <c r="E147" s="12"/>
    </row>
    <row r="148" spans="1:11">
      <c r="A148" s="10"/>
      <c r="B148" s="11"/>
      <c r="C148" s="11"/>
      <c r="D148" s="11"/>
      <c r="E148" s="12"/>
    </row>
    <row r="149" spans="1:11">
      <c r="A149" s="10"/>
      <c r="B149" s="11"/>
      <c r="C149" s="11"/>
      <c r="D149" s="11"/>
      <c r="E149" s="12"/>
    </row>
    <row r="150" spans="1:11">
      <c r="A150" s="10"/>
      <c r="B150" s="11"/>
      <c r="C150" s="11"/>
      <c r="D150" s="11"/>
      <c r="E150" s="12"/>
    </row>
    <row r="151" spans="1:11">
      <c r="A151" s="10"/>
      <c r="B151" s="11"/>
      <c r="C151" s="11"/>
      <c r="D151" s="11"/>
      <c r="E151" s="12"/>
    </row>
    <row r="152" spans="1:11">
      <c r="A152" s="10"/>
      <c r="B152" s="11"/>
      <c r="C152" s="11"/>
      <c r="D152" s="11"/>
      <c r="E152" s="12"/>
    </row>
    <row r="153" spans="1:11">
      <c r="A153" s="10"/>
      <c r="B153" s="11"/>
      <c r="C153" s="11"/>
      <c r="D153" s="11"/>
      <c r="E153" s="12"/>
    </row>
  </sheetData>
  <mergeCells count="5">
    <mergeCell ref="A1:E1"/>
    <mergeCell ref="A2:E2"/>
    <mergeCell ref="A4:E4"/>
    <mergeCell ref="A5:E5"/>
    <mergeCell ref="A3:E3"/>
  </mergeCells>
  <pageMargins left="1.2" right="0.7" top="0.75" bottom="0.75" header="0.3" footer="0.3"/>
  <pageSetup scale="63" orientation="portrait" r:id="rId1"/>
  <rowBreaks count="1" manualBreakCount="1">
    <brk id="136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D6EED-2F6D-49DD-9E32-CE7BBDAEB7DA}">
  <dimension ref="A1:G56"/>
  <sheetViews>
    <sheetView zoomScale="120" zoomScaleNormal="120" workbookViewId="0">
      <pane ySplit="5" topLeftCell="A23" activePane="bottomLeft" state="frozen"/>
      <selection pane="bottomLeft" activeCell="B35" sqref="B35"/>
    </sheetView>
  </sheetViews>
  <sheetFormatPr defaultColWidth="9.140625" defaultRowHeight="13.9"/>
  <cols>
    <col min="1" max="1" width="14.28515625" style="3" customWidth="1"/>
    <col min="2" max="2" width="12.5703125" style="3" customWidth="1"/>
    <col min="3" max="3" width="35" style="3" customWidth="1"/>
    <col min="4" max="4" width="39" style="3" customWidth="1"/>
    <col min="5" max="5" width="14.5703125" style="2" customWidth="1"/>
    <col min="6" max="6" width="11.28515625" style="3" customWidth="1"/>
    <col min="7" max="7" width="10.5703125" style="3" bestFit="1" customWidth="1"/>
    <col min="8" max="16384" width="9.140625" style="3"/>
  </cols>
  <sheetData>
    <row r="1" spans="1:7" s="5" customFormat="1" ht="15.6">
      <c r="A1" s="120" t="s">
        <v>15</v>
      </c>
      <c r="B1" s="120"/>
      <c r="C1" s="120"/>
      <c r="D1" s="120"/>
      <c r="E1" s="120"/>
    </row>
    <row r="2" spans="1:7" s="5" customFormat="1" ht="15.6">
      <c r="A2" s="120" t="s">
        <v>16</v>
      </c>
      <c r="B2" s="120"/>
      <c r="C2" s="120"/>
      <c r="D2" s="120"/>
      <c r="E2" s="120"/>
    </row>
    <row r="3" spans="1:7" s="5" customFormat="1" ht="15.6">
      <c r="A3" s="120" t="s">
        <v>117</v>
      </c>
      <c r="B3" s="120"/>
      <c r="C3" s="120"/>
      <c r="D3" s="120"/>
      <c r="E3" s="120"/>
    </row>
    <row r="4" spans="1:7" s="5" customFormat="1" ht="15.6">
      <c r="A4" s="120" t="s">
        <v>18</v>
      </c>
      <c r="B4" s="120"/>
      <c r="C4" s="120"/>
      <c r="D4" s="120"/>
      <c r="E4" s="120"/>
    </row>
    <row r="5" spans="1:7" s="5" customFormat="1" ht="15.6">
      <c r="A5" s="120" t="str">
        <f>Operating!A5</f>
        <v>April 1, 2024 - April  30, 2024</v>
      </c>
      <c r="B5" s="120"/>
      <c r="C5" s="120"/>
      <c r="D5" s="120"/>
      <c r="E5" s="120"/>
    </row>
    <row r="7" spans="1:7">
      <c r="A7" s="4" t="s">
        <v>118</v>
      </c>
    </row>
    <row r="8" spans="1:7">
      <c r="A8" s="4" t="str">
        <f>Operating!A8</f>
        <v>Balance Brought Forward March 31, 2024</v>
      </c>
      <c r="B8" s="4"/>
      <c r="C8" s="4"/>
      <c r="D8" s="4"/>
      <c r="E8" s="6">
        <v>45193.2</v>
      </c>
      <c r="F8" s="6"/>
    </row>
    <row r="9" spans="1:7">
      <c r="A9" s="4" t="s">
        <v>21</v>
      </c>
      <c r="B9" s="4"/>
      <c r="C9" s="4"/>
      <c r="D9" s="4"/>
    </row>
    <row r="10" spans="1:7">
      <c r="A10" s="4" t="s">
        <v>119</v>
      </c>
      <c r="B10" s="8">
        <v>45387</v>
      </c>
      <c r="C10" s="3" t="s">
        <v>41</v>
      </c>
      <c r="D10" s="8" t="s">
        <v>120</v>
      </c>
      <c r="E10" s="2">
        <v>175.01</v>
      </c>
      <c r="G10" s="2"/>
    </row>
    <row r="11" spans="1:7">
      <c r="A11" s="8"/>
      <c r="B11" s="8"/>
      <c r="D11" s="8"/>
      <c r="E11" s="2">
        <v>0</v>
      </c>
      <c r="G11" s="2"/>
    </row>
    <row r="12" spans="1:7">
      <c r="A12" s="8"/>
      <c r="B12" s="8"/>
      <c r="D12" s="8"/>
      <c r="F12" s="2"/>
      <c r="G12" s="2"/>
    </row>
    <row r="13" spans="1:7">
      <c r="B13" s="52"/>
      <c r="C13" s="46"/>
      <c r="D13" s="51"/>
      <c r="G13" s="2"/>
    </row>
    <row r="14" spans="1:7">
      <c r="A14" s="4" t="s">
        <v>25</v>
      </c>
      <c r="E14" s="16">
        <f>SUBTOTAL(9,E10:E13)</f>
        <v>175.01</v>
      </c>
      <c r="G14" s="2"/>
    </row>
    <row r="15" spans="1:7">
      <c r="A15" s="4" t="s">
        <v>26</v>
      </c>
      <c r="E15" s="20">
        <f>SUBTOTAL(9,E8:E14)</f>
        <v>45368.21</v>
      </c>
      <c r="G15" s="2"/>
    </row>
    <row r="16" spans="1:7">
      <c r="A16" s="4"/>
      <c r="E16" s="7"/>
      <c r="G16" s="2"/>
    </row>
    <row r="17" spans="1:6">
      <c r="A17" s="4" t="s">
        <v>2</v>
      </c>
    </row>
    <row r="19" spans="1:6" s="4" customFormat="1" ht="15.6">
      <c r="A19" s="45" t="s">
        <v>27</v>
      </c>
      <c r="B19" s="45" t="s">
        <v>28</v>
      </c>
      <c r="C19" s="45" t="s">
        <v>29</v>
      </c>
      <c r="D19" s="45" t="s">
        <v>30</v>
      </c>
      <c r="E19" s="44" t="s">
        <v>31</v>
      </c>
    </row>
    <row r="20" spans="1:6" s="9" customFormat="1">
      <c r="A20" s="8">
        <v>45398</v>
      </c>
      <c r="B20" s="90" t="s">
        <v>121</v>
      </c>
      <c r="C20" s="46" t="s">
        <v>122</v>
      </c>
      <c r="D20" s="51" t="s">
        <v>123</v>
      </c>
      <c r="E20" s="2">
        <v>-500</v>
      </c>
      <c r="F20" s="4"/>
    </row>
    <row r="21" spans="1:6" s="9" customFormat="1">
      <c r="A21" s="8">
        <v>45398</v>
      </c>
      <c r="B21" s="90" t="s">
        <v>124</v>
      </c>
      <c r="C21" s="46" t="s">
        <v>125</v>
      </c>
      <c r="D21" s="51" t="s">
        <v>126</v>
      </c>
      <c r="E21" s="2">
        <v>-600</v>
      </c>
      <c r="F21" s="4"/>
    </row>
    <row r="22" spans="1:6" s="9" customFormat="1">
      <c r="A22" s="8">
        <v>45398</v>
      </c>
      <c r="B22" s="90" t="s">
        <v>127</v>
      </c>
      <c r="C22" s="46" t="s">
        <v>128</v>
      </c>
      <c r="D22" s="51" t="s">
        <v>129</v>
      </c>
      <c r="E22" s="2">
        <v>-1075.1600000000001</v>
      </c>
      <c r="F22" s="4"/>
    </row>
    <row r="23" spans="1:6" s="9" customFormat="1">
      <c r="A23" s="8">
        <v>45398</v>
      </c>
      <c r="B23" s="90" t="s">
        <v>130</v>
      </c>
      <c r="C23" s="46" t="s">
        <v>131</v>
      </c>
      <c r="D23" s="51" t="s">
        <v>132</v>
      </c>
      <c r="E23" s="2">
        <v>-25</v>
      </c>
      <c r="F23" s="4"/>
    </row>
    <row r="24" spans="1:6" s="9" customFormat="1">
      <c r="A24" s="8">
        <v>45398</v>
      </c>
      <c r="B24" s="90" t="s">
        <v>133</v>
      </c>
      <c r="C24" s="46" t="s">
        <v>134</v>
      </c>
      <c r="D24" s="51" t="s">
        <v>135</v>
      </c>
      <c r="E24" s="2">
        <v>-1000</v>
      </c>
      <c r="F24" s="4"/>
    </row>
    <row r="25" spans="1:6" s="9" customFormat="1">
      <c r="A25" s="8">
        <v>45400</v>
      </c>
      <c r="B25" s="90" t="s">
        <v>136</v>
      </c>
      <c r="C25" s="46" t="s">
        <v>137</v>
      </c>
      <c r="D25" s="51" t="s">
        <v>138</v>
      </c>
      <c r="E25" s="2">
        <v>-325</v>
      </c>
      <c r="F25" s="4"/>
    </row>
    <row r="26" spans="1:6" s="9" customFormat="1">
      <c r="A26" s="8">
        <v>45411</v>
      </c>
      <c r="B26" s="90" t="s">
        <v>139</v>
      </c>
      <c r="C26" s="46" t="s">
        <v>140</v>
      </c>
      <c r="D26" s="3" t="s">
        <v>141</v>
      </c>
      <c r="E26" s="2">
        <v>-2705.51</v>
      </c>
      <c r="F26" s="4"/>
    </row>
    <row r="27" spans="1:6" s="9" customFormat="1">
      <c r="A27" s="8">
        <v>45412</v>
      </c>
      <c r="B27" s="90" t="s">
        <v>142</v>
      </c>
      <c r="C27" s="46" t="s">
        <v>143</v>
      </c>
      <c r="D27" s="3" t="s">
        <v>144</v>
      </c>
      <c r="E27" s="2">
        <v>-691.03</v>
      </c>
      <c r="F27" s="4"/>
    </row>
    <row r="28" spans="1:6" s="9" customFormat="1">
      <c r="A28" s="8">
        <v>45412</v>
      </c>
      <c r="B28" s="90" t="s">
        <v>145</v>
      </c>
      <c r="C28" s="46" t="s">
        <v>146</v>
      </c>
      <c r="D28" s="3" t="s">
        <v>147</v>
      </c>
      <c r="E28" s="2">
        <v>-82.68</v>
      </c>
      <c r="F28" s="4"/>
    </row>
    <row r="29" spans="1:6" s="9" customFormat="1">
      <c r="A29" s="8">
        <v>45412</v>
      </c>
      <c r="B29" s="90" t="s">
        <v>148</v>
      </c>
      <c r="C29" s="46" t="s">
        <v>149</v>
      </c>
      <c r="D29" s="3" t="s">
        <v>150</v>
      </c>
      <c r="E29" s="2">
        <v>-1000</v>
      </c>
      <c r="F29" s="4"/>
    </row>
    <row r="30" spans="1:6" s="9" customFormat="1">
      <c r="A30" s="8">
        <v>45412</v>
      </c>
      <c r="B30" s="90" t="s">
        <v>151</v>
      </c>
      <c r="C30" s="46" t="s">
        <v>152</v>
      </c>
      <c r="D30" s="3" t="s">
        <v>153</v>
      </c>
      <c r="E30" s="2">
        <v>-2000</v>
      </c>
      <c r="F30" s="4"/>
    </row>
    <row r="31" spans="1:6" s="9" customFormat="1">
      <c r="A31" s="8">
        <v>45412</v>
      </c>
      <c r="B31" s="90" t="s">
        <v>154</v>
      </c>
      <c r="C31" s="46" t="s">
        <v>155</v>
      </c>
      <c r="D31" s="3" t="s">
        <v>156</v>
      </c>
      <c r="E31" s="2">
        <v>-103.81</v>
      </c>
      <c r="F31" s="4"/>
    </row>
    <row r="32" spans="1:6" s="9" customFormat="1">
      <c r="A32" s="8">
        <v>45412</v>
      </c>
      <c r="B32" s="90" t="s">
        <v>157</v>
      </c>
      <c r="C32" s="46" t="s">
        <v>158</v>
      </c>
      <c r="D32" s="3" t="s">
        <v>159</v>
      </c>
      <c r="E32" s="2">
        <v>250</v>
      </c>
      <c r="F32" s="4"/>
    </row>
    <row r="33" spans="1:7" s="9" customFormat="1">
      <c r="A33" s="46"/>
      <c r="E33" s="2">
        <v>0</v>
      </c>
      <c r="F33" s="4"/>
    </row>
    <row r="34" spans="1:7" s="9" customFormat="1">
      <c r="A34" s="15" t="s">
        <v>57</v>
      </c>
      <c r="B34" s="11"/>
      <c r="C34" s="11"/>
      <c r="D34" s="11"/>
      <c r="E34" s="16">
        <f>SUBTOTAL(9,E20:E33)</f>
        <v>-9858.19</v>
      </c>
      <c r="F34" s="100"/>
    </row>
    <row r="35" spans="1:7" s="9" customFormat="1" ht="14.45" thickBot="1">
      <c r="A35" s="15" t="s">
        <v>58</v>
      </c>
      <c r="B35" s="11"/>
      <c r="C35" s="11"/>
      <c r="D35" s="11"/>
      <c r="E35" s="113">
        <f>SUBTOTAL(9,E8:E34)</f>
        <v>35510.019999999997</v>
      </c>
      <c r="F35" s="7"/>
      <c r="G35" s="65"/>
    </row>
    <row r="36" spans="1:7" s="9" customFormat="1" ht="14.45" thickTop="1">
      <c r="A36" s="10"/>
      <c r="B36" s="11"/>
      <c r="C36" s="11"/>
      <c r="D36" s="11"/>
      <c r="E36" s="17"/>
      <c r="F36" s="4"/>
    </row>
    <row r="37" spans="1:7" s="9" customFormat="1">
      <c r="A37" s="15"/>
      <c r="B37" s="11"/>
      <c r="C37" s="11"/>
      <c r="D37" s="11"/>
      <c r="E37" s="117"/>
      <c r="F37" s="4"/>
    </row>
    <row r="38" spans="1:7" s="9" customFormat="1">
      <c r="A38" s="10"/>
      <c r="B38" s="11"/>
      <c r="C38" s="11"/>
      <c r="D38" s="11"/>
      <c r="E38" s="119"/>
      <c r="F38" s="13"/>
    </row>
    <row r="39" spans="1:7" s="9" customFormat="1">
      <c r="A39" s="10"/>
      <c r="B39" s="11"/>
      <c r="C39" s="11"/>
      <c r="D39" s="11"/>
      <c r="E39" s="117"/>
    </row>
    <row r="40" spans="1:7" s="9" customFormat="1">
      <c r="A40" s="10"/>
      <c r="B40" s="11"/>
      <c r="C40" s="11"/>
      <c r="D40" s="11"/>
      <c r="E40" s="117"/>
    </row>
    <row r="41" spans="1:7" s="9" customFormat="1">
      <c r="A41" s="10"/>
      <c r="B41" s="11"/>
      <c r="C41" s="11"/>
      <c r="D41" s="11"/>
      <c r="E41" s="117"/>
    </row>
    <row r="42" spans="1:7" s="9" customFormat="1">
      <c r="A42" s="10"/>
      <c r="B42" s="11"/>
      <c r="C42" s="11"/>
      <c r="D42" s="11"/>
      <c r="E42" s="12"/>
    </row>
    <row r="43" spans="1:7" s="9" customFormat="1">
      <c r="A43" s="10"/>
      <c r="B43" s="11"/>
      <c r="C43" s="11"/>
      <c r="D43" s="11"/>
      <c r="E43" s="117"/>
    </row>
    <row r="44" spans="1:7" s="9" customFormat="1">
      <c r="A44" s="10"/>
      <c r="B44" s="11"/>
      <c r="C44" s="11"/>
      <c r="D44" s="11"/>
      <c r="E44" s="12"/>
    </row>
    <row r="45" spans="1:7" s="9" customFormat="1">
      <c r="A45" s="10"/>
      <c r="B45" s="11"/>
      <c r="C45" s="11"/>
      <c r="D45" s="11"/>
      <c r="E45" s="12"/>
    </row>
    <row r="46" spans="1:7" s="9" customFormat="1">
      <c r="A46" s="10"/>
      <c r="B46" s="11"/>
      <c r="C46" s="11"/>
      <c r="D46" s="11"/>
      <c r="E46" s="12"/>
    </row>
    <row r="47" spans="1:7" s="9" customFormat="1">
      <c r="A47" s="10"/>
      <c r="B47" s="11"/>
      <c r="C47" s="11"/>
      <c r="D47" s="11"/>
      <c r="E47" s="12"/>
    </row>
    <row r="48" spans="1:7" s="9" customFormat="1">
      <c r="A48" s="10"/>
      <c r="B48" s="11"/>
      <c r="C48" s="11"/>
      <c r="D48" s="11"/>
      <c r="E48" s="12"/>
    </row>
    <row r="49" spans="1:5" s="9" customFormat="1">
      <c r="A49" s="10"/>
      <c r="B49" s="11"/>
      <c r="C49" s="11"/>
      <c r="D49" s="11"/>
      <c r="E49" s="12"/>
    </row>
    <row r="50" spans="1:5" s="9" customFormat="1">
      <c r="A50" s="10"/>
      <c r="B50" s="11"/>
      <c r="C50" s="11"/>
      <c r="D50" s="11"/>
      <c r="E50" s="12"/>
    </row>
    <row r="51" spans="1:5" s="9" customFormat="1">
      <c r="A51" s="10"/>
      <c r="B51" s="11"/>
      <c r="C51" s="11"/>
      <c r="D51" s="11"/>
      <c r="E51" s="12"/>
    </row>
    <row r="52" spans="1:5" s="9" customFormat="1">
      <c r="A52" s="10"/>
      <c r="B52" s="11"/>
      <c r="C52" s="11"/>
      <c r="D52" s="11"/>
      <c r="E52" s="12"/>
    </row>
    <row r="53" spans="1:5" s="9" customFormat="1">
      <c r="A53" s="10"/>
      <c r="B53" s="11"/>
      <c r="C53" s="11"/>
      <c r="D53" s="11"/>
      <c r="E53" s="12"/>
    </row>
    <row r="54" spans="1:5" s="9" customFormat="1">
      <c r="A54" s="10"/>
      <c r="B54" s="11"/>
      <c r="C54" s="11"/>
      <c r="D54" s="11"/>
      <c r="E54" s="12"/>
    </row>
    <row r="55" spans="1:5" s="9" customFormat="1">
      <c r="A55" s="10"/>
      <c r="B55" s="11"/>
      <c r="C55" s="11"/>
      <c r="D55" s="11"/>
      <c r="E55" s="12"/>
    </row>
    <row r="56" spans="1:5" s="9" customFormat="1">
      <c r="A56" s="10"/>
      <c r="B56" s="11"/>
      <c r="C56" s="11"/>
      <c r="D56" s="11"/>
      <c r="E56" s="12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FD6B5-A98F-47A9-9E1C-946D695929F3}">
  <dimension ref="A1:G26"/>
  <sheetViews>
    <sheetView zoomScale="120" zoomScaleNormal="120" workbookViewId="0">
      <selection activeCell="E8" sqref="E8"/>
    </sheetView>
  </sheetViews>
  <sheetFormatPr defaultColWidth="9.140625" defaultRowHeight="13.9"/>
  <cols>
    <col min="1" max="1" width="14.28515625" style="3" customWidth="1"/>
    <col min="2" max="2" width="11.7109375" style="3" customWidth="1"/>
    <col min="3" max="3" width="26.140625" style="3" customWidth="1"/>
    <col min="4" max="4" width="37.7109375" style="3" customWidth="1"/>
    <col min="5" max="5" width="14.5703125" style="2" customWidth="1"/>
    <col min="6" max="6" width="11.28515625" style="3" customWidth="1"/>
    <col min="7" max="7" width="10.5703125" style="3" bestFit="1" customWidth="1"/>
    <col min="8" max="16384" width="9.140625" style="3"/>
  </cols>
  <sheetData>
    <row r="1" spans="1:7" s="5" customFormat="1" ht="15.6">
      <c r="A1" s="120" t="s">
        <v>15</v>
      </c>
      <c r="B1" s="120"/>
      <c r="C1" s="120"/>
      <c r="D1" s="120"/>
      <c r="E1" s="120"/>
    </row>
    <row r="2" spans="1:7" s="5" customFormat="1" ht="15.6">
      <c r="A2" s="120" t="s">
        <v>16</v>
      </c>
      <c r="B2" s="120"/>
      <c r="C2" s="120"/>
      <c r="D2" s="120"/>
      <c r="E2" s="120"/>
    </row>
    <row r="3" spans="1:7" s="5" customFormat="1" ht="15.6">
      <c r="A3" s="120" t="s">
        <v>160</v>
      </c>
      <c r="B3" s="120"/>
      <c r="C3" s="120"/>
      <c r="D3" s="120"/>
      <c r="E3" s="120"/>
    </row>
    <row r="4" spans="1:7" s="5" customFormat="1" ht="15.6">
      <c r="A4" s="120" t="s">
        <v>18</v>
      </c>
      <c r="B4" s="120"/>
      <c r="C4" s="120"/>
      <c r="D4" s="120"/>
      <c r="E4" s="120"/>
    </row>
    <row r="5" spans="1:7" s="5" customFormat="1" ht="15.6">
      <c r="A5" s="120" t="str">
        <f>'Regular Restricted'!A5</f>
        <v>April 1, 2024 - April  30, 2024</v>
      </c>
      <c r="B5" s="120"/>
      <c r="C5" s="120"/>
      <c r="D5" s="120"/>
      <c r="E5" s="120"/>
    </row>
    <row r="7" spans="1:7">
      <c r="A7" s="4" t="s">
        <v>161</v>
      </c>
    </row>
    <row r="8" spans="1:7">
      <c r="A8" s="4" t="str">
        <f>+'Regular Restricted'!A8</f>
        <v>Balance Brought Forward March 31, 2024</v>
      </c>
      <c r="B8" s="4"/>
      <c r="C8" s="4"/>
      <c r="D8" s="4"/>
      <c r="E8" s="6">
        <v>7068.86</v>
      </c>
      <c r="F8" s="6"/>
    </row>
    <row r="9" spans="1:7">
      <c r="A9" s="4" t="s">
        <v>21</v>
      </c>
      <c r="B9" s="4"/>
      <c r="C9" s="4"/>
      <c r="D9" s="4"/>
    </row>
    <row r="10" spans="1:7">
      <c r="A10" s="4" t="s">
        <v>119</v>
      </c>
      <c r="B10" s="8"/>
      <c r="C10" s="8"/>
      <c r="D10" s="8"/>
      <c r="E10" s="2">
        <v>0</v>
      </c>
      <c r="G10" s="2"/>
    </row>
    <row r="11" spans="1:7">
      <c r="A11" s="8"/>
      <c r="C11" s="8"/>
      <c r="D11" s="8"/>
      <c r="G11" s="2"/>
    </row>
    <row r="12" spans="1:7">
      <c r="A12" s="4" t="s">
        <v>25</v>
      </c>
      <c r="E12" s="16">
        <f>SUBTOTAL(9,E10:E10)</f>
        <v>0</v>
      </c>
      <c r="G12" s="2"/>
    </row>
    <row r="13" spans="1:7">
      <c r="A13" s="4" t="s">
        <v>26</v>
      </c>
      <c r="E13" s="20">
        <f>SUBTOTAL(9,E8:E12)</f>
        <v>7068.86</v>
      </c>
      <c r="G13" s="2"/>
    </row>
    <row r="14" spans="1:7">
      <c r="A14" s="4"/>
      <c r="E14" s="7"/>
      <c r="G14" s="2"/>
    </row>
    <row r="15" spans="1:7">
      <c r="A15" s="4" t="s">
        <v>2</v>
      </c>
    </row>
    <row r="17" spans="1:5" s="4" customFormat="1" ht="15.6">
      <c r="A17" s="45" t="s">
        <v>27</v>
      </c>
      <c r="B17" s="45" t="s">
        <v>28</v>
      </c>
      <c r="C17" s="45" t="s">
        <v>29</v>
      </c>
      <c r="D17" s="45" t="s">
        <v>30</v>
      </c>
      <c r="E17" s="44" t="s">
        <v>31</v>
      </c>
    </row>
    <row r="18" spans="1:5" s="9" customFormat="1">
      <c r="A18" s="8"/>
      <c r="B18" s="19"/>
      <c r="C18" s="19"/>
      <c r="D18" s="19"/>
      <c r="E18" s="17"/>
    </row>
    <row r="19" spans="1:5" s="9" customFormat="1">
      <c r="A19" s="15" t="s">
        <v>57</v>
      </c>
      <c r="B19" s="11"/>
      <c r="C19" s="11"/>
      <c r="D19" s="11"/>
      <c r="E19" s="16">
        <f>SUBTOTAL(9,E18:E18)</f>
        <v>0</v>
      </c>
    </row>
    <row r="20" spans="1:5" s="9" customFormat="1" ht="14.45" thickBot="1">
      <c r="A20" s="15" t="s">
        <v>58</v>
      </c>
      <c r="B20" s="11"/>
      <c r="C20" s="11"/>
      <c r="D20" s="11"/>
      <c r="E20" s="18">
        <f>SUBTOTAL(9,E8:E19)</f>
        <v>7068.86</v>
      </c>
    </row>
    <row r="21" spans="1:5" s="9" customFormat="1" ht="14.45" thickTop="1">
      <c r="A21" s="10"/>
      <c r="B21" s="11"/>
      <c r="C21" s="11"/>
      <c r="D21" s="11"/>
      <c r="E21" s="17"/>
    </row>
    <row r="22" spans="1:5" s="9" customFormat="1">
      <c r="A22" s="10"/>
      <c r="B22" s="11"/>
      <c r="C22" s="11"/>
      <c r="D22" s="11"/>
      <c r="E22" s="12"/>
    </row>
    <row r="23" spans="1:5" s="9" customFormat="1">
      <c r="A23" s="10"/>
      <c r="B23" s="11"/>
      <c r="C23" s="11"/>
      <c r="D23" s="11"/>
      <c r="E23" s="12"/>
    </row>
    <row r="24" spans="1:5" s="9" customFormat="1">
      <c r="A24" s="10"/>
      <c r="B24" s="11"/>
      <c r="C24" s="11"/>
      <c r="D24" s="11"/>
      <c r="E24" s="12"/>
    </row>
    <row r="25" spans="1:5" s="9" customFormat="1">
      <c r="A25" s="10"/>
      <c r="B25" s="11"/>
      <c r="C25" s="11"/>
      <c r="D25" s="11"/>
      <c r="E25" s="12"/>
    </row>
    <row r="26" spans="1:5" s="9" customFormat="1">
      <c r="A26" s="10"/>
      <c r="B26" s="11"/>
      <c r="C26" s="11"/>
      <c r="D26" s="11"/>
      <c r="E26" s="12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1364A-50FF-4C3A-A0F5-CE8BA430E624}">
  <sheetPr>
    <pageSetUpPr fitToPage="1"/>
  </sheetPr>
  <dimension ref="A1:AB993"/>
  <sheetViews>
    <sheetView zoomScale="120" zoomScaleNormal="120" workbookViewId="0">
      <pane xSplit="5" ySplit="4" topLeftCell="N34" activePane="bottomRight" state="frozen"/>
      <selection pane="bottomRight" activeCell="O45" sqref="O45"/>
      <selection pane="bottomLeft" activeCell="A11" sqref="A11"/>
      <selection pane="topRight" activeCell="F1" sqref="F1"/>
    </sheetView>
  </sheetViews>
  <sheetFormatPr defaultColWidth="14.42578125" defaultRowHeight="13.9"/>
  <cols>
    <col min="1" max="1" width="11" style="3" customWidth="1"/>
    <col min="2" max="2" width="10.7109375" style="3" customWidth="1"/>
    <col min="3" max="3" width="9.85546875" style="3" customWidth="1"/>
    <col min="4" max="4" width="14.140625" style="3" customWidth="1"/>
    <col min="5" max="5" width="16" style="3" customWidth="1"/>
    <col min="6" max="19" width="14.7109375" style="3" customWidth="1"/>
    <col min="20" max="25" width="8.85546875" style="3" customWidth="1"/>
    <col min="26" max="16384" width="14.42578125" style="3"/>
  </cols>
  <sheetData>
    <row r="1" spans="1:28" ht="12.75" customHeight="1">
      <c r="A1" s="122" t="s">
        <v>162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28" ht="12.75" customHeight="1">
      <c r="A2" s="122" t="s">
        <v>163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1:28" ht="12.75" customHeight="1">
      <c r="A3" s="122" t="s">
        <v>164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28" ht="27.6">
      <c r="A4" s="121" t="s">
        <v>165</v>
      </c>
      <c r="B4" s="128"/>
      <c r="C4" s="128"/>
      <c r="D4" s="128"/>
      <c r="E4" s="129"/>
      <c r="F4" s="28" t="s">
        <v>166</v>
      </c>
      <c r="G4" s="28" t="s">
        <v>167</v>
      </c>
      <c r="H4" s="28" t="s">
        <v>168</v>
      </c>
      <c r="I4" s="28" t="s">
        <v>169</v>
      </c>
      <c r="J4" s="28" t="s">
        <v>170</v>
      </c>
      <c r="K4" s="28" t="s">
        <v>171</v>
      </c>
      <c r="L4" s="28" t="s">
        <v>172</v>
      </c>
      <c r="M4" s="28" t="s">
        <v>173</v>
      </c>
      <c r="N4" s="28" t="s">
        <v>174</v>
      </c>
      <c r="O4" s="28" t="s">
        <v>175</v>
      </c>
      <c r="P4" s="28" t="s">
        <v>176</v>
      </c>
      <c r="Q4" s="28" t="s">
        <v>177</v>
      </c>
      <c r="R4" s="21" t="s">
        <v>10</v>
      </c>
      <c r="S4" s="21" t="s">
        <v>178</v>
      </c>
      <c r="T4" s="54"/>
      <c r="U4" s="54"/>
      <c r="V4" s="54"/>
      <c r="W4" s="54"/>
      <c r="X4" s="54"/>
      <c r="Y4" s="54"/>
      <c r="Z4" s="54"/>
      <c r="AA4" s="54"/>
      <c r="AB4" s="54"/>
    </row>
    <row r="5" spans="1:28" ht="12.75" customHeight="1">
      <c r="E5" s="22"/>
    </row>
    <row r="6" spans="1:28" ht="12.75" customHeight="1">
      <c r="A6" s="23" t="s">
        <v>179</v>
      </c>
      <c r="E6" s="5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2.75" customHeight="1">
      <c r="A7" s="56"/>
      <c r="E7" s="5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2.75" customHeight="1">
      <c r="A8" s="1" t="s">
        <v>180</v>
      </c>
      <c r="E8" s="2">
        <v>0</v>
      </c>
      <c r="F8" s="2">
        <v>0</v>
      </c>
      <c r="G8" s="2"/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f t="shared" ref="R8:R9" si="0">SUM(F8:Q8)</f>
        <v>0</v>
      </c>
      <c r="S8" s="2">
        <v>0</v>
      </c>
      <c r="T8" s="2"/>
      <c r="U8" s="2"/>
      <c r="V8" s="2"/>
      <c r="W8" s="2"/>
      <c r="X8" s="2"/>
      <c r="Y8" s="2"/>
      <c r="Z8" s="2"/>
      <c r="AA8" s="2"/>
      <c r="AB8" s="2"/>
    </row>
    <row r="9" spans="1:28" ht="12.75" customHeight="1">
      <c r="A9" s="1" t="s">
        <v>181</v>
      </c>
      <c r="E9" s="2">
        <v>0</v>
      </c>
      <c r="F9" s="2">
        <v>0</v>
      </c>
      <c r="G9" s="2"/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f t="shared" si="0"/>
        <v>0</v>
      </c>
      <c r="S9" s="2">
        <f t="shared" ref="S9" si="1">+E9-R9</f>
        <v>0</v>
      </c>
      <c r="T9" s="2"/>
      <c r="U9" s="2"/>
      <c r="V9" s="2"/>
      <c r="W9" s="2"/>
      <c r="X9" s="2"/>
      <c r="Y9" s="2"/>
      <c r="Z9" s="2"/>
      <c r="AA9" s="2"/>
      <c r="AB9" s="2"/>
    </row>
    <row r="10" spans="1:28" ht="12.75" customHeight="1" thickBot="1">
      <c r="B10" s="1" t="s">
        <v>182</v>
      </c>
      <c r="E10" s="53">
        <f>SUBTOTAL(9,E8:E9)</f>
        <v>0</v>
      </c>
      <c r="F10" s="53">
        <f>SUBTOTAL(9,F8:F9)</f>
        <v>0</v>
      </c>
      <c r="G10" s="53">
        <f t="shared" ref="G10:S10" si="2">SUBTOTAL(9,G8:G9)</f>
        <v>0</v>
      </c>
      <c r="H10" s="53">
        <f t="shared" si="2"/>
        <v>0</v>
      </c>
      <c r="I10" s="53">
        <f t="shared" si="2"/>
        <v>0</v>
      </c>
      <c r="J10" s="53">
        <f t="shared" si="2"/>
        <v>0</v>
      </c>
      <c r="K10" s="53">
        <f t="shared" si="2"/>
        <v>0</v>
      </c>
      <c r="L10" s="53">
        <f t="shared" si="2"/>
        <v>0</v>
      </c>
      <c r="M10" s="53">
        <f t="shared" si="2"/>
        <v>0</v>
      </c>
      <c r="N10" s="53">
        <f t="shared" si="2"/>
        <v>0</v>
      </c>
      <c r="O10" s="53">
        <f t="shared" si="2"/>
        <v>0</v>
      </c>
      <c r="P10" s="53">
        <f t="shared" si="2"/>
        <v>0</v>
      </c>
      <c r="Q10" s="53">
        <f t="shared" si="2"/>
        <v>0</v>
      </c>
      <c r="R10" s="53">
        <f t="shared" si="2"/>
        <v>0</v>
      </c>
      <c r="S10" s="53">
        <f t="shared" si="2"/>
        <v>0</v>
      </c>
      <c r="T10" s="2"/>
      <c r="U10" s="2"/>
      <c r="V10" s="2"/>
      <c r="W10" s="2"/>
      <c r="X10" s="2"/>
      <c r="Y10" s="2"/>
      <c r="Z10" s="2"/>
      <c r="AA10" s="2"/>
      <c r="AB10" s="2"/>
    </row>
    <row r="11" spans="1:28" ht="12.75" customHeight="1">
      <c r="E11" s="5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2.75" customHeight="1">
      <c r="A12" s="23" t="s">
        <v>183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2.75" customHeight="1">
      <c r="A13" s="5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2.75" customHeight="1">
      <c r="A14" s="1" t="s">
        <v>184</v>
      </c>
      <c r="E14" s="2">
        <v>2000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2000</v>
      </c>
      <c r="R14" s="2">
        <f t="shared" ref="R14:R42" si="3">SUM(F14:Q14)</f>
        <v>2000</v>
      </c>
      <c r="S14" s="2">
        <f t="shared" ref="S14:S42" si="4">+E14-R14</f>
        <v>0</v>
      </c>
      <c r="T14" s="2"/>
      <c r="U14" s="2"/>
      <c r="V14" s="2"/>
      <c r="W14" s="2"/>
      <c r="X14" s="2"/>
      <c r="Y14" s="2"/>
      <c r="Z14" s="2"/>
      <c r="AA14" s="2"/>
      <c r="AB14" s="2"/>
    </row>
    <row r="15" spans="1:28" ht="12.75" customHeight="1">
      <c r="A15" s="1" t="s">
        <v>185</v>
      </c>
      <c r="E15" s="2">
        <v>2000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2000</v>
      </c>
      <c r="R15" s="2">
        <f t="shared" si="3"/>
        <v>2000</v>
      </c>
      <c r="S15" s="2">
        <f t="shared" si="4"/>
        <v>0</v>
      </c>
      <c r="T15" s="2"/>
      <c r="U15" s="2"/>
      <c r="V15" s="2"/>
      <c r="W15" s="2"/>
      <c r="X15" s="2"/>
      <c r="Y15" s="2"/>
      <c r="Z15" s="2"/>
      <c r="AA15" s="2"/>
      <c r="AB15" s="2"/>
    </row>
    <row r="16" spans="1:28" ht="12.75" customHeight="1">
      <c r="A16" s="1" t="s">
        <v>186</v>
      </c>
      <c r="E16" s="2">
        <v>1000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250</v>
      </c>
      <c r="N16" s="2">
        <v>0</v>
      </c>
      <c r="O16" s="2">
        <v>0</v>
      </c>
      <c r="P16" s="2">
        <v>0</v>
      </c>
      <c r="Q16" s="2">
        <v>0</v>
      </c>
      <c r="R16" s="2">
        <f t="shared" si="3"/>
        <v>250</v>
      </c>
      <c r="S16" s="2">
        <f t="shared" si="4"/>
        <v>750</v>
      </c>
      <c r="T16" s="2"/>
      <c r="U16" s="2"/>
      <c r="V16" s="2"/>
      <c r="W16" s="2"/>
      <c r="X16" s="2"/>
      <c r="Y16" s="2"/>
      <c r="Z16" s="2"/>
      <c r="AA16" s="2"/>
      <c r="AB16" s="2"/>
    </row>
    <row r="17" spans="1:28" ht="12.75" customHeight="1">
      <c r="A17" s="1" t="s">
        <v>187</v>
      </c>
      <c r="E17" s="2">
        <v>100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100</v>
      </c>
      <c r="P17" s="2">
        <v>0</v>
      </c>
      <c r="Q17" s="2">
        <v>0</v>
      </c>
      <c r="R17" s="2">
        <f t="shared" si="3"/>
        <v>100</v>
      </c>
      <c r="S17" s="2">
        <f t="shared" si="4"/>
        <v>0</v>
      </c>
      <c r="T17" s="2"/>
      <c r="U17" s="2"/>
      <c r="V17" s="2"/>
      <c r="W17" s="2"/>
      <c r="X17" s="2"/>
      <c r="Y17" s="2"/>
      <c r="Z17" s="2"/>
      <c r="AA17" s="2"/>
      <c r="AB17" s="2"/>
    </row>
    <row r="18" spans="1:28" ht="12.75" customHeight="1">
      <c r="A18" s="1" t="s">
        <v>188</v>
      </c>
      <c r="E18" s="2">
        <v>200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f t="shared" si="3"/>
        <v>0</v>
      </c>
      <c r="S18" s="2">
        <f t="shared" si="4"/>
        <v>200</v>
      </c>
      <c r="T18" s="2"/>
      <c r="U18" s="2"/>
      <c r="V18" s="2"/>
      <c r="W18" s="2"/>
      <c r="X18" s="2"/>
      <c r="Y18" s="2"/>
      <c r="Z18" s="2"/>
      <c r="AA18" s="2"/>
      <c r="AB18" s="2"/>
    </row>
    <row r="19" spans="1:28" ht="12.75" customHeight="1">
      <c r="A19" s="1" t="s">
        <v>189</v>
      </c>
      <c r="E19" s="2">
        <v>100</v>
      </c>
      <c r="F19" s="2">
        <v>6</v>
      </c>
      <c r="G19" s="2">
        <v>6</v>
      </c>
      <c r="H19" s="2">
        <v>6</v>
      </c>
      <c r="I19" s="2">
        <v>6</v>
      </c>
      <c r="J19" s="2">
        <v>6</v>
      </c>
      <c r="K19" s="2">
        <v>6</v>
      </c>
      <c r="L19" s="2">
        <v>6</v>
      </c>
      <c r="M19" s="2">
        <v>6</v>
      </c>
      <c r="N19" s="2">
        <v>6</v>
      </c>
      <c r="O19" s="2">
        <v>8</v>
      </c>
      <c r="P19" s="2">
        <v>8</v>
      </c>
      <c r="Q19" s="2">
        <v>0</v>
      </c>
      <c r="R19" s="2">
        <f t="shared" si="3"/>
        <v>70</v>
      </c>
      <c r="S19" s="2">
        <f t="shared" si="4"/>
        <v>30</v>
      </c>
      <c r="T19" s="2"/>
      <c r="U19" s="2"/>
      <c r="V19" s="2"/>
      <c r="W19" s="2"/>
      <c r="X19" s="2"/>
      <c r="Y19" s="2"/>
      <c r="Z19" s="2"/>
      <c r="AA19" s="2"/>
      <c r="AB19" s="2"/>
    </row>
    <row r="20" spans="1:28" ht="12.75" customHeight="1">
      <c r="A20" s="1" t="s">
        <v>190</v>
      </c>
      <c r="E20" s="2">
        <v>440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440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f t="shared" si="3"/>
        <v>440</v>
      </c>
      <c r="S20" s="2">
        <f t="shared" si="4"/>
        <v>0</v>
      </c>
      <c r="T20" s="2"/>
      <c r="U20" s="2"/>
      <c r="V20" s="2"/>
      <c r="W20" s="2"/>
      <c r="X20" s="2"/>
      <c r="Y20" s="2"/>
      <c r="Z20" s="2"/>
      <c r="AA20" s="2"/>
      <c r="AB20" s="2"/>
    </row>
    <row r="21" spans="1:28" ht="12.75" customHeight="1">
      <c r="A21" s="1" t="s">
        <v>191</v>
      </c>
      <c r="E21" s="2">
        <v>500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131.37</v>
      </c>
      <c r="R21" s="2">
        <f t="shared" si="3"/>
        <v>131.37</v>
      </c>
      <c r="S21" s="2">
        <f t="shared" si="4"/>
        <v>368.63</v>
      </c>
      <c r="T21" s="2"/>
      <c r="U21" s="2"/>
      <c r="V21" s="2"/>
      <c r="W21" s="2"/>
      <c r="X21" s="2"/>
      <c r="Y21" s="2"/>
      <c r="Z21" s="2"/>
      <c r="AA21" s="2"/>
      <c r="AB21" s="2"/>
    </row>
    <row r="22" spans="1:28" ht="12.75" customHeight="1">
      <c r="A22" s="1" t="s">
        <v>192</v>
      </c>
      <c r="E22" s="2">
        <v>6000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5000</v>
      </c>
      <c r="O22" s="2">
        <v>0</v>
      </c>
      <c r="P22" s="2">
        <v>0</v>
      </c>
      <c r="Q22" s="2">
        <v>500</v>
      </c>
      <c r="R22" s="2">
        <f t="shared" si="3"/>
        <v>5500</v>
      </c>
      <c r="S22" s="2">
        <f t="shared" si="4"/>
        <v>500</v>
      </c>
      <c r="T22" s="2"/>
      <c r="U22" s="2"/>
      <c r="V22" s="2"/>
      <c r="W22" s="2"/>
      <c r="X22" s="2"/>
      <c r="Y22" s="2"/>
      <c r="Z22" s="2"/>
      <c r="AA22" s="2"/>
      <c r="AB22" s="2"/>
    </row>
    <row r="23" spans="1:28" ht="12.75" customHeight="1">
      <c r="A23" s="1" t="s">
        <v>193</v>
      </c>
      <c r="E23" s="2">
        <v>200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42.37</v>
      </c>
      <c r="N23" s="2">
        <v>0</v>
      </c>
      <c r="O23" s="2">
        <v>0</v>
      </c>
      <c r="P23" s="2">
        <v>0</v>
      </c>
      <c r="Q23" s="2">
        <v>0</v>
      </c>
      <c r="R23" s="2">
        <f t="shared" si="3"/>
        <v>42.37</v>
      </c>
      <c r="S23" s="2">
        <f t="shared" si="4"/>
        <v>157.63</v>
      </c>
      <c r="T23" s="2"/>
      <c r="U23" s="2"/>
      <c r="V23" s="2"/>
      <c r="W23" s="2"/>
      <c r="X23" s="2"/>
      <c r="Y23" s="2"/>
      <c r="Z23" s="2"/>
      <c r="AA23" s="2"/>
      <c r="AB23" s="2"/>
    </row>
    <row r="24" spans="1:28" ht="12.75" customHeight="1">
      <c r="A24" s="1" t="s">
        <v>194</v>
      </c>
      <c r="E24" s="2">
        <v>100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f t="shared" si="3"/>
        <v>0</v>
      </c>
      <c r="S24" s="2">
        <f t="shared" si="4"/>
        <v>100</v>
      </c>
      <c r="T24" s="2"/>
      <c r="U24" s="2"/>
      <c r="V24" s="2"/>
      <c r="W24" s="2"/>
      <c r="X24" s="2"/>
      <c r="Y24" s="2"/>
      <c r="Z24" s="2"/>
      <c r="AA24" s="2"/>
      <c r="AB24" s="2"/>
    </row>
    <row r="25" spans="1:28" ht="12.75" customHeight="1">
      <c r="A25" s="1" t="s">
        <v>195</v>
      </c>
      <c r="E25" s="2">
        <v>500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405</v>
      </c>
      <c r="N25" s="2">
        <v>-405</v>
      </c>
      <c r="O25" s="2">
        <v>405</v>
      </c>
      <c r="P25" s="2">
        <v>0</v>
      </c>
      <c r="Q25" s="2">
        <v>0</v>
      </c>
      <c r="R25" s="2">
        <f t="shared" si="3"/>
        <v>405</v>
      </c>
      <c r="S25" s="2">
        <f t="shared" si="4"/>
        <v>95</v>
      </c>
      <c r="T25" s="2"/>
      <c r="U25" s="2"/>
      <c r="V25" s="2"/>
      <c r="W25" s="2"/>
      <c r="X25" s="2"/>
      <c r="Y25" s="2"/>
      <c r="Z25" s="2"/>
      <c r="AA25" s="2"/>
      <c r="AB25" s="2"/>
    </row>
    <row r="26" spans="1:28" ht="12.75" customHeight="1">
      <c r="A26" s="1" t="s">
        <v>196</v>
      </c>
      <c r="E26" s="2">
        <v>1500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542.82000000000005</v>
      </c>
      <c r="M26" s="2">
        <f>260.59+439.66-250</f>
        <v>450.25</v>
      </c>
      <c r="N26" s="2">
        <v>0</v>
      </c>
      <c r="O26" s="2">
        <f>112.04+119.31</f>
        <v>231.35000000000002</v>
      </c>
      <c r="P26" s="2">
        <v>441.16</v>
      </c>
      <c r="Q26" s="2">
        <v>0</v>
      </c>
      <c r="R26" s="2">
        <f t="shared" si="3"/>
        <v>1665.5800000000002</v>
      </c>
      <c r="S26" s="2">
        <f t="shared" si="4"/>
        <v>-165.58000000000015</v>
      </c>
      <c r="T26" s="2"/>
      <c r="U26" s="2"/>
      <c r="V26" s="2"/>
      <c r="W26" s="2"/>
      <c r="X26" s="2"/>
      <c r="Y26" s="2"/>
      <c r="Z26" s="2"/>
      <c r="AA26" s="2"/>
      <c r="AB26" s="2"/>
    </row>
    <row r="27" spans="1:28" ht="12.75" customHeight="1">
      <c r="A27" s="1" t="s">
        <v>197</v>
      </c>
      <c r="E27" s="2">
        <v>235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281</v>
      </c>
      <c r="Q27" s="2">
        <v>0</v>
      </c>
      <c r="R27" s="2">
        <f t="shared" si="3"/>
        <v>281</v>
      </c>
      <c r="S27" s="2">
        <f t="shared" si="4"/>
        <v>-46</v>
      </c>
      <c r="T27" s="2"/>
      <c r="U27" s="2"/>
      <c r="V27" s="2"/>
      <c r="W27" s="2">
        <v>0</v>
      </c>
      <c r="X27" s="2"/>
      <c r="Y27" s="2"/>
      <c r="Z27" s="2"/>
      <c r="AA27" s="2"/>
      <c r="AB27" s="2"/>
    </row>
    <row r="28" spans="1:28" ht="12.75" customHeight="1">
      <c r="A28" s="1" t="s">
        <v>198</v>
      </c>
      <c r="E28" s="2">
        <v>700</v>
      </c>
      <c r="F28" s="2">
        <v>0</v>
      </c>
      <c r="G28" s="2">
        <v>0</v>
      </c>
      <c r="H28" s="2">
        <v>222.6</v>
      </c>
      <c r="I28" s="2">
        <v>0</v>
      </c>
      <c r="J28" s="2">
        <f>265+265</f>
        <v>530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f t="shared" si="3"/>
        <v>752.6</v>
      </c>
      <c r="S28" s="2">
        <f t="shared" si="4"/>
        <v>-52.600000000000023</v>
      </c>
      <c r="T28" s="2"/>
      <c r="U28" s="2"/>
      <c r="V28" s="2"/>
      <c r="W28" s="2"/>
      <c r="X28" s="2"/>
      <c r="Y28" s="2"/>
      <c r="Z28" s="2"/>
      <c r="AA28" s="2"/>
      <c r="AB28" s="2"/>
    </row>
    <row r="29" spans="1:28" ht="12.75" customHeight="1">
      <c r="A29" s="1" t="s">
        <v>199</v>
      </c>
      <c r="E29" s="2">
        <v>250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f t="shared" si="3"/>
        <v>0</v>
      </c>
      <c r="S29" s="2">
        <f t="shared" si="4"/>
        <v>250</v>
      </c>
      <c r="T29" s="2"/>
      <c r="U29" s="2"/>
      <c r="V29" s="2"/>
      <c r="W29" s="2"/>
      <c r="X29" s="2"/>
      <c r="Y29" s="2"/>
      <c r="Z29" s="2"/>
      <c r="AA29" s="2"/>
      <c r="AB29" s="2"/>
    </row>
    <row r="30" spans="1:28" ht="12.75" customHeight="1">
      <c r="A30" s="1" t="s">
        <v>200</v>
      </c>
      <c r="E30" s="2">
        <v>200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f t="shared" si="3"/>
        <v>0</v>
      </c>
      <c r="S30" s="2">
        <f t="shared" si="4"/>
        <v>200</v>
      </c>
      <c r="T30" s="2"/>
      <c r="U30" s="2"/>
      <c r="V30" s="2"/>
      <c r="W30" s="2"/>
      <c r="X30" s="2"/>
      <c r="Y30" s="2"/>
      <c r="Z30" s="2"/>
      <c r="AA30" s="2"/>
      <c r="AB30" s="2"/>
    </row>
    <row r="31" spans="1:28" ht="12.75" customHeight="1">
      <c r="A31" s="1" t="s">
        <v>201</v>
      </c>
      <c r="E31" s="2">
        <v>1000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f t="shared" si="3"/>
        <v>0</v>
      </c>
      <c r="S31" s="2">
        <f t="shared" si="4"/>
        <v>1000</v>
      </c>
      <c r="T31" s="2"/>
      <c r="U31" s="2"/>
      <c r="V31" s="2"/>
      <c r="W31" s="2"/>
      <c r="X31" s="2"/>
      <c r="Y31" s="2"/>
      <c r="Z31" s="2"/>
      <c r="AA31" s="2"/>
      <c r="AB31" s="2"/>
    </row>
    <row r="32" spans="1:28" ht="12.75" customHeight="1">
      <c r="A32" s="1" t="s">
        <v>202</v>
      </c>
      <c r="E32" s="2">
        <v>100</v>
      </c>
      <c r="F32" s="2">
        <v>0</v>
      </c>
      <c r="G32" s="2">
        <v>0</v>
      </c>
      <c r="H32" s="2">
        <v>79.58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f t="shared" si="3"/>
        <v>79.58</v>
      </c>
      <c r="S32" s="2">
        <f t="shared" si="4"/>
        <v>20.420000000000002</v>
      </c>
      <c r="T32" s="2"/>
      <c r="U32" s="2"/>
      <c r="V32" s="2"/>
      <c r="W32" s="2"/>
      <c r="X32" s="2"/>
      <c r="Y32" s="2"/>
      <c r="Z32" s="2"/>
      <c r="AA32" s="2"/>
      <c r="AB32" s="2"/>
    </row>
    <row r="33" spans="1:28" ht="12.75" customHeight="1">
      <c r="A33" s="1" t="s">
        <v>203</v>
      </c>
      <c r="E33" s="2">
        <v>650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40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f t="shared" si="3"/>
        <v>40</v>
      </c>
      <c r="S33" s="2">
        <f t="shared" si="4"/>
        <v>610</v>
      </c>
      <c r="T33" s="2"/>
      <c r="U33" s="2"/>
      <c r="V33" s="2"/>
      <c r="W33" s="2"/>
      <c r="X33" s="2"/>
      <c r="Y33" s="2"/>
      <c r="Z33" s="2"/>
      <c r="AA33" s="2"/>
      <c r="AB33" s="2"/>
    </row>
    <row r="34" spans="1:28" ht="12.75" customHeight="1">
      <c r="A34" s="1" t="s">
        <v>204</v>
      </c>
      <c r="E34" s="2">
        <v>100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f t="shared" si="3"/>
        <v>0</v>
      </c>
      <c r="S34" s="2">
        <f t="shared" si="4"/>
        <v>100</v>
      </c>
      <c r="T34" s="2"/>
      <c r="U34" s="2"/>
      <c r="V34" s="2"/>
      <c r="W34" s="2"/>
      <c r="X34" s="2"/>
      <c r="Y34" s="2"/>
      <c r="Z34" s="2"/>
      <c r="AA34" s="2"/>
      <c r="AB34" s="2"/>
    </row>
    <row r="35" spans="1:28" ht="12.75" customHeight="1">
      <c r="A35" s="1" t="s">
        <v>205</v>
      </c>
      <c r="E35" s="2">
        <v>500</v>
      </c>
      <c r="F35" s="2">
        <v>0</v>
      </c>
      <c r="G35" s="2">
        <v>0</v>
      </c>
      <c r="H35" s="2">
        <v>0</v>
      </c>
      <c r="I35" s="2">
        <v>20</v>
      </c>
      <c r="J35" s="2">
        <v>149.9</v>
      </c>
      <c r="K35" s="2">
        <v>20</v>
      </c>
      <c r="L35" s="2">
        <f>309+20</f>
        <v>329</v>
      </c>
      <c r="M35" s="2">
        <v>0</v>
      </c>
      <c r="N35" s="2">
        <f>20+20</f>
        <v>40</v>
      </c>
      <c r="O35" s="2">
        <v>83.88</v>
      </c>
      <c r="P35" s="2">
        <v>20</v>
      </c>
      <c r="Q35" s="2">
        <v>0</v>
      </c>
      <c r="R35" s="2">
        <f t="shared" si="3"/>
        <v>662.78</v>
      </c>
      <c r="S35" s="2">
        <f t="shared" si="4"/>
        <v>-162.77999999999997</v>
      </c>
      <c r="T35" s="2"/>
      <c r="U35" s="2"/>
      <c r="V35" s="2"/>
      <c r="W35" s="2"/>
      <c r="X35" s="2"/>
      <c r="Y35" s="2"/>
      <c r="Z35" s="2"/>
      <c r="AA35" s="2"/>
      <c r="AB35" s="2"/>
    </row>
    <row r="36" spans="1:28" ht="13.5" customHeight="1">
      <c r="A36" s="1" t="s">
        <v>206</v>
      </c>
      <c r="E36" s="2">
        <v>800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800</v>
      </c>
      <c r="R36" s="2">
        <f t="shared" si="3"/>
        <v>800</v>
      </c>
      <c r="S36" s="2">
        <f t="shared" si="4"/>
        <v>0</v>
      </c>
      <c r="T36" s="2"/>
      <c r="U36" s="2"/>
      <c r="V36" s="2"/>
      <c r="W36" s="2"/>
      <c r="X36" s="2"/>
      <c r="Y36" s="2"/>
      <c r="Z36" s="2"/>
      <c r="AA36" s="2"/>
      <c r="AB36" s="2"/>
    </row>
    <row r="37" spans="1:28" ht="13.5" customHeight="1">
      <c r="A37" s="1" t="s">
        <v>207</v>
      </c>
      <c r="E37" s="2">
        <v>2100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292.5</v>
      </c>
      <c r="L37" s="2">
        <f>292.5+1771+116.82+170-542.82</f>
        <v>1807.5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f t="shared" si="3"/>
        <v>2100</v>
      </c>
      <c r="S37" s="2">
        <f t="shared" si="4"/>
        <v>0</v>
      </c>
      <c r="T37" s="2"/>
      <c r="U37" s="2"/>
      <c r="V37" s="2"/>
      <c r="W37" s="2"/>
      <c r="X37" s="2"/>
      <c r="Y37" s="2"/>
      <c r="Z37" s="2"/>
      <c r="AA37" s="2"/>
      <c r="AB37" s="2"/>
    </row>
    <row r="38" spans="1:28" ht="12.75" customHeight="1">
      <c r="A38" s="1" t="s">
        <v>208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f t="shared" si="3"/>
        <v>0</v>
      </c>
      <c r="S38" s="2">
        <f t="shared" si="4"/>
        <v>0</v>
      </c>
      <c r="T38" s="2"/>
      <c r="U38" s="2"/>
      <c r="V38" s="2"/>
      <c r="W38" s="2"/>
      <c r="X38" s="2"/>
      <c r="Y38" s="2"/>
      <c r="Z38" s="2"/>
      <c r="AA38" s="2"/>
      <c r="AB38" s="2"/>
    </row>
    <row r="39" spans="1:28" ht="12" customHeight="1">
      <c r="A39" s="1" t="s">
        <v>209</v>
      </c>
      <c r="E39" s="2">
        <v>500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f t="shared" si="3"/>
        <v>0</v>
      </c>
      <c r="S39" s="2">
        <f t="shared" si="4"/>
        <v>500</v>
      </c>
      <c r="T39" s="2"/>
      <c r="U39" s="2"/>
      <c r="V39" s="2"/>
      <c r="W39" s="2"/>
      <c r="X39" s="2"/>
      <c r="Y39" s="2"/>
      <c r="Z39" s="2"/>
      <c r="AA39" s="2"/>
      <c r="AB39" s="2"/>
    </row>
    <row r="40" spans="1:28" ht="12" customHeight="1">
      <c r="A40" s="1" t="s">
        <v>210</v>
      </c>
      <c r="E40" s="2">
        <v>500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f t="shared" si="3"/>
        <v>0</v>
      </c>
      <c r="S40" s="2">
        <f t="shared" si="4"/>
        <v>500</v>
      </c>
      <c r="T40" s="2"/>
      <c r="U40" s="2"/>
      <c r="V40" s="2"/>
      <c r="W40" s="2"/>
      <c r="X40" s="2"/>
      <c r="Y40" s="2"/>
      <c r="Z40" s="2"/>
      <c r="AA40" s="2"/>
      <c r="AB40" s="2"/>
    </row>
    <row r="41" spans="1:28" ht="12" customHeight="1">
      <c r="A41" s="1" t="s">
        <v>211</v>
      </c>
      <c r="E41" s="2">
        <v>1000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796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204</v>
      </c>
      <c r="R41" s="2">
        <f t="shared" si="3"/>
        <v>1000</v>
      </c>
      <c r="S41" s="2">
        <f t="shared" si="4"/>
        <v>0</v>
      </c>
      <c r="T41" s="2"/>
      <c r="U41" s="2"/>
      <c r="V41" s="2"/>
      <c r="W41" s="2"/>
      <c r="X41" s="2"/>
      <c r="Y41" s="2"/>
      <c r="Z41" s="2"/>
      <c r="AA41" s="2"/>
      <c r="AB41" s="2"/>
    </row>
    <row r="42" spans="1:28" ht="12" customHeight="1">
      <c r="A42" s="1" t="s">
        <v>212</v>
      </c>
      <c r="E42" s="2">
        <v>4004</v>
      </c>
      <c r="F42" s="2">
        <v>1496.25</v>
      </c>
      <c r="G42" s="2">
        <v>0</v>
      </c>
      <c r="H42" s="2">
        <v>0</v>
      </c>
      <c r="I42" s="2">
        <v>0</v>
      </c>
      <c r="J42" s="2">
        <v>0</v>
      </c>
      <c r="K42" s="2">
        <v>568.25</v>
      </c>
      <c r="L42" s="2">
        <v>670.21</v>
      </c>
      <c r="M42" s="2">
        <v>0</v>
      </c>
      <c r="N42" s="2">
        <v>0</v>
      </c>
      <c r="O42" s="2">
        <f>550.22+504.14</f>
        <v>1054.3600000000001</v>
      </c>
      <c r="P42" s="2">
        <v>418.12</v>
      </c>
      <c r="Q42" s="2">
        <v>443.4</v>
      </c>
      <c r="R42" s="2">
        <f t="shared" si="3"/>
        <v>4650.59</v>
      </c>
      <c r="S42" s="2">
        <f t="shared" si="4"/>
        <v>-646.59000000000015</v>
      </c>
      <c r="T42" s="2"/>
      <c r="U42" s="2"/>
      <c r="V42" s="2"/>
      <c r="W42" s="2"/>
      <c r="X42" s="2"/>
      <c r="Y42" s="2"/>
      <c r="Z42" s="2"/>
      <c r="AA42" s="2"/>
      <c r="AB42" s="2"/>
    </row>
    <row r="43" spans="1:28" ht="12.75" customHeight="1"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2.75" customHeight="1" thickBot="1">
      <c r="A44" s="58" t="s">
        <v>213</v>
      </c>
      <c r="E44" s="53">
        <f t="shared" ref="E44:S44" si="5">SUBTOTAL(9,E14:E43)</f>
        <v>27279</v>
      </c>
      <c r="F44" s="53">
        <f t="shared" si="5"/>
        <v>1502.25</v>
      </c>
      <c r="G44" s="53">
        <f t="shared" si="5"/>
        <v>6</v>
      </c>
      <c r="H44" s="53">
        <f t="shared" si="5"/>
        <v>308.18</v>
      </c>
      <c r="I44" s="53">
        <f t="shared" si="5"/>
        <v>26</v>
      </c>
      <c r="J44" s="53">
        <f t="shared" si="5"/>
        <v>685.9</v>
      </c>
      <c r="K44" s="53">
        <f t="shared" si="5"/>
        <v>1682.75</v>
      </c>
      <c r="L44" s="53">
        <f t="shared" si="5"/>
        <v>3835.53</v>
      </c>
      <c r="M44" s="53">
        <f t="shared" si="5"/>
        <v>1153.6199999999999</v>
      </c>
      <c r="N44" s="53">
        <f t="shared" si="5"/>
        <v>4641</v>
      </c>
      <c r="O44" s="53">
        <f t="shared" si="5"/>
        <v>1882.5900000000001</v>
      </c>
      <c r="P44" s="53">
        <f t="shared" si="5"/>
        <v>1168.2800000000002</v>
      </c>
      <c r="Q44" s="53">
        <f t="shared" si="5"/>
        <v>6078.7699999999995</v>
      </c>
      <c r="R44" s="53">
        <f t="shared" si="5"/>
        <v>22970.87</v>
      </c>
      <c r="S44" s="53">
        <f t="shared" si="5"/>
        <v>4308.13</v>
      </c>
      <c r="T44" s="2"/>
      <c r="U44" s="2"/>
      <c r="V44" s="2"/>
      <c r="W44" s="2"/>
      <c r="X44" s="2"/>
      <c r="Y44" s="2"/>
      <c r="Z44" s="2"/>
      <c r="AA44" s="2"/>
      <c r="AB44" s="2"/>
    </row>
    <row r="45" spans="1:28" ht="15" customHeight="1">
      <c r="A45" s="56"/>
      <c r="B45" s="56"/>
      <c r="C45" s="56"/>
      <c r="D45" s="56"/>
      <c r="E45" s="57"/>
      <c r="F45" s="57"/>
      <c r="G45" s="5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" customHeight="1">
      <c r="A46" s="1" t="s">
        <v>214</v>
      </c>
      <c r="E46" s="31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/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f t="shared" ref="R46" si="6">SUM(F46:Q46)</f>
        <v>0</v>
      </c>
      <c r="S46" s="2">
        <f t="shared" ref="S46" si="7">+E46-R46</f>
        <v>0</v>
      </c>
      <c r="T46" s="2"/>
    </row>
    <row r="47" spans="1:28" ht="15.75" customHeight="1">
      <c r="D47" s="24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>
      <c r="A48" s="25" t="s">
        <v>215</v>
      </c>
      <c r="B48" s="26"/>
      <c r="C48" s="25"/>
      <c r="E48" s="2"/>
      <c r="F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>
      <c r="A49" s="14"/>
      <c r="B49" s="19"/>
      <c r="D49" s="19"/>
      <c r="E49" s="2"/>
      <c r="F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>
      <c r="A50" s="14"/>
      <c r="B50" s="19"/>
      <c r="D50" s="19"/>
      <c r="E50" s="2"/>
      <c r="F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>
      <c r="A51" s="2"/>
      <c r="B51" s="8"/>
      <c r="E51" s="2">
        <v>0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>
      <c r="A52" s="2"/>
      <c r="B52" s="8"/>
      <c r="C52" s="59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 thickBot="1">
      <c r="A53" s="2" t="s">
        <v>216</v>
      </c>
      <c r="B53" s="8"/>
      <c r="C53" s="59"/>
      <c r="E53" s="27">
        <f>SUM(E49:E52)</f>
        <v>0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 thickTop="1">
      <c r="A54" s="2"/>
      <c r="B54" s="8"/>
      <c r="C54" s="59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>
      <c r="A55" s="2"/>
      <c r="B55" s="8"/>
      <c r="C55" s="59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>
      <c r="A56" s="2"/>
      <c r="B56" s="8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>
      <c r="A57" s="2"/>
      <c r="B57" s="8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>
      <c r="A58" s="2"/>
      <c r="B58" s="8"/>
      <c r="E58" s="2"/>
      <c r="F58" s="60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>
      <c r="A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>
      <c r="A60" s="2"/>
      <c r="E60" s="2"/>
      <c r="F60" s="2"/>
    </row>
    <row r="61" spans="1:28" ht="15.75" customHeight="1">
      <c r="A61" s="2"/>
      <c r="F61" s="2"/>
    </row>
    <row r="62" spans="1:28" ht="15.75" customHeight="1">
      <c r="A62" s="8"/>
      <c r="F62" s="2"/>
    </row>
    <row r="63" spans="1:28" ht="15.75" customHeight="1">
      <c r="F63" s="2"/>
    </row>
    <row r="64" spans="1:28" ht="15.75" customHeight="1">
      <c r="F64" s="2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4">
    <mergeCell ref="A4:E4"/>
    <mergeCell ref="A1:S1"/>
    <mergeCell ref="A3:S3"/>
    <mergeCell ref="A2:T2"/>
  </mergeCells>
  <conditionalFormatting sqref="E43">
    <cfRule type="cellIs" dxfId="1" priority="1" stopIfTrue="1" operator="lessThan">
      <formula>0</formula>
    </cfRule>
  </conditionalFormatting>
  <pageMargins left="0.7" right="0.7" top="0.75" bottom="0.75" header="0.3" footer="0.3"/>
  <pageSetup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C27A1-17E1-44BB-AE1C-5E8636FCD2BC}">
  <sheetPr>
    <pageSetUpPr fitToPage="1"/>
  </sheetPr>
  <dimension ref="A1:W997"/>
  <sheetViews>
    <sheetView tabSelected="1" zoomScale="120" zoomScaleNormal="120" workbookViewId="0">
      <pane xSplit="6" ySplit="4" topLeftCell="G15" activePane="bottomRight" state="frozen"/>
      <selection pane="bottomRight" activeCell="H25" sqref="H25"/>
      <selection pane="bottomLeft" activeCell="A6" sqref="A6"/>
      <selection pane="topRight" activeCell="G1" sqref="G1"/>
    </sheetView>
  </sheetViews>
  <sheetFormatPr defaultColWidth="14.42578125" defaultRowHeight="13.9"/>
  <cols>
    <col min="1" max="1" width="8.85546875" style="3" customWidth="1"/>
    <col min="2" max="2" width="13.85546875" style="3" customWidth="1"/>
    <col min="3" max="3" width="11.85546875" style="3" customWidth="1"/>
    <col min="4" max="4" width="11.28515625" style="3" customWidth="1"/>
    <col min="5" max="5" width="16" style="3" customWidth="1"/>
    <col min="6" max="6" width="11" style="3" customWidth="1"/>
    <col min="7" max="20" width="14.7109375" style="3" customWidth="1"/>
    <col min="21" max="25" width="8.85546875" style="3" customWidth="1"/>
    <col min="26" max="16384" width="14.42578125" style="3"/>
  </cols>
  <sheetData>
    <row r="1" spans="1:23" ht="15.75" customHeight="1">
      <c r="A1" s="123" t="s">
        <v>217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23" ht="15.75" customHeight="1">
      <c r="A2" s="122" t="s">
        <v>218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1:23" ht="15.75" customHeight="1">
      <c r="A3" s="122" t="s">
        <v>219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</row>
    <row r="4" spans="1:23" ht="27.6">
      <c r="E4" s="22" t="s">
        <v>220</v>
      </c>
      <c r="G4" s="28" t="str">
        <f>'Operating Budget'!F4</f>
        <v>May 2023</v>
      </c>
      <c r="H4" s="28" t="str">
        <f>'Operating Budget'!G4</f>
        <v>June 2023</v>
      </c>
      <c r="I4" s="28" t="str">
        <f>'Operating Budget'!H4</f>
        <v>July 2023</v>
      </c>
      <c r="J4" s="28" t="str">
        <f>'Operating Budget'!I4</f>
        <v>Aug 2023</v>
      </c>
      <c r="K4" s="28" t="str">
        <f>'Operating Budget'!J4</f>
        <v>Sept 2023</v>
      </c>
      <c r="L4" s="28" t="str">
        <f>'Operating Budget'!K4</f>
        <v>Oct 2023</v>
      </c>
      <c r="M4" s="28" t="str">
        <f>'Operating Budget'!L4</f>
        <v>Nov 2023</v>
      </c>
      <c r="N4" s="28" t="str">
        <f>'Operating Budget'!M4</f>
        <v>Dec 2023</v>
      </c>
      <c r="O4" s="28" t="str">
        <f>'Operating Budget'!N4</f>
        <v>Jan 2024</v>
      </c>
      <c r="P4" s="28" t="str">
        <f>'Operating Budget'!O4</f>
        <v>Feb 2024</v>
      </c>
      <c r="Q4" s="28" t="str">
        <f>'Operating Budget'!P4</f>
        <v>Mar 2024</v>
      </c>
      <c r="R4" s="28" t="str">
        <f>'Operating Budget'!Q4</f>
        <v>April 2024</v>
      </c>
      <c r="S4" s="118" t="s">
        <v>10</v>
      </c>
      <c r="T4" s="21" t="s">
        <v>178</v>
      </c>
    </row>
    <row r="5" spans="1:23" ht="15" customHeight="1">
      <c r="E5" s="22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30"/>
      <c r="S5" s="30"/>
      <c r="T5" s="30"/>
    </row>
    <row r="6" spans="1:23" ht="15" customHeight="1">
      <c r="A6" s="1" t="s">
        <v>221</v>
      </c>
      <c r="E6" s="2">
        <v>1000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606.75</v>
      </c>
      <c r="R6" s="2">
        <v>0</v>
      </c>
      <c r="S6" s="2">
        <f t="shared" ref="S6:S16" si="0">SUM(G6:R6)</f>
        <v>606.75</v>
      </c>
      <c r="T6" s="2">
        <f t="shared" ref="T6:T16" si="1">+E6-S6</f>
        <v>393.25</v>
      </c>
      <c r="W6" s="2"/>
    </row>
    <row r="7" spans="1:23" ht="15" customHeight="1">
      <c r="A7" s="1" t="s">
        <v>222</v>
      </c>
      <c r="E7" s="2">
        <v>1500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f>1650-150</f>
        <v>1500</v>
      </c>
      <c r="Q7" s="2">
        <v>0</v>
      </c>
      <c r="R7" s="2">
        <v>0</v>
      </c>
      <c r="S7" s="2">
        <f>SUM(G7:R7)</f>
        <v>1500</v>
      </c>
      <c r="T7" s="2">
        <f>+E7-S7</f>
        <v>0</v>
      </c>
    </row>
    <row r="8" spans="1:23" ht="15" customHeight="1">
      <c r="A8" s="1" t="s">
        <v>223</v>
      </c>
      <c r="E8" s="2">
        <v>1880</v>
      </c>
      <c r="G8" s="2">
        <v>0</v>
      </c>
      <c r="H8" s="2">
        <v>62.33</v>
      </c>
      <c r="I8" s="2">
        <v>0</v>
      </c>
      <c r="J8" s="2">
        <v>149.47999999999999</v>
      </c>
      <c r="K8" s="2">
        <v>0</v>
      </c>
      <c r="L8" s="2">
        <v>0</v>
      </c>
      <c r="M8" s="2">
        <v>0</v>
      </c>
      <c r="N8" s="2">
        <v>0</v>
      </c>
      <c r="O8" s="2">
        <v>1100</v>
      </c>
      <c r="P8" s="2">
        <v>0</v>
      </c>
      <c r="Q8" s="2">
        <v>0</v>
      </c>
      <c r="R8" s="2">
        <v>82.68</v>
      </c>
      <c r="S8" s="2">
        <f t="shared" si="0"/>
        <v>1394.49</v>
      </c>
      <c r="T8" s="2">
        <f t="shared" si="1"/>
        <v>485.51</v>
      </c>
      <c r="U8" s="2"/>
    </row>
    <row r="9" spans="1:23" ht="15" customHeight="1">
      <c r="A9" s="1" t="s">
        <v>224</v>
      </c>
      <c r="E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f t="shared" si="0"/>
        <v>0</v>
      </c>
      <c r="T9" s="2">
        <f t="shared" si="1"/>
        <v>0</v>
      </c>
      <c r="U9" s="2"/>
    </row>
    <row r="10" spans="1:23" ht="15" customHeight="1">
      <c r="A10" s="1" t="s">
        <v>225</v>
      </c>
      <c r="E10" s="2">
        <v>1250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100</v>
      </c>
      <c r="M10" s="2">
        <v>203.14</v>
      </c>
      <c r="N10" s="2">
        <v>0</v>
      </c>
      <c r="O10" s="2">
        <v>50</v>
      </c>
      <c r="P10" s="2">
        <f>300+130</f>
        <v>430</v>
      </c>
      <c r="Q10" s="2">
        <v>0</v>
      </c>
      <c r="R10" s="2">
        <f>325+103.14</f>
        <v>428.14</v>
      </c>
      <c r="S10" s="2">
        <f t="shared" si="0"/>
        <v>1211.28</v>
      </c>
      <c r="T10" s="2">
        <f t="shared" si="1"/>
        <v>38.720000000000027</v>
      </c>
      <c r="U10" s="2"/>
    </row>
    <row r="11" spans="1:23" ht="15" customHeight="1">
      <c r="A11" s="1" t="s">
        <v>226</v>
      </c>
      <c r="E11" s="2">
        <f>1150+3850</f>
        <v>5000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f>3656.22+150</f>
        <v>3806.22</v>
      </c>
      <c r="Q11" s="2">
        <f>303.04+407.15</f>
        <v>710.19</v>
      </c>
      <c r="R11" s="13">
        <v>94.46</v>
      </c>
      <c r="S11" s="2">
        <f t="shared" si="0"/>
        <v>4610.87</v>
      </c>
      <c r="T11" s="2">
        <f t="shared" si="1"/>
        <v>389.13000000000011</v>
      </c>
      <c r="U11" s="2"/>
      <c r="V11" s="3">
        <f>5000-1150</f>
        <v>3850</v>
      </c>
    </row>
    <row r="12" spans="1:23" ht="15" customHeight="1">
      <c r="A12" s="80" t="s">
        <v>227</v>
      </c>
      <c r="E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f t="shared" si="0"/>
        <v>0</v>
      </c>
      <c r="T12" s="2">
        <f t="shared" si="1"/>
        <v>0</v>
      </c>
      <c r="U12" s="2"/>
      <c r="V12" s="2"/>
    </row>
    <row r="13" spans="1:23" ht="15" customHeight="1">
      <c r="A13" s="80" t="s">
        <v>228</v>
      </c>
      <c r="E13" s="2">
        <f>20000</f>
        <v>20000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>
        <v>20000</v>
      </c>
      <c r="S13" s="2">
        <f t="shared" si="0"/>
        <v>20000</v>
      </c>
      <c r="T13" s="2">
        <f t="shared" si="1"/>
        <v>0</v>
      </c>
      <c r="U13" s="2"/>
      <c r="V13" s="2"/>
    </row>
    <row r="14" spans="1:23" ht="15" customHeight="1">
      <c r="A14" s="80" t="s">
        <v>229</v>
      </c>
      <c r="E14" s="2">
        <v>2000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>
        <v>2000</v>
      </c>
      <c r="S14" s="2">
        <f t="shared" si="0"/>
        <v>2000</v>
      </c>
      <c r="T14" s="2">
        <f t="shared" si="1"/>
        <v>0</v>
      </c>
      <c r="U14" s="2"/>
      <c r="V14" s="2"/>
    </row>
    <row r="15" spans="1:23" ht="15" customHeight="1">
      <c r="A15" s="80" t="s">
        <v>230</v>
      </c>
      <c r="E15" s="2">
        <v>2000</v>
      </c>
      <c r="G15" s="2"/>
      <c r="H15" s="2">
        <v>0</v>
      </c>
      <c r="I15" s="2">
        <f>508.78-79.58</f>
        <v>429.2</v>
      </c>
      <c r="J15" s="2"/>
      <c r="K15" s="2"/>
      <c r="L15" s="2"/>
      <c r="M15" s="2"/>
      <c r="N15" s="2"/>
      <c r="O15" s="2"/>
      <c r="P15" s="2"/>
      <c r="Q15" s="2"/>
      <c r="R15" s="2">
        <f>1000</f>
        <v>1000</v>
      </c>
      <c r="S15" s="2">
        <f t="shared" si="0"/>
        <v>1429.2</v>
      </c>
      <c r="T15" s="2">
        <f t="shared" si="1"/>
        <v>570.79999999999995</v>
      </c>
      <c r="U15" s="2"/>
      <c r="V15" s="2"/>
    </row>
    <row r="16" spans="1:23" ht="15" customHeight="1">
      <c r="A16" s="80" t="s">
        <v>231</v>
      </c>
      <c r="E16" s="2">
        <v>1350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>
        <v>1350</v>
      </c>
      <c r="S16" s="2">
        <f t="shared" si="0"/>
        <v>1350</v>
      </c>
      <c r="T16" s="2">
        <f t="shared" si="1"/>
        <v>0</v>
      </c>
      <c r="U16" s="2"/>
      <c r="V16" s="2"/>
    </row>
    <row r="17" spans="1:22" ht="15" customHeight="1" thickBot="1">
      <c r="A17" s="1"/>
      <c r="E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thickBot="1">
      <c r="E18" s="32">
        <f>SUM(E6:E16)</f>
        <v>35980</v>
      </c>
      <c r="G18" s="32">
        <f t="shared" ref="G18:T18" si="2">SUM(G6:G17)</f>
        <v>0</v>
      </c>
      <c r="H18" s="32">
        <f t="shared" si="2"/>
        <v>62.33</v>
      </c>
      <c r="I18" s="32">
        <f t="shared" si="2"/>
        <v>429.2</v>
      </c>
      <c r="J18" s="32">
        <f t="shared" si="2"/>
        <v>149.47999999999999</v>
      </c>
      <c r="K18" s="32">
        <f t="shared" si="2"/>
        <v>0</v>
      </c>
      <c r="L18" s="32">
        <f t="shared" si="2"/>
        <v>100</v>
      </c>
      <c r="M18" s="32">
        <f t="shared" si="2"/>
        <v>203.14</v>
      </c>
      <c r="N18" s="32">
        <f t="shared" si="2"/>
        <v>0</v>
      </c>
      <c r="O18" s="32">
        <f t="shared" si="2"/>
        <v>1150</v>
      </c>
      <c r="P18" s="32">
        <f t="shared" si="2"/>
        <v>5736.2199999999993</v>
      </c>
      <c r="Q18" s="32">
        <f t="shared" si="2"/>
        <v>1316.94</v>
      </c>
      <c r="R18" s="32">
        <f t="shared" si="2"/>
        <v>24955.279999999999</v>
      </c>
      <c r="S18" s="32">
        <f t="shared" si="2"/>
        <v>34102.589999999997</v>
      </c>
      <c r="T18" s="32">
        <f t="shared" si="2"/>
        <v>1877.41</v>
      </c>
    </row>
    <row r="19" spans="1:22" ht="15" customHeight="1" thickTop="1">
      <c r="S19" s="6"/>
    </row>
    <row r="20" spans="1:22" ht="15" customHeight="1">
      <c r="A20" s="3" t="s">
        <v>232</v>
      </c>
      <c r="E20" s="2">
        <v>2737.42</v>
      </c>
      <c r="R20" s="3">
        <v>691.03</v>
      </c>
      <c r="S20" s="2">
        <f t="shared" ref="S20:S22" si="3">SUM(G20:R20)</f>
        <v>691.03</v>
      </c>
      <c r="T20" s="2">
        <f>E20-S20</f>
        <v>2046.39</v>
      </c>
    </row>
    <row r="21" spans="1:22" ht="15" customHeight="1">
      <c r="A21" s="3" t="s">
        <v>233</v>
      </c>
      <c r="C21" s="2"/>
      <c r="D21" s="2"/>
      <c r="E21" s="2">
        <v>5000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>
        <f>5175.09</f>
        <v>5175.09</v>
      </c>
      <c r="Q21" s="2"/>
      <c r="R21" s="2">
        <v>-0.08</v>
      </c>
      <c r="S21" s="2">
        <f t="shared" si="3"/>
        <v>5175.01</v>
      </c>
      <c r="T21" s="2">
        <f>E21-S21</f>
        <v>-175.01000000000022</v>
      </c>
    </row>
    <row r="22" spans="1:22" ht="15" customHeight="1">
      <c r="A22" s="3" t="s">
        <v>233</v>
      </c>
      <c r="E22" s="2">
        <v>5000</v>
      </c>
      <c r="Q22" s="3">
        <v>1624.95</v>
      </c>
      <c r="R22" s="3">
        <f>3200.16-0.12</f>
        <v>3200.04</v>
      </c>
      <c r="S22" s="2">
        <f t="shared" si="3"/>
        <v>4824.99</v>
      </c>
      <c r="T22" s="2">
        <f>E22-S22</f>
        <v>175.01000000000022</v>
      </c>
    </row>
    <row r="23" spans="1:22" ht="15" customHeight="1">
      <c r="S23" s="6"/>
    </row>
    <row r="24" spans="1:22" s="94" customFormat="1" ht="15" customHeight="1">
      <c r="A24" s="99" t="s">
        <v>234</v>
      </c>
      <c r="E24" s="95">
        <f>2966.19-500</f>
        <v>2466.19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  <c r="N24" s="96">
        <v>0</v>
      </c>
      <c r="O24" s="96">
        <v>0</v>
      </c>
      <c r="P24" s="96">
        <v>0</v>
      </c>
      <c r="Q24" s="96">
        <v>0</v>
      </c>
      <c r="R24" s="96">
        <v>0</v>
      </c>
      <c r="S24" s="96">
        <f t="shared" ref="S24" si="4">SUM(G24:R24)</f>
        <v>0</v>
      </c>
      <c r="T24" s="96">
        <f t="shared" ref="T24" si="5">+E24-S24</f>
        <v>2466.19</v>
      </c>
    </row>
    <row r="25" spans="1:22" s="94" customFormat="1" ht="15" customHeight="1">
      <c r="A25" s="3" t="s">
        <v>235</v>
      </c>
      <c r="B25" s="3"/>
      <c r="C25" s="3"/>
      <c r="D25" s="3"/>
      <c r="E25" s="2">
        <f>'Regular Restricted'!E35</f>
        <v>35510.019999999997</v>
      </c>
      <c r="F25" s="3"/>
      <c r="G25" s="3"/>
      <c r="H25" s="3"/>
      <c r="S25" s="2"/>
      <c r="T25" s="96"/>
    </row>
    <row r="26" spans="1:22" s="94" customFormat="1" ht="15" customHeight="1">
      <c r="A26" s="3" t="s">
        <v>236</v>
      </c>
      <c r="B26" s="3"/>
      <c r="C26" s="3"/>
      <c r="D26" s="3"/>
      <c r="E26" s="2">
        <v>-17500</v>
      </c>
      <c r="F26" s="3"/>
      <c r="G26" s="3"/>
      <c r="H26" s="3"/>
      <c r="I26" s="96"/>
      <c r="J26" s="96">
        <v>0</v>
      </c>
      <c r="K26" s="96">
        <v>0</v>
      </c>
      <c r="L26" s="96">
        <v>0</v>
      </c>
      <c r="M26" s="96">
        <v>0</v>
      </c>
      <c r="N26" s="96"/>
      <c r="O26" s="96">
        <v>0</v>
      </c>
      <c r="P26" s="96">
        <v>0</v>
      </c>
      <c r="Q26" s="96">
        <v>0</v>
      </c>
      <c r="R26" s="96">
        <v>0</v>
      </c>
      <c r="S26" s="96">
        <f t="shared" ref="S26" si="6">SUM(G26:R26)</f>
        <v>0</v>
      </c>
      <c r="T26" s="96">
        <f t="shared" ref="T26" si="7">+E26-S26</f>
        <v>-17500</v>
      </c>
    </row>
    <row r="27" spans="1:22" ht="15" customHeight="1">
      <c r="A27" s="3" t="s">
        <v>237</v>
      </c>
      <c r="E27" s="2">
        <v>-1750</v>
      </c>
      <c r="F27" s="2"/>
    </row>
    <row r="28" spans="1:22" ht="15" customHeight="1">
      <c r="A28" s="3" t="s">
        <v>238</v>
      </c>
      <c r="E28" s="2">
        <v>0</v>
      </c>
      <c r="R28" s="2"/>
    </row>
    <row r="29" spans="1:22" ht="15.75" customHeight="1">
      <c r="A29" s="3" t="s">
        <v>239</v>
      </c>
      <c r="E29" s="2">
        <f>-'Foundation Summary'!E25</f>
        <v>5400</v>
      </c>
      <c r="F29" s="3" t="s">
        <v>240</v>
      </c>
    </row>
    <row r="30" spans="1:22" ht="15.75" customHeight="1">
      <c r="A30" s="3" t="s">
        <v>241</v>
      </c>
      <c r="E30" s="2">
        <f>-'Foundation Summary'!E27</f>
        <v>28500</v>
      </c>
      <c r="F30" s="2" t="s">
        <v>242</v>
      </c>
    </row>
    <row r="31" spans="1:22" ht="15.75" customHeight="1">
      <c r="A31" s="3" t="s">
        <v>243</v>
      </c>
      <c r="E31" s="2">
        <f>-Scholarships!N35</f>
        <v>-55000</v>
      </c>
    </row>
    <row r="32" spans="1:22" ht="15.75" customHeight="1">
      <c r="A32" s="3" t="s">
        <v>244</v>
      </c>
      <c r="E32" s="2">
        <v>-600</v>
      </c>
    </row>
    <row r="33" spans="1:5" ht="15.75" customHeight="1">
      <c r="A33" s="3" t="s">
        <v>245</v>
      </c>
      <c r="E33" s="2">
        <v>-2046.39</v>
      </c>
    </row>
    <row r="34" spans="1:5" ht="15.75" customHeight="1">
      <c r="A34" s="3" t="s">
        <v>246</v>
      </c>
      <c r="E34" s="2">
        <f>10000-5000-175.01</f>
        <v>4824.99</v>
      </c>
    </row>
    <row r="35" spans="1:5" ht="15.75" customHeight="1">
      <c r="A35" s="3" t="s">
        <v>247</v>
      </c>
      <c r="E35" s="2">
        <v>5000</v>
      </c>
    </row>
    <row r="36" spans="1:5" ht="15.75" customHeight="1">
      <c r="A36" s="3" t="s">
        <v>248</v>
      </c>
      <c r="E36" s="2">
        <v>1673.25</v>
      </c>
    </row>
    <row r="37" spans="1:5" ht="15.75" customHeight="1">
      <c r="E37" s="2"/>
    </row>
    <row r="38" spans="1:5" ht="15.75" customHeight="1" thickBot="1">
      <c r="A38" s="3" t="s">
        <v>249</v>
      </c>
      <c r="E38" s="27">
        <f>SUM(E25:E37)</f>
        <v>4011.8699999999963</v>
      </c>
    </row>
    <row r="39" spans="1:5" ht="15.75" customHeight="1" thickTop="1"/>
    <row r="40" spans="1:5" ht="15.75" customHeight="1">
      <c r="E40" s="2"/>
    </row>
    <row r="41" spans="1:5" ht="15.75" customHeight="1"/>
    <row r="42" spans="1:5" ht="15.75" customHeight="1"/>
    <row r="43" spans="1:5" ht="15.75" customHeight="1"/>
    <row r="44" spans="1:5" ht="15.75" customHeight="1"/>
    <row r="45" spans="1:5" ht="15.75" customHeight="1"/>
    <row r="46" spans="1:5" ht="15.75" customHeight="1"/>
    <row r="47" spans="1:5" ht="15.75" customHeight="1"/>
    <row r="48" spans="1: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</sheetData>
  <mergeCells count="3">
    <mergeCell ref="A1:T1"/>
    <mergeCell ref="A2:T2"/>
    <mergeCell ref="A3:T3"/>
  </mergeCells>
  <pageMargins left="0.7" right="0.7" top="0.75" bottom="0.75" header="0.3" footer="0.3"/>
  <pageSetup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5F2F9-BB54-4004-8D18-555743906200}">
  <sheetPr>
    <pageSetUpPr fitToPage="1"/>
  </sheetPr>
  <dimension ref="A1:N47"/>
  <sheetViews>
    <sheetView zoomScale="120" zoomScaleNormal="120" workbookViewId="0">
      <pane xSplit="3" ySplit="5" topLeftCell="D8" activePane="bottomRight" state="frozen"/>
      <selection pane="bottomRight" activeCell="J16" sqref="J16"/>
      <selection pane="bottomLeft" activeCell="A6" sqref="A6"/>
      <selection pane="topRight" activeCell="D1" sqref="D1"/>
    </sheetView>
  </sheetViews>
  <sheetFormatPr defaultColWidth="9.140625" defaultRowHeight="13.9"/>
  <cols>
    <col min="1" max="1" width="18.85546875" style="3" customWidth="1"/>
    <col min="2" max="2" width="18.5703125" style="3" customWidth="1"/>
    <col min="3" max="3" width="12" style="3" customWidth="1"/>
    <col min="4" max="4" width="17.5703125" style="3" customWidth="1"/>
    <col min="5" max="6" width="11.7109375" style="3" customWidth="1"/>
    <col min="7" max="9" width="11.7109375" style="3" hidden="1" customWidth="1"/>
    <col min="10" max="14" width="11.7109375" style="3" customWidth="1"/>
    <col min="15" max="16384" width="9.140625" style="3"/>
  </cols>
  <sheetData>
    <row r="1" spans="1:14">
      <c r="A1" s="124" t="s">
        <v>217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4">
      <c r="A2" s="124" t="s">
        <v>250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4">
      <c r="A3" s="4"/>
    </row>
    <row r="4" spans="1:14" ht="15.75" customHeight="1">
      <c r="A4" s="4"/>
      <c r="G4" s="124" t="s">
        <v>251</v>
      </c>
      <c r="H4" s="124"/>
      <c r="I4" s="124"/>
      <c r="J4" s="124"/>
      <c r="K4" s="124"/>
      <c r="L4" s="124"/>
    </row>
    <row r="5" spans="1:14" ht="27.6">
      <c r="A5" s="4"/>
      <c r="B5" s="34"/>
      <c r="C5" s="34"/>
      <c r="D5" s="34"/>
      <c r="E5" s="35" t="s">
        <v>252</v>
      </c>
      <c r="F5" s="35" t="s">
        <v>253</v>
      </c>
      <c r="G5" s="36" t="s">
        <v>254</v>
      </c>
      <c r="H5" s="36" t="s">
        <v>255</v>
      </c>
      <c r="I5" s="36" t="s">
        <v>256</v>
      </c>
      <c r="J5" s="36" t="s">
        <v>257</v>
      </c>
      <c r="K5" s="36" t="s">
        <v>258</v>
      </c>
      <c r="L5" s="36" t="s">
        <v>259</v>
      </c>
      <c r="M5" s="36" t="s">
        <v>260</v>
      </c>
      <c r="N5" s="36" t="s">
        <v>261</v>
      </c>
    </row>
    <row r="6" spans="1:14" hidden="1">
      <c r="A6" s="37" t="s">
        <v>262</v>
      </c>
      <c r="B6" s="37" t="s">
        <v>263</v>
      </c>
      <c r="C6" s="37" t="s">
        <v>264</v>
      </c>
      <c r="D6" s="37" t="s">
        <v>265</v>
      </c>
      <c r="E6" s="38"/>
      <c r="F6" s="39" t="s">
        <v>266</v>
      </c>
      <c r="G6" s="2">
        <v>0</v>
      </c>
      <c r="H6" s="40">
        <v>0</v>
      </c>
      <c r="I6" s="40"/>
      <c r="J6" s="40">
        <v>0</v>
      </c>
      <c r="K6" s="40">
        <v>0</v>
      </c>
      <c r="L6" s="40">
        <v>0</v>
      </c>
      <c r="M6" s="40">
        <v>0</v>
      </c>
      <c r="N6" s="40">
        <v>0</v>
      </c>
    </row>
    <row r="7" spans="1:14">
      <c r="A7" s="41"/>
      <c r="B7" s="34"/>
      <c r="C7" s="34"/>
      <c r="D7" s="34"/>
      <c r="E7" s="34"/>
      <c r="F7" s="43"/>
      <c r="G7" s="40"/>
      <c r="H7" s="40"/>
      <c r="I7" s="40"/>
      <c r="J7" s="40"/>
      <c r="K7" s="40"/>
      <c r="L7" s="40"/>
      <c r="M7" s="40"/>
      <c r="N7" s="40"/>
    </row>
    <row r="8" spans="1:14">
      <c r="A8" s="37" t="s">
        <v>267</v>
      </c>
      <c r="B8" s="37" t="s">
        <v>263</v>
      </c>
      <c r="C8" s="37" t="s">
        <v>268</v>
      </c>
      <c r="D8" s="37" t="s">
        <v>269</v>
      </c>
      <c r="E8" s="38" t="s">
        <v>270</v>
      </c>
      <c r="F8" s="50" t="s">
        <v>271</v>
      </c>
      <c r="G8" s="40"/>
      <c r="H8" s="40"/>
      <c r="I8" s="40">
        <v>2500</v>
      </c>
      <c r="J8" s="40">
        <v>2500</v>
      </c>
      <c r="K8" s="40">
        <v>0</v>
      </c>
      <c r="L8" s="40">
        <v>0</v>
      </c>
      <c r="M8" s="40">
        <v>0</v>
      </c>
      <c r="N8" s="40">
        <v>0</v>
      </c>
    </row>
    <row r="9" spans="1:14">
      <c r="A9" s="37" t="s">
        <v>267</v>
      </c>
      <c r="B9" s="37" t="s">
        <v>263</v>
      </c>
      <c r="C9" s="37" t="s">
        <v>272</v>
      </c>
      <c r="D9" s="37" t="s">
        <v>265</v>
      </c>
      <c r="E9" s="38" t="s">
        <v>270</v>
      </c>
      <c r="F9" s="50" t="s">
        <v>271</v>
      </c>
      <c r="G9" s="40"/>
      <c r="H9" s="40"/>
      <c r="I9" s="40">
        <v>2500</v>
      </c>
      <c r="J9" s="40">
        <v>2500</v>
      </c>
      <c r="K9" s="40">
        <v>0</v>
      </c>
      <c r="L9" s="40">
        <v>0</v>
      </c>
      <c r="M9" s="40">
        <v>0</v>
      </c>
      <c r="N9" s="40">
        <v>0</v>
      </c>
    </row>
    <row r="10" spans="1:14">
      <c r="A10" s="41"/>
      <c r="B10" s="34"/>
      <c r="C10" s="34"/>
      <c r="D10" s="34"/>
      <c r="E10" s="34"/>
      <c r="F10" s="43"/>
      <c r="G10" s="40"/>
      <c r="H10" s="40"/>
      <c r="I10" s="40"/>
      <c r="J10" s="40"/>
      <c r="K10" s="40"/>
      <c r="L10" s="40"/>
      <c r="M10" s="40"/>
      <c r="N10" s="40"/>
    </row>
    <row r="11" spans="1:14" ht="14.45" thickBot="1">
      <c r="A11" s="41" t="s">
        <v>273</v>
      </c>
      <c r="I11" s="42">
        <f>SUM(I7:I10)</f>
        <v>5000</v>
      </c>
      <c r="J11" s="42">
        <f>SUM(J7:J10)</f>
        <v>5000</v>
      </c>
      <c r="K11" s="42">
        <f>SUM(K7:K10)</f>
        <v>0</v>
      </c>
      <c r="L11" s="42">
        <f>SUM(L7:L10)</f>
        <v>0</v>
      </c>
      <c r="M11" s="42">
        <f>SUM(M7:M10)</f>
        <v>0</v>
      </c>
      <c r="N11" s="42">
        <f>SUM(N7:N10)</f>
        <v>0</v>
      </c>
    </row>
    <row r="12" spans="1:14">
      <c r="A12" s="41"/>
      <c r="I12" s="40"/>
      <c r="J12" s="40"/>
      <c r="K12" s="40"/>
      <c r="L12" s="40"/>
      <c r="M12" s="40"/>
      <c r="N12" s="40"/>
    </row>
    <row r="13" spans="1:14">
      <c r="A13" s="37" t="s">
        <v>274</v>
      </c>
      <c r="B13" s="37" t="s">
        <v>275</v>
      </c>
      <c r="C13" s="37" t="s">
        <v>276</v>
      </c>
      <c r="D13" s="37" t="s">
        <v>265</v>
      </c>
      <c r="E13" s="38" t="s">
        <v>277</v>
      </c>
      <c r="F13" s="50" t="s">
        <v>278</v>
      </c>
      <c r="G13" s="40"/>
      <c r="H13" s="40"/>
      <c r="I13" s="40">
        <v>2500</v>
      </c>
      <c r="J13" s="40">
        <v>2500</v>
      </c>
      <c r="K13" s="40">
        <v>2500</v>
      </c>
      <c r="L13" s="40"/>
      <c r="M13" s="40"/>
      <c r="N13" s="40"/>
    </row>
    <row r="14" spans="1:14">
      <c r="A14" s="37" t="s">
        <v>274</v>
      </c>
      <c r="B14" s="37" t="s">
        <v>275</v>
      </c>
      <c r="C14" s="37" t="s">
        <v>279</v>
      </c>
      <c r="D14" s="37" t="s">
        <v>265</v>
      </c>
      <c r="E14" s="38" t="s">
        <v>277</v>
      </c>
      <c r="F14" s="50" t="s">
        <v>278</v>
      </c>
      <c r="G14" s="40"/>
      <c r="H14" s="40"/>
      <c r="I14" s="40">
        <v>2500</v>
      </c>
      <c r="J14" s="40">
        <v>2500</v>
      </c>
      <c r="K14" s="40">
        <v>2500</v>
      </c>
      <c r="L14" s="40"/>
      <c r="M14" s="40"/>
      <c r="N14" s="40"/>
    </row>
    <row r="15" spans="1:14">
      <c r="A15" s="37"/>
      <c r="B15" s="37"/>
      <c r="C15" s="34"/>
      <c r="D15" s="37"/>
      <c r="E15" s="38"/>
      <c r="F15" s="50"/>
      <c r="G15" s="40"/>
      <c r="H15" s="40"/>
      <c r="I15" s="40"/>
      <c r="J15" s="40"/>
      <c r="K15" s="40"/>
      <c r="L15" s="40"/>
      <c r="M15" s="40"/>
      <c r="N15" s="40"/>
    </row>
    <row r="16" spans="1:14" ht="14.45" thickBot="1">
      <c r="A16" s="41" t="s">
        <v>280</v>
      </c>
      <c r="D16" s="3" t="s">
        <v>281</v>
      </c>
      <c r="I16" s="42">
        <f>SUM(I11:I15)</f>
        <v>10000</v>
      </c>
      <c r="J16" s="42">
        <f>SUM(J11:J15)</f>
        <v>10000</v>
      </c>
      <c r="K16" s="42">
        <f>SUM(K11:K15)</f>
        <v>5000</v>
      </c>
      <c r="L16" s="42">
        <f>SUM(L11:L15)</f>
        <v>0</v>
      </c>
      <c r="M16" s="42">
        <f>SUM(M11:M15)</f>
        <v>0</v>
      </c>
      <c r="N16" s="42">
        <f>SUM(N11:N15)</f>
        <v>0</v>
      </c>
    </row>
    <row r="17" spans="1:14">
      <c r="A17" s="41"/>
      <c r="I17" s="40"/>
      <c r="J17" s="40"/>
      <c r="K17" s="40"/>
      <c r="L17" s="40"/>
      <c r="M17" s="40"/>
      <c r="N17" s="40"/>
    </row>
    <row r="18" spans="1:14">
      <c r="A18" s="37" t="s">
        <v>282</v>
      </c>
      <c r="B18" s="37" t="s">
        <v>283</v>
      </c>
      <c r="C18" s="91" t="s">
        <v>284</v>
      </c>
      <c r="D18" s="37" t="s">
        <v>269</v>
      </c>
      <c r="E18" s="38" t="s">
        <v>285</v>
      </c>
      <c r="F18" s="50" t="s">
        <v>286</v>
      </c>
      <c r="G18" s="40"/>
      <c r="H18" s="40"/>
      <c r="I18" s="40">
        <v>2500</v>
      </c>
      <c r="J18" s="40">
        <v>2500</v>
      </c>
      <c r="K18" s="40">
        <v>2500</v>
      </c>
      <c r="L18" s="40">
        <v>2500</v>
      </c>
      <c r="M18" s="40"/>
      <c r="N18" s="40"/>
    </row>
    <row r="19" spans="1:14">
      <c r="A19" s="37" t="s">
        <v>282</v>
      </c>
      <c r="B19" s="37" t="s">
        <v>283</v>
      </c>
      <c r="C19" s="91" t="s">
        <v>287</v>
      </c>
      <c r="D19" s="37" t="s">
        <v>265</v>
      </c>
      <c r="E19" s="38" t="s">
        <v>285</v>
      </c>
      <c r="F19" s="50" t="s">
        <v>286</v>
      </c>
      <c r="G19" s="40"/>
      <c r="H19" s="40"/>
      <c r="I19" s="40">
        <v>2500</v>
      </c>
      <c r="J19" s="40">
        <v>2500</v>
      </c>
      <c r="K19" s="40">
        <v>2500</v>
      </c>
      <c r="L19" s="40">
        <v>2500</v>
      </c>
      <c r="M19" s="40"/>
      <c r="N19" s="40"/>
    </row>
    <row r="20" spans="1:14">
      <c r="A20" s="37" t="s">
        <v>288</v>
      </c>
      <c r="B20" s="37" t="s">
        <v>289</v>
      </c>
      <c r="C20" s="92" t="s">
        <v>149</v>
      </c>
      <c r="D20" s="37"/>
      <c r="E20" s="38"/>
      <c r="F20" s="50"/>
      <c r="G20" s="40"/>
      <c r="H20" s="40"/>
      <c r="I20" s="40">
        <v>1000</v>
      </c>
      <c r="J20" s="40">
        <v>0</v>
      </c>
      <c r="K20" s="40">
        <v>0</v>
      </c>
      <c r="L20" s="40">
        <v>0</v>
      </c>
      <c r="M20" s="40"/>
      <c r="N20" s="40"/>
    </row>
    <row r="21" spans="1:14">
      <c r="A21" s="37"/>
      <c r="B21" s="37"/>
      <c r="C21" s="34"/>
      <c r="D21" s="37"/>
      <c r="E21" s="38"/>
      <c r="F21" s="50"/>
      <c r="G21" s="40"/>
      <c r="H21" s="40"/>
      <c r="I21" s="40"/>
      <c r="J21" s="40"/>
      <c r="K21" s="40"/>
      <c r="L21" s="40"/>
      <c r="M21" s="40"/>
      <c r="N21" s="40"/>
    </row>
    <row r="22" spans="1:14" ht="14.45" thickBot="1">
      <c r="A22" s="41" t="s">
        <v>290</v>
      </c>
      <c r="D22" s="3" t="s">
        <v>281</v>
      </c>
      <c r="I22" s="42">
        <f>SUM(I16:I21)</f>
        <v>16000</v>
      </c>
      <c r="J22" s="42">
        <f>SUM(J16:J21)</f>
        <v>15000</v>
      </c>
      <c r="K22" s="42">
        <f>SUM(K16:K21)</f>
        <v>10000</v>
      </c>
      <c r="L22" s="42">
        <f>SUM(L16:L21)</f>
        <v>5000</v>
      </c>
      <c r="M22" s="42">
        <f>SUM(M16:M21)</f>
        <v>0</v>
      </c>
      <c r="N22" s="42">
        <f>SUM(N16:N21)</f>
        <v>0</v>
      </c>
    </row>
    <row r="23" spans="1:14">
      <c r="A23" s="41"/>
      <c r="I23" s="40"/>
      <c r="J23" s="40"/>
      <c r="K23" s="40"/>
    </row>
    <row r="24" spans="1:14">
      <c r="A24" s="37" t="s">
        <v>291</v>
      </c>
      <c r="B24" s="37" t="s">
        <v>292</v>
      </c>
      <c r="C24" s="37" t="s">
        <v>293</v>
      </c>
      <c r="D24" s="37" t="s">
        <v>269</v>
      </c>
      <c r="E24" s="38" t="s">
        <v>294</v>
      </c>
      <c r="F24" s="50" t="s">
        <v>295</v>
      </c>
      <c r="G24" s="40"/>
      <c r="H24" s="40"/>
      <c r="I24" s="40"/>
      <c r="J24" s="40">
        <v>2500</v>
      </c>
      <c r="K24" s="40">
        <v>2500</v>
      </c>
      <c r="L24" s="40">
        <v>2500</v>
      </c>
      <c r="M24" s="40">
        <v>2500</v>
      </c>
      <c r="N24" s="40">
        <v>0</v>
      </c>
    </row>
    <row r="25" spans="1:14">
      <c r="A25" s="37" t="s">
        <v>291</v>
      </c>
      <c r="B25" s="37" t="s">
        <v>292</v>
      </c>
      <c r="C25" s="37" t="s">
        <v>296</v>
      </c>
      <c r="D25" s="37" t="s">
        <v>265</v>
      </c>
      <c r="E25" s="38" t="s">
        <v>294</v>
      </c>
      <c r="F25" s="50" t="s">
        <v>295</v>
      </c>
      <c r="G25" s="40"/>
      <c r="H25" s="40"/>
      <c r="I25" s="40"/>
      <c r="J25" s="40">
        <v>2500</v>
      </c>
      <c r="K25" s="40">
        <v>2500</v>
      </c>
      <c r="L25" s="40">
        <v>2500</v>
      </c>
      <c r="M25" s="40">
        <v>2500</v>
      </c>
      <c r="N25" s="40">
        <v>0</v>
      </c>
    </row>
    <row r="26" spans="1:14">
      <c r="A26" s="37" t="s">
        <v>288</v>
      </c>
      <c r="B26" s="37" t="s">
        <v>289</v>
      </c>
      <c r="C26" s="92" t="s">
        <v>149</v>
      </c>
      <c r="D26" s="37"/>
      <c r="E26" s="38"/>
      <c r="F26" s="50"/>
      <c r="G26" s="40"/>
      <c r="H26" s="40"/>
      <c r="I26" s="40"/>
      <c r="J26" s="40">
        <v>1000</v>
      </c>
      <c r="K26" s="40"/>
      <c r="L26" s="40"/>
      <c r="M26" s="40"/>
      <c r="N26" s="40"/>
    </row>
    <row r="27" spans="1:14">
      <c r="A27" s="37"/>
      <c r="B27" s="37"/>
      <c r="C27" s="34"/>
      <c r="D27" s="37"/>
      <c r="E27" s="38"/>
      <c r="F27" s="50"/>
      <c r="G27" s="40"/>
      <c r="H27" s="40"/>
      <c r="I27" s="40"/>
      <c r="J27" s="40"/>
      <c r="K27" s="40"/>
      <c r="L27" s="40"/>
      <c r="M27" s="40"/>
      <c r="N27" s="40"/>
    </row>
    <row r="28" spans="1:14" ht="14.45" thickBot="1">
      <c r="A28" s="41" t="s">
        <v>297</v>
      </c>
      <c r="D28" s="3" t="s">
        <v>281</v>
      </c>
      <c r="I28" s="42">
        <f>SUM(I22:I27)</f>
        <v>16000</v>
      </c>
      <c r="J28" s="42">
        <f>SUM(J22:J27)</f>
        <v>21000</v>
      </c>
      <c r="K28" s="42">
        <f>SUM(K22:K27)</f>
        <v>15000</v>
      </c>
      <c r="L28" s="42">
        <f>SUM(L22:L27)</f>
        <v>10000</v>
      </c>
      <c r="M28" s="42">
        <f>SUM(M22:M27)</f>
        <v>5000</v>
      </c>
      <c r="N28" s="42">
        <f>SUM(N22:N27)</f>
        <v>0</v>
      </c>
    </row>
    <row r="29" spans="1:14">
      <c r="A29" s="41"/>
      <c r="I29" s="40"/>
      <c r="J29" s="40"/>
      <c r="K29" s="40"/>
      <c r="L29" s="40"/>
      <c r="M29" s="40"/>
      <c r="N29" s="40"/>
    </row>
    <row r="30" spans="1:14">
      <c r="A30" s="37" t="s">
        <v>298</v>
      </c>
      <c r="B30" s="37" t="s">
        <v>292</v>
      </c>
      <c r="C30" s="37" t="s">
        <v>299</v>
      </c>
      <c r="D30" s="37" t="s">
        <v>269</v>
      </c>
      <c r="E30" s="38" t="s">
        <v>294</v>
      </c>
      <c r="F30" s="50" t="s">
        <v>300</v>
      </c>
      <c r="G30" s="40"/>
      <c r="H30" s="40"/>
      <c r="I30" s="40"/>
      <c r="J30" s="40">
        <v>0</v>
      </c>
      <c r="K30" s="40">
        <v>2500</v>
      </c>
      <c r="L30" s="40">
        <v>2500</v>
      </c>
      <c r="M30" s="40">
        <v>2500</v>
      </c>
      <c r="N30" s="40">
        <v>2500</v>
      </c>
    </row>
    <row r="31" spans="1:14">
      <c r="A31" s="37" t="s">
        <v>298</v>
      </c>
      <c r="B31" s="37" t="s">
        <v>292</v>
      </c>
      <c r="C31" s="37" t="s">
        <v>299</v>
      </c>
      <c r="D31" s="37" t="s">
        <v>265</v>
      </c>
      <c r="E31" s="38" t="s">
        <v>294</v>
      </c>
      <c r="F31" s="50" t="s">
        <v>300</v>
      </c>
      <c r="G31" s="40"/>
      <c r="H31" s="40"/>
      <c r="I31" s="40"/>
      <c r="J31" s="40">
        <v>0</v>
      </c>
      <c r="K31" s="40">
        <v>2500</v>
      </c>
      <c r="L31" s="40">
        <v>2500</v>
      </c>
      <c r="M31" s="40">
        <v>2500</v>
      </c>
      <c r="N31" s="40">
        <v>2500</v>
      </c>
    </row>
    <row r="32" spans="1:14">
      <c r="A32" s="37" t="s">
        <v>298</v>
      </c>
      <c r="B32" s="37" t="s">
        <v>292</v>
      </c>
      <c r="C32" s="37" t="s">
        <v>301</v>
      </c>
      <c r="D32" s="37" t="s">
        <v>302</v>
      </c>
      <c r="E32" s="38" t="s">
        <v>294</v>
      </c>
      <c r="F32" s="50" t="s">
        <v>303</v>
      </c>
      <c r="G32" s="40"/>
      <c r="H32" s="40"/>
      <c r="I32" s="40"/>
      <c r="J32" s="40">
        <v>0</v>
      </c>
      <c r="K32" s="93">
        <v>2500</v>
      </c>
      <c r="L32" s="93">
        <v>2500</v>
      </c>
      <c r="M32" s="40">
        <v>0</v>
      </c>
      <c r="N32" s="40">
        <v>0</v>
      </c>
    </row>
    <row r="33" spans="1:14">
      <c r="A33" s="37"/>
      <c r="B33" s="37"/>
      <c r="C33" s="34"/>
      <c r="D33" s="37"/>
      <c r="E33" s="38"/>
      <c r="F33" s="50"/>
      <c r="G33" s="40"/>
      <c r="H33" s="40"/>
      <c r="I33" s="40"/>
      <c r="J33" s="40"/>
      <c r="K33" s="40"/>
      <c r="L33" s="40"/>
      <c r="M33" s="40"/>
      <c r="N33" s="40"/>
    </row>
    <row r="34" spans="1:14" ht="14.45" thickBot="1">
      <c r="A34" s="41" t="s">
        <v>304</v>
      </c>
      <c r="D34" s="3" t="s">
        <v>281</v>
      </c>
      <c r="I34" s="42">
        <f>SUM(I27:I33)</f>
        <v>16000</v>
      </c>
      <c r="J34" s="42">
        <f>SUM(J27:J33)</f>
        <v>21000</v>
      </c>
      <c r="K34" s="42">
        <f>SUM(K27:K33)</f>
        <v>22500</v>
      </c>
      <c r="L34" s="42">
        <f>SUM(L27:L33)</f>
        <v>17500</v>
      </c>
      <c r="M34" s="42">
        <f>SUM(M27:M33)</f>
        <v>10000</v>
      </c>
      <c r="N34" s="42">
        <f>SUM(N27:N33)</f>
        <v>5000</v>
      </c>
    </row>
    <row r="35" spans="1:14" ht="14.45" thickBot="1">
      <c r="A35" s="4" t="s">
        <v>305</v>
      </c>
      <c r="I35" s="93" t="s">
        <v>306</v>
      </c>
      <c r="J35" s="40" t="s">
        <v>307</v>
      </c>
      <c r="K35" s="40"/>
      <c r="N35" s="47">
        <f>SUM(K34:N34)</f>
        <v>55000</v>
      </c>
    </row>
    <row r="36" spans="1:14" ht="14.45" thickTop="1">
      <c r="A36" s="41"/>
      <c r="I36" s="40"/>
      <c r="J36" s="40" t="s">
        <v>308</v>
      </c>
      <c r="K36" s="40"/>
    </row>
    <row r="37" spans="1:14">
      <c r="A37" s="41"/>
      <c r="I37" s="40"/>
      <c r="J37" s="40"/>
      <c r="K37" s="40"/>
    </row>
    <row r="39" spans="1:14">
      <c r="I39" s="2"/>
      <c r="J39" s="2"/>
      <c r="K39" s="2"/>
    </row>
    <row r="40" spans="1:14">
      <c r="J40" s="2"/>
      <c r="K40" s="2"/>
    </row>
    <row r="41" spans="1:14" ht="14.45">
      <c r="A41" s="4" t="s">
        <v>309</v>
      </c>
      <c r="B41"/>
      <c r="C41" s="48"/>
    </row>
    <row r="42" spans="1:14" ht="14.45">
      <c r="A42"/>
      <c r="B42"/>
      <c r="C42" s="48"/>
    </row>
    <row r="43" spans="1:14">
      <c r="A43" s="3" t="s">
        <v>310</v>
      </c>
      <c r="C43" s="2">
        <v>38667.78</v>
      </c>
    </row>
    <row r="44" spans="1:14">
      <c r="A44" s="3" t="s">
        <v>311</v>
      </c>
      <c r="C44" s="2">
        <v>-27500</v>
      </c>
    </row>
    <row r="45" spans="1:14">
      <c r="A45" s="9" t="s">
        <v>312</v>
      </c>
      <c r="C45" s="49">
        <v>-5400</v>
      </c>
    </row>
    <row r="46" spans="1:14" ht="14.45" thickBot="1">
      <c r="A46" s="9" t="s">
        <v>313</v>
      </c>
      <c r="C46" s="27">
        <f>SUM(C43:C45)</f>
        <v>5767.7799999999988</v>
      </c>
    </row>
    <row r="47" spans="1:14" ht="14.45" thickTop="1"/>
  </sheetData>
  <mergeCells count="3">
    <mergeCell ref="A1:J1"/>
    <mergeCell ref="A2:J2"/>
    <mergeCell ref="G4:L4"/>
  </mergeCells>
  <conditionalFormatting sqref="F6">
    <cfRule type="cellIs" dxfId="0" priority="1" stopIfTrue="1" operator="lessThan">
      <formula>0</formula>
    </cfRule>
  </conditionalFormatting>
  <pageMargins left="0.7" right="0.7" top="0.75" bottom="0.75" header="0.3" footer="0.3"/>
  <pageSetup scale="9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EFA8D-F87E-480E-9689-3F4603E72650}">
  <dimension ref="A1:J30"/>
  <sheetViews>
    <sheetView zoomScaleNormal="100" workbookViewId="0">
      <selection activeCell="I30" sqref="I30"/>
    </sheetView>
  </sheetViews>
  <sheetFormatPr defaultColWidth="9.140625" defaultRowHeight="13.9"/>
  <cols>
    <col min="1" max="2" width="9.140625" style="3"/>
    <col min="3" max="3" width="11.7109375" style="3" customWidth="1"/>
    <col min="4" max="4" width="38.85546875" style="3" customWidth="1"/>
    <col min="5" max="5" width="12.28515625" style="2" bestFit="1" customWidth="1"/>
    <col min="6" max="6" width="11.5703125" style="3" bestFit="1" customWidth="1"/>
    <col min="7" max="7" width="10.5703125" style="3" bestFit="1" customWidth="1"/>
    <col min="8" max="8" width="9.140625" style="3"/>
    <col min="9" max="9" width="10.5703125" style="3" bestFit="1" customWidth="1"/>
    <col min="10" max="16384" width="9.140625" style="3"/>
  </cols>
  <sheetData>
    <row r="1" spans="1:7">
      <c r="A1" s="3" t="s">
        <v>314</v>
      </c>
    </row>
    <row r="3" spans="1:7">
      <c r="A3" s="3" t="s">
        <v>315</v>
      </c>
      <c r="E3" s="2">
        <f>+[1]Operating!E27</f>
        <v>84848.400000000009</v>
      </c>
    </row>
    <row r="4" spans="1:7">
      <c r="A4" s="3" t="s">
        <v>5</v>
      </c>
      <c r="E4" s="2">
        <f>'[1]Regular Restricted'!E24</f>
        <v>26157.409999999996</v>
      </c>
    </row>
    <row r="5" spans="1:7">
      <c r="A5" s="3" t="s">
        <v>6</v>
      </c>
      <c r="E5" s="2">
        <f>'[1]Special Restricted'!E26</f>
        <v>3141.72</v>
      </c>
    </row>
    <row r="6" spans="1:7" ht="14.45" thickBot="1">
      <c r="E6" s="27">
        <f>SUM(E3:E5)</f>
        <v>114147.53</v>
      </c>
    </row>
    <row r="7" spans="1:7" ht="14.45" thickTop="1"/>
    <row r="8" spans="1:7">
      <c r="A8" s="3" t="s">
        <v>316</v>
      </c>
      <c r="E8" s="2">
        <f>'[1]Regular Restricted'!E24</f>
        <v>26157.409999999996</v>
      </c>
      <c r="F8" s="2"/>
    </row>
    <row r="9" spans="1:7">
      <c r="A9" s="3" t="s">
        <v>317</v>
      </c>
      <c r="E9" s="2">
        <f>-[1]Operating!E30</f>
        <v>42200</v>
      </c>
      <c r="F9" s="2"/>
    </row>
    <row r="10" spans="1:7">
      <c r="A10" s="3" t="s">
        <v>318</v>
      </c>
      <c r="E10" s="2">
        <f>-[1]Scholarships!I31</f>
        <v>-20000</v>
      </c>
      <c r="F10" s="2"/>
    </row>
    <row r="11" spans="1:7">
      <c r="A11" s="3" t="s">
        <v>319</v>
      </c>
      <c r="E11" s="2">
        <f>-'[1]Program Budget'!T18+20000</f>
        <v>-12067.669999999998</v>
      </c>
      <c r="F11" s="2"/>
    </row>
    <row r="12" spans="1:7">
      <c r="A12" s="3" t="s">
        <v>320</v>
      </c>
      <c r="E12" s="2">
        <f>-50000-E10</f>
        <v>-30000</v>
      </c>
      <c r="F12" s="2"/>
      <c r="G12" s="2"/>
    </row>
    <row r="13" spans="1:7">
      <c r="A13" s="3" t="s">
        <v>321</v>
      </c>
      <c r="E13" s="2">
        <v>27500</v>
      </c>
      <c r="F13" s="2"/>
    </row>
    <row r="14" spans="1:7" ht="14.45" thickBot="1">
      <c r="E14" s="27">
        <f>SUM(E8:E13)</f>
        <v>33789.740000000005</v>
      </c>
      <c r="F14" s="6"/>
    </row>
    <row r="15" spans="1:7" ht="14.45" thickTop="1"/>
    <row r="16" spans="1:7">
      <c r="A16" s="3" t="s">
        <v>322</v>
      </c>
      <c r="D16" s="3" t="s">
        <v>323</v>
      </c>
      <c r="E16" s="2">
        <v>20000</v>
      </c>
    </row>
    <row r="17" spans="1:10">
      <c r="D17" s="3" t="s">
        <v>324</v>
      </c>
      <c r="E17" s="2">
        <v>30000</v>
      </c>
    </row>
    <row r="18" spans="1:10" ht="14.45" thickBot="1">
      <c r="D18" s="3" t="s">
        <v>325</v>
      </c>
      <c r="E18" s="27">
        <f>SUM(E15:E17)</f>
        <v>50000</v>
      </c>
    </row>
    <row r="19" spans="1:10" ht="14.45" thickTop="1"/>
    <row r="21" spans="1:10">
      <c r="A21" s="4" t="s">
        <v>309</v>
      </c>
      <c r="C21" s="2"/>
    </row>
    <row r="22" spans="1:10">
      <c r="C22" s="2"/>
    </row>
    <row r="23" spans="1:10">
      <c r="A23" s="3" t="s">
        <v>326</v>
      </c>
      <c r="E23" s="2">
        <v>86812.78</v>
      </c>
    </row>
    <row r="24" spans="1:10">
      <c r="A24" s="3" t="s">
        <v>327</v>
      </c>
      <c r="E24" s="2">
        <v>1100</v>
      </c>
    </row>
    <row r="25" spans="1:10">
      <c r="A25" s="9" t="s">
        <v>328</v>
      </c>
      <c r="E25" s="2">
        <v>-5400</v>
      </c>
    </row>
    <row r="26" spans="1:10">
      <c r="A26" s="9" t="s">
        <v>329</v>
      </c>
      <c r="E26" s="2">
        <f>-13632.53-2157.85+11464.07-50</f>
        <v>-4376.3100000000013</v>
      </c>
    </row>
    <row r="27" spans="1:10">
      <c r="A27" s="3" t="s">
        <v>330</v>
      </c>
      <c r="E27" s="2">
        <f>-27500-1000</f>
        <v>-28500</v>
      </c>
      <c r="I27" s="2"/>
    </row>
    <row r="28" spans="1:10">
      <c r="A28" s="9" t="s">
        <v>331</v>
      </c>
      <c r="E28" s="2">
        <f>-50900+19500+900</f>
        <v>-30500</v>
      </c>
      <c r="F28" s="2" t="s">
        <v>332</v>
      </c>
      <c r="G28" s="2"/>
      <c r="J28" s="3">
        <f>19500+30500</f>
        <v>50000</v>
      </c>
    </row>
    <row r="29" spans="1:10" ht="14.45" thickBot="1">
      <c r="A29" s="9" t="s">
        <v>333</v>
      </c>
      <c r="E29" s="27">
        <f>SUM(E23:E28)</f>
        <v>19136.47</v>
      </c>
    </row>
    <row r="30" spans="1:10" ht="14.45" thickTop="1"/>
  </sheetData>
  <pageMargins left="0.7" right="0.7" top="0.75" bottom="0.75" header="0.3" footer="0.3"/>
  <pageSetup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08352-C3A7-46D6-BDD8-C6FE31443E30}">
  <dimension ref="A1"/>
  <sheetViews>
    <sheetView topLeftCell="A3" workbookViewId="0">
      <selection activeCell="R19" sqref="R19"/>
    </sheetView>
  </sheetViews>
  <sheetFormatPr defaultRowHeight="14.4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89AC5A-DCD0-46D0-9C73-4020DEE0156A}"/>
</file>

<file path=customXml/itemProps2.xml><?xml version="1.0" encoding="utf-8"?>
<ds:datastoreItem xmlns:ds="http://schemas.openxmlformats.org/officeDocument/2006/customXml" ds:itemID="{2FB0B32F-47E6-46B3-83F9-657351E36BBE}"/>
</file>

<file path=customXml/itemProps3.xml><?xml version="1.0" encoding="utf-8"?>
<ds:datastoreItem xmlns:ds="http://schemas.openxmlformats.org/officeDocument/2006/customXml" ds:itemID="{D36094F2-3A2E-4355-859B-E23029BB8C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stisd</dc:creator>
  <cp:keywords/>
  <dc:description/>
  <cp:lastModifiedBy>Guest User</cp:lastModifiedBy>
  <cp:revision/>
  <dcterms:created xsi:type="dcterms:W3CDTF">2020-09-02T20:41:47Z</dcterms:created>
  <dcterms:modified xsi:type="dcterms:W3CDTF">2025-04-03T20:44:28Z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0x010100C9727DD94F15EF4697CD5FDCE9EF8360</vt:lpwstr>
  </property>
</Properties>
</file>