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rist\Downloads\"/>
    </mc:Choice>
  </mc:AlternateContent>
  <xr:revisionPtr revIDLastSave="0" documentId="13_ncr:1_{5BECB1A9-5FF0-40DE-A2EC-AE975B02592D}" xr6:coauthVersionLast="47" xr6:coauthVersionMax="47" xr10:uidLastSave="{00000000-0000-0000-0000-000000000000}"/>
  <bookViews>
    <workbookView xWindow="-38508" yWindow="-2280" windowWidth="38616" windowHeight="21096" tabRatio="500" firstSheet="4" activeTab="4" xr2:uid="{00000000-000D-0000-FFFF-FFFF00000000}"/>
  </bookViews>
  <sheets>
    <sheet name="🏠 Mission" sheetId="1" r:id="rId1"/>
    <sheet name="📊 Tableau de bord" sheetId="2" r:id="rId2"/>
    <sheet name="📋 QoE CR" sheetId="3" r:id="rId3"/>
    <sheet name="💶 Reconn. CA" sheetId="4" r:id="rId4"/>
    <sheet name="🏦 Bilan" sheetId="5" r:id="rId5"/>
    <sheet name="💰 Dette nette" sheetId="6" r:id="rId6"/>
    <sheet name="🧮 Calc. Dette" sheetId="7" r:id="rId7"/>
    <sheet name="🔄 BFR" sheetId="8" r:id="rId8"/>
    <sheet name="📈 Bridge EBITDA" sheetId="9" r:id="rId9"/>
    <sheet name="💹 Impact Prix" sheetId="10" r:id="rId10"/>
    <sheet name="⚠️ Red flags" sheetId="11" r:id="rId11"/>
    <sheet name="📁 Data room" sheetId="12" r:id="rId12"/>
    <sheet name="📄 Synthèse" sheetId="13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13" l="1"/>
  <c r="B2" i="13"/>
  <c r="F3" i="12"/>
  <c r="E3" i="12"/>
  <c r="F3" i="11"/>
  <c r="E3" i="11"/>
  <c r="C23" i="10"/>
  <c r="C22" i="10"/>
  <c r="C21" i="10"/>
  <c r="C20" i="10"/>
  <c r="D19" i="10"/>
  <c r="E19" i="10" s="1"/>
  <c r="F19" i="10" s="1"/>
  <c r="C19" i="10"/>
  <c r="F14" i="10"/>
  <c r="E14" i="10"/>
  <c r="C12" i="10"/>
  <c r="C13" i="10" s="1"/>
  <c r="C6" i="10"/>
  <c r="D22" i="10" s="1"/>
  <c r="E22" i="10" s="1"/>
  <c r="F22" i="10" s="1"/>
  <c r="E15" i="9"/>
  <c r="C15" i="9"/>
  <c r="E5" i="13" s="1"/>
  <c r="C12" i="9"/>
  <c r="E14" i="9" s="1"/>
  <c r="E11" i="9"/>
  <c r="E10" i="9"/>
  <c r="E9" i="9"/>
  <c r="E8" i="9"/>
  <c r="E7" i="9"/>
  <c r="E6" i="9"/>
  <c r="E5" i="9"/>
  <c r="N12" i="8"/>
  <c r="M12" i="8"/>
  <c r="L12" i="8"/>
  <c r="K12" i="8"/>
  <c r="O12" i="8" s="1"/>
  <c r="P12" i="8" s="1"/>
  <c r="E6" i="13" s="1"/>
  <c r="J12" i="8"/>
  <c r="I12" i="8"/>
  <c r="H12" i="8"/>
  <c r="G12" i="8"/>
  <c r="F12" i="8"/>
  <c r="E12" i="8"/>
  <c r="D12" i="8"/>
  <c r="C12" i="8"/>
  <c r="O11" i="8"/>
  <c r="O10" i="8"/>
  <c r="O9" i="8"/>
  <c r="O8" i="8"/>
  <c r="D18" i="8" s="1"/>
  <c r="O7" i="8"/>
  <c r="D17" i="8" s="1"/>
  <c r="O6" i="8"/>
  <c r="D16" i="8" s="1"/>
  <c r="C31" i="7"/>
  <c r="C33" i="7" s="1"/>
  <c r="E30" i="7"/>
  <c r="E29" i="7"/>
  <c r="E28" i="7"/>
  <c r="C25" i="7"/>
  <c r="E24" i="7"/>
  <c r="E23" i="7"/>
  <c r="E22" i="7"/>
  <c r="E21" i="7"/>
  <c r="E20" i="7"/>
  <c r="C17" i="7"/>
  <c r="E16" i="7"/>
  <c r="E15" i="7"/>
  <c r="C12" i="7"/>
  <c r="E11" i="7"/>
  <c r="E10" i="7"/>
  <c r="E9" i="7"/>
  <c r="E8" i="7"/>
  <c r="E7" i="7"/>
  <c r="E6" i="7"/>
  <c r="F3" i="6"/>
  <c r="E3" i="6"/>
  <c r="F3" i="5"/>
  <c r="E3" i="5"/>
  <c r="F21" i="4"/>
  <c r="G21" i="4" s="1"/>
  <c r="F20" i="4"/>
  <c r="F19" i="4"/>
  <c r="F18" i="4"/>
  <c r="F17" i="4"/>
  <c r="F16" i="4"/>
  <c r="F3" i="3"/>
  <c r="E3" i="3"/>
  <c r="E22" i="2"/>
  <c r="G22" i="2" s="1"/>
  <c r="D10" i="13" s="1"/>
  <c r="E21" i="2"/>
  <c r="G21" i="2" s="1"/>
  <c r="E20" i="2"/>
  <c r="F20" i="2" s="1"/>
  <c r="E19" i="2"/>
  <c r="F19" i="2" s="1"/>
  <c r="E18" i="2"/>
  <c r="G18" i="2" s="1"/>
  <c r="E17" i="2"/>
  <c r="G17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13" i="2" s="1"/>
  <c r="B2" i="2"/>
  <c r="G13" i="2" l="1"/>
  <c r="C10" i="13" s="1"/>
  <c r="F13" i="2"/>
  <c r="B10" i="13"/>
  <c r="G7" i="2"/>
  <c r="F7" i="2"/>
  <c r="F8" i="2"/>
  <c r="G8" i="2"/>
  <c r="G9" i="2"/>
  <c r="F9" i="2"/>
  <c r="G10" i="2"/>
  <c r="F10" i="2"/>
  <c r="C6" i="13"/>
  <c r="D33" i="7"/>
  <c r="C8" i="10"/>
  <c r="G11" i="2"/>
  <c r="F11" i="2"/>
  <c r="G12" i="2"/>
  <c r="F12" i="2"/>
  <c r="F17" i="2"/>
  <c r="F18" i="2"/>
  <c r="E12" i="9"/>
  <c r="D23" i="10"/>
  <c r="E23" i="10" s="1"/>
  <c r="F23" i="10" s="1"/>
  <c r="E13" i="9"/>
  <c r="G19" i="2"/>
  <c r="G20" i="2"/>
  <c r="D12" i="10"/>
  <c r="D20" i="10"/>
  <c r="E20" i="10" s="1"/>
  <c r="F20" i="10" s="1"/>
  <c r="E6" i="2"/>
  <c r="F21" i="2"/>
  <c r="F22" i="2"/>
  <c r="D21" i="10"/>
  <c r="E21" i="10" s="1"/>
  <c r="F21" i="10" s="1"/>
  <c r="D14" i="10" l="1"/>
  <c r="C14" i="10"/>
  <c r="C15" i="10" s="1"/>
  <c r="D13" i="10"/>
  <c r="E12" i="10"/>
  <c r="F12" i="10" s="1"/>
  <c r="G6" i="2"/>
  <c r="F6" i="2"/>
  <c r="E13" i="10" l="1"/>
  <c r="F13" i="10" s="1"/>
  <c r="C7" i="13"/>
  <c r="D15" i="10"/>
  <c r="E7" i="13" l="1"/>
  <c r="E15" i="10"/>
  <c r="F15" i="10" s="1"/>
</calcChain>
</file>

<file path=xl/sharedStrings.xml><?xml version="1.0" encoding="utf-8"?>
<sst xmlns="http://schemas.openxmlformats.org/spreadsheetml/2006/main" count="711" uniqueCount="484">
  <si>
    <t>DUE DILIGENCE FINANCIÈRE — DOSSIER DE MISSION</t>
  </si>
  <si>
    <t>Hectelion — Outil de pilotage &amp; d'analyse © 2025</t>
  </si>
  <si>
    <t>INFORMATIONS DE MISSION</t>
  </si>
  <si>
    <t>Société cible</t>
  </si>
  <si>
    <t>Acquéreur / Mandant</t>
  </si>
  <si>
    <t>Chef de mission Hectelion</t>
  </si>
  <si>
    <t>Date de début</t>
  </si>
  <si>
    <t>Date de closing estimée</t>
  </si>
  <si>
    <t>Valeur d'entreprise indicative (M€)</t>
  </si>
  <si>
    <t>Multiple EBITDA indicatif</t>
  </si>
  <si>
    <t>Statut global</t>
  </si>
  <si>
    <t>NAVIGATION — ONGLETS DU FICHIER</t>
  </si>
  <si>
    <t>🏠 Mission</t>
  </si>
  <si>
    <t>Cette page — informations de mission</t>
  </si>
  <si>
    <t>📊 Tableau de bord</t>
  </si>
  <si>
    <t>Progression globale et score de risque</t>
  </si>
  <si>
    <t>📋 QoE CR</t>
  </si>
  <si>
    <t>Quality of Earnings — Compte de résultat</t>
  </si>
  <si>
    <t>💶 Reconn. CA</t>
  </si>
  <si>
    <t>Analyse de la reconnaissance du chiffre d'affaires</t>
  </si>
  <si>
    <t>🏦 Bilan</t>
  </si>
  <si>
    <t>Retraitements du bilan — Actif et passif</t>
  </si>
  <si>
    <t>💰 Dette nette</t>
  </si>
  <si>
    <t>Calculateur de dette financière nette retraitée</t>
  </si>
  <si>
    <t>🔄 BFR</t>
  </si>
  <si>
    <t>Calculateur BFR normalisé — DSO/DPO/DIO</t>
  </si>
  <si>
    <t>📈 Bridge EBITDA</t>
  </si>
  <si>
    <t>Bridge EBITDA chiffré + graphique waterfall</t>
  </si>
  <si>
    <t>💹 Impact Prix</t>
  </si>
  <si>
    <t>Impact des retraitements sur le prix d'acquisition</t>
  </si>
  <si>
    <t>⚠️ Red flags</t>
  </si>
  <si>
    <t>Red flags et signaux d'alerte — Score de risque</t>
  </si>
  <si>
    <t>📁 Data room</t>
  </si>
  <si>
    <t>Liste des documents à demander</t>
  </si>
  <si>
    <t>📄 Synthèse</t>
  </si>
  <si>
    <t>Synthèse 1 page — imprimable pour le client</t>
  </si>
  <si>
    <t>© Hectelion 2025 — hectelion.com | Document confidentiel — usage interne uniquement</t>
  </si>
  <si>
    <t>TABLEAU DE BORD — DUE DILIGENCE FINANCIÈRE</t>
  </si>
  <si>
    <t>PROGRESSION PAR MODULE</t>
  </si>
  <si>
    <t>Module</t>
  </si>
  <si>
    <t>Points validés</t>
  </si>
  <si>
    <t>Total</t>
  </si>
  <si>
    <t>Progression</t>
  </si>
  <si>
    <t>Barre</t>
  </si>
  <si>
    <t>Statut</t>
  </si>
  <si>
    <t>QoE — Compte de résultat</t>
  </si>
  <si>
    <t>Reconnaissance du CA</t>
  </si>
  <si>
    <t>Retraitements du bilan</t>
  </si>
  <si>
    <t>Dette financière nette</t>
  </si>
  <si>
    <t>BFR normalisé</t>
  </si>
  <si>
    <t>Red flags &amp; signaux d'alerte</t>
  </si>
  <si>
    <t>Data room</t>
  </si>
  <si>
    <t>PROGRESSION GLOBALE</t>
  </si>
  <si>
    <t>SCORE DE RISQUE — RED FLAGS IDENTIFIÉS</t>
  </si>
  <si>
    <t>Catégorie</t>
  </si>
  <si>
    <t>RF Critiques</t>
  </si>
  <si>
    <t>RF Total</t>
  </si>
  <si>
    <t>% Risque</t>
  </si>
  <si>
    <t>Jauge</t>
  </si>
  <si>
    <t>Niveau</t>
  </si>
  <si>
    <t>CA et revenus</t>
  </si>
  <si>
    <t>Marges et charges</t>
  </si>
  <si>
    <t>BFR et trésorerie</t>
  </si>
  <si>
    <t>Dette et hors bilan</t>
  </si>
  <si>
    <t>Business plan / Gouv.</t>
  </si>
  <si>
    <t>SCORE DE RISQUE GLOBAL</t>
  </si>
  <si>
    <t>© Hectelion 2025 — hectelion.com | Document confidentiel</t>
  </si>
  <si>
    <t>CHECKLIST — QOE — COMPTE DE RÉSULTAT</t>
  </si>
  <si>
    <t>Quality of Earnings — Retraitements et normalisation de l'EBITDA | Hectelion</t>
  </si>
  <si>
    <t>PROGRESSION</t>
  </si>
  <si>
    <t>N°</t>
  </si>
  <si>
    <t>Point de contrôle</t>
  </si>
  <si>
    <t>Priorité</t>
  </si>
  <si>
    <t>Commentaires / Actions recommandées</t>
  </si>
  <si>
    <t xml:space="preserve">  ▶  Chiffre d'affaires — nature et récurrence</t>
  </si>
  <si>
    <t>❌ Non fait</t>
  </si>
  <si>
    <t>Identifier la part du CA récurrent (abonnements, contrats) vs non récurrent (one-shot)</t>
  </si>
  <si>
    <t>🔴 Critique</t>
  </si>
  <si>
    <t>Calculer ARR / MRR si SaaS — voir onglet Reconn. CA</t>
  </si>
  <si>
    <t>Vérifier la concentration clients : top 3 / top 5 en % du CA</t>
  </si>
  <si>
    <t>Red flag si un client &gt; 25% du CA</t>
  </si>
  <si>
    <t>Identifier et neutraliser les CA interco en cas de périmètre consolidé partiel</t>
  </si>
  <si>
    <t>🟠 Élevée</t>
  </si>
  <si>
    <t>Impact direct sur le CA consolidé présenté</t>
  </si>
  <si>
    <t>Analyser les effets change sur le CA export — devise ou converti ?</t>
  </si>
  <si>
    <t>🟡 Modérée</t>
  </si>
  <si>
    <t>Risque de change non identifié</t>
  </si>
  <si>
    <t xml:space="preserve">  ▶  Marge brute</t>
  </si>
  <si>
    <t>Vérifier la classification coûts directs vs indirects — sous-traitance, refacturation</t>
  </si>
  <si>
    <t>Impact sur le taux de marge brute</t>
  </si>
  <si>
    <t>Analyser la variation de stocks : gonflée ou dégonflée en fin d'exercice ?</t>
  </si>
  <si>
    <t>Comparaison avec la rotation des stocks</t>
  </si>
  <si>
    <t>Identifier les achats refacturés à marge nulle représentant une part croissante du CA</t>
  </si>
  <si>
    <t>Gonflement artificiel du CA sans valeur ajoutée</t>
  </si>
  <si>
    <t xml:space="preserve">  ▶  Charges opérationnelles</t>
  </si>
  <si>
    <t>Normaliser la rémunération des dirigeants vs rémunération de marché</t>
  </si>
  <si>
    <t>Retraitement fréquent — PME/ETI : souvent sous-évalué</t>
  </si>
  <si>
    <t>Analyser les loyers vs valeur de marché (SCI liée aux actionnaires)</t>
  </si>
  <si>
    <t>Retraitement positif ou négatif selon les cas</t>
  </si>
  <si>
    <t>Identifier les charges exceptionnelles récurrentes déguisées en non-récurrent</t>
  </si>
  <si>
    <t>Analyser sur 3 exercices historiques minimum</t>
  </si>
  <si>
    <t>Vérifier les dotations aux provisions vs historique — déprovisionnement avant cession ?</t>
  </si>
  <si>
    <t>Amélioration artificielle de l'EBITDA</t>
  </si>
  <si>
    <t>Analyser la R&amp;D : capitalisée vs charges — cohérence inter-exercices</t>
  </si>
  <si>
    <t>Retraitement si politique comptable changeante</t>
  </si>
  <si>
    <t>Exclure les frais de transaction M&amp;A passés en charges d'exploitation</t>
  </si>
  <si>
    <t>One-off par définition — à exclure du normatif</t>
  </si>
  <si>
    <t>Analyser les management fees facturés par la holding : caractère normal vs excessif</t>
  </si>
  <si>
    <t>Fréquent en structure LBO — à normaliser</t>
  </si>
  <si>
    <t xml:space="preserve">  ▶  Bridge EBITDA — voir onglet dédié</t>
  </si>
  <si>
    <t>Établir le bridge EBITDA comptable → EBITDA Cash → EBITDA Normatif (onglet Bridge)</t>
  </si>
  <si>
    <t>→ Onglet 📈 Bridge EBITDA pour le calcul chiffré</t>
  </si>
  <si>
    <t>Valider l'EBITDA Normatif avec le management — documenter les écarts</t>
  </si>
  <si>
    <t>Base de valorisation — accord documenté obligatoire</t>
  </si>
  <si>
    <t>Calculer l'impact de chaque retraitement sur le prix d'acquisition (onglet Impact Prix)</t>
  </si>
  <si>
    <t>→ Onglet 💹 Impact Prix pour le calcul chiffré</t>
  </si>
  <si>
    <t>ANALYSE DE LA RECONNAISSANCE DU CHIFFRE D'AFFAIRES</t>
  </si>
  <si>
    <t>Principe fondamental : le CA ne peut être reconnu qu'après réalisation effective de la prestation (IFRS 15 / PCG)</t>
  </si>
  <si>
    <t>RÈGLES DE RECONNAISSANCE — PRINCIPES CLÉS</t>
  </si>
  <si>
    <t>Situation</t>
  </si>
  <si>
    <t>Traitement correct</t>
  </si>
  <si>
    <t>Principe</t>
  </si>
  <si>
    <t>Red flag si...</t>
  </si>
  <si>
    <t>Prestation réalisée + facture émise</t>
  </si>
  <si>
    <t>CA comptabilisé ✅</t>
  </si>
  <si>
    <t>Situation normale</t>
  </si>
  <si>
    <t>—</t>
  </si>
  <si>
    <t>Prestation réalisée, pas encore facturée</t>
  </si>
  <si>
    <t>Produit à recevoir (FAR)</t>
  </si>
  <si>
    <t>Analyser la réalité de la prestation</t>
  </si>
  <si>
    <t>FAR en forte hausse = CA anticipé fictif</t>
  </si>
  <si>
    <t>Facture émise, prestation NON réalisée</t>
  </si>
  <si>
    <t>Produit Constaté d'Avance (PCA)</t>
  </si>
  <si>
    <t>PCA = dette — PAS encore du CA</t>
  </si>
  <si>
    <t>PCA en baisse avant cession = CA gonflé</t>
  </si>
  <si>
    <t>Abonnement annuel facturé en janvier</t>
  </si>
  <si>
    <t>1/12 par mois seulement</t>
  </si>
  <si>
    <t>Étaler sur la durée de la période</t>
  </si>
  <si>
    <t>Tout comptabilisé en janvier = erreur</t>
  </si>
  <si>
    <t>Contrat long terme — méthode avancement</t>
  </si>
  <si>
    <t>CA au % d'avancement réel</t>
  </si>
  <si>
    <t>Vérifier les justificatifs d'avancement</t>
  </si>
  <si>
    <t>% surestimé = CA artificiellement gonflé</t>
  </si>
  <si>
    <t>Avoir / remise accordé après facturation</t>
  </si>
  <si>
    <t>Réduction du CA de la période</t>
  </si>
  <si>
    <t>Vérifier les avoirs émis après clôture</t>
  </si>
  <si>
    <t>Avoirs post-clôture = CA surestimé</t>
  </si>
  <si>
    <t>CALCULATEUR — ANALYSE DES PCA ET FAR</t>
  </si>
  <si>
    <t>Saisissez les données ci-dessous pour analyser l'impact des PCA et FAR sur le CA présenté</t>
  </si>
  <si>
    <t>Poste</t>
  </si>
  <si>
    <t>N-2</t>
  </si>
  <si>
    <t>N-1</t>
  </si>
  <si>
    <t>N (présenté)</t>
  </si>
  <si>
    <t>N (retraité)</t>
  </si>
  <si>
    <t>Écart</t>
  </si>
  <si>
    <t>CA Brut présenté</t>
  </si>
  <si>
    <t>Produits Constatés d'Avance (PCA) — début exercice</t>
  </si>
  <si>
    <t>Produits Constatés d'Avance (PCA) — fin exercice</t>
  </si>
  <si>
    <t>Factures À Recevoir (FAR) — fin exercice</t>
  </si>
  <si>
    <t>Avoirs émis après clôture (réduction CA réel)</t>
  </si>
  <si>
    <t>CA NORMALISÉ ESTIMÉ (N)</t>
  </si>
  <si>
    <t>CHECKLIST — ANALYSE DE LA RECONNAISSANCE DU CA</t>
  </si>
  <si>
    <t>Action recommandée</t>
  </si>
  <si>
    <t>Identifier la méthode de reconnaissance du CA appliquée (PCG / IFRS 15)</t>
  </si>
  <si>
    <t>Note de politique comptable obligatoire</t>
  </si>
  <si>
    <t>Analyser l'évolution des PCA sur 3 exercices — variation inexpliquée en fin d'exercice ?</t>
  </si>
  <si>
    <t>Baisse des PCA = CA anticipé sur la période</t>
  </si>
  <si>
    <t>Analyser l'évolution des FAR sur 3 exercices — hausse inexpliquée ?</t>
  </si>
  <si>
    <t>FAR gonflés = risque d'irrécouvrabilité</t>
  </si>
  <si>
    <t>Vérifier l'étalement des abonnements et contrats pluriannuels</t>
  </si>
  <si>
    <t>Abonnement annuel ≠ CA en totalité au jour de facturation</t>
  </si>
  <si>
    <t>Contrôler le % d'avancement retenu pour les contrats à long terme</t>
  </si>
  <si>
    <t>Obtenir les justificatifs de suivi d'avancement</t>
  </si>
  <si>
    <t>Recenser les avoirs émis après la clôture — impact sur le CA de l'exercice</t>
  </si>
  <si>
    <t>Avoirs post-clôture = réduction du CA réel</t>
  </si>
  <si>
    <t>Vérifier la cohérence entre le CA comptabilisé et les encaissements clients</t>
  </si>
  <si>
    <t>Réconciliation CA comptable / relevés bancaires</t>
  </si>
  <si>
    <t>Analyser les contrats avec conditions suspensives — CA reconnu trop tôt ?</t>
  </si>
  <si>
    <t>Conditions non levées = CA à retraiter</t>
  </si>
  <si>
    <t>Vérifier les remises commerciales accordées rétroactivement</t>
  </si>
  <si>
    <t>Impact sur le CA net réel</t>
  </si>
  <si>
    <t>Identifier les éventuelles modifications de politique comptable entre exercices</t>
  </si>
  <si>
    <t>Changement de méthode = retraitement comparatif</t>
  </si>
  <si>
    <t>CHECKLIST — RETRAITEMENTS DU BILAN</t>
  </si>
  <si>
    <t>Analyse bilancielle — Actif, passif et engagements hors bilan | Hectelion</t>
  </si>
  <si>
    <t xml:space="preserve">  ▶  Actif immobilisé</t>
  </si>
  <si>
    <t>Frais de développement capitalisés : politique comptable et tests de dépréciation</t>
  </si>
  <si>
    <t>Impact sur l'actif net et amortissements futurs</t>
  </si>
  <si>
    <t>VNC vs valeur de marché des immobilisations — notamment immobilier</t>
  </si>
  <si>
    <t>Actifs non opérationnels potentiels</t>
  </si>
  <si>
    <t>Distinguer CAPEX de maintenance vs CAPEX de développement</t>
  </si>
  <si>
    <t>Impact direct sur l'EBITDA Cash en LBO</t>
  </si>
  <si>
    <t xml:space="preserve">  ▶  Actif circulant</t>
  </si>
  <si>
    <t>Méthode de valorisation des stocks (FIFO, CMUP) — cohérence inter-exercices</t>
  </si>
  <si>
    <t>Impact sur la marge brute et le BFR</t>
  </si>
  <si>
    <t>Provisions pour dépréciation des stocks vs rotation réelle</t>
  </si>
  <si>
    <t>Sous-provisionnement fréquent en PME</t>
  </si>
  <si>
    <t>Balance âgée clients : par client et par tranche d'âge (30/60/90/+90 jours)</t>
  </si>
  <si>
    <t>Identifier créances douteuses ou irrécouvrables</t>
  </si>
  <si>
    <t>Adéquation provisions dépréciation clients vs balance âgée</t>
  </si>
  <si>
    <t>Red flag si provisions insuffisantes</t>
  </si>
  <si>
    <t>CIR à recevoir : montant, justification, probabilité de récupération</t>
  </si>
  <si>
    <t>Élément cash-like potentiel dans la dette nette</t>
  </si>
  <si>
    <t>Créances TVA, subventions à recevoir, impôts à récupérer</t>
  </si>
  <si>
    <t>Éléments cash-like selon leur nature</t>
  </si>
  <si>
    <t xml:space="preserve">  ▶  Passif</t>
  </si>
  <si>
    <t>Délais de règlement fournisseurs : allongement artificiel en fin d'exercice ?</t>
  </si>
  <si>
    <t>Impact sur le BFR normalisé</t>
  </si>
  <si>
    <t>Arriérés de charges sociales ou fiscales — plans d'apurement en cours ?</t>
  </si>
  <si>
    <t>Éléments dette-like dans la dette nette</t>
  </si>
  <si>
    <t>Couverture effective des provisions pour risques (litiges, garanties, restructurations)</t>
  </si>
  <si>
    <t>Sous-provisionnement = passif non comptabilisé</t>
  </si>
  <si>
    <t>Engagements hors bilan : cautions, garanties, crédits-bails, IFRS 16</t>
  </si>
  <si>
    <t>À intégrer dans la dette financière nette</t>
  </si>
  <si>
    <t>Engagements de retraite (IFC) — évaluation actuarielle et provisions</t>
  </si>
  <si>
    <t>Passif souvent sous-évalué en PME FR et CH</t>
  </si>
  <si>
    <t>CHECKLIST — DETTE FINANCIÈRE NETTE RETRAITÉE</t>
  </si>
  <si>
    <t>Analyse de la dette nette — Éléments dette-like et cash-like | Hectelion</t>
  </si>
  <si>
    <t xml:space="preserve">  ▶  Dette financière brute</t>
  </si>
  <si>
    <t>Emprunts bancaires (CT + LT) — capital restant dû au closing</t>
  </si>
  <si>
    <t>Obtenir les tableaux d'amortissement détaillés</t>
  </si>
  <si>
    <t>Comptes courants d'associés — remboursables au closing ?</t>
  </si>
  <si>
    <t>Vérifier les conditions de remboursement contractuelles</t>
  </si>
  <si>
    <t>Dettes de leasing IFRS 16 / IAS 17 — impact sur la dette nette</t>
  </si>
  <si>
    <t>Différence significative selon le référentiel retenu</t>
  </si>
  <si>
    <t>Affacturage with recourse — à intégrer si recours possible contre la cible</t>
  </si>
  <si>
    <t>Souvent omis dans la dette présentée au vendeur</t>
  </si>
  <si>
    <t xml:space="preserve">  ▶  Trésorerie disponible</t>
  </si>
  <si>
    <t>Trésorerie réellement disponible — hors trésorerie bloquée ou saisonnière</t>
  </si>
  <si>
    <t>Analyser les relevés bancaires des 12 derniers mois</t>
  </si>
  <si>
    <t>Équivalents de trésorerie — OPCVM, dépôts à terme &lt; 3 mois</t>
  </si>
  <si>
    <t>À inclure dans la trésorerie disponible</t>
  </si>
  <si>
    <t xml:space="preserve">  ▶  Éléments dette-like</t>
  </si>
  <si>
    <t>Passifs sociaux non provisionnés (IFC, retraites) — évaluation actuarielle</t>
  </si>
  <si>
    <t>Souvent sous-évalué en PME françaises et suisses</t>
  </si>
  <si>
    <t>Earn-outs à payer sur acquisitions passées — valeur actualisée</t>
  </si>
  <si>
    <t>Selon probabilité de réalisation estimée</t>
  </si>
  <si>
    <t>Litiges probables non provisionnés — évaluation juridique requise</t>
  </si>
  <si>
    <t>Obtenir l'opinion écrite des conseils juridiques</t>
  </si>
  <si>
    <t>CAPEX engagés non encore payés — obligatoires pour la continuité</t>
  </si>
  <si>
    <t>À intégrer si l'investissement est inévitable</t>
  </si>
  <si>
    <t>Impôts différés passifs significatifs — probabilité de décaissement</t>
  </si>
  <si>
    <t>Selon l'analyse fiscale approfondie</t>
  </si>
  <si>
    <t xml:space="preserve">  ▶  Éléments cash-like</t>
  </si>
  <si>
    <t>CIR à recevoir — probabilité de récupération élevée ?</t>
  </si>
  <si>
    <t>Élément cash-like à déduire de la dette nette</t>
  </si>
  <si>
    <t>Trop-payés d'impôts et crédits TVA récupérables</t>
  </si>
  <si>
    <t>À déduire selon l'analyse fiscale</t>
  </si>
  <si>
    <t>CALCULATEUR — DETTE FINANCIÈRE NETTE RETRAITÉE</t>
  </si>
  <si>
    <t>Saisissez les montants en k€ — le calcul s'effectue automatiquement</t>
  </si>
  <si>
    <t>Composante</t>
  </si>
  <si>
    <t>Montant (k€)</t>
  </si>
  <si>
    <t>Nature / Commentaire</t>
  </si>
  <si>
    <t>Impact</t>
  </si>
  <si>
    <t xml:space="preserve">  ▶  DETTE FINANCIÈRE BRUTE</t>
  </si>
  <si>
    <t>Emprunts bancaires long terme</t>
  </si>
  <si>
    <t>Capital restant dû</t>
  </si>
  <si>
    <t>Emprunts bancaires court terme</t>
  </si>
  <si>
    <t>Lignes de crédit tirées</t>
  </si>
  <si>
    <t>Comptes courants d'associés</t>
  </si>
  <si>
    <t>Remboursables au closing</t>
  </si>
  <si>
    <t>Dettes de leasing (IFRS 16)</t>
  </si>
  <si>
    <t>Capital restant dû des contrats</t>
  </si>
  <si>
    <t>Affacturage with recourse</t>
  </si>
  <si>
    <t>Si recours possible contre la cible</t>
  </si>
  <si>
    <t>Autres dettes financières</t>
  </si>
  <si>
    <t>Obligations, billets de trésorerie...</t>
  </si>
  <si>
    <t>Sous-total — DETTE FINANCIÈRE BRUTE</t>
  </si>
  <si>
    <t xml:space="preserve">  ▶  TRÉSORERIE DISPONIBLE (à déduire)</t>
  </si>
  <si>
    <t>Trésorerie bancaire disponible</t>
  </si>
  <si>
    <t>Hors trésorerie bloquée</t>
  </si>
  <si>
    <t>Équivalents de trésorerie</t>
  </si>
  <si>
    <t>OPCVM monétaires, dépôts &lt; 3 mois</t>
  </si>
  <si>
    <t>Sous-total — TRÉSORERIE DISPONIBLE (à déduire)</t>
  </si>
  <si>
    <t xml:space="preserve">  ▶  ÉLÉMENTS DETTE-LIKE (à ajouter)</t>
  </si>
  <si>
    <t>Passifs sociaux non provisionnés (IFC)</t>
  </si>
  <si>
    <t>Évaluation actuarielle</t>
  </si>
  <si>
    <t>Earn-outs à payer sur acquisitions passées</t>
  </si>
  <si>
    <t>Valeur actualisée</t>
  </si>
  <si>
    <t>Litiges probables non provisionnés</t>
  </si>
  <si>
    <t>Évaluation juridique</t>
  </si>
  <si>
    <t>CAPEX engagés non encore payés</t>
  </si>
  <si>
    <t>Investissements obligatoires</t>
  </si>
  <si>
    <t>Impôts différés passifs significatifs</t>
  </si>
  <si>
    <t>Selon analyse fiscale</t>
  </si>
  <si>
    <t>Sous-total — ÉLÉMENTS DETTE-LIKE (à ajouter)</t>
  </si>
  <si>
    <t xml:space="preserve">  ▶  ÉLÉMENTS CASH-LIKE (à déduire)</t>
  </si>
  <si>
    <t>CIR à recevoir</t>
  </si>
  <si>
    <t>Probabilité de récupération élevée</t>
  </si>
  <si>
    <t>Trop-payés d'impôts / crédits TVA</t>
  </si>
  <si>
    <t>Actifs non opérationnels réalisables</t>
  </si>
  <si>
    <t>Immobilier, participations...</t>
  </si>
  <si>
    <t>Sous-total — ÉLÉMENTS CASH-LIKE (à déduire)</t>
  </si>
  <si>
    <t>DETTE FINANCIÈRE NETTE RETRAITÉE</t>
  </si>
  <si>
    <t>CALCULATEUR BFR NORMALISÉ — DSO / DPO / DIO</t>
  </si>
  <si>
    <t>Saisissez les données mensuelles sur 12 mois — BFR normalisé calculé automatiquement</t>
  </si>
  <si>
    <t>DONNÉES MENSUELLES (k€) — À SAISIR</t>
  </si>
  <si>
    <t>Moyenne 12M</t>
  </si>
  <si>
    <t>BFR Normalisé</t>
  </si>
  <si>
    <t>Jan</t>
  </si>
  <si>
    <t>Fév</t>
  </si>
  <si>
    <t>Mar</t>
  </si>
  <si>
    <t>Avr</t>
  </si>
  <si>
    <t>Mai</t>
  </si>
  <si>
    <t>Jun</t>
  </si>
  <si>
    <t>Jul</t>
  </si>
  <si>
    <t>Aoû</t>
  </si>
  <si>
    <t>Sep</t>
  </si>
  <si>
    <t>Oct</t>
  </si>
  <si>
    <t>Nov</t>
  </si>
  <si>
    <t>Déc</t>
  </si>
  <si>
    <t>Créances clients (k€)</t>
  </si>
  <si>
    <t>Stocks (k€)</t>
  </si>
  <si>
    <t>Dettes fournisseurs (k€)</t>
  </si>
  <si>
    <t>CA mensuel (k€)</t>
  </si>
  <si>
    <t>Coût des ventes mensuel (k€)</t>
  </si>
  <si>
    <t>Achats mensuels (k€)</t>
  </si>
  <si>
    <t>BFR MENSUEL (k€)</t>
  </si>
  <si>
    <t>CALCUL DES RATIOS — DSO / DPO / DIO</t>
  </si>
  <si>
    <t>Ratio</t>
  </si>
  <si>
    <t>Formule</t>
  </si>
  <si>
    <t>Valeur (jours)</t>
  </si>
  <si>
    <t>Interprétation</t>
  </si>
  <si>
    <t>Benchmarks sectoriels indicatifs</t>
  </si>
  <si>
    <t>DSO (délai clients)</t>
  </si>
  <si>
    <t>Créances/CA×30 | Stocks/CV×30 | Dettes/Achats×30</t>
  </si>
  <si>
    <t>Délai moyen de règlement des clients en jours</t>
  </si>
  <si>
    <t>Services : 45-60j | Industrie : 50-70j | Retail : 5-15j</t>
  </si>
  <si>
    <t>DIO (rotation stocks)</t>
  </si>
  <si>
    <t>Durée moyenne d'écoulement des stocks en jours</t>
  </si>
  <si>
    <t>Distribution : 30-45j | Industrie : 45-90j | Immatériel : 0j</t>
  </si>
  <si>
    <t>DPO (délai fournisseurs)</t>
  </si>
  <si>
    <t>Délai moyen de règlement des fournisseurs en jours</t>
  </si>
  <si>
    <t>Standard marché : 30-60j | Red flag si &gt; 90j</t>
  </si>
  <si>
    <t>CHECKLIST BFR — POINTS DE CONTRÔLE</t>
  </si>
  <si>
    <t>Calculer le DSO sur 12-24 mois : analyser ancienneté et conditions contractuelles</t>
  </si>
  <si>
    <t>Calculer le DIO sur 12-24 mois : analyser rotation et provisions stocks</t>
  </si>
  <si>
    <t>Calculer le DPO sur 12-24 mois : détecter allongements artificiels fin d'exercice</t>
  </si>
  <si>
    <t>Analyser les autres créances d'exploitation : TVA, avances, charges constatées d'avance</t>
  </si>
  <si>
    <t>Analyser les autres dettes d'exploitation : TVA à décaisser, avances clients, PCA</t>
  </si>
  <si>
    <t>Analyser la saisonnalité du BFR sur 12-24 mois — identifier pic et creux</t>
  </si>
  <si>
    <t>Négocier le BFR cible SPA — mécanisme d'ajustement de prix euro pour euro</t>
  </si>
  <si>
    <t>BRIDGE EBITDA — COMPTABLE → CASH → NORMATIF</t>
  </si>
  <si>
    <t>Saisissez les montants en k€ — le bridge et le graphique se mettent à jour automatiquement</t>
  </si>
  <si>
    <t>Retraitement</t>
  </si>
  <si>
    <t>Type</t>
  </si>
  <si>
    <t>Impact cumulé</t>
  </si>
  <si>
    <t>EBITDA COMPTABLE (point de départ)</t>
  </si>
  <si>
    <t>Base</t>
  </si>
  <si>
    <t>Rémunération dirigeant — normalisation vs marché</t>
  </si>
  <si>
    <t>Non récurrent négatif</t>
  </si>
  <si>
    <t>Frais de développement capitalisés à retraiter</t>
  </si>
  <si>
    <t>Retraitement comptable</t>
  </si>
  <si>
    <t>Frais de transaction passés en charges</t>
  </si>
  <si>
    <t>One-off à exclure</t>
  </si>
  <si>
    <t>Provision client insuffisante (créances &gt; 180j)</t>
  </si>
  <si>
    <t>Sous-provisionnement</t>
  </si>
  <si>
    <t>Loyer sous-évalué (SCI actionnaire)</t>
  </si>
  <si>
    <t>Normalisation charges</t>
  </si>
  <si>
    <t>Charges exceptionnelles récurrentes requalifiées</t>
  </si>
  <si>
    <t>Récurrent déguisé</t>
  </si>
  <si>
    <t>EBITDA NORMALISÉ</t>
  </si>
  <si>
    <t>RÉSULTAT</t>
  </si>
  <si>
    <t>CAPEX de maintenance (à déduire)</t>
  </si>
  <si>
    <t>CAPEX récurrent</t>
  </si>
  <si>
    <t>Éléments non cash (provisions non décaissées)</t>
  </si>
  <si>
    <t>Retraitement cash</t>
  </si>
  <si>
    <t>EBITDA CASH</t>
  </si>
  <si>
    <t>IMPACT DES RETRAITEMENTS SUR LE PRIX D'ACQUISITION</t>
  </si>
  <si>
    <t>Saisissez le multiple de valorisation — l'impact sur le prix est calculé automatiquement</t>
  </si>
  <si>
    <t>PARAMÈTRES DE VALORISATION</t>
  </si>
  <si>
    <t>EBITDA présenté par le management (k€)</t>
  </si>
  <si>
    <t>Point de départ — avant retraitements</t>
  </si>
  <si>
    <t>EBITDA Normalisé Hectelion (k€)</t>
  </si>
  <si>
    <t>Calculé automatiquement depuis le Bridge</t>
  </si>
  <si>
    <t>Multiple de valorisation (x EBITDA)</t>
  </si>
  <si>
    <t>Multiple retenu pour la transaction</t>
  </si>
  <si>
    <t>Dette financière nette retraitée (k€)</t>
  </si>
  <si>
    <t>Calculée automatiquement depuis le Calculateur</t>
  </si>
  <si>
    <t>CALCUL DE L'IMPACT SUR LA VALEUR D'ENTREPRISE ET LES FONDS PROPRES</t>
  </si>
  <si>
    <t>Indicateur</t>
  </si>
  <si>
    <t>Valeur présentée</t>
  </si>
  <si>
    <t>Valeur retraitée</t>
  </si>
  <si>
    <t>Écart (k€)</t>
  </si>
  <si>
    <t>Impact (%)</t>
  </si>
  <si>
    <t>EBITDA de référence (k€)</t>
  </si>
  <si>
    <t>Valeur d'entreprise (k€) = EBITDA × Multiple</t>
  </si>
  <si>
    <t>Valeur des fonds propres (k€)</t>
  </si>
  <si>
    <t>SENSIBILITÉ AU MULTIPLE</t>
  </si>
  <si>
    <t>Multiple</t>
  </si>
  <si>
    <t>VE présentée (k€)</t>
  </si>
  <si>
    <t>VE retraitée (k€)</t>
  </si>
  <si>
    <t>Écart (%)</t>
  </si>
  <si>
    <t>8x EBITDA</t>
  </si>
  <si>
    <t>10x EBITDA</t>
  </si>
  <si>
    <t>12x EBITDA</t>
  </si>
  <si>
    <t>14x EBITDA</t>
  </si>
  <si>
    <t>16x EBITDA</t>
  </si>
  <si>
    <t>CHECKLIST — RED FLAGS ET SIGNAUX D'ALERTE</t>
  </si>
  <si>
    <t>Signaux d'alerte — Risques à traduire dans le SPA | Hectelion</t>
  </si>
  <si>
    <t xml:space="preserve">  ▶  CA et revenus</t>
  </si>
  <si>
    <t>Concentration excessive : un client &gt; 25% du CA</t>
  </si>
  <si>
    <t>Analyser fidélité et dépendance — clause GAP recommandée</t>
  </si>
  <si>
    <t>CA non récurrent &gt; 30% du total — surestimation de la base normative</t>
  </si>
  <si>
    <t>Retraitement du CA récurrent vs one-shot obligatoire</t>
  </si>
  <si>
    <t>PCA en forte hausse en fin d'exercice — anticipation artificielle de CA</t>
  </si>
  <si>
    <t>Voir onglet Reconn. CA pour l'analyse détaillée</t>
  </si>
  <si>
    <t>Modification de méthode de reconnaissance du CA entre deux exercices</t>
  </si>
  <si>
    <t>Signal potentiel de manipulation comptable — documenter</t>
  </si>
  <si>
    <t xml:space="preserve">  ▶  Marges et charges</t>
  </si>
  <si>
    <t>Dégradation progressive de la marge brute sur 3 ans sans explication</t>
  </si>
  <si>
    <t>Pression concurrentielle ou problème pricing non résolu</t>
  </si>
  <si>
    <t>Rémunération dirigeant très inférieure au marché sans justification</t>
  </si>
  <si>
    <t>Retraitement négatif significatif dans le normatif</t>
  </si>
  <si>
    <t>Provisions en forte baisse avant la cession — déprovisionnement artificiel</t>
  </si>
  <si>
    <t>Amélioration artificielle de l'EBITDA — à retraiter</t>
  </si>
  <si>
    <t>Frais R&amp;D capitalisés en hausse brutale sur l'exercice précédant la cession</t>
  </si>
  <si>
    <t>Amélioration artificielle de l'EBITDA — à analyser</t>
  </si>
  <si>
    <t xml:space="preserve">  ▶  BFR et trésorerie</t>
  </si>
  <si>
    <t>DSO en hausse significative sur les 12 derniers mois</t>
  </si>
  <si>
    <t>Difficultés de recouvrement — voir onglet BFR</t>
  </si>
  <si>
    <t>DPO en forte hausse en fin d'exercice vs historique</t>
  </si>
  <si>
    <t>Compression artificielle du BFR — impact ajustement prix</t>
  </si>
  <si>
    <t>Stocks en hausse sans corrélation avec la croissance du CA</t>
  </si>
  <si>
    <t>Problème de rotation ou obsolescence non provisionné</t>
  </si>
  <si>
    <t>Lignes de crédit court terme tirées à leur maximum</t>
  </si>
  <si>
    <t>Tension de trésorerie structurelle — voir onglet Dette</t>
  </si>
  <si>
    <t xml:space="preserve">  ▶  Dette et hors bilan</t>
  </si>
  <si>
    <t>Engagements hors bilan significatifs non mentionnés dans l'annexe</t>
  </si>
  <si>
    <t>Passif caché — red flag majeur — clause GAP obligatoire</t>
  </si>
  <si>
    <t>Engagements de retraite (IFC) non provisionnés ou sous-évalués</t>
  </si>
  <si>
    <t>Passif non comptabilisé — à intégrer dans la dette nette</t>
  </si>
  <si>
    <t>Litiges en cours non provisionnés ou insuffisamment provisionnés</t>
  </si>
  <si>
    <t>Obtenir opinion écrite des conseils juridiques</t>
  </si>
  <si>
    <t xml:space="preserve">  ▶  Business plan et gouvernance</t>
  </si>
  <si>
    <t>Hypothèses de croissance très supérieures aux tendances historiques</t>
  </si>
  <si>
    <t>Business plan trop optimiste — earn-out recommandé</t>
  </si>
  <si>
    <t>Amélioration brutale des marges projetées sans plan d'actions détaillé</t>
  </si>
  <si>
    <t>Projections non crédibles — risque sur le multiple retenu</t>
  </si>
  <si>
    <t>Changement d'auditeur dans les 2 ans précédant la cession</t>
  </si>
  <si>
    <t>Signal d'alerte qualité information financière — creuser</t>
  </si>
  <si>
    <t>CHECKLIST — DATA ROOM — DOCUMENTS À DEMANDER</t>
  </si>
  <si>
    <t>Liste des documents clés à obtenir dans la data room | Hectelion</t>
  </si>
  <si>
    <t xml:space="preserve">  ▶  États financiers et reporting</t>
  </si>
  <si>
    <t>Comptes annuels sur 3-5 ans (statutaires et consolidés) avec rapports d'audit</t>
  </si>
  <si>
    <t>Base de l'analyse historique — indispensable</t>
  </si>
  <si>
    <t>Comptes de gestion mensuels (reporting interne) sur 24 mois minimum</t>
  </si>
  <si>
    <t>Analyse saisonnalité BFR — voir onglet BFR</t>
  </si>
  <si>
    <t>Tableaux de bord et KPI opérationnels — métriques clés du secteur</t>
  </si>
  <si>
    <t>Cohérence avec les performances financières</t>
  </si>
  <si>
    <t xml:space="preserve">  ▶  Projections et business plan</t>
  </si>
  <si>
    <t>Budget de l'exercice en cours et écarts vs réalisé (YTD)</t>
  </si>
  <si>
    <t>Validation de la trajectoire actuelle</t>
  </si>
  <si>
    <t>Plan d'affaires à 3-5 ans avec hypothèses détaillées par ligne</t>
  </si>
  <si>
    <t>Base de la valorisation DCF — voir onglet Impact Prix</t>
  </si>
  <si>
    <t xml:space="preserve">  ▶  Trésorerie et financement</t>
  </si>
  <si>
    <t>Relevés bancaires des 12 derniers mois — tous comptes</t>
  </si>
  <si>
    <t>Validation trésorerie disponible — voir onglet Calc. Dette</t>
  </si>
  <si>
    <t>Conventions de crédit, contrats de leasing, tableau d'endettement détaillé</t>
  </si>
  <si>
    <t>Base analyse dette nette — voir onglet Calc. Dette</t>
  </si>
  <si>
    <t>Balance âgée clients et fournisseurs — situation récente (&lt; 30 jours)</t>
  </si>
  <si>
    <t>Base analyse BFR et créances douteuses</t>
  </si>
  <si>
    <t xml:space="preserve">  ▶  Fiscal, juridique et social</t>
  </si>
  <si>
    <t>Déclarations fiscales des 3 derniers exercices et correspondances administration</t>
  </si>
  <si>
    <t>Identification des risques fiscaux cachés</t>
  </si>
  <si>
    <t>Contrats clients significatifs (&gt; 5% du CA) et contrats fournisseurs stratégiques</t>
  </si>
  <si>
    <t>Analyse récurrence et engagements long terme</t>
  </si>
  <si>
    <t>Contrats de travail des dirigeants et membres du CODIR, accords collectifs</t>
  </si>
  <si>
    <t>Engagements sociaux et clauses de départ</t>
  </si>
  <si>
    <t>Documentation PI : brevets, marques, licences, contrats R&amp;D</t>
  </si>
  <si>
    <t>Base évaluation actifs intangibles</t>
  </si>
  <si>
    <t>SYNTHÈSE — DUE DILIGENCE FINANCIÈRE</t>
  </si>
  <si>
    <t>INDICATEURS CLÉS</t>
  </si>
  <si>
    <t>EBITDA Normalisé (k€)</t>
  </si>
  <si>
    <t>EBITDA Cash (k€)</t>
  </si>
  <si>
    <t>Dette nette retraitée (k€)</t>
  </si>
  <si>
    <t>BFR Normalisé (k€)</t>
  </si>
  <si>
    <t>Valeur d'Entreprise retraitée (k€)</t>
  </si>
  <si>
    <t>Valeur FP retraitée (k€)</t>
  </si>
  <si>
    <t>PRINCIPAUX RED FLAGS IDENTIFIÉS</t>
  </si>
  <si>
    <t>Consulter l'onglet ⚠️ Red flags pour le détail des signaux d'alerte identifiés
et leur traduction recommandée dans le SPA (GAP, earn-out, déclarations spécifiques).</t>
  </si>
  <si>
    <t>RECOMMANDATIONS HECTELION</t>
  </si>
  <si>
    <t>[À compléter manuellement]
→ Prix recommandé
→ Mécanisme d'ajustement de prix
→ Clauses GAP prioritaires
→ Earn-out recommandé</t>
  </si>
  <si>
    <t>© Hectelion 2025 — hectelion.com | Document confidentiel — usage interne et client uniquement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</si>
</sst>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;0"/>
    <numFmt numFmtId="165" formatCode="0.0"/>
    <numFmt numFmtId="166" formatCode="0.0\x"/>
    <numFmt numFmtId="167" formatCode="0.0%"/>
  </numFmts>
  <fonts count="40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11"/>
      <color rgb="FF2E5496"/>
      <name val="Arial"/>
      <family val="2"/>
    </font>
    <font>
      <b/>
      <sz val="11"/>
      <color rgb="FFFFFFFF"/>
      <name val="Arial"/>
      <family val="2"/>
    </font>
    <font>
      <b/>
      <sz val="10"/>
      <color rgb="FF0E2841"/>
      <name val="Arial"/>
      <family val="2"/>
    </font>
    <font>
      <sz val="10"/>
      <color rgb="FF000000"/>
      <name val="Arial"/>
      <family val="2"/>
    </font>
    <font>
      <i/>
      <sz val="9"/>
      <color rgb="FF2E5496"/>
      <name val="Arial"/>
      <family val="2"/>
    </font>
    <font>
      <i/>
      <sz val="10"/>
      <color rgb="FF2E5496"/>
      <name val="Arial"/>
      <family val="2"/>
    </font>
    <font>
      <b/>
      <sz val="10"/>
      <color rgb="FFFFFFFF"/>
      <name val="Arial"/>
      <family val="2"/>
    </font>
    <font>
      <sz val="10"/>
      <color rgb="FF2E5496"/>
      <name val="Arial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sz val="10"/>
      <color rgb="FFC00000"/>
      <name val="Arial"/>
      <family val="2"/>
    </font>
    <font>
      <b/>
      <sz val="13"/>
      <color rgb="FFFFFFFF"/>
      <name val="Arial"/>
      <family val="2"/>
    </font>
    <font>
      <b/>
      <sz val="11"/>
      <color rgb="FF0E2841"/>
      <name val="Arial"/>
      <family val="2"/>
    </font>
    <font>
      <b/>
      <sz val="11"/>
      <color rgb="FF2E5496"/>
      <name val="Arial"/>
      <family val="2"/>
    </font>
    <font>
      <sz val="9"/>
      <color rgb="FF2E5496"/>
      <name val="Arial"/>
      <family val="2"/>
    </font>
    <font>
      <sz val="9"/>
      <name val="Arial"/>
      <family val="2"/>
    </font>
    <font>
      <b/>
      <sz val="9"/>
      <color rgb="FFC00000"/>
      <name val="Arial"/>
      <family val="2"/>
    </font>
    <font>
      <i/>
      <sz val="9"/>
      <color rgb="FF555555"/>
      <name val="Arial"/>
      <family val="2"/>
    </font>
    <font>
      <b/>
      <sz val="9"/>
      <color rgb="FFED7D31"/>
      <name val="Arial"/>
      <family val="2"/>
    </font>
    <font>
      <b/>
      <sz val="9"/>
      <color rgb="FF2E5496"/>
      <name val="Arial"/>
      <family val="2"/>
    </font>
    <font>
      <b/>
      <sz val="9"/>
      <color rgb="FF0E2841"/>
      <name val="Arial"/>
      <family val="2"/>
    </font>
    <font>
      <sz val="9"/>
      <color rgb="FF000000"/>
      <name val="Arial"/>
      <family val="2"/>
    </font>
    <font>
      <sz val="9"/>
      <color rgb="FFC00000"/>
      <name val="Arial"/>
      <family val="2"/>
    </font>
    <font>
      <i/>
      <sz val="10"/>
      <color rgb="FF0E2841"/>
      <name val="Arial"/>
      <family val="2"/>
    </font>
    <font>
      <b/>
      <sz val="10"/>
      <color rgb="FF2E5496"/>
      <name val="Arial"/>
      <family val="2"/>
    </font>
    <font>
      <sz val="10"/>
      <color rgb="FF0E2841"/>
      <name val="Arial"/>
      <family val="2"/>
    </font>
    <font>
      <sz val="10"/>
      <color rgb="FF70AD47"/>
      <name val="Arial"/>
      <family val="2"/>
    </font>
    <font>
      <b/>
      <sz val="9"/>
      <color rgb="FFFFFFFF"/>
      <name val="Arial"/>
      <family val="2"/>
    </font>
    <font>
      <b/>
      <sz val="12"/>
      <color rgb="FF0E2841"/>
      <name val="Arial"/>
      <family val="2"/>
    </font>
    <font>
      <b/>
      <sz val="10"/>
      <color rgb="FFC00000"/>
      <name val="Arial"/>
      <family val="2"/>
    </font>
    <font>
      <b/>
      <sz val="10"/>
      <color rgb="FF70AD47"/>
      <name val="Arial"/>
      <family val="2"/>
    </font>
    <font>
      <b/>
      <sz val="10"/>
      <color rgb="FF000000"/>
      <name val="Arial"/>
      <family val="2"/>
    </font>
    <font>
      <b/>
      <sz val="13"/>
      <color rgb="FF0E2841"/>
      <name val="Arial"/>
      <family val="2"/>
    </font>
    <font>
      <b/>
      <sz val="20"/>
      <color rgb="FF0E2841"/>
      <name val="Arial"/>
      <family val="2"/>
    </font>
    <font>
      <b/>
      <sz val="14"/>
      <color rgb="FFC00000"/>
      <name val="Arial"/>
      <family val="2"/>
    </font>
    <font>
      <i/>
      <sz val="8"/>
      <color rgb="FF555555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E2841"/>
        <bgColor rgb="FF003300"/>
      </patternFill>
    </fill>
    <fill>
      <patternFill patternType="solid">
        <fgColor rgb="FFDCEAF7"/>
        <bgColor rgb="FFD9E1EA"/>
      </patternFill>
    </fill>
    <fill>
      <patternFill patternType="solid">
        <fgColor rgb="FF2E5496"/>
        <bgColor rgb="FF555555"/>
      </patternFill>
    </fill>
    <fill>
      <patternFill patternType="solid">
        <fgColor rgb="FFF5F7FA"/>
        <bgColor rgb="FFFFFFFF"/>
      </patternFill>
    </fill>
    <fill>
      <patternFill patternType="solid">
        <fgColor rgb="FFFFFFFF"/>
        <bgColor rgb="FFF5F7FA"/>
      </patternFill>
    </fill>
    <fill>
      <patternFill patternType="solid">
        <fgColor rgb="FFC00000"/>
        <bgColor rgb="FF800000"/>
      </patternFill>
    </fill>
    <fill>
      <patternFill patternType="solid">
        <fgColor rgb="FF70AD47"/>
        <bgColor rgb="FF87A44B"/>
      </patternFill>
    </fill>
    <fill>
      <patternFill patternType="solid">
        <fgColor rgb="FFED7D31"/>
        <bgColor rgb="FFDB8238"/>
      </patternFill>
    </fill>
    <fill>
      <patternFill patternType="solid">
        <fgColor rgb="FFFFF0E0"/>
        <bgColor rgb="FFFFF2CC"/>
      </patternFill>
    </fill>
    <fill>
      <patternFill patternType="solid">
        <fgColor rgb="FFFFE4CC"/>
        <bgColor rgb="FFFFE0E0"/>
      </patternFill>
    </fill>
    <fill>
      <patternFill patternType="solid">
        <fgColor rgb="FFFFE0E0"/>
        <bgColor rgb="FFFFE4CC"/>
      </patternFill>
    </fill>
    <fill>
      <patternFill patternType="solid">
        <fgColor rgb="FFE2EFDA"/>
        <bgColor rgb="FFDCEAF7"/>
      </patternFill>
    </fill>
  </fills>
  <borders count="8">
    <border>
      <left/>
      <right/>
      <top/>
      <bottom/>
      <diagonal/>
    </border>
    <border>
      <left style="medium">
        <color rgb="FF0E2841"/>
      </left>
      <right/>
      <top style="medium">
        <color rgb="FF0E2841"/>
      </top>
      <bottom style="medium">
        <color rgb="FF0E2841"/>
      </bottom>
      <diagonal/>
    </border>
    <border>
      <left style="thin">
        <color rgb="FFD9E1EA"/>
      </left>
      <right style="thin">
        <color rgb="FFD9E1EA"/>
      </right>
      <top style="thin">
        <color rgb="FFD9E1EA"/>
      </top>
      <bottom style="thin">
        <color rgb="FFD9E1EA"/>
      </bottom>
      <diagonal/>
    </border>
    <border>
      <left style="thin">
        <color rgb="FFD9E1EA"/>
      </left>
      <right/>
      <top style="thin">
        <color rgb="FFD9E1EA"/>
      </top>
      <bottom style="thin">
        <color rgb="FFD9E1EA"/>
      </bottom>
      <diagonal/>
    </border>
    <border>
      <left style="thin">
        <color rgb="FFD9E1EA"/>
      </left>
      <right/>
      <top style="thin">
        <color rgb="FFD9E1EA"/>
      </top>
      <bottom/>
      <diagonal/>
    </border>
    <border>
      <left style="thin">
        <color rgb="FFD9E1EA"/>
      </left>
      <right style="thin">
        <color rgb="FFD9E1EA"/>
      </right>
      <top style="thin">
        <color rgb="FFD9E1EA"/>
      </top>
      <bottom/>
      <diagonal/>
    </border>
    <border>
      <left style="thin">
        <color rgb="FFD9E1EA"/>
      </left>
      <right style="thin">
        <color rgb="FFD9E1EA"/>
      </right>
      <top/>
      <bottom style="thin">
        <color rgb="FFD9E1EA"/>
      </bottom>
      <diagonal/>
    </border>
    <border>
      <left style="thin">
        <color rgb="FFD9E1EA"/>
      </left>
      <right style="thin">
        <color rgb="FFD9E1EA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8" fillId="2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9" fontId="4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9" fontId="12" fillId="5" borderId="2" xfId="0" applyNumberFormat="1" applyFont="1" applyFill="1" applyBorder="1" applyAlignment="1">
      <alignment horizontal="center" vertical="center" wrapText="1"/>
    </xf>
    <xf numFmtId="9" fontId="12" fillId="6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2" fillId="6" borderId="2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center" vertical="center" wrapText="1"/>
    </xf>
    <xf numFmtId="3" fontId="27" fillId="6" borderId="2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165" fontId="30" fillId="3" borderId="2" xfId="0" applyNumberFormat="1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left" vertical="center" wrapText="1"/>
    </xf>
    <xf numFmtId="164" fontId="31" fillId="3" borderId="2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3" fontId="27" fillId="12" borderId="2" xfId="0" applyNumberFormat="1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left" vertical="center" wrapText="1"/>
    </xf>
    <xf numFmtId="164" fontId="32" fillId="3" borderId="2" xfId="0" applyNumberFormat="1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 vertical="center" wrapText="1"/>
    </xf>
    <xf numFmtId="3" fontId="27" fillId="13" borderId="2" xfId="0" applyNumberFormat="1" applyFont="1" applyFill="1" applyBorder="1" applyAlignment="1">
      <alignment horizontal="center" vertical="center" wrapText="1"/>
    </xf>
    <xf numFmtId="3" fontId="15" fillId="6" borderId="2" xfId="0" applyNumberFormat="1" applyFont="1" applyFill="1" applyBorder="1" applyAlignment="1">
      <alignment horizontal="center" vertical="center" wrapText="1"/>
    </xf>
    <xf numFmtId="166" fontId="15" fillId="6" borderId="2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3" fontId="27" fillId="5" borderId="2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167" fontId="12" fillId="5" borderId="2" xfId="0" applyNumberFormat="1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3" fontId="5" fillId="6" borderId="2" xfId="0" applyNumberFormat="1" applyFont="1" applyFill="1" applyBorder="1" applyAlignment="1">
      <alignment horizontal="center" vertical="center" wrapText="1"/>
    </xf>
    <xf numFmtId="3" fontId="12" fillId="6" borderId="2" xfId="0" applyNumberFormat="1" applyFont="1" applyFill="1" applyBorder="1" applyAlignment="1">
      <alignment horizontal="center" vertical="center" wrapText="1"/>
    </xf>
    <xf numFmtId="167" fontId="12" fillId="6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33" fillId="3" borderId="2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31" fillId="3" borderId="2" xfId="0" applyNumberFormat="1" applyFont="1" applyFill="1" applyBorder="1" applyAlignment="1">
      <alignment horizontal="center" vertical="center" wrapText="1"/>
    </xf>
    <xf numFmtId="167" fontId="31" fillId="3" borderId="2" xfId="0" applyNumberFormat="1" applyFont="1" applyFill="1" applyBorder="1" applyAlignment="1">
      <alignment horizontal="center" vertical="center" wrapText="1"/>
    </xf>
    <xf numFmtId="3" fontId="34" fillId="3" borderId="2" xfId="0" applyNumberFormat="1" applyFont="1" applyFill="1" applyBorder="1" applyAlignment="1">
      <alignment horizontal="center" vertical="center" wrapText="1"/>
    </xf>
    <xf numFmtId="9" fontId="35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25" fillId="1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9" fontId="12" fillId="5" borderId="5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9" fontId="1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9" fontId="4" fillId="5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" fontId="26" fillId="3" borderId="5" xfId="0" applyNumberFormat="1" applyFont="1" applyFill="1" applyBorder="1" applyAlignment="1">
      <alignment horizontal="center" vertical="center" wrapText="1"/>
    </xf>
    <xf numFmtId="3" fontId="27" fillId="6" borderId="5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left" vertical="center" wrapText="1"/>
    </xf>
    <xf numFmtId="0" fontId="37" fillId="6" borderId="2" xfId="0" applyFont="1" applyFill="1" applyBorder="1" applyAlignment="1">
      <alignment horizontal="left" vertical="center" wrapText="1"/>
    </xf>
    <xf numFmtId="0" fontId="38" fillId="5" borderId="2" xfId="0" applyFont="1" applyFill="1" applyBorder="1" applyAlignment="1">
      <alignment horizontal="left" vertical="center" wrapText="1"/>
    </xf>
    <xf numFmtId="0" fontId="38" fillId="6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7" fillId="12" borderId="6" xfId="0" applyFont="1" applyFill="1" applyBorder="1" applyAlignment="1">
      <alignment horizontal="left" vertical="center" wrapText="1"/>
    </xf>
    <xf numFmtId="164" fontId="31" fillId="3" borderId="6" xfId="0" applyNumberFormat="1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3" fontId="27" fillId="1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27" fillId="13" borderId="5" xfId="0" applyFont="1" applyFill="1" applyBorder="1" applyAlignment="1">
      <alignment horizontal="left" vertical="center" wrapText="1"/>
    </xf>
    <xf numFmtId="164" fontId="32" fillId="3" borderId="5" xfId="0" applyNumberFormat="1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3" fontId="27" fillId="13" borderId="5" xfId="0" applyNumberFormat="1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left" vertical="center" wrapText="1"/>
    </xf>
    <xf numFmtId="3" fontId="11" fillId="8" borderId="0" xfId="0" applyNumberFormat="1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3" fontId="3" fillId="8" borderId="0" xfId="0" applyNumberFormat="1" applyFont="1" applyFill="1" applyBorder="1" applyAlignment="1">
      <alignment horizontal="center" vertical="center" wrapText="1"/>
    </xf>
    <xf numFmtId="0" fontId="27" fillId="12" borderId="5" xfId="0" applyFont="1" applyFill="1" applyBorder="1" applyAlignment="1">
      <alignment horizontal="left" vertical="center" wrapText="1"/>
    </xf>
    <xf numFmtId="164" fontId="31" fillId="3" borderId="5" xfId="0" applyNumberFormat="1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3" fontId="27" fillId="12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3" fontId="11" fillId="4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3" fontId="14" fillId="5" borderId="5" xfId="0" applyNumberFormat="1" applyFont="1" applyFill="1" applyBorder="1" applyAlignment="1">
      <alignment horizontal="center" vertical="center" wrapText="1"/>
    </xf>
    <xf numFmtId="9" fontId="14" fillId="5" borderId="5" xfId="0" applyNumberFormat="1" applyFont="1" applyFill="1" applyBorder="1" applyAlignment="1">
      <alignment horizontal="center" vertical="center" wrapText="1"/>
    </xf>
    <xf numFmtId="9" fontId="3" fillId="2" borderId="0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3" fontId="14" fillId="5" borderId="7" xfId="0" applyNumberFormat="1" applyFont="1" applyFill="1" applyBorder="1" applyAlignment="1">
      <alignment horizontal="center" vertical="center" wrapText="1"/>
    </xf>
    <xf numFmtId="9" fontId="14" fillId="5" borderId="7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9" fillId="0" borderId="0" xfId="0" applyFont="1" applyBorder="1"/>
    <xf numFmtId="0" fontId="27" fillId="5" borderId="5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3" fontId="3" fillId="7" borderId="0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3" fontId="14" fillId="11" borderId="0" xfId="0" applyNumberFormat="1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left" vertical="center" wrapText="1"/>
    </xf>
    <xf numFmtId="0" fontId="8" fillId="8" borderId="0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21">
    <dxf>
      <fill>
        <patternFill>
          <bgColor rgb="FFFFE0E0"/>
        </patternFill>
      </fill>
    </dxf>
    <dxf>
      <fill>
        <patternFill>
          <bgColor rgb="FFFFF2CC"/>
        </patternFill>
      </fill>
    </dxf>
    <dxf>
      <fill>
        <patternFill>
          <bgColor rgb="FFE2EFDA"/>
        </patternFill>
      </fill>
    </dxf>
    <dxf>
      <fill>
        <patternFill>
          <bgColor rgb="FFFFE0E0"/>
        </patternFill>
      </fill>
    </dxf>
    <dxf>
      <fill>
        <patternFill>
          <bgColor rgb="FFFFF2CC"/>
        </patternFill>
      </fill>
    </dxf>
    <dxf>
      <fill>
        <patternFill>
          <bgColor rgb="FFE2EFDA"/>
        </patternFill>
      </fill>
    </dxf>
    <dxf>
      <fill>
        <patternFill>
          <bgColor rgb="FFFFE0E0"/>
        </patternFill>
      </fill>
    </dxf>
    <dxf>
      <fill>
        <patternFill>
          <bgColor rgb="FFFFF2CC"/>
        </patternFill>
      </fill>
    </dxf>
    <dxf>
      <fill>
        <patternFill>
          <bgColor rgb="FFE2EFDA"/>
        </patternFill>
      </fill>
    </dxf>
    <dxf>
      <fill>
        <patternFill>
          <bgColor rgb="FFFFE0E0"/>
        </patternFill>
      </fill>
    </dxf>
    <dxf>
      <fill>
        <patternFill>
          <bgColor rgb="FFFFF2CC"/>
        </patternFill>
      </fill>
    </dxf>
    <dxf>
      <fill>
        <patternFill>
          <bgColor rgb="FFE2EFDA"/>
        </patternFill>
      </fill>
    </dxf>
    <dxf>
      <fill>
        <patternFill>
          <bgColor rgb="FFFFE0E0"/>
        </patternFill>
      </fill>
    </dxf>
    <dxf>
      <fill>
        <patternFill>
          <bgColor rgb="FFFFF2CC"/>
        </patternFill>
      </fill>
    </dxf>
    <dxf>
      <fill>
        <patternFill>
          <bgColor rgb="FFE2EFDA"/>
        </patternFill>
      </fill>
    </dxf>
    <dxf>
      <fill>
        <patternFill>
          <bgColor rgb="FFFFE0E0"/>
        </patternFill>
      </fill>
    </dxf>
    <dxf>
      <fill>
        <patternFill>
          <bgColor rgb="FFFFF2CC"/>
        </patternFill>
      </fill>
    </dxf>
    <dxf>
      <fill>
        <patternFill>
          <bgColor rgb="FFE2EFDA"/>
        </patternFill>
      </fill>
    </dxf>
    <dxf>
      <fill>
        <patternFill>
          <bgColor rgb="FFFFE0E0"/>
        </patternFill>
      </fill>
    </dxf>
    <dxf>
      <fill>
        <patternFill>
          <bgColor rgb="FFFFF2CC"/>
        </patternFill>
      </fill>
    </dxf>
    <dxf>
      <fill>
        <patternFill>
          <bgColor rgb="FFE2EF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7A44B"/>
      <rgbColor rgb="FF800080"/>
      <rgbColor rgb="FF008080"/>
      <rgbColor rgb="FFB3C992"/>
      <rgbColor rgb="FF878787"/>
      <rgbColor rgb="FF8EA5CA"/>
      <rgbColor rgb="FFAA433F"/>
      <rgbColor rgb="FFFFF2CC"/>
      <rgbColor rgb="FFDCEAF7"/>
      <rgbColor rgb="FF660066"/>
      <rgbColor rgb="FFCC8F8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7FA"/>
      <rgbColor rgb="FFE2EFDA"/>
      <rgbColor rgb="FFFFF0E0"/>
      <rgbColor rgb="FF8CBFD2"/>
      <rgbColor rgb="FFFFE0E0"/>
      <rgbColor rgb="FFD9E1EA"/>
      <rgbColor rgb="FFF5B089"/>
      <rgbColor rgb="FF3366FF"/>
      <rgbColor rgb="FF33CCCC"/>
      <rgbColor rgb="FF70AD47"/>
      <rgbColor rgb="FFFFE4CC"/>
      <rgbColor rgb="FFDB8238"/>
      <rgbColor rgb="FFED7D31"/>
      <rgbColor rgb="FF6F568D"/>
      <rgbColor rgb="FFA596B9"/>
      <rgbColor rgb="FF0E2841"/>
      <rgbColor rgb="FF3D97AF"/>
      <rgbColor rgb="FF003300"/>
      <rgbColor rgb="FF333300"/>
      <rgbColor rgb="FF993300"/>
      <rgbColor rgb="FF993366"/>
      <rgbColor rgb="FF2E5496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BFR mensuel sur 12 mois (k€)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BFR mensuel</c:v>
          </c:tx>
          <c:spPr>
            <a:ln w="20160">
              <a:solidFill>
                <a:srgbClr val="0E284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BFR'!$C$12</c:f>
              <c:numCache>
                <c:formatCode>#,##0</c:formatCode>
                <c:ptCount val="1"/>
                <c:pt idx="0">
                  <c:v>320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E05-48E4-8384-3528CC5D59F9}"/>
            </c:ext>
          </c:extLst>
        </c:ser>
        <c:ser>
          <c:idx val="1"/>
          <c:order val="1"/>
          <c:spPr>
            <a:ln w="47520">
              <a:solidFill>
                <a:srgbClr val="AA433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BFR'!$D$12</c:f>
              <c:numCache>
                <c:formatCode>#,##0</c:formatCode>
                <c:ptCount val="1"/>
                <c:pt idx="0">
                  <c:v>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E05-48E4-8384-3528CC5D59F9}"/>
            </c:ext>
          </c:extLst>
        </c:ser>
        <c:ser>
          <c:idx val="2"/>
          <c:order val="2"/>
          <c:spPr>
            <a:ln w="47520">
              <a:solidFill>
                <a:srgbClr val="87A44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BFR'!$E$12</c:f>
              <c:numCache>
                <c:formatCode>#,##0</c:formatCode>
                <c:ptCount val="1"/>
                <c:pt idx="0">
                  <c:v>325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E05-48E4-8384-3528CC5D59F9}"/>
            </c:ext>
          </c:extLst>
        </c:ser>
        <c:ser>
          <c:idx val="3"/>
          <c:order val="3"/>
          <c:spPr>
            <a:ln w="47520">
              <a:solidFill>
                <a:srgbClr val="6F568D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BFR'!$F$12</c:f>
              <c:numCache>
                <c:formatCode>#,##0</c:formatCode>
                <c:ptCount val="1"/>
                <c:pt idx="0">
                  <c:v>345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E05-48E4-8384-3528CC5D59F9}"/>
            </c:ext>
          </c:extLst>
        </c:ser>
        <c:ser>
          <c:idx val="4"/>
          <c:order val="4"/>
          <c:spPr>
            <a:ln w="47520">
              <a:solidFill>
                <a:srgbClr val="3D97A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BFR'!$G$12</c:f>
              <c:numCache>
                <c:formatCode>#,##0</c:formatCode>
                <c:ptCount val="1"/>
                <c:pt idx="0">
                  <c:v>330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E05-48E4-8384-3528CC5D59F9}"/>
            </c:ext>
          </c:extLst>
        </c:ser>
        <c:ser>
          <c:idx val="5"/>
          <c:order val="5"/>
          <c:spPr>
            <a:ln w="47520">
              <a:solidFill>
                <a:srgbClr val="DB823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BFR'!$H$12</c:f>
              <c:numCache>
                <c:formatCode>#,##0</c:formatCode>
                <c:ptCount val="1"/>
                <c:pt idx="0">
                  <c:v>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E05-48E4-8384-3528CC5D59F9}"/>
            </c:ext>
          </c:extLst>
        </c:ser>
        <c:ser>
          <c:idx val="6"/>
          <c:order val="6"/>
          <c:spPr>
            <a:ln w="47520">
              <a:solidFill>
                <a:srgbClr val="8EA5C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BFR'!$I$12</c:f>
              <c:numCache>
                <c:formatCode>#,##0</c:formatCode>
                <c:ptCount val="1"/>
                <c:pt idx="0">
                  <c:v>370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E05-48E4-8384-3528CC5D59F9}"/>
            </c:ext>
          </c:extLst>
        </c:ser>
        <c:ser>
          <c:idx val="7"/>
          <c:order val="7"/>
          <c:spPr>
            <a:ln w="47520">
              <a:solidFill>
                <a:srgbClr val="CC8F8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BFR'!$J$12</c:f>
              <c:numCache>
                <c:formatCode>#,##0</c:formatCode>
                <c:ptCount val="1"/>
                <c:pt idx="0">
                  <c:v>305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EE05-48E4-8384-3528CC5D59F9}"/>
            </c:ext>
          </c:extLst>
        </c:ser>
        <c:ser>
          <c:idx val="8"/>
          <c:order val="8"/>
          <c:spPr>
            <a:ln w="47520">
              <a:solidFill>
                <a:srgbClr val="B3C99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BFR'!$K$12</c:f>
              <c:numCache>
                <c:formatCode>#,##0</c:formatCode>
                <c:ptCount val="1"/>
                <c:pt idx="0">
                  <c:v>325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EE05-48E4-8384-3528CC5D59F9}"/>
            </c:ext>
          </c:extLst>
        </c:ser>
        <c:ser>
          <c:idx val="9"/>
          <c:order val="9"/>
          <c:spPr>
            <a:ln w="47520">
              <a:solidFill>
                <a:srgbClr val="A596B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BFR'!$L$12</c:f>
              <c:numCache>
                <c:formatCode>#,##0</c:formatCode>
                <c:ptCount val="1"/>
                <c:pt idx="0">
                  <c:v>340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EE05-48E4-8384-3528CC5D59F9}"/>
            </c:ext>
          </c:extLst>
        </c:ser>
        <c:ser>
          <c:idx val="10"/>
          <c:order val="10"/>
          <c:spPr>
            <a:ln w="47520">
              <a:solidFill>
                <a:srgbClr val="8CBFD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BFR'!$M$12</c:f>
              <c:numCache>
                <c:formatCode>#,##0</c:formatCode>
                <c:ptCount val="1"/>
                <c:pt idx="0">
                  <c:v>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EE05-48E4-8384-3528CC5D59F9}"/>
            </c:ext>
          </c:extLst>
        </c:ser>
        <c:ser>
          <c:idx val="11"/>
          <c:order val="11"/>
          <c:spPr>
            <a:ln w="47520">
              <a:solidFill>
                <a:srgbClr val="F5B08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'🔄 BFR'!$C$5:$N$5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Aoû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'🔄 BFR'!$N$12</c:f>
              <c:numCache>
                <c:formatCode>#,##0</c:formatCode>
                <c:ptCount val="1"/>
                <c:pt idx="0">
                  <c:v>390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EE05-48E4-8384-3528CC5D5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99857460"/>
        <c:axId val="80300226"/>
      </c:lineChart>
      <c:catAx>
        <c:axId val="998574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Mois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0300226"/>
        <c:crosses val="autoZero"/>
        <c:auto val="1"/>
        <c:lblAlgn val="ctr"/>
        <c:lblOffset val="100"/>
        <c:noMultiLvlLbl val="0"/>
      </c:catAx>
      <c:valAx>
        <c:axId val="8030022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k€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98574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612000</xdr:colOff>
      <xdr:row>38</xdr:row>
      <xdr:rowOff>170640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9"/>
  <sheetViews>
    <sheetView showGridLines="0" zoomScaleNormal="100" workbookViewId="0"/>
  </sheetViews>
  <sheetFormatPr defaultColWidth="8.6640625" defaultRowHeight="14.4" x14ac:dyDescent="0.3"/>
  <cols>
    <col min="1" max="1" width="3" customWidth="1"/>
    <col min="2" max="2" width="30" customWidth="1"/>
    <col min="3" max="3" width="35" customWidth="1"/>
    <col min="4" max="5" width="20" customWidth="1"/>
  </cols>
  <sheetData>
    <row r="1" spans="2:5" ht="39.75" customHeight="1" x14ac:dyDescent="0.3">
      <c r="B1" s="12" t="s">
        <v>0</v>
      </c>
      <c r="C1" s="12"/>
      <c r="D1" s="12"/>
      <c r="E1" s="12"/>
    </row>
    <row r="2" spans="2:5" ht="21.75" customHeight="1" x14ac:dyDescent="0.3">
      <c r="B2" s="11" t="s">
        <v>1</v>
      </c>
      <c r="C2" s="11"/>
      <c r="D2" s="11"/>
      <c r="E2" s="11"/>
    </row>
    <row r="3" spans="2:5" ht="12" customHeight="1" x14ac:dyDescent="0.3"/>
    <row r="4" spans="2:5" ht="21.75" customHeight="1" x14ac:dyDescent="0.3">
      <c r="B4" s="10" t="s">
        <v>2</v>
      </c>
      <c r="C4" s="10"/>
      <c r="D4" s="10"/>
      <c r="E4" s="10"/>
    </row>
    <row r="5" spans="2:5" ht="21.75" customHeight="1" x14ac:dyDescent="0.3">
      <c r="B5" s="13" t="s">
        <v>3</v>
      </c>
      <c r="C5" s="9"/>
      <c r="D5" s="9"/>
      <c r="E5" s="9"/>
    </row>
    <row r="6" spans="2:5" ht="21.75" customHeight="1" x14ac:dyDescent="0.3">
      <c r="B6" s="13" t="s">
        <v>4</v>
      </c>
      <c r="C6" s="9"/>
      <c r="D6" s="9"/>
      <c r="E6" s="9"/>
    </row>
    <row r="7" spans="2:5" ht="21.75" customHeight="1" x14ac:dyDescent="0.3">
      <c r="B7" s="13" t="s">
        <v>5</v>
      </c>
      <c r="C7" s="9"/>
      <c r="D7" s="9"/>
      <c r="E7" s="9"/>
    </row>
    <row r="8" spans="2:5" ht="21.75" customHeight="1" x14ac:dyDescent="0.3">
      <c r="B8" s="13" t="s">
        <v>6</v>
      </c>
      <c r="C8" s="9"/>
      <c r="D8" s="9"/>
      <c r="E8" s="9"/>
    </row>
    <row r="9" spans="2:5" ht="21.75" customHeight="1" x14ac:dyDescent="0.3">
      <c r="B9" s="13" t="s">
        <v>7</v>
      </c>
      <c r="C9" s="9"/>
      <c r="D9" s="9"/>
      <c r="E9" s="9"/>
    </row>
    <row r="10" spans="2:5" ht="21.75" customHeight="1" x14ac:dyDescent="0.3">
      <c r="B10" s="13" t="s">
        <v>8</v>
      </c>
      <c r="C10" s="9"/>
      <c r="D10" s="9"/>
      <c r="E10" s="9"/>
    </row>
    <row r="11" spans="2:5" ht="21.75" customHeight="1" x14ac:dyDescent="0.3">
      <c r="B11" s="13" t="s">
        <v>9</v>
      </c>
      <c r="C11" s="9"/>
      <c r="D11" s="9"/>
      <c r="E11" s="9"/>
    </row>
    <row r="12" spans="2:5" ht="21.75" customHeight="1" x14ac:dyDescent="0.3">
      <c r="B12" s="13" t="s">
        <v>10</v>
      </c>
      <c r="C12" s="9"/>
      <c r="D12" s="9"/>
      <c r="E12" s="9"/>
    </row>
    <row r="13" spans="2:5" ht="12" customHeight="1" x14ac:dyDescent="0.3"/>
    <row r="14" spans="2:5" ht="21.75" customHeight="1" x14ac:dyDescent="0.3">
      <c r="B14" s="10" t="s">
        <v>11</v>
      </c>
      <c r="C14" s="10"/>
      <c r="D14" s="10"/>
      <c r="E14" s="10"/>
    </row>
    <row r="15" spans="2:5" ht="19.5" customHeight="1" x14ac:dyDescent="0.3">
      <c r="B15" s="13" t="s">
        <v>12</v>
      </c>
      <c r="C15" s="8" t="s">
        <v>13</v>
      </c>
      <c r="D15" s="8"/>
      <c r="E15" s="8"/>
    </row>
    <row r="16" spans="2:5" ht="19.5" customHeight="1" x14ac:dyDescent="0.3">
      <c r="B16" s="14" t="s">
        <v>14</v>
      </c>
      <c r="C16" s="9" t="s">
        <v>15</v>
      </c>
      <c r="D16" s="9"/>
      <c r="E16" s="9"/>
    </row>
    <row r="17" spans="2:5" ht="19.5" customHeight="1" x14ac:dyDescent="0.3">
      <c r="B17" s="13" t="s">
        <v>16</v>
      </c>
      <c r="C17" s="8" t="s">
        <v>17</v>
      </c>
      <c r="D17" s="8"/>
      <c r="E17" s="8"/>
    </row>
    <row r="18" spans="2:5" ht="19.5" customHeight="1" x14ac:dyDescent="0.3">
      <c r="B18" s="14" t="s">
        <v>18</v>
      </c>
      <c r="C18" s="9" t="s">
        <v>19</v>
      </c>
      <c r="D18" s="9"/>
      <c r="E18" s="9"/>
    </row>
    <row r="19" spans="2:5" ht="19.5" customHeight="1" x14ac:dyDescent="0.3">
      <c r="B19" s="13" t="s">
        <v>20</v>
      </c>
      <c r="C19" s="8" t="s">
        <v>21</v>
      </c>
      <c r="D19" s="8"/>
      <c r="E19" s="8"/>
    </row>
    <row r="20" spans="2:5" ht="19.5" customHeight="1" x14ac:dyDescent="0.3">
      <c r="B20" s="14" t="s">
        <v>22</v>
      </c>
      <c r="C20" s="9" t="s">
        <v>23</v>
      </c>
      <c r="D20" s="9"/>
      <c r="E20" s="9"/>
    </row>
    <row r="21" spans="2:5" ht="19.5" customHeight="1" x14ac:dyDescent="0.3">
      <c r="B21" s="13" t="s">
        <v>24</v>
      </c>
      <c r="C21" s="8" t="s">
        <v>25</v>
      </c>
      <c r="D21" s="8"/>
      <c r="E21" s="8"/>
    </row>
    <row r="22" spans="2:5" ht="19.5" customHeight="1" x14ac:dyDescent="0.3">
      <c r="B22" s="14" t="s">
        <v>26</v>
      </c>
      <c r="C22" s="9" t="s">
        <v>27</v>
      </c>
      <c r="D22" s="9"/>
      <c r="E22" s="9"/>
    </row>
    <row r="23" spans="2:5" ht="19.5" customHeight="1" x14ac:dyDescent="0.3">
      <c r="B23" s="13" t="s">
        <v>28</v>
      </c>
      <c r="C23" s="8" t="s">
        <v>29</v>
      </c>
      <c r="D23" s="8"/>
      <c r="E23" s="8"/>
    </row>
    <row r="24" spans="2:5" ht="19.5" customHeight="1" x14ac:dyDescent="0.3">
      <c r="B24" s="14" t="s">
        <v>30</v>
      </c>
      <c r="C24" s="9" t="s">
        <v>31</v>
      </c>
      <c r="D24" s="9"/>
      <c r="E24" s="9"/>
    </row>
    <row r="25" spans="2:5" ht="19.5" customHeight="1" x14ac:dyDescent="0.3">
      <c r="B25" s="13" t="s">
        <v>32</v>
      </c>
      <c r="C25" s="8" t="s">
        <v>33</v>
      </c>
      <c r="D25" s="8"/>
      <c r="E25" s="8"/>
    </row>
    <row r="26" spans="2:5" ht="19.5" customHeight="1" x14ac:dyDescent="0.3">
      <c r="B26" s="14" t="s">
        <v>34</v>
      </c>
      <c r="C26" s="9" t="s">
        <v>35</v>
      </c>
      <c r="D26" s="9"/>
      <c r="E26" s="9"/>
    </row>
    <row r="28" spans="2:5" ht="12" customHeight="1" x14ac:dyDescent="0.3"/>
    <row r="29" spans="2:5" ht="15" customHeight="1" x14ac:dyDescent="0.3">
      <c r="B29" s="7" t="s">
        <v>36</v>
      </c>
      <c r="C29" s="7"/>
      <c r="D29" s="7"/>
      <c r="E29" s="7"/>
    </row>
  </sheetData>
  <mergeCells count="25">
    <mergeCell ref="C23:E23"/>
    <mergeCell ref="C24:E24"/>
    <mergeCell ref="C25:E25"/>
    <mergeCell ref="C26:E26"/>
    <mergeCell ref="B29:E29"/>
    <mergeCell ref="C18:E18"/>
    <mergeCell ref="C19:E19"/>
    <mergeCell ref="C20:E20"/>
    <mergeCell ref="C21:E21"/>
    <mergeCell ref="C22:E22"/>
    <mergeCell ref="C12:E12"/>
    <mergeCell ref="B14:E14"/>
    <mergeCell ref="C15:E15"/>
    <mergeCell ref="C16:E16"/>
    <mergeCell ref="C17:E17"/>
    <mergeCell ref="C7:E7"/>
    <mergeCell ref="C8:E8"/>
    <mergeCell ref="C9:E9"/>
    <mergeCell ref="C10:E10"/>
    <mergeCell ref="C11:E11"/>
    <mergeCell ref="B1:E1"/>
    <mergeCell ref="B2:E2"/>
    <mergeCell ref="B4:E4"/>
    <mergeCell ref="C5:E5"/>
    <mergeCell ref="C6:E6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23"/>
  <sheetViews>
    <sheetView showGridLines="0" zoomScaleNormal="100" workbookViewId="0">
      <selection activeCell="O8" sqref="O8"/>
    </sheetView>
  </sheetViews>
  <sheetFormatPr defaultColWidth="8.6640625" defaultRowHeight="14.4" x14ac:dyDescent="0.3"/>
  <cols>
    <col min="1" max="1" width="3" customWidth="1"/>
    <col min="2" max="2" width="42" customWidth="1"/>
    <col min="3" max="6" width="18" customWidth="1"/>
  </cols>
  <sheetData>
    <row r="1" spans="2:6" ht="33.75" customHeight="1" x14ac:dyDescent="0.3">
      <c r="B1" s="4" t="s">
        <v>368</v>
      </c>
      <c r="C1" s="4"/>
      <c r="D1" s="4"/>
      <c r="E1" s="4"/>
      <c r="F1" s="4"/>
    </row>
    <row r="2" spans="2:6" ht="19.5" customHeight="1" x14ac:dyDescent="0.3">
      <c r="B2" s="6" t="s">
        <v>369</v>
      </c>
      <c r="C2" s="6"/>
      <c r="D2" s="6"/>
      <c r="E2" s="6"/>
      <c r="F2" s="6"/>
    </row>
    <row r="3" spans="2:6" ht="9.75" customHeight="1" x14ac:dyDescent="0.3"/>
    <row r="4" spans="2:6" ht="21.75" customHeight="1" x14ac:dyDescent="0.3">
      <c r="B4" s="10" t="s">
        <v>370</v>
      </c>
      <c r="C4" s="10"/>
      <c r="D4" s="10"/>
      <c r="E4" s="10"/>
      <c r="F4" s="10"/>
    </row>
    <row r="5" spans="2:6" ht="25.5" customHeight="1" x14ac:dyDescent="0.3">
      <c r="B5" s="59" t="s">
        <v>371</v>
      </c>
      <c r="C5" s="70">
        <v>2500</v>
      </c>
      <c r="D5" s="100" t="s">
        <v>372</v>
      </c>
      <c r="E5" s="100"/>
      <c r="F5" s="100"/>
    </row>
    <row r="6" spans="2:6" ht="25.5" customHeight="1" x14ac:dyDescent="0.3">
      <c r="B6" s="59" t="s">
        <v>373</v>
      </c>
      <c r="C6" s="70">
        <f>'📈 Bridge EBITDA'!C12</f>
        <v>2035</v>
      </c>
      <c r="D6" s="100" t="s">
        <v>374</v>
      </c>
      <c r="E6" s="100"/>
      <c r="F6" s="100"/>
    </row>
    <row r="7" spans="2:6" ht="25.5" customHeight="1" x14ac:dyDescent="0.3">
      <c r="B7" s="59" t="s">
        <v>375</v>
      </c>
      <c r="C7" s="71">
        <v>12</v>
      </c>
      <c r="D7" s="100" t="s">
        <v>376</v>
      </c>
      <c r="E7" s="100"/>
      <c r="F7" s="100"/>
    </row>
    <row r="8" spans="2:6" ht="25.5" customHeight="1" x14ac:dyDescent="0.3">
      <c r="B8" s="59" t="s">
        <v>377</v>
      </c>
      <c r="C8" s="70">
        <f>'🧮 Calc. Dette'!C33</f>
        <v>1380</v>
      </c>
      <c r="D8" s="100" t="s">
        <v>378</v>
      </c>
      <c r="E8" s="100"/>
      <c r="F8" s="100"/>
    </row>
    <row r="9" spans="2:6" ht="9.75" customHeight="1" x14ac:dyDescent="0.3"/>
    <row r="10" spans="2:6" ht="21.75" customHeight="1" x14ac:dyDescent="0.3">
      <c r="B10" s="10" t="s">
        <v>379</v>
      </c>
      <c r="C10" s="10"/>
      <c r="D10" s="10"/>
      <c r="E10" s="10"/>
      <c r="F10" s="10"/>
    </row>
    <row r="11" spans="2:6" ht="19.5" customHeight="1" x14ac:dyDescent="0.3">
      <c r="B11" s="15" t="s">
        <v>380</v>
      </c>
      <c r="C11" s="15" t="s">
        <v>381</v>
      </c>
      <c r="D11" s="15" t="s">
        <v>382</v>
      </c>
      <c r="E11" s="15" t="s">
        <v>383</v>
      </c>
      <c r="F11" s="15" t="s">
        <v>384</v>
      </c>
    </row>
    <row r="12" spans="2:6" ht="27.75" customHeight="1" x14ac:dyDescent="0.3">
      <c r="B12" s="106" t="s">
        <v>385</v>
      </c>
      <c r="C12" s="150">
        <f>C5</f>
        <v>2500</v>
      </c>
      <c r="D12" s="150">
        <f>C6</f>
        <v>2035</v>
      </c>
      <c r="E12" s="150">
        <f>D12-C12</f>
        <v>-465</v>
      </c>
      <c r="F12" s="151">
        <f>IFERROR(E12/C12,0)</f>
        <v>-0.186</v>
      </c>
    </row>
    <row r="13" spans="2:6" s="113" customFormat="1" ht="27.75" customHeight="1" x14ac:dyDescent="0.3">
      <c r="B13" s="132" t="s">
        <v>386</v>
      </c>
      <c r="C13" s="133">
        <f>C12*$C$7</f>
        <v>30000</v>
      </c>
      <c r="D13" s="133">
        <f>D12*$C$7</f>
        <v>24420</v>
      </c>
      <c r="E13" s="133">
        <f>D13-C13</f>
        <v>-5580</v>
      </c>
      <c r="F13" s="152">
        <f>IFERROR(E13/C13,0)</f>
        <v>-0.186</v>
      </c>
    </row>
    <row r="14" spans="2:6" ht="27.75" customHeight="1" x14ac:dyDescent="0.3">
      <c r="B14" s="153" t="s">
        <v>377</v>
      </c>
      <c r="C14" s="154">
        <f>C8</f>
        <v>1380</v>
      </c>
      <c r="D14" s="154">
        <f>C8</f>
        <v>1380</v>
      </c>
      <c r="E14" s="154">
        <f>0</f>
        <v>0</v>
      </c>
      <c r="F14" s="155">
        <f>0</f>
        <v>0</v>
      </c>
    </row>
    <row r="15" spans="2:6" s="113" customFormat="1" ht="27.75" customHeight="1" x14ac:dyDescent="0.3">
      <c r="B15" s="132" t="s">
        <v>387</v>
      </c>
      <c r="C15" s="133">
        <f>C13-C14</f>
        <v>28620</v>
      </c>
      <c r="D15" s="133">
        <f>D13-D14</f>
        <v>23040</v>
      </c>
      <c r="E15" s="133">
        <f>D15-C15</f>
        <v>-5580</v>
      </c>
      <c r="F15" s="152">
        <f>IFERROR(E15/C15,0)</f>
        <v>-0.19496855345911951</v>
      </c>
    </row>
    <row r="16" spans="2:6" ht="9.75" customHeight="1" x14ac:dyDescent="0.3"/>
    <row r="17" spans="2:6" ht="21.75" customHeight="1" x14ac:dyDescent="0.3">
      <c r="B17" s="10" t="s">
        <v>388</v>
      </c>
      <c r="C17" s="10"/>
      <c r="D17" s="10"/>
      <c r="E17" s="10"/>
      <c r="F17" s="10"/>
    </row>
    <row r="18" spans="2:6" ht="19.5" customHeight="1" x14ac:dyDescent="0.3">
      <c r="B18" s="15" t="s">
        <v>389</v>
      </c>
      <c r="C18" s="15" t="s">
        <v>390</v>
      </c>
      <c r="D18" s="15" t="s">
        <v>391</v>
      </c>
      <c r="E18" s="15" t="s">
        <v>383</v>
      </c>
      <c r="F18" s="15" t="s">
        <v>392</v>
      </c>
    </row>
    <row r="19" spans="2:6" ht="24" customHeight="1" x14ac:dyDescent="0.3">
      <c r="B19" s="72" t="s">
        <v>393</v>
      </c>
      <c r="C19" s="73">
        <f>C5*8</f>
        <v>20000</v>
      </c>
      <c r="D19" s="74">
        <f>C6*8</f>
        <v>16280</v>
      </c>
      <c r="E19" s="75">
        <f>D19-C19</f>
        <v>-3720</v>
      </c>
      <c r="F19" s="76">
        <f>IFERROR(E19/C19,0)</f>
        <v>-0.186</v>
      </c>
    </row>
    <row r="20" spans="2:6" ht="24" customHeight="1" x14ac:dyDescent="0.3">
      <c r="B20" s="77" t="s">
        <v>394</v>
      </c>
      <c r="C20" s="78">
        <f>C5*10</f>
        <v>25000</v>
      </c>
      <c r="D20" s="50">
        <f>C6*10</f>
        <v>20350</v>
      </c>
      <c r="E20" s="79">
        <f>D20-C20</f>
        <v>-4650</v>
      </c>
      <c r="F20" s="80">
        <f>IFERROR(E20/C20,0)</f>
        <v>-0.186</v>
      </c>
    </row>
    <row r="21" spans="2:6" ht="24" customHeight="1" x14ac:dyDescent="0.3">
      <c r="B21" s="81" t="s">
        <v>395</v>
      </c>
      <c r="C21" s="82">
        <f>C5*12</f>
        <v>30000</v>
      </c>
      <c r="D21" s="83">
        <f>C6*12</f>
        <v>24420</v>
      </c>
      <c r="E21" s="84">
        <f>D21-C21</f>
        <v>-5580</v>
      </c>
      <c r="F21" s="85">
        <f>IFERROR(E21/C21,0)</f>
        <v>-0.186</v>
      </c>
    </row>
    <row r="22" spans="2:6" ht="24" customHeight="1" x14ac:dyDescent="0.3">
      <c r="B22" s="77" t="s">
        <v>396</v>
      </c>
      <c r="C22" s="78">
        <f>C5*14</f>
        <v>35000</v>
      </c>
      <c r="D22" s="50">
        <f>C6*14</f>
        <v>28490</v>
      </c>
      <c r="E22" s="79">
        <f>D22-C22</f>
        <v>-6510</v>
      </c>
      <c r="F22" s="80">
        <f>IFERROR(E22/C22,0)</f>
        <v>-0.186</v>
      </c>
    </row>
    <row r="23" spans="2:6" ht="24" customHeight="1" x14ac:dyDescent="0.3">
      <c r="B23" s="72" t="s">
        <v>397</v>
      </c>
      <c r="C23" s="73">
        <f>C5*16</f>
        <v>40000</v>
      </c>
      <c r="D23" s="74">
        <f>C6*16</f>
        <v>32560</v>
      </c>
      <c r="E23" s="75">
        <f>D23-C23</f>
        <v>-7440</v>
      </c>
      <c r="F23" s="76">
        <f>IFERROR(E23/C23,0)</f>
        <v>-0.186</v>
      </c>
    </row>
  </sheetData>
  <mergeCells count="9">
    <mergeCell ref="D7:F7"/>
    <mergeCell ref="D8:F8"/>
    <mergeCell ref="B10:F10"/>
    <mergeCell ref="B17:F17"/>
    <mergeCell ref="B1:F1"/>
    <mergeCell ref="B2:F2"/>
    <mergeCell ref="B4:F4"/>
    <mergeCell ref="D5:F5"/>
    <mergeCell ref="D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34"/>
  <sheetViews>
    <sheetView showGridLines="0" zoomScaleNormal="100" workbookViewId="0"/>
  </sheetViews>
  <sheetFormatPr defaultColWidth="8.6640625" defaultRowHeight="14.4" x14ac:dyDescent="0.3"/>
  <cols>
    <col min="1" max="1" width="3" customWidth="1"/>
    <col min="2" max="2" width="5" customWidth="1"/>
    <col min="3" max="3" width="22" customWidth="1"/>
    <col min="4" max="4" width="52" customWidth="1"/>
    <col min="5" max="5" width="16" customWidth="1"/>
    <col min="6" max="6" width="38" customWidth="1"/>
  </cols>
  <sheetData>
    <row r="1" spans="2:6" ht="33.75" customHeight="1" x14ac:dyDescent="0.3">
      <c r="B1" s="4" t="s">
        <v>398</v>
      </c>
      <c r="C1" s="4"/>
      <c r="D1" s="4"/>
      <c r="E1" s="4"/>
      <c r="F1" s="4"/>
    </row>
    <row r="2" spans="2:6" ht="19.5" customHeight="1" x14ac:dyDescent="0.3">
      <c r="B2" s="6" t="s">
        <v>399</v>
      </c>
      <c r="C2" s="6"/>
      <c r="D2" s="6"/>
      <c r="E2" s="6"/>
      <c r="F2" s="6"/>
    </row>
    <row r="3" spans="2:6" ht="24" customHeight="1" x14ac:dyDescent="0.3">
      <c r="B3" s="3" t="s">
        <v>69</v>
      </c>
      <c r="C3" s="3"/>
      <c r="D3" s="3"/>
      <c r="E3" s="27" t="str">
        <f>COUNTIF(C:C,"✅ Validé")&amp;" / 18"</f>
        <v>0 / 18</v>
      </c>
      <c r="F3" s="28" t="str">
        <f>REPT("█",ROUND(COUNTIF(C:C,"✅ Validé")/18*10,0))&amp;" "&amp;TEXT(COUNTIF(C:C,"✅ Validé")/18,"0%")</f>
        <v xml:space="preserve"> 0%</v>
      </c>
    </row>
    <row r="4" spans="2:6" ht="21.75" customHeight="1" x14ac:dyDescent="0.3">
      <c r="B4" s="15" t="s">
        <v>70</v>
      </c>
      <c r="C4" s="15" t="s">
        <v>44</v>
      </c>
      <c r="D4" s="15" t="s">
        <v>71</v>
      </c>
      <c r="E4" s="15" t="s">
        <v>72</v>
      </c>
      <c r="F4" s="15" t="s">
        <v>73</v>
      </c>
    </row>
    <row r="5" spans="2:6" ht="21.75" customHeight="1" x14ac:dyDescent="0.3">
      <c r="B5" s="2" t="s">
        <v>400</v>
      </c>
      <c r="C5" s="2"/>
      <c r="D5" s="2"/>
      <c r="E5" s="2"/>
      <c r="F5" s="2"/>
    </row>
    <row r="6" spans="2:6" ht="37.5" customHeight="1" x14ac:dyDescent="0.3">
      <c r="B6" s="29">
        <v>1</v>
      </c>
      <c r="C6" s="30" t="s">
        <v>75</v>
      </c>
      <c r="D6" s="31" t="s">
        <v>401</v>
      </c>
      <c r="E6" s="32" t="s">
        <v>77</v>
      </c>
      <c r="F6" s="33" t="s">
        <v>402</v>
      </c>
    </row>
    <row r="7" spans="2:6" ht="37.5" customHeight="1" x14ac:dyDescent="0.3">
      <c r="B7" s="34">
        <v>2</v>
      </c>
      <c r="C7" s="35" t="s">
        <v>75</v>
      </c>
      <c r="D7" s="36" t="s">
        <v>403</v>
      </c>
      <c r="E7" s="37" t="s">
        <v>77</v>
      </c>
      <c r="F7" s="38" t="s">
        <v>404</v>
      </c>
    </row>
    <row r="8" spans="2:6" ht="37.5" customHeight="1" x14ac:dyDescent="0.3">
      <c r="B8" s="29">
        <v>3</v>
      </c>
      <c r="C8" s="30" t="s">
        <v>75</v>
      </c>
      <c r="D8" s="31" t="s">
        <v>405</v>
      </c>
      <c r="E8" s="32" t="s">
        <v>77</v>
      </c>
      <c r="F8" s="33" t="s">
        <v>406</v>
      </c>
    </row>
    <row r="9" spans="2:6" ht="37.5" customHeight="1" x14ac:dyDescent="0.3">
      <c r="B9" s="34">
        <v>4</v>
      </c>
      <c r="C9" s="35" t="s">
        <v>75</v>
      </c>
      <c r="D9" s="36" t="s">
        <v>407</v>
      </c>
      <c r="E9" s="37" t="s">
        <v>77</v>
      </c>
      <c r="F9" s="38" t="s">
        <v>408</v>
      </c>
    </row>
    <row r="10" spans="2:6" ht="6" customHeight="1" x14ac:dyDescent="0.3"/>
    <row r="11" spans="2:6" ht="21.75" customHeight="1" x14ac:dyDescent="0.3">
      <c r="B11" s="2" t="s">
        <v>409</v>
      </c>
      <c r="C11" s="2"/>
      <c r="D11" s="2"/>
      <c r="E11" s="2"/>
      <c r="F11" s="2"/>
    </row>
    <row r="12" spans="2:6" ht="37.5" customHeight="1" x14ac:dyDescent="0.3">
      <c r="B12" s="29">
        <v>5</v>
      </c>
      <c r="C12" s="30" t="s">
        <v>75</v>
      </c>
      <c r="D12" s="31" t="s">
        <v>410</v>
      </c>
      <c r="E12" s="39" t="s">
        <v>82</v>
      </c>
      <c r="F12" s="33" t="s">
        <v>411</v>
      </c>
    </row>
    <row r="13" spans="2:6" ht="37.5" customHeight="1" x14ac:dyDescent="0.3">
      <c r="B13" s="34">
        <v>6</v>
      </c>
      <c r="C13" s="35" t="s">
        <v>75</v>
      </c>
      <c r="D13" s="36" t="s">
        <v>412</v>
      </c>
      <c r="E13" s="37" t="s">
        <v>77</v>
      </c>
      <c r="F13" s="38" t="s">
        <v>413</v>
      </c>
    </row>
    <row r="14" spans="2:6" ht="37.5" customHeight="1" x14ac:dyDescent="0.3">
      <c r="B14" s="29">
        <v>7</v>
      </c>
      <c r="C14" s="30" t="s">
        <v>75</v>
      </c>
      <c r="D14" s="31" t="s">
        <v>414</v>
      </c>
      <c r="E14" s="32" t="s">
        <v>77</v>
      </c>
      <c r="F14" s="33" t="s">
        <v>415</v>
      </c>
    </row>
    <row r="15" spans="2:6" ht="37.5" customHeight="1" x14ac:dyDescent="0.3">
      <c r="B15" s="34">
        <v>8</v>
      </c>
      <c r="C15" s="35" t="s">
        <v>75</v>
      </c>
      <c r="D15" s="36" t="s">
        <v>416</v>
      </c>
      <c r="E15" s="41" t="s">
        <v>82</v>
      </c>
      <c r="F15" s="38" t="s">
        <v>417</v>
      </c>
    </row>
    <row r="16" spans="2:6" ht="6" customHeight="1" x14ac:dyDescent="0.3"/>
    <row r="17" spans="2:6" ht="21.75" customHeight="1" x14ac:dyDescent="0.3">
      <c r="B17" s="2" t="s">
        <v>418</v>
      </c>
      <c r="C17" s="2"/>
      <c r="D17" s="2"/>
      <c r="E17" s="2"/>
      <c r="F17" s="2"/>
    </row>
    <row r="18" spans="2:6" ht="37.5" customHeight="1" x14ac:dyDescent="0.3">
      <c r="B18" s="29">
        <v>9</v>
      </c>
      <c r="C18" s="30" t="s">
        <v>75</v>
      </c>
      <c r="D18" s="31" t="s">
        <v>419</v>
      </c>
      <c r="E18" s="32" t="s">
        <v>77</v>
      </c>
      <c r="F18" s="33" t="s">
        <v>420</v>
      </c>
    </row>
    <row r="19" spans="2:6" ht="37.5" customHeight="1" x14ac:dyDescent="0.3">
      <c r="B19" s="34">
        <v>10</v>
      </c>
      <c r="C19" s="35" t="s">
        <v>75</v>
      </c>
      <c r="D19" s="36" t="s">
        <v>421</v>
      </c>
      <c r="E19" s="37" t="s">
        <v>77</v>
      </c>
      <c r="F19" s="38" t="s">
        <v>422</v>
      </c>
    </row>
    <row r="20" spans="2:6" ht="37.5" customHeight="1" x14ac:dyDescent="0.3">
      <c r="B20" s="29">
        <v>11</v>
      </c>
      <c r="C20" s="30" t="s">
        <v>75</v>
      </c>
      <c r="D20" s="31" t="s">
        <v>423</v>
      </c>
      <c r="E20" s="39" t="s">
        <v>82</v>
      </c>
      <c r="F20" s="33" t="s">
        <v>424</v>
      </c>
    </row>
    <row r="21" spans="2:6" ht="37.5" customHeight="1" x14ac:dyDescent="0.3">
      <c r="B21" s="34">
        <v>12</v>
      </c>
      <c r="C21" s="35" t="s">
        <v>75</v>
      </c>
      <c r="D21" s="36" t="s">
        <v>425</v>
      </c>
      <c r="E21" s="37" t="s">
        <v>77</v>
      </c>
      <c r="F21" s="38" t="s">
        <v>426</v>
      </c>
    </row>
    <row r="22" spans="2:6" ht="6" customHeight="1" x14ac:dyDescent="0.3"/>
    <row r="23" spans="2:6" ht="21.75" customHeight="1" x14ac:dyDescent="0.3">
      <c r="B23" s="2" t="s">
        <v>427</v>
      </c>
      <c r="C23" s="2"/>
      <c r="D23" s="2"/>
      <c r="E23" s="2"/>
      <c r="F23" s="2"/>
    </row>
    <row r="24" spans="2:6" ht="37.5" customHeight="1" x14ac:dyDescent="0.3">
      <c r="B24" s="29">
        <v>13</v>
      </c>
      <c r="C24" s="30" t="s">
        <v>75</v>
      </c>
      <c r="D24" s="31" t="s">
        <v>428</v>
      </c>
      <c r="E24" s="32" t="s">
        <v>77</v>
      </c>
      <c r="F24" s="33" t="s">
        <v>429</v>
      </c>
    </row>
    <row r="25" spans="2:6" ht="37.5" customHeight="1" x14ac:dyDescent="0.3">
      <c r="B25" s="34">
        <v>14</v>
      </c>
      <c r="C25" s="35" t="s">
        <v>75</v>
      </c>
      <c r="D25" s="36" t="s">
        <v>430</v>
      </c>
      <c r="E25" s="41" t="s">
        <v>82</v>
      </c>
      <c r="F25" s="38" t="s">
        <v>431</v>
      </c>
    </row>
    <row r="26" spans="2:6" ht="37.5" customHeight="1" x14ac:dyDescent="0.3">
      <c r="B26" s="29">
        <v>15</v>
      </c>
      <c r="C26" s="30" t="s">
        <v>75</v>
      </c>
      <c r="D26" s="31" t="s">
        <v>432</v>
      </c>
      <c r="E26" s="32" t="s">
        <v>77</v>
      </c>
      <c r="F26" s="33" t="s">
        <v>433</v>
      </c>
    </row>
    <row r="27" spans="2:6" ht="6" customHeight="1" x14ac:dyDescent="0.3"/>
    <row r="28" spans="2:6" ht="21.75" customHeight="1" x14ac:dyDescent="0.3">
      <c r="B28" s="2" t="s">
        <v>434</v>
      </c>
      <c r="C28" s="2"/>
      <c r="D28" s="2"/>
      <c r="E28" s="2"/>
      <c r="F28" s="2"/>
    </row>
    <row r="29" spans="2:6" ht="37.5" customHeight="1" x14ac:dyDescent="0.3">
      <c r="B29" s="34">
        <v>16</v>
      </c>
      <c r="C29" s="35" t="s">
        <v>75</v>
      </c>
      <c r="D29" s="36" t="s">
        <v>435</v>
      </c>
      <c r="E29" s="37" t="s">
        <v>77</v>
      </c>
      <c r="F29" s="38" t="s">
        <v>436</v>
      </c>
    </row>
    <row r="30" spans="2:6" ht="37.5" customHeight="1" x14ac:dyDescent="0.3">
      <c r="B30" s="29">
        <v>17</v>
      </c>
      <c r="C30" s="30" t="s">
        <v>75</v>
      </c>
      <c r="D30" s="31" t="s">
        <v>437</v>
      </c>
      <c r="E30" s="32" t="s">
        <v>77</v>
      </c>
      <c r="F30" s="33" t="s">
        <v>438</v>
      </c>
    </row>
    <row r="31" spans="2:6" ht="37.5" customHeight="1" x14ac:dyDescent="0.3">
      <c r="B31" s="34">
        <v>18</v>
      </c>
      <c r="C31" s="35" t="s">
        <v>75</v>
      </c>
      <c r="D31" s="36" t="s">
        <v>439</v>
      </c>
      <c r="E31" s="37" t="s">
        <v>77</v>
      </c>
      <c r="F31" s="38" t="s">
        <v>440</v>
      </c>
    </row>
    <row r="32" spans="2:6" ht="6" customHeight="1" x14ac:dyDescent="0.3"/>
    <row r="34" spans="2:6" ht="15" customHeight="1" x14ac:dyDescent="0.3">
      <c r="B34" s="7" t="s">
        <v>66</v>
      </c>
      <c r="C34" s="7"/>
      <c r="D34" s="7"/>
      <c r="E34" s="7"/>
      <c r="F34" s="7"/>
    </row>
  </sheetData>
  <mergeCells count="9">
    <mergeCell ref="B17:F17"/>
    <mergeCell ref="B23:F23"/>
    <mergeCell ref="B28:F28"/>
    <mergeCell ref="B34:F34"/>
    <mergeCell ref="B1:F1"/>
    <mergeCell ref="B2:F2"/>
    <mergeCell ref="B3:D3"/>
    <mergeCell ref="B5:F5"/>
    <mergeCell ref="B11:F11"/>
  </mergeCells>
  <conditionalFormatting sqref="C5:C31">
    <cfRule type="expression" dxfId="5" priority="2">
      <formula>LEFT(C5,1)="✅"</formula>
    </cfRule>
    <cfRule type="expression" dxfId="4" priority="3">
      <formula>LEFT(C5,1)="⚠"</formula>
    </cfRule>
    <cfRule type="expression" dxfId="3" priority="4">
      <formula>LEFT(C5,1)="❌"</formula>
    </cfRule>
  </conditionalFormatting>
  <dataValidations count="1">
    <dataValidation type="list" allowBlank="1" sqref="C5:C31" xr:uid="{00000000-0002-0000-0A00-000000000000}">
      <formula1>"✅ Validé,⚠️ En cours,❌ Non fait,N/A"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26"/>
  <sheetViews>
    <sheetView showGridLines="0" zoomScaleNormal="100" workbookViewId="0"/>
  </sheetViews>
  <sheetFormatPr defaultColWidth="8.6640625" defaultRowHeight="14.4" x14ac:dyDescent="0.3"/>
  <cols>
    <col min="1" max="1" width="3" customWidth="1"/>
    <col min="2" max="2" width="5" customWidth="1"/>
    <col min="3" max="3" width="22" customWidth="1"/>
    <col min="4" max="4" width="52" customWidth="1"/>
    <col min="5" max="5" width="16" customWidth="1"/>
    <col min="6" max="6" width="38" customWidth="1"/>
  </cols>
  <sheetData>
    <row r="1" spans="2:6" ht="33.75" customHeight="1" x14ac:dyDescent="0.3">
      <c r="B1" s="4" t="s">
        <v>441</v>
      </c>
      <c r="C1" s="4"/>
      <c r="D1" s="4"/>
      <c r="E1" s="4"/>
      <c r="F1" s="4"/>
    </row>
    <row r="2" spans="2:6" ht="19.5" customHeight="1" x14ac:dyDescent="0.3">
      <c r="B2" s="6" t="s">
        <v>442</v>
      </c>
      <c r="C2" s="6"/>
      <c r="D2" s="6"/>
      <c r="E2" s="6"/>
      <c r="F2" s="6"/>
    </row>
    <row r="3" spans="2:6" ht="24" customHeight="1" x14ac:dyDescent="0.3">
      <c r="B3" s="3" t="s">
        <v>69</v>
      </c>
      <c r="C3" s="3"/>
      <c r="D3" s="3"/>
      <c r="E3" s="27" t="str">
        <f>COUNTIF(C:C,"✅ Validé")&amp;" / 12"</f>
        <v>0 / 12</v>
      </c>
      <c r="F3" s="28" t="str">
        <f>REPT("█",ROUND(COUNTIF(C:C,"✅ Validé")/12*10,0))&amp;" "&amp;TEXT(COUNTIF(C:C,"✅ Validé")/12,"0%")</f>
        <v xml:space="preserve"> 0%</v>
      </c>
    </row>
    <row r="4" spans="2:6" ht="21.75" customHeight="1" x14ac:dyDescent="0.3">
      <c r="B4" s="15" t="s">
        <v>70</v>
      </c>
      <c r="C4" s="15" t="s">
        <v>44</v>
      </c>
      <c r="D4" s="15" t="s">
        <v>71</v>
      </c>
      <c r="E4" s="15" t="s">
        <v>72</v>
      </c>
      <c r="F4" s="15" t="s">
        <v>73</v>
      </c>
    </row>
    <row r="5" spans="2:6" ht="21.75" customHeight="1" x14ac:dyDescent="0.3">
      <c r="B5" s="2" t="s">
        <v>443</v>
      </c>
      <c r="C5" s="2"/>
      <c r="D5" s="2"/>
      <c r="E5" s="2"/>
      <c r="F5" s="2"/>
    </row>
    <row r="6" spans="2:6" ht="37.5" customHeight="1" x14ac:dyDescent="0.3">
      <c r="B6" s="29">
        <v>1</v>
      </c>
      <c r="C6" s="30" t="s">
        <v>75</v>
      </c>
      <c r="D6" s="31" t="s">
        <v>444</v>
      </c>
      <c r="E6" s="32" t="s">
        <v>77</v>
      </c>
      <c r="F6" s="33" t="s">
        <v>445</v>
      </c>
    </row>
    <row r="7" spans="2:6" ht="37.5" customHeight="1" x14ac:dyDescent="0.3">
      <c r="B7" s="34">
        <v>2</v>
      </c>
      <c r="C7" s="35" t="s">
        <v>75</v>
      </c>
      <c r="D7" s="36" t="s">
        <v>446</v>
      </c>
      <c r="E7" s="37" t="s">
        <v>77</v>
      </c>
      <c r="F7" s="38" t="s">
        <v>447</v>
      </c>
    </row>
    <row r="8" spans="2:6" ht="37.5" customHeight="1" x14ac:dyDescent="0.3">
      <c r="B8" s="29">
        <v>3</v>
      </c>
      <c r="C8" s="30" t="s">
        <v>75</v>
      </c>
      <c r="D8" s="31" t="s">
        <v>448</v>
      </c>
      <c r="E8" s="39" t="s">
        <v>82</v>
      </c>
      <c r="F8" s="33" t="s">
        <v>449</v>
      </c>
    </row>
    <row r="9" spans="2:6" ht="6" customHeight="1" x14ac:dyDescent="0.3"/>
    <row r="10" spans="2:6" ht="21.75" customHeight="1" x14ac:dyDescent="0.3">
      <c r="B10" s="2" t="s">
        <v>450</v>
      </c>
      <c r="C10" s="2"/>
      <c r="D10" s="2"/>
      <c r="E10" s="2"/>
      <c r="F10" s="2"/>
    </row>
    <row r="11" spans="2:6" ht="37.5" customHeight="1" x14ac:dyDescent="0.3">
      <c r="B11" s="34">
        <v>4</v>
      </c>
      <c r="C11" s="35" t="s">
        <v>75</v>
      </c>
      <c r="D11" s="36" t="s">
        <v>451</v>
      </c>
      <c r="E11" s="37" t="s">
        <v>77</v>
      </c>
      <c r="F11" s="38" t="s">
        <v>452</v>
      </c>
    </row>
    <row r="12" spans="2:6" ht="37.5" customHeight="1" x14ac:dyDescent="0.3">
      <c r="B12" s="29">
        <v>5</v>
      </c>
      <c r="C12" s="30" t="s">
        <v>75</v>
      </c>
      <c r="D12" s="31" t="s">
        <v>453</v>
      </c>
      <c r="E12" s="32" t="s">
        <v>77</v>
      </c>
      <c r="F12" s="33" t="s">
        <v>454</v>
      </c>
    </row>
    <row r="13" spans="2:6" ht="6" customHeight="1" x14ac:dyDescent="0.3"/>
    <row r="14" spans="2:6" ht="21.75" customHeight="1" x14ac:dyDescent="0.3">
      <c r="B14" s="2" t="s">
        <v>455</v>
      </c>
      <c r="C14" s="2"/>
      <c r="D14" s="2"/>
      <c r="E14" s="2"/>
      <c r="F14" s="2"/>
    </row>
    <row r="15" spans="2:6" ht="37.5" customHeight="1" x14ac:dyDescent="0.3">
      <c r="B15" s="34">
        <v>6</v>
      </c>
      <c r="C15" s="35" t="s">
        <v>75</v>
      </c>
      <c r="D15" s="36" t="s">
        <v>456</v>
      </c>
      <c r="E15" s="37" t="s">
        <v>77</v>
      </c>
      <c r="F15" s="38" t="s">
        <v>457</v>
      </c>
    </row>
    <row r="16" spans="2:6" ht="37.5" customHeight="1" x14ac:dyDescent="0.3">
      <c r="B16" s="29">
        <v>7</v>
      </c>
      <c r="C16" s="30" t="s">
        <v>75</v>
      </c>
      <c r="D16" s="31" t="s">
        <v>458</v>
      </c>
      <c r="E16" s="32" t="s">
        <v>77</v>
      </c>
      <c r="F16" s="33" t="s">
        <v>459</v>
      </c>
    </row>
    <row r="17" spans="2:6" ht="37.5" customHeight="1" x14ac:dyDescent="0.3">
      <c r="B17" s="34">
        <v>8</v>
      </c>
      <c r="C17" s="35" t="s">
        <v>75</v>
      </c>
      <c r="D17" s="36" t="s">
        <v>460</v>
      </c>
      <c r="E17" s="37" t="s">
        <v>77</v>
      </c>
      <c r="F17" s="38" t="s">
        <v>461</v>
      </c>
    </row>
    <row r="18" spans="2:6" ht="6" customHeight="1" x14ac:dyDescent="0.3"/>
    <row r="19" spans="2:6" ht="21.75" customHeight="1" x14ac:dyDescent="0.3">
      <c r="B19" s="2" t="s">
        <v>462</v>
      </c>
      <c r="C19" s="2"/>
      <c r="D19" s="2"/>
      <c r="E19" s="2"/>
      <c r="F19" s="2"/>
    </row>
    <row r="20" spans="2:6" ht="37.5" customHeight="1" x14ac:dyDescent="0.3">
      <c r="B20" s="29">
        <v>9</v>
      </c>
      <c r="C20" s="30" t="s">
        <v>75</v>
      </c>
      <c r="D20" s="31" t="s">
        <v>463</v>
      </c>
      <c r="E20" s="39" t="s">
        <v>82</v>
      </c>
      <c r="F20" s="33" t="s">
        <v>464</v>
      </c>
    </row>
    <row r="21" spans="2:6" ht="37.5" customHeight="1" x14ac:dyDescent="0.3">
      <c r="B21" s="34">
        <v>10</v>
      </c>
      <c r="C21" s="35" t="s">
        <v>75</v>
      </c>
      <c r="D21" s="36" t="s">
        <v>465</v>
      </c>
      <c r="E21" s="37" t="s">
        <v>77</v>
      </c>
      <c r="F21" s="38" t="s">
        <v>466</v>
      </c>
    </row>
    <row r="22" spans="2:6" ht="37.5" customHeight="1" x14ac:dyDescent="0.3">
      <c r="B22" s="29">
        <v>11</v>
      </c>
      <c r="C22" s="30" t="s">
        <v>75</v>
      </c>
      <c r="D22" s="31" t="s">
        <v>467</v>
      </c>
      <c r="E22" s="39" t="s">
        <v>82</v>
      </c>
      <c r="F22" s="33" t="s">
        <v>468</v>
      </c>
    </row>
    <row r="23" spans="2:6" ht="37.5" customHeight="1" x14ac:dyDescent="0.3">
      <c r="B23" s="34">
        <v>12</v>
      </c>
      <c r="C23" s="35" t="s">
        <v>75</v>
      </c>
      <c r="D23" s="36" t="s">
        <v>469</v>
      </c>
      <c r="E23" s="41" t="s">
        <v>82</v>
      </c>
      <c r="F23" s="38" t="s">
        <v>470</v>
      </c>
    </row>
    <row r="24" spans="2:6" ht="6" customHeight="1" x14ac:dyDescent="0.3"/>
    <row r="26" spans="2:6" ht="15" customHeight="1" x14ac:dyDescent="0.3">
      <c r="B26" s="7" t="s">
        <v>66</v>
      </c>
      <c r="C26" s="7"/>
      <c r="D26" s="7"/>
      <c r="E26" s="7"/>
      <c r="F26" s="7"/>
    </row>
  </sheetData>
  <mergeCells count="8">
    <mergeCell ref="B14:F14"/>
    <mergeCell ref="B19:F19"/>
    <mergeCell ref="B26:F26"/>
    <mergeCell ref="B1:F1"/>
    <mergeCell ref="B2:F2"/>
    <mergeCell ref="B3:D3"/>
    <mergeCell ref="B5:F5"/>
    <mergeCell ref="B10:F10"/>
  </mergeCells>
  <conditionalFormatting sqref="C5:C23">
    <cfRule type="expression" dxfId="2" priority="2">
      <formula>LEFT(C5,1)="✅"</formula>
    </cfRule>
    <cfRule type="expression" dxfId="1" priority="3">
      <formula>LEFT(C5,1)="⚠"</formula>
    </cfRule>
    <cfRule type="expression" dxfId="0" priority="4">
      <formula>LEFT(C5,1)="❌"</formula>
    </cfRule>
  </conditionalFormatting>
  <dataValidations count="1">
    <dataValidation type="list" allowBlank="1" sqref="C5:C23" xr:uid="{00000000-0002-0000-0B00-000000000000}">
      <formula1>"✅ Validé,⚠️ En cours,❌ Non fait,N/A"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F24"/>
  <sheetViews>
    <sheetView showGridLines="0" zoomScaleNormal="100" workbookViewId="0">
      <selection activeCell="I33" sqref="I33"/>
    </sheetView>
  </sheetViews>
  <sheetFormatPr defaultColWidth="8.6640625" defaultRowHeight="14.4" x14ac:dyDescent="0.3"/>
  <cols>
    <col min="1" max="1" width="3" customWidth="1"/>
    <col min="2" max="2" width="30" customWidth="1"/>
    <col min="3" max="6" width="20" customWidth="1"/>
  </cols>
  <sheetData>
    <row r="1" spans="2:6" ht="36" customHeight="1" x14ac:dyDescent="0.3">
      <c r="B1" s="12" t="s">
        <v>471</v>
      </c>
      <c r="C1" s="12"/>
      <c r="D1" s="12"/>
      <c r="E1" s="12"/>
      <c r="F1" s="12"/>
    </row>
    <row r="2" spans="2:6" ht="19.5" customHeight="1" x14ac:dyDescent="0.3">
      <c r="B2" s="101" t="str">
        <f>"Société cible : "&amp;'🏠 Mission'!C5&amp;"  |  Acquéreur : "&amp;'🏠 Mission'!C6&amp;"  |  Chef de mission : "&amp;'🏠 Mission'!C7</f>
        <v xml:space="preserve">Société cible :   |  Acquéreur :   |  Chef de mission : </v>
      </c>
      <c r="C2" s="101"/>
      <c r="D2" s="101"/>
      <c r="E2" s="101"/>
      <c r="F2" s="101"/>
    </row>
    <row r="3" spans="2:6" ht="7.5" customHeight="1" x14ac:dyDescent="0.3"/>
    <row r="4" spans="2:6" ht="19.5" customHeight="1" x14ac:dyDescent="0.3">
      <c r="B4" s="10" t="s">
        <v>472</v>
      </c>
      <c r="C4" s="10"/>
      <c r="D4" s="10"/>
      <c r="E4" s="10"/>
      <c r="F4" s="10"/>
    </row>
    <row r="5" spans="2:6" ht="27.75" customHeight="1" x14ac:dyDescent="0.3">
      <c r="B5" s="13" t="s">
        <v>473</v>
      </c>
      <c r="C5" s="86">
        <f>'📈 Bridge EBITDA'!C12</f>
        <v>2035</v>
      </c>
      <c r="D5" s="13" t="s">
        <v>474</v>
      </c>
      <c r="E5" s="86">
        <f>'📈 Bridge EBITDA'!C15</f>
        <v>1915</v>
      </c>
    </row>
    <row r="6" spans="2:6" ht="27.75" customHeight="1" x14ac:dyDescent="0.3">
      <c r="B6" s="13" t="s">
        <v>475</v>
      </c>
      <c r="C6" s="86">
        <f>'🧮 Calc. Dette'!C33</f>
        <v>1380</v>
      </c>
      <c r="D6" s="13" t="s">
        <v>476</v>
      </c>
      <c r="E6" s="86">
        <f>'🔄 BFR'!P12</f>
        <v>337.91666666666669</v>
      </c>
    </row>
    <row r="7" spans="2:6" ht="27.75" customHeight="1" x14ac:dyDescent="0.3">
      <c r="B7" s="13" t="s">
        <v>477</v>
      </c>
      <c r="C7" s="86">
        <f>'💹 Impact Prix'!D13</f>
        <v>24420</v>
      </c>
      <c r="D7" s="13" t="s">
        <v>478</v>
      </c>
      <c r="E7" s="86">
        <f>'💹 Impact Prix'!D15</f>
        <v>23040</v>
      </c>
    </row>
    <row r="8" spans="2:6" ht="7.5" customHeight="1" x14ac:dyDescent="0.3"/>
    <row r="9" spans="2:6" ht="19.5" customHeight="1" x14ac:dyDescent="0.3">
      <c r="B9" s="10" t="s">
        <v>69</v>
      </c>
      <c r="C9" s="10"/>
      <c r="D9" s="5" t="s">
        <v>65</v>
      </c>
      <c r="E9" s="5"/>
      <c r="F9" s="5"/>
    </row>
    <row r="10" spans="2:6" ht="31.5" customHeight="1" x14ac:dyDescent="0.3">
      <c r="B10" s="87">
        <f>'📊 Tableau de bord'!E13</f>
        <v>0</v>
      </c>
      <c r="C10" s="88" t="str">
        <f>'📊 Tableau de bord'!G13</f>
        <v>⚠️ En cours</v>
      </c>
      <c r="D10" s="102" t="str">
        <f>'📊 Tableau de bord'!G22</f>
        <v>🔴 RISQUE ÉLEVÉ</v>
      </c>
      <c r="E10" s="102"/>
      <c r="F10" s="102"/>
    </row>
    <row r="11" spans="2:6" ht="7.5" customHeight="1" x14ac:dyDescent="0.3"/>
    <row r="12" spans="2:6" ht="19.5" customHeight="1" x14ac:dyDescent="0.3">
      <c r="B12" s="5" t="s">
        <v>479</v>
      </c>
      <c r="C12" s="5"/>
      <c r="D12" s="5"/>
      <c r="E12" s="5"/>
      <c r="F12" s="5"/>
    </row>
    <row r="13" spans="2:6" ht="49.5" customHeight="1" x14ac:dyDescent="0.3">
      <c r="B13" s="103" t="s">
        <v>480</v>
      </c>
      <c r="C13" s="103"/>
      <c r="D13" s="103"/>
      <c r="E13" s="103"/>
      <c r="F13" s="103"/>
    </row>
    <row r="14" spans="2:6" x14ac:dyDescent="0.3">
      <c r="B14" s="103"/>
      <c r="C14" s="103"/>
      <c r="D14" s="103"/>
      <c r="E14" s="103"/>
      <c r="F14" s="103"/>
    </row>
    <row r="15" spans="2:6" x14ac:dyDescent="0.3">
      <c r="B15" s="103"/>
      <c r="C15" s="103"/>
      <c r="D15" s="103"/>
      <c r="E15" s="103"/>
      <c r="F15" s="103"/>
    </row>
    <row r="16" spans="2:6" x14ac:dyDescent="0.3">
      <c r="B16" s="103"/>
      <c r="C16" s="103"/>
      <c r="D16" s="103"/>
      <c r="E16" s="103"/>
      <c r="F16" s="103"/>
    </row>
    <row r="17" spans="2:6" ht="7.5" customHeight="1" x14ac:dyDescent="0.3"/>
    <row r="18" spans="2:6" ht="19.5" customHeight="1" x14ac:dyDescent="0.3">
      <c r="B18" s="104" t="s">
        <v>481</v>
      </c>
      <c r="C18" s="104"/>
      <c r="D18" s="104"/>
      <c r="E18" s="104"/>
      <c r="F18" s="104"/>
    </row>
    <row r="19" spans="2:6" ht="60" customHeight="1" x14ac:dyDescent="0.3">
      <c r="B19" s="105" t="s">
        <v>482</v>
      </c>
      <c r="C19" s="105"/>
      <c r="D19" s="105"/>
      <c r="E19" s="105"/>
      <c r="F19" s="105"/>
    </row>
    <row r="20" spans="2:6" x14ac:dyDescent="0.3">
      <c r="B20" s="105"/>
      <c r="C20" s="105"/>
      <c r="D20" s="105"/>
      <c r="E20" s="105"/>
      <c r="F20" s="105"/>
    </row>
    <row r="21" spans="2:6" x14ac:dyDescent="0.3">
      <c r="B21" s="105"/>
      <c r="C21" s="105"/>
      <c r="D21" s="105"/>
      <c r="E21" s="105"/>
      <c r="F21" s="105"/>
    </row>
    <row r="22" spans="2:6" x14ac:dyDescent="0.3">
      <c r="B22" s="105"/>
      <c r="C22" s="105"/>
      <c r="D22" s="105"/>
      <c r="E22" s="105"/>
      <c r="F22" s="105"/>
    </row>
    <row r="23" spans="2:6" ht="7.5" customHeight="1" x14ac:dyDescent="0.3"/>
    <row r="24" spans="2:6" ht="15" customHeight="1" x14ac:dyDescent="0.3">
      <c r="B24" s="7" t="s">
        <v>483</v>
      </c>
      <c r="C24" s="7"/>
      <c r="D24" s="7"/>
      <c r="E24" s="7"/>
      <c r="F24" s="7"/>
    </row>
  </sheetData>
  <mergeCells count="11">
    <mergeCell ref="B24:F24"/>
    <mergeCell ref="D10:F10"/>
    <mergeCell ref="B12:F12"/>
    <mergeCell ref="B13:F16"/>
    <mergeCell ref="B18:F18"/>
    <mergeCell ref="B19:F22"/>
    <mergeCell ref="B1:F1"/>
    <mergeCell ref="B2:F2"/>
    <mergeCell ref="B4:F4"/>
    <mergeCell ref="B9:C9"/>
    <mergeCell ref="D9:F9"/>
  </mergeCells>
  <pageMargins left="0.5" right="0.5" top="0.5" bottom="0.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4"/>
  <sheetViews>
    <sheetView showGridLines="0" zoomScale="130" zoomScaleNormal="130" workbookViewId="0">
      <selection activeCell="L17" sqref="L17"/>
    </sheetView>
  </sheetViews>
  <sheetFormatPr defaultColWidth="8.6640625" defaultRowHeight="14.4" x14ac:dyDescent="0.3"/>
  <cols>
    <col min="1" max="1" width="3" customWidth="1"/>
    <col min="2" max="2" width="38" customWidth="1"/>
    <col min="3" max="4" width="16" customWidth="1"/>
    <col min="5" max="6" width="18" customWidth="1"/>
    <col min="7" max="7" width="22" customWidth="1"/>
  </cols>
  <sheetData>
    <row r="1" spans="2:7" ht="36" customHeight="1" x14ac:dyDescent="0.3">
      <c r="B1" s="12" t="s">
        <v>37</v>
      </c>
      <c r="C1" s="12"/>
      <c r="D1" s="12"/>
      <c r="E1" s="12"/>
      <c r="F1" s="12"/>
      <c r="G1" s="12"/>
    </row>
    <row r="2" spans="2:7" ht="19.5" customHeight="1" x14ac:dyDescent="0.3">
      <c r="B2" s="6" t="str">
        <f>'🏠 Mission'!C5&amp;" | Acquéreur : "&amp;'🏠 Mission'!C6&amp;" | Chef de mission : "&amp;'🏠 Mission'!C7</f>
        <v xml:space="preserve"> | Acquéreur :  | Chef de mission : </v>
      </c>
      <c r="C2" s="6"/>
      <c r="D2" s="6"/>
      <c r="E2" s="6"/>
      <c r="F2" s="6"/>
      <c r="G2" s="6"/>
    </row>
    <row r="3" spans="2:7" ht="9.75" customHeight="1" x14ac:dyDescent="0.3"/>
    <row r="4" spans="2:7" ht="21.75" customHeight="1" x14ac:dyDescent="0.3">
      <c r="B4" s="10" t="s">
        <v>38</v>
      </c>
      <c r="C4" s="10"/>
      <c r="D4" s="10"/>
      <c r="E4" s="10"/>
      <c r="F4" s="10"/>
      <c r="G4" s="10"/>
    </row>
    <row r="5" spans="2:7" ht="19.5" customHeight="1" x14ac:dyDescent="0.3">
      <c r="B5" s="15" t="s">
        <v>39</v>
      </c>
      <c r="C5" s="15" t="s">
        <v>40</v>
      </c>
      <c r="D5" s="15" t="s">
        <v>41</v>
      </c>
      <c r="E5" s="15" t="s">
        <v>42</v>
      </c>
      <c r="F5" s="15" t="s">
        <v>43</v>
      </c>
      <c r="G5" s="15" t="s">
        <v>44</v>
      </c>
    </row>
    <row r="6" spans="2:7" ht="24" customHeight="1" x14ac:dyDescent="0.3">
      <c r="B6" s="13" t="s">
        <v>45</v>
      </c>
      <c r="C6" s="16">
        <f>COUNTIF('📋 QoE CR'!C:C,"✅ Validé")</f>
        <v>0</v>
      </c>
      <c r="D6" s="16">
        <v>18</v>
      </c>
      <c r="E6" s="17">
        <f t="shared" ref="E6:E12" si="0">IFERROR(C6/D6,0)</f>
        <v>0</v>
      </c>
      <c r="F6" s="18" t="str">
        <f t="shared" ref="F6:F13" si="1">REPT("█",ROUND(E6*10,0))&amp;REPT("░",10-ROUND(E6*10,0))&amp;" "&amp;TEXT(E6,"0%")</f>
        <v>░░░░░░░░░░ 0%</v>
      </c>
      <c r="G6" s="19" t="str">
        <f t="shared" ref="G6:G12" si="2">IF(E6=1,"✅ Terminé",IF(E6&gt;0,"⚠️ En cours","❌ Non démarré"))</f>
        <v>❌ Non démarré</v>
      </c>
    </row>
    <row r="7" spans="2:7" ht="24" customHeight="1" x14ac:dyDescent="0.3">
      <c r="B7" s="14" t="s">
        <v>46</v>
      </c>
      <c r="C7" s="20">
        <f>COUNTIF('💶 Reconn. CA'!C:C,"✅ Validé")</f>
        <v>0</v>
      </c>
      <c r="D7" s="20">
        <v>10</v>
      </c>
      <c r="E7" s="21">
        <f t="shared" si="0"/>
        <v>0</v>
      </c>
      <c r="F7" s="22" t="str">
        <f t="shared" si="1"/>
        <v>░░░░░░░░░░ 0%</v>
      </c>
      <c r="G7" s="23" t="str">
        <f t="shared" si="2"/>
        <v>❌ Non démarré</v>
      </c>
    </row>
    <row r="8" spans="2:7" ht="24" customHeight="1" x14ac:dyDescent="0.3">
      <c r="B8" s="13" t="s">
        <v>47</v>
      </c>
      <c r="C8" s="16">
        <f>COUNTIF('🏦 Bilan'!C:C,"✅ Validé")</f>
        <v>0</v>
      </c>
      <c r="D8" s="16">
        <v>14</v>
      </c>
      <c r="E8" s="17">
        <f t="shared" si="0"/>
        <v>0</v>
      </c>
      <c r="F8" s="18" t="str">
        <f t="shared" si="1"/>
        <v>░░░░░░░░░░ 0%</v>
      </c>
      <c r="G8" s="19" t="str">
        <f t="shared" si="2"/>
        <v>❌ Non démarré</v>
      </c>
    </row>
    <row r="9" spans="2:7" ht="24" customHeight="1" x14ac:dyDescent="0.3">
      <c r="B9" s="14" t="s">
        <v>48</v>
      </c>
      <c r="C9" s="20">
        <f>COUNTIF('💰 Dette nette'!C:C,"✅ Validé")</f>
        <v>0</v>
      </c>
      <c r="D9" s="20">
        <v>13</v>
      </c>
      <c r="E9" s="21">
        <f t="shared" si="0"/>
        <v>0</v>
      </c>
      <c r="F9" s="22" t="str">
        <f t="shared" si="1"/>
        <v>░░░░░░░░░░ 0%</v>
      </c>
      <c r="G9" s="23" t="str">
        <f t="shared" si="2"/>
        <v>❌ Non démarré</v>
      </c>
    </row>
    <row r="10" spans="2:7" ht="24" customHeight="1" x14ac:dyDescent="0.3">
      <c r="B10" s="13" t="s">
        <v>49</v>
      </c>
      <c r="C10" s="16">
        <f>COUNTIF('🔄 BFR'!C:C,"✅ Validé")</f>
        <v>0</v>
      </c>
      <c r="D10" s="16">
        <v>7</v>
      </c>
      <c r="E10" s="17">
        <f t="shared" si="0"/>
        <v>0</v>
      </c>
      <c r="F10" s="18" t="str">
        <f t="shared" si="1"/>
        <v>░░░░░░░░░░ 0%</v>
      </c>
      <c r="G10" s="19" t="str">
        <f t="shared" si="2"/>
        <v>❌ Non démarré</v>
      </c>
    </row>
    <row r="11" spans="2:7" ht="24" customHeight="1" x14ac:dyDescent="0.3">
      <c r="B11" s="14" t="s">
        <v>50</v>
      </c>
      <c r="C11" s="20">
        <f>COUNTIF('⚠️ Red flags'!C:C,"✅ Validé")</f>
        <v>0</v>
      </c>
      <c r="D11" s="20">
        <v>18</v>
      </c>
      <c r="E11" s="21">
        <f t="shared" si="0"/>
        <v>0</v>
      </c>
      <c r="F11" s="22" t="str">
        <f t="shared" si="1"/>
        <v>░░░░░░░░░░ 0%</v>
      </c>
      <c r="G11" s="23" t="str">
        <f t="shared" si="2"/>
        <v>❌ Non démarré</v>
      </c>
    </row>
    <row r="12" spans="2:7" ht="24" customHeight="1" x14ac:dyDescent="0.3">
      <c r="B12" s="106" t="s">
        <v>51</v>
      </c>
      <c r="C12" s="107">
        <f>COUNTIF('📁 Data room'!C:C,"✅ Validé")</f>
        <v>0</v>
      </c>
      <c r="D12" s="107">
        <v>12</v>
      </c>
      <c r="E12" s="114">
        <f t="shared" si="0"/>
        <v>0</v>
      </c>
      <c r="F12" s="115" t="str">
        <f t="shared" si="1"/>
        <v>░░░░░░░░░░ 0%</v>
      </c>
      <c r="G12" s="109" t="str">
        <f t="shared" si="2"/>
        <v>❌ Non démarré</v>
      </c>
    </row>
    <row r="13" spans="2:7" s="113" customFormat="1" ht="27.75" customHeight="1" x14ac:dyDescent="0.3">
      <c r="B13" s="116" t="s">
        <v>52</v>
      </c>
      <c r="C13" s="116"/>
      <c r="D13" s="116"/>
      <c r="E13" s="111">
        <f>IFERROR(SUM(C6:C12)/SUM(D6:D12),0)</f>
        <v>0</v>
      </c>
      <c r="F13" s="117" t="str">
        <f t="shared" si="1"/>
        <v>░░░░░░░░░░ 0%</v>
      </c>
      <c r="G13" s="118" t="str">
        <f>IF(E13=1,"✅ Due diligence terminée",IF(E13&gt;0.5,"⚠️ En cours avancé","⚠️ En cours"))</f>
        <v>⚠️ En cours</v>
      </c>
    </row>
    <row r="14" spans="2:7" ht="12" customHeight="1" x14ac:dyDescent="0.3"/>
    <row r="15" spans="2:7" ht="21.75" customHeight="1" x14ac:dyDescent="0.3">
      <c r="B15" s="5" t="s">
        <v>53</v>
      </c>
      <c r="C15" s="5"/>
      <c r="D15" s="5"/>
      <c r="E15" s="5"/>
      <c r="F15" s="5"/>
      <c r="G15" s="5"/>
    </row>
    <row r="16" spans="2:7" ht="19.5" customHeight="1" x14ac:dyDescent="0.3">
      <c r="B16" s="24" t="s">
        <v>54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</row>
    <row r="17" spans="2:8" ht="21.75" customHeight="1" x14ac:dyDescent="0.3">
      <c r="B17" s="13" t="s">
        <v>60</v>
      </c>
      <c r="C17" s="16">
        <v>4</v>
      </c>
      <c r="D17" s="16">
        <v>4</v>
      </c>
      <c r="E17" s="25">
        <f>IFERROR(1-COUNTIF('⚠️ Red flags'!C:C,"✅ Validé")/SUM(D17:D21),1)</f>
        <v>1</v>
      </c>
      <c r="F17" s="19" t="str">
        <f>REPT("🔴",ROUND(E17*5,0))&amp;REPT("⚪",5-ROUND(E17*5,0))</f>
        <v>🔴🔴🔴🔴🔴</v>
      </c>
      <c r="G17" s="19" t="str">
        <f>IF(E17&gt;=0.7,"🔴 Élevé",IF(E17&gt;=0.4,"🟠 Modéré","🟢 Faible"))</f>
        <v>🔴 Élevé</v>
      </c>
    </row>
    <row r="18" spans="2:8" ht="21.75" customHeight="1" x14ac:dyDescent="0.3">
      <c r="B18" s="14" t="s">
        <v>61</v>
      </c>
      <c r="C18" s="20">
        <v>4</v>
      </c>
      <c r="D18" s="20">
        <v>4</v>
      </c>
      <c r="E18" s="26">
        <f>IFERROR(1-COUNTIF('⚠️ Red flags'!C:C,"✅ Validé")/SUM(D17:D21),1)</f>
        <v>1</v>
      </c>
      <c r="F18" s="23" t="str">
        <f>REPT("🔴",ROUND(E18*5,0))&amp;REPT("⚪",5-ROUND(E18*5,0))</f>
        <v>🔴🔴🔴🔴🔴</v>
      </c>
      <c r="G18" s="23" t="str">
        <f>IF(E18&gt;=0.7,"🔴 Élevé",IF(E18&gt;=0.4,"🟠 Modéré","🟢 Faible"))</f>
        <v>🔴 Élevé</v>
      </c>
    </row>
    <row r="19" spans="2:8" ht="21.75" customHeight="1" x14ac:dyDescent="0.3">
      <c r="B19" s="13" t="s">
        <v>62</v>
      </c>
      <c r="C19" s="16">
        <v>4</v>
      </c>
      <c r="D19" s="16">
        <v>4</v>
      </c>
      <c r="E19" s="25">
        <f>IFERROR(1-COUNTIF('⚠️ Red flags'!C:C,"✅ Validé")/SUM(D17:D21),1)</f>
        <v>1</v>
      </c>
      <c r="F19" s="19" t="str">
        <f>REPT("🔴",ROUND(E19*5,0))&amp;REPT("⚪",5-ROUND(E19*5,0))</f>
        <v>🔴🔴🔴🔴🔴</v>
      </c>
      <c r="G19" s="19" t="str">
        <f>IF(E19&gt;=0.7,"🔴 Élevé",IF(E19&gt;=0.4,"🟠 Modéré","🟢 Faible"))</f>
        <v>🔴 Élevé</v>
      </c>
    </row>
    <row r="20" spans="2:8" ht="21.75" customHeight="1" x14ac:dyDescent="0.3">
      <c r="B20" s="14" t="s">
        <v>63</v>
      </c>
      <c r="C20" s="20">
        <v>3</v>
      </c>
      <c r="D20" s="20">
        <v>3</v>
      </c>
      <c r="E20" s="26">
        <f>IFERROR(1-COUNTIF('⚠️ Red flags'!C:C,"✅ Validé")/SUM(D17:D21),1)</f>
        <v>1</v>
      </c>
      <c r="F20" s="23" t="str">
        <f>REPT("🔴",ROUND(E20*5,0))&amp;REPT("⚪",5-ROUND(E20*5,0))</f>
        <v>🔴🔴🔴🔴🔴</v>
      </c>
      <c r="G20" s="23" t="str">
        <f>IF(E20&gt;=0.7,"🔴 Élevé",IF(E20&gt;=0.4,"🟠 Modéré","🟢 Faible"))</f>
        <v>🔴 Élevé</v>
      </c>
    </row>
    <row r="21" spans="2:8" ht="21.75" customHeight="1" x14ac:dyDescent="0.3">
      <c r="B21" s="106" t="s">
        <v>64</v>
      </c>
      <c r="C21" s="107">
        <v>3</v>
      </c>
      <c r="D21" s="107">
        <v>3</v>
      </c>
      <c r="E21" s="108">
        <f>IFERROR(1-COUNTIF('⚠️ Red flags'!C:C,"✅ Validé")/SUM(D17:D21),1)</f>
        <v>1</v>
      </c>
      <c r="F21" s="109" t="str">
        <f>REPT("🔴",ROUND(E21*5,0))&amp;REPT("⚪",5-ROUND(E21*5,0))</f>
        <v>🔴🔴🔴🔴🔴</v>
      </c>
      <c r="G21" s="109" t="str">
        <f>IF(E21&gt;=0.7,"🔴 Élevé",IF(E21&gt;=0.4,"🟠 Modéré","🟢 Faible"))</f>
        <v>🔴 Élevé</v>
      </c>
    </row>
    <row r="22" spans="2:8" ht="25.5" customHeight="1" x14ac:dyDescent="0.3">
      <c r="B22" s="110" t="s">
        <v>65</v>
      </c>
      <c r="C22" s="110"/>
      <c r="D22" s="110"/>
      <c r="E22" s="111">
        <f>IFERROR(1-COUNTIF('⚠️ Red flags'!C:C,"✅ Validé")/18,1)</f>
        <v>1</v>
      </c>
      <c r="F22" s="112" t="str">
        <f>REPT("🔴",ROUND(E22*10,0))&amp;REPT("⚪",10-ROUND(E22*10,0))</f>
        <v>🔴🔴🔴🔴🔴🔴🔴🔴🔴🔴</v>
      </c>
      <c r="G22" s="112" t="str">
        <f>IF(E22&gt;=0.7,"🔴 RISQUE ÉLEVÉ",IF(E22&gt;=0.4,"🟠 RISQUE MODÉRÉ","🟢 RISQUE FAIBLE"))</f>
        <v>🔴 RISQUE ÉLEVÉ</v>
      </c>
      <c r="H22" s="113"/>
    </row>
    <row r="23" spans="2:8" ht="9.75" customHeight="1" x14ac:dyDescent="0.3"/>
    <row r="24" spans="2:8" ht="15" customHeight="1" x14ac:dyDescent="0.3">
      <c r="B24" s="7" t="s">
        <v>66</v>
      </c>
      <c r="C24" s="7"/>
      <c r="D24" s="7"/>
      <c r="E24" s="7"/>
      <c r="F24" s="7"/>
      <c r="G24" s="7"/>
    </row>
  </sheetData>
  <mergeCells count="7">
    <mergeCell ref="B22:D22"/>
    <mergeCell ref="B24:G24"/>
    <mergeCell ref="B1:G1"/>
    <mergeCell ref="B2:G2"/>
    <mergeCell ref="B4:G4"/>
    <mergeCell ref="B13:D13"/>
    <mergeCell ref="B15:G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1"/>
  <sheetViews>
    <sheetView showGridLines="0" zoomScaleNormal="100" workbookViewId="0"/>
  </sheetViews>
  <sheetFormatPr defaultColWidth="8.6640625" defaultRowHeight="14.4" x14ac:dyDescent="0.3"/>
  <cols>
    <col min="1" max="1" width="3" customWidth="1"/>
    <col min="2" max="2" width="5" customWidth="1"/>
    <col min="3" max="3" width="22" customWidth="1"/>
    <col min="4" max="4" width="52" customWidth="1"/>
    <col min="5" max="5" width="16" customWidth="1"/>
    <col min="6" max="6" width="38" customWidth="1"/>
  </cols>
  <sheetData>
    <row r="1" spans="2:6" ht="33.75" customHeight="1" x14ac:dyDescent="0.3">
      <c r="B1" s="4" t="s">
        <v>67</v>
      </c>
      <c r="C1" s="4"/>
      <c r="D1" s="4"/>
      <c r="E1" s="4"/>
      <c r="F1" s="4"/>
    </row>
    <row r="2" spans="2:6" ht="19.5" customHeight="1" x14ac:dyDescent="0.3">
      <c r="B2" s="6" t="s">
        <v>68</v>
      </c>
      <c r="C2" s="6"/>
      <c r="D2" s="6"/>
      <c r="E2" s="6"/>
      <c r="F2" s="6"/>
    </row>
    <row r="3" spans="2:6" ht="24" customHeight="1" x14ac:dyDescent="0.3">
      <c r="B3" s="3" t="s">
        <v>69</v>
      </c>
      <c r="C3" s="3"/>
      <c r="D3" s="3"/>
      <c r="E3" s="27" t="str">
        <f>COUNTIF(C:C,"✅ Validé")&amp;" / 17"</f>
        <v>0 / 17</v>
      </c>
      <c r="F3" s="28" t="str">
        <f>REPT("█",ROUND(COUNTIF(C:C,"✅ Validé")/17*10,0))&amp;" "&amp;TEXT(COUNTIF(C:C,"✅ Validé")/17,"0%")</f>
        <v xml:space="preserve"> 0%</v>
      </c>
    </row>
    <row r="4" spans="2:6" ht="21.75" customHeight="1" x14ac:dyDescent="0.3">
      <c r="B4" s="15" t="s">
        <v>70</v>
      </c>
      <c r="C4" s="15" t="s">
        <v>44</v>
      </c>
      <c r="D4" s="15" t="s">
        <v>71</v>
      </c>
      <c r="E4" s="15" t="s">
        <v>72</v>
      </c>
      <c r="F4" s="15" t="s">
        <v>73</v>
      </c>
    </row>
    <row r="5" spans="2:6" ht="21.75" customHeight="1" x14ac:dyDescent="0.3">
      <c r="B5" s="2" t="s">
        <v>74</v>
      </c>
      <c r="C5" s="2"/>
      <c r="D5" s="2"/>
      <c r="E5" s="2"/>
      <c r="F5" s="2"/>
    </row>
    <row r="6" spans="2:6" ht="37.5" customHeight="1" x14ac:dyDescent="0.3">
      <c r="B6" s="29">
        <v>1</v>
      </c>
      <c r="C6" s="30" t="s">
        <v>75</v>
      </c>
      <c r="D6" s="31" t="s">
        <v>76</v>
      </c>
      <c r="E6" s="32" t="s">
        <v>77</v>
      </c>
      <c r="F6" s="33" t="s">
        <v>78</v>
      </c>
    </row>
    <row r="7" spans="2:6" ht="37.5" customHeight="1" x14ac:dyDescent="0.3">
      <c r="B7" s="34">
        <v>2</v>
      </c>
      <c r="C7" s="35" t="s">
        <v>75</v>
      </c>
      <c r="D7" s="36" t="s">
        <v>79</v>
      </c>
      <c r="E7" s="37" t="s">
        <v>77</v>
      </c>
      <c r="F7" s="38" t="s">
        <v>80</v>
      </c>
    </row>
    <row r="8" spans="2:6" ht="37.5" customHeight="1" x14ac:dyDescent="0.3">
      <c r="B8" s="29">
        <v>3</v>
      </c>
      <c r="C8" s="30" t="s">
        <v>75</v>
      </c>
      <c r="D8" s="31" t="s">
        <v>81</v>
      </c>
      <c r="E8" s="39" t="s">
        <v>82</v>
      </c>
      <c r="F8" s="33" t="s">
        <v>83</v>
      </c>
    </row>
    <row r="9" spans="2:6" ht="37.5" customHeight="1" x14ac:dyDescent="0.3">
      <c r="B9" s="34">
        <v>4</v>
      </c>
      <c r="C9" s="35" t="s">
        <v>75</v>
      </c>
      <c r="D9" s="36" t="s">
        <v>84</v>
      </c>
      <c r="E9" s="40" t="s">
        <v>85</v>
      </c>
      <c r="F9" s="38" t="s">
        <v>86</v>
      </c>
    </row>
    <row r="10" spans="2:6" ht="6" customHeight="1" x14ac:dyDescent="0.3"/>
    <row r="11" spans="2:6" ht="21.75" customHeight="1" x14ac:dyDescent="0.3">
      <c r="B11" s="2" t="s">
        <v>87</v>
      </c>
      <c r="C11" s="2"/>
      <c r="D11" s="2"/>
      <c r="E11" s="2"/>
      <c r="F11" s="2"/>
    </row>
    <row r="12" spans="2:6" ht="37.5" customHeight="1" x14ac:dyDescent="0.3">
      <c r="B12" s="29">
        <v>5</v>
      </c>
      <c r="C12" s="30" t="s">
        <v>75</v>
      </c>
      <c r="D12" s="31" t="s">
        <v>88</v>
      </c>
      <c r="E12" s="39" t="s">
        <v>82</v>
      </c>
      <c r="F12" s="33" t="s">
        <v>89</v>
      </c>
    </row>
    <row r="13" spans="2:6" ht="37.5" customHeight="1" x14ac:dyDescent="0.3">
      <c r="B13" s="34">
        <v>6</v>
      </c>
      <c r="C13" s="35" t="s">
        <v>75</v>
      </c>
      <c r="D13" s="36" t="s">
        <v>90</v>
      </c>
      <c r="E13" s="41" t="s">
        <v>82</v>
      </c>
      <c r="F13" s="38" t="s">
        <v>91</v>
      </c>
    </row>
    <row r="14" spans="2:6" ht="37.5" customHeight="1" x14ac:dyDescent="0.3">
      <c r="B14" s="29">
        <v>7</v>
      </c>
      <c r="C14" s="30" t="s">
        <v>75</v>
      </c>
      <c r="D14" s="31" t="s">
        <v>92</v>
      </c>
      <c r="E14" s="42" t="s">
        <v>85</v>
      </c>
      <c r="F14" s="33" t="s">
        <v>93</v>
      </c>
    </row>
    <row r="15" spans="2:6" ht="6" customHeight="1" x14ac:dyDescent="0.3"/>
    <row r="16" spans="2:6" ht="21.75" customHeight="1" x14ac:dyDescent="0.3">
      <c r="B16" s="2" t="s">
        <v>94</v>
      </c>
      <c r="C16" s="2"/>
      <c r="D16" s="2"/>
      <c r="E16" s="2"/>
      <c r="F16" s="2"/>
    </row>
    <row r="17" spans="2:6" ht="37.5" customHeight="1" x14ac:dyDescent="0.3">
      <c r="B17" s="34">
        <v>8</v>
      </c>
      <c r="C17" s="35" t="s">
        <v>75</v>
      </c>
      <c r="D17" s="36" t="s">
        <v>95</v>
      </c>
      <c r="E17" s="37" t="s">
        <v>77</v>
      </c>
      <c r="F17" s="38" t="s">
        <v>96</v>
      </c>
    </row>
    <row r="18" spans="2:6" ht="37.5" customHeight="1" x14ac:dyDescent="0.3">
      <c r="B18" s="29">
        <v>9</v>
      </c>
      <c r="C18" s="30" t="s">
        <v>75</v>
      </c>
      <c r="D18" s="31" t="s">
        <v>97</v>
      </c>
      <c r="E18" s="32" t="s">
        <v>77</v>
      </c>
      <c r="F18" s="33" t="s">
        <v>98</v>
      </c>
    </row>
    <row r="19" spans="2:6" ht="37.5" customHeight="1" x14ac:dyDescent="0.3">
      <c r="B19" s="34">
        <v>10</v>
      </c>
      <c r="C19" s="35" t="s">
        <v>75</v>
      </c>
      <c r="D19" s="36" t="s">
        <v>99</v>
      </c>
      <c r="E19" s="37" t="s">
        <v>77</v>
      </c>
      <c r="F19" s="38" t="s">
        <v>100</v>
      </c>
    </row>
    <row r="20" spans="2:6" ht="37.5" customHeight="1" x14ac:dyDescent="0.3">
      <c r="B20" s="29">
        <v>11</v>
      </c>
      <c r="C20" s="30" t="s">
        <v>75</v>
      </c>
      <c r="D20" s="31" t="s">
        <v>101</v>
      </c>
      <c r="E20" s="39" t="s">
        <v>82</v>
      </c>
      <c r="F20" s="33" t="s">
        <v>102</v>
      </c>
    </row>
    <row r="21" spans="2:6" ht="37.5" customHeight="1" x14ac:dyDescent="0.3">
      <c r="B21" s="34">
        <v>12</v>
      </c>
      <c r="C21" s="35" t="s">
        <v>75</v>
      </c>
      <c r="D21" s="36" t="s">
        <v>103</v>
      </c>
      <c r="E21" s="41" t="s">
        <v>82</v>
      </c>
      <c r="F21" s="38" t="s">
        <v>104</v>
      </c>
    </row>
    <row r="22" spans="2:6" ht="37.5" customHeight="1" x14ac:dyDescent="0.3">
      <c r="B22" s="29">
        <v>13</v>
      </c>
      <c r="C22" s="30" t="s">
        <v>75</v>
      </c>
      <c r="D22" s="31" t="s">
        <v>105</v>
      </c>
      <c r="E22" s="42" t="s">
        <v>85</v>
      </c>
      <c r="F22" s="33" t="s">
        <v>106</v>
      </c>
    </row>
    <row r="23" spans="2:6" ht="37.5" customHeight="1" x14ac:dyDescent="0.3">
      <c r="B23" s="34">
        <v>14</v>
      </c>
      <c r="C23" s="35" t="s">
        <v>75</v>
      </c>
      <c r="D23" s="36" t="s">
        <v>107</v>
      </c>
      <c r="E23" s="41" t="s">
        <v>82</v>
      </c>
      <c r="F23" s="38" t="s">
        <v>108</v>
      </c>
    </row>
    <row r="24" spans="2:6" ht="6" customHeight="1" x14ac:dyDescent="0.3"/>
    <row r="25" spans="2:6" ht="21.75" customHeight="1" x14ac:dyDescent="0.3">
      <c r="B25" s="2" t="s">
        <v>109</v>
      </c>
      <c r="C25" s="2"/>
      <c r="D25" s="2"/>
      <c r="E25" s="2"/>
      <c r="F25" s="2"/>
    </row>
    <row r="26" spans="2:6" ht="37.5" customHeight="1" x14ac:dyDescent="0.3">
      <c r="B26" s="29">
        <v>15</v>
      </c>
      <c r="C26" s="30" t="s">
        <v>75</v>
      </c>
      <c r="D26" s="31" t="s">
        <v>110</v>
      </c>
      <c r="E26" s="32" t="s">
        <v>77</v>
      </c>
      <c r="F26" s="33" t="s">
        <v>111</v>
      </c>
    </row>
    <row r="27" spans="2:6" ht="37.5" customHeight="1" x14ac:dyDescent="0.3">
      <c r="B27" s="34">
        <v>16</v>
      </c>
      <c r="C27" s="35" t="s">
        <v>75</v>
      </c>
      <c r="D27" s="36" t="s">
        <v>112</v>
      </c>
      <c r="E27" s="37" t="s">
        <v>77</v>
      </c>
      <c r="F27" s="38" t="s">
        <v>113</v>
      </c>
    </row>
    <row r="28" spans="2:6" ht="37.5" customHeight="1" x14ac:dyDescent="0.3">
      <c r="B28" s="29">
        <v>17</v>
      </c>
      <c r="C28" s="30" t="s">
        <v>75</v>
      </c>
      <c r="D28" s="31" t="s">
        <v>114</v>
      </c>
      <c r="E28" s="32" t="s">
        <v>77</v>
      </c>
      <c r="F28" s="33" t="s">
        <v>115</v>
      </c>
    </row>
    <row r="29" spans="2:6" ht="6" customHeight="1" x14ac:dyDescent="0.3"/>
    <row r="31" spans="2:6" ht="15" customHeight="1" x14ac:dyDescent="0.3">
      <c r="B31" s="7" t="s">
        <v>66</v>
      </c>
      <c r="C31" s="7"/>
      <c r="D31" s="7"/>
      <c r="E31" s="7"/>
      <c r="F31" s="7"/>
    </row>
  </sheetData>
  <mergeCells count="8">
    <mergeCell ref="B16:F16"/>
    <mergeCell ref="B25:F25"/>
    <mergeCell ref="B31:F31"/>
    <mergeCell ref="B1:F1"/>
    <mergeCell ref="B2:F2"/>
    <mergeCell ref="B3:D3"/>
    <mergeCell ref="B5:F5"/>
    <mergeCell ref="B11:F11"/>
  </mergeCells>
  <conditionalFormatting sqref="C5:C28">
    <cfRule type="expression" dxfId="20" priority="2">
      <formula>LEFT(C5,1)="✅"</formula>
    </cfRule>
    <cfRule type="expression" dxfId="19" priority="3">
      <formula>LEFT(C5,1)="⚠"</formula>
    </cfRule>
    <cfRule type="expression" dxfId="18" priority="4">
      <formula>LEFT(C5,1)="❌"</formula>
    </cfRule>
  </conditionalFormatting>
  <dataValidations count="1">
    <dataValidation type="list" allowBlank="1" sqref="C5:C28" xr:uid="{00000000-0002-0000-0200-000000000000}">
      <formula1>"✅ Validé,⚠️ En cours,❌ Non fait,N/A"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5"/>
  <sheetViews>
    <sheetView showGridLines="0" zoomScaleNormal="100" workbookViewId="0">
      <selection activeCell="E28" sqref="E28"/>
    </sheetView>
  </sheetViews>
  <sheetFormatPr defaultColWidth="8.6640625" defaultRowHeight="14.4" x14ac:dyDescent="0.3"/>
  <cols>
    <col min="1" max="1" width="3" customWidth="1"/>
    <col min="2" max="2" width="30" customWidth="1"/>
    <col min="3" max="7" width="18" customWidth="1"/>
  </cols>
  <sheetData>
    <row r="1" spans="2:7" ht="33.75" customHeight="1" x14ac:dyDescent="0.3">
      <c r="B1" s="4" t="s">
        <v>116</v>
      </c>
      <c r="C1" s="4"/>
      <c r="D1" s="4"/>
      <c r="E1" s="4"/>
      <c r="F1" s="4"/>
      <c r="G1" s="4"/>
    </row>
    <row r="2" spans="2:7" ht="21.75" customHeight="1" x14ac:dyDescent="0.3">
      <c r="B2" s="6" t="s">
        <v>117</v>
      </c>
      <c r="C2" s="6"/>
      <c r="D2" s="6"/>
      <c r="E2" s="6"/>
      <c r="F2" s="6"/>
      <c r="G2" s="6"/>
    </row>
    <row r="3" spans="2:7" ht="9.75" customHeight="1" x14ac:dyDescent="0.3"/>
    <row r="4" spans="2:7" ht="21.75" customHeight="1" x14ac:dyDescent="0.3">
      <c r="B4" s="10" t="s">
        <v>118</v>
      </c>
      <c r="C4" s="10"/>
      <c r="D4" s="10"/>
      <c r="E4" s="10"/>
      <c r="F4" s="10"/>
      <c r="G4" s="10"/>
    </row>
    <row r="5" spans="2:7" ht="19.5" customHeight="1" x14ac:dyDescent="0.3">
      <c r="B5" s="15" t="s">
        <v>119</v>
      </c>
      <c r="C5" s="15" t="s">
        <v>120</v>
      </c>
      <c r="D5" s="15" t="s">
        <v>121</v>
      </c>
      <c r="E5" s="15" t="s">
        <v>122</v>
      </c>
      <c r="F5" s="1" t="s">
        <v>122</v>
      </c>
      <c r="G5" s="1"/>
    </row>
    <row r="6" spans="2:7" ht="31.5" customHeight="1" x14ac:dyDescent="0.3">
      <c r="B6" s="43" t="s">
        <v>123</v>
      </c>
      <c r="C6" s="44" t="s">
        <v>124</v>
      </c>
      <c r="D6" s="45" t="s">
        <v>125</v>
      </c>
      <c r="E6" s="89" t="s">
        <v>126</v>
      </c>
      <c r="F6" s="89"/>
      <c r="G6" s="89"/>
    </row>
    <row r="7" spans="2:7" ht="31.5" customHeight="1" x14ac:dyDescent="0.3">
      <c r="B7" s="46" t="s">
        <v>127</v>
      </c>
      <c r="C7" s="47" t="s">
        <v>128</v>
      </c>
      <c r="D7" s="48" t="s">
        <v>129</v>
      </c>
      <c r="E7" s="90" t="s">
        <v>130</v>
      </c>
      <c r="F7" s="90"/>
      <c r="G7" s="90"/>
    </row>
    <row r="8" spans="2:7" ht="31.5" customHeight="1" x14ac:dyDescent="0.3">
      <c r="B8" s="43" t="s">
        <v>131</v>
      </c>
      <c r="C8" s="44" t="s">
        <v>132</v>
      </c>
      <c r="D8" s="45" t="s">
        <v>133</v>
      </c>
      <c r="E8" s="89" t="s">
        <v>134</v>
      </c>
      <c r="F8" s="89"/>
      <c r="G8" s="89"/>
    </row>
    <row r="9" spans="2:7" ht="31.5" customHeight="1" x14ac:dyDescent="0.3">
      <c r="B9" s="46" t="s">
        <v>135</v>
      </c>
      <c r="C9" s="47" t="s">
        <v>136</v>
      </c>
      <c r="D9" s="48" t="s">
        <v>137</v>
      </c>
      <c r="E9" s="90" t="s">
        <v>138</v>
      </c>
      <c r="F9" s="90"/>
      <c r="G9" s="90"/>
    </row>
    <row r="10" spans="2:7" ht="31.5" customHeight="1" x14ac:dyDescent="0.3">
      <c r="B10" s="43" t="s">
        <v>139</v>
      </c>
      <c r="C10" s="44" t="s">
        <v>140</v>
      </c>
      <c r="D10" s="45" t="s">
        <v>141</v>
      </c>
      <c r="E10" s="89" t="s">
        <v>142</v>
      </c>
      <c r="F10" s="89"/>
      <c r="G10" s="89"/>
    </row>
    <row r="11" spans="2:7" ht="31.5" customHeight="1" x14ac:dyDescent="0.3">
      <c r="B11" s="46" t="s">
        <v>143</v>
      </c>
      <c r="C11" s="47" t="s">
        <v>144</v>
      </c>
      <c r="D11" s="48" t="s">
        <v>145</v>
      </c>
      <c r="E11" s="90" t="s">
        <v>146</v>
      </c>
      <c r="F11" s="90"/>
      <c r="G11" s="90"/>
    </row>
    <row r="12" spans="2:7" ht="9.75" customHeight="1" x14ac:dyDescent="0.3"/>
    <row r="13" spans="2:7" ht="21.75" customHeight="1" x14ac:dyDescent="0.3">
      <c r="B13" s="10" t="s">
        <v>147</v>
      </c>
      <c r="C13" s="10"/>
      <c r="D13" s="10"/>
      <c r="E13" s="10"/>
      <c r="F13" s="10"/>
      <c r="G13" s="10"/>
    </row>
    <row r="14" spans="2:7" ht="19.5" customHeight="1" x14ac:dyDescent="0.3">
      <c r="B14" s="91" t="s">
        <v>148</v>
      </c>
      <c r="C14" s="91"/>
      <c r="D14" s="91"/>
      <c r="E14" s="91"/>
      <c r="F14" s="91"/>
      <c r="G14" s="91"/>
    </row>
    <row r="15" spans="2:7" ht="19.5" customHeight="1" x14ac:dyDescent="0.3">
      <c r="B15" s="15" t="s">
        <v>149</v>
      </c>
      <c r="C15" s="15" t="s">
        <v>150</v>
      </c>
      <c r="D15" s="15" t="s">
        <v>151</v>
      </c>
      <c r="E15" s="15" t="s">
        <v>152</v>
      </c>
      <c r="F15" s="15" t="s">
        <v>153</v>
      </c>
      <c r="G15" s="15" t="s">
        <v>154</v>
      </c>
    </row>
    <row r="16" spans="2:7" ht="27.75" customHeight="1" x14ac:dyDescent="0.3">
      <c r="B16" s="13" t="s">
        <v>155</v>
      </c>
      <c r="C16" s="49">
        <v>5200</v>
      </c>
      <c r="D16" s="49">
        <v>4800</v>
      </c>
      <c r="E16" s="49">
        <v>5500</v>
      </c>
      <c r="F16" s="50">
        <f>E16-(E18-E17)+E19-E20</f>
        <v>5485</v>
      </c>
    </row>
    <row r="17" spans="2:7" ht="27.75" customHeight="1" x14ac:dyDescent="0.3">
      <c r="B17" s="14" t="s">
        <v>156</v>
      </c>
      <c r="C17" s="49">
        <v>120</v>
      </c>
      <c r="D17" s="49">
        <v>140</v>
      </c>
      <c r="E17" s="49">
        <v>200</v>
      </c>
      <c r="F17" s="50">
        <f>C17</f>
        <v>120</v>
      </c>
    </row>
    <row r="18" spans="2:7" ht="27.75" customHeight="1" x14ac:dyDescent="0.3">
      <c r="B18" s="13" t="s">
        <v>157</v>
      </c>
      <c r="C18" s="49">
        <v>140</v>
      </c>
      <c r="D18" s="49">
        <v>200</v>
      </c>
      <c r="E18" s="49">
        <v>350</v>
      </c>
      <c r="F18" s="50">
        <f>C18</f>
        <v>140</v>
      </c>
    </row>
    <row r="19" spans="2:7" ht="27.75" customHeight="1" x14ac:dyDescent="0.3">
      <c r="B19" s="14" t="s">
        <v>158</v>
      </c>
      <c r="C19" s="49">
        <v>80</v>
      </c>
      <c r="D19" s="49">
        <v>95</v>
      </c>
      <c r="E19" s="49">
        <v>180</v>
      </c>
      <c r="F19" s="50">
        <f>C19</f>
        <v>80</v>
      </c>
    </row>
    <row r="20" spans="2:7" ht="27.75" customHeight="1" x14ac:dyDescent="0.3">
      <c r="B20" s="106" t="s">
        <v>159</v>
      </c>
      <c r="C20" s="119">
        <v>0</v>
      </c>
      <c r="D20" s="119">
        <v>15</v>
      </c>
      <c r="E20" s="119">
        <v>45</v>
      </c>
      <c r="F20" s="120">
        <f>C20</f>
        <v>0</v>
      </c>
    </row>
    <row r="21" spans="2:7" s="113" customFormat="1" ht="27.75" customHeight="1" x14ac:dyDescent="0.3">
      <c r="B21" s="110" t="s">
        <v>160</v>
      </c>
      <c r="C21" s="110"/>
      <c r="D21" s="110"/>
      <c r="E21" s="110"/>
      <c r="F21" s="121">
        <f>E16-(E18-E17)+E19-E20</f>
        <v>5485</v>
      </c>
      <c r="G21" s="122">
        <f>F21-E16</f>
        <v>-15</v>
      </c>
    </row>
    <row r="23" spans="2:7" ht="9.75" customHeight="1" x14ac:dyDescent="0.3"/>
    <row r="24" spans="2:7" ht="21.75" customHeight="1" x14ac:dyDescent="0.3">
      <c r="B24" s="10" t="s">
        <v>161</v>
      </c>
      <c r="C24" s="10"/>
      <c r="D24" s="10"/>
      <c r="E24" s="10"/>
      <c r="F24" s="10"/>
      <c r="G24" s="10"/>
    </row>
    <row r="25" spans="2:7" ht="19.5" customHeight="1" x14ac:dyDescent="0.3">
      <c r="B25" s="15" t="s">
        <v>70</v>
      </c>
      <c r="C25" s="15" t="s">
        <v>44</v>
      </c>
      <c r="D25" s="15" t="s">
        <v>71</v>
      </c>
      <c r="E25" s="15" t="s">
        <v>72</v>
      </c>
      <c r="F25" s="92" t="s">
        <v>162</v>
      </c>
      <c r="G25" s="92"/>
    </row>
    <row r="26" spans="2:7" ht="33.75" customHeight="1" x14ac:dyDescent="0.3">
      <c r="B26" s="34">
        <v>1</v>
      </c>
      <c r="C26" s="35" t="s">
        <v>75</v>
      </c>
      <c r="D26" s="36" t="s">
        <v>163</v>
      </c>
      <c r="E26" s="37" t="s">
        <v>77</v>
      </c>
      <c r="F26" s="93" t="s">
        <v>164</v>
      </c>
      <c r="G26" s="93"/>
    </row>
    <row r="27" spans="2:7" ht="33.75" customHeight="1" x14ac:dyDescent="0.3">
      <c r="B27" s="29">
        <v>2</v>
      </c>
      <c r="C27" s="30" t="s">
        <v>75</v>
      </c>
      <c r="D27" s="31" t="s">
        <v>165</v>
      </c>
      <c r="E27" s="32" t="s">
        <v>77</v>
      </c>
      <c r="F27" s="94" t="s">
        <v>166</v>
      </c>
      <c r="G27" s="94"/>
    </row>
    <row r="28" spans="2:7" ht="33.75" customHeight="1" x14ac:dyDescent="0.3">
      <c r="B28" s="34">
        <v>3</v>
      </c>
      <c r="C28" s="35" t="s">
        <v>75</v>
      </c>
      <c r="D28" s="36" t="s">
        <v>167</v>
      </c>
      <c r="E28" s="37" t="s">
        <v>77</v>
      </c>
      <c r="F28" s="93" t="s">
        <v>168</v>
      </c>
      <c r="G28" s="93"/>
    </row>
    <row r="29" spans="2:7" ht="33.75" customHeight="1" x14ac:dyDescent="0.3">
      <c r="B29" s="29">
        <v>4</v>
      </c>
      <c r="C29" s="30" t="s">
        <v>75</v>
      </c>
      <c r="D29" s="31" t="s">
        <v>169</v>
      </c>
      <c r="E29" s="32" t="s">
        <v>77</v>
      </c>
      <c r="F29" s="94" t="s">
        <v>170</v>
      </c>
      <c r="G29" s="94"/>
    </row>
    <row r="30" spans="2:7" ht="33.75" customHeight="1" x14ac:dyDescent="0.3">
      <c r="B30" s="34">
        <v>5</v>
      </c>
      <c r="C30" s="35" t="s">
        <v>75</v>
      </c>
      <c r="D30" s="36" t="s">
        <v>171</v>
      </c>
      <c r="E30" s="41" t="s">
        <v>82</v>
      </c>
      <c r="F30" s="93" t="s">
        <v>172</v>
      </c>
      <c r="G30" s="93"/>
    </row>
    <row r="31" spans="2:7" ht="33.75" customHeight="1" x14ac:dyDescent="0.3">
      <c r="B31" s="29">
        <v>6</v>
      </c>
      <c r="C31" s="30" t="s">
        <v>75</v>
      </c>
      <c r="D31" s="31" t="s">
        <v>173</v>
      </c>
      <c r="E31" s="39" t="s">
        <v>82</v>
      </c>
      <c r="F31" s="94" t="s">
        <v>174</v>
      </c>
      <c r="G31" s="94"/>
    </row>
    <row r="32" spans="2:7" ht="33.75" customHeight="1" x14ac:dyDescent="0.3">
      <c r="B32" s="34">
        <v>7</v>
      </c>
      <c r="C32" s="35" t="s">
        <v>75</v>
      </c>
      <c r="D32" s="36" t="s">
        <v>175</v>
      </c>
      <c r="E32" s="41" t="s">
        <v>82</v>
      </c>
      <c r="F32" s="93" t="s">
        <v>176</v>
      </c>
      <c r="G32" s="93"/>
    </row>
    <row r="33" spans="2:7" ht="33.75" customHeight="1" x14ac:dyDescent="0.3">
      <c r="B33" s="29">
        <v>8</v>
      </c>
      <c r="C33" s="30" t="s">
        <v>75</v>
      </c>
      <c r="D33" s="31" t="s">
        <v>177</v>
      </c>
      <c r="E33" s="42" t="s">
        <v>85</v>
      </c>
      <c r="F33" s="94" t="s">
        <v>178</v>
      </c>
      <c r="G33" s="94"/>
    </row>
    <row r="34" spans="2:7" ht="33.75" customHeight="1" x14ac:dyDescent="0.3">
      <c r="B34" s="34">
        <v>9</v>
      </c>
      <c r="C34" s="35" t="s">
        <v>75</v>
      </c>
      <c r="D34" s="36" t="s">
        <v>179</v>
      </c>
      <c r="E34" s="40" t="s">
        <v>85</v>
      </c>
      <c r="F34" s="93" t="s">
        <v>180</v>
      </c>
      <c r="G34" s="93"/>
    </row>
    <row r="35" spans="2:7" ht="33.75" customHeight="1" x14ac:dyDescent="0.3">
      <c r="B35" s="29">
        <v>10</v>
      </c>
      <c r="C35" s="30" t="s">
        <v>75</v>
      </c>
      <c r="D35" s="31" t="s">
        <v>181</v>
      </c>
      <c r="E35" s="32" t="s">
        <v>77</v>
      </c>
      <c r="F35" s="94" t="s">
        <v>182</v>
      </c>
      <c r="G35" s="94"/>
    </row>
  </sheetData>
  <mergeCells count="25">
    <mergeCell ref="F31:G31"/>
    <mergeCell ref="F32:G32"/>
    <mergeCell ref="F33:G33"/>
    <mergeCell ref="F34:G34"/>
    <mergeCell ref="F35:G35"/>
    <mergeCell ref="F26:G26"/>
    <mergeCell ref="F27:G27"/>
    <mergeCell ref="F28:G28"/>
    <mergeCell ref="F29:G29"/>
    <mergeCell ref="F30:G30"/>
    <mergeCell ref="B13:G13"/>
    <mergeCell ref="B14:G14"/>
    <mergeCell ref="B21:E21"/>
    <mergeCell ref="B24:G24"/>
    <mergeCell ref="F25:G25"/>
    <mergeCell ref="E7:G7"/>
    <mergeCell ref="E8:G8"/>
    <mergeCell ref="E9:G9"/>
    <mergeCell ref="E10:G10"/>
    <mergeCell ref="E11:G11"/>
    <mergeCell ref="B1:G1"/>
    <mergeCell ref="B2:G2"/>
    <mergeCell ref="B4:G4"/>
    <mergeCell ref="F5:G5"/>
    <mergeCell ref="E6:G6"/>
  </mergeCells>
  <conditionalFormatting sqref="C26:C35">
    <cfRule type="expression" dxfId="17" priority="2">
      <formula>LEFT(C26,1)="✅"</formula>
    </cfRule>
    <cfRule type="expression" dxfId="16" priority="3">
      <formula>LEFT(C26,1)="⚠"</formula>
    </cfRule>
    <cfRule type="expression" dxfId="15" priority="4">
      <formula>LEFT(C26,1)="❌"</formula>
    </cfRule>
  </conditionalFormatting>
  <dataValidations count="1">
    <dataValidation type="list" allowBlank="1" sqref="C26:C35" xr:uid="{00000000-0002-0000-0300-000000000000}">
      <formula1>"✅ Validé,⚠️ En cours,❌ Non fait,N/A"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6"/>
  <sheetViews>
    <sheetView showGridLines="0" tabSelected="1" zoomScaleNormal="100" workbookViewId="0"/>
  </sheetViews>
  <sheetFormatPr defaultColWidth="8.6640625" defaultRowHeight="14.4" x14ac:dyDescent="0.3"/>
  <cols>
    <col min="1" max="1" width="3" customWidth="1"/>
    <col min="2" max="2" width="5" customWidth="1"/>
    <col min="3" max="3" width="22" customWidth="1"/>
    <col min="4" max="4" width="52" customWidth="1"/>
    <col min="5" max="5" width="16" customWidth="1"/>
    <col min="6" max="6" width="38" customWidth="1"/>
  </cols>
  <sheetData>
    <row r="1" spans="2:6" ht="33.75" customHeight="1" x14ac:dyDescent="0.3">
      <c r="B1" s="4" t="s">
        <v>183</v>
      </c>
      <c r="C1" s="4"/>
      <c r="D1" s="4"/>
      <c r="E1" s="4"/>
      <c r="F1" s="4"/>
    </row>
    <row r="2" spans="2:6" ht="19.5" customHeight="1" x14ac:dyDescent="0.3">
      <c r="B2" s="6" t="s">
        <v>184</v>
      </c>
      <c r="C2" s="6"/>
      <c r="D2" s="6"/>
      <c r="E2" s="6"/>
      <c r="F2" s="6"/>
    </row>
    <row r="3" spans="2:6" ht="24" customHeight="1" x14ac:dyDescent="0.3">
      <c r="B3" s="3" t="s">
        <v>69</v>
      </c>
      <c r="C3" s="3"/>
      <c r="D3" s="3"/>
      <c r="E3" s="27" t="str">
        <f>COUNTIF(C:C,"✅ Validé")&amp;" / 14"</f>
        <v>0 / 14</v>
      </c>
      <c r="F3" s="28" t="str">
        <f>REPT("█",ROUND(COUNTIF(C:C,"✅ Validé")/14*10,0))&amp;" "&amp;TEXT(COUNTIF(C:C,"✅ Validé")/14,"0%")</f>
        <v xml:space="preserve"> 0%</v>
      </c>
    </row>
    <row r="4" spans="2:6" ht="21.75" customHeight="1" x14ac:dyDescent="0.3">
      <c r="B4" s="15" t="s">
        <v>70</v>
      </c>
      <c r="C4" s="15" t="s">
        <v>44</v>
      </c>
      <c r="D4" s="15" t="s">
        <v>71</v>
      </c>
      <c r="E4" s="15" t="s">
        <v>72</v>
      </c>
      <c r="F4" s="15" t="s">
        <v>73</v>
      </c>
    </row>
    <row r="5" spans="2:6" ht="21.75" customHeight="1" x14ac:dyDescent="0.3">
      <c r="B5" s="2" t="s">
        <v>185</v>
      </c>
      <c r="C5" s="2"/>
      <c r="D5" s="2"/>
      <c r="E5" s="2"/>
      <c r="F5" s="2"/>
    </row>
    <row r="6" spans="2:6" ht="37.5" customHeight="1" x14ac:dyDescent="0.3">
      <c r="B6" s="29">
        <v>1</v>
      </c>
      <c r="C6" s="30" t="s">
        <v>75</v>
      </c>
      <c r="D6" s="31" t="s">
        <v>186</v>
      </c>
      <c r="E6" s="39" t="s">
        <v>82</v>
      </c>
      <c r="F6" s="33" t="s">
        <v>187</v>
      </c>
    </row>
    <row r="7" spans="2:6" ht="37.5" customHeight="1" x14ac:dyDescent="0.3">
      <c r="B7" s="34">
        <v>2</v>
      </c>
      <c r="C7" s="35" t="s">
        <v>75</v>
      </c>
      <c r="D7" s="36" t="s">
        <v>188</v>
      </c>
      <c r="E7" s="41" t="s">
        <v>82</v>
      </c>
      <c r="F7" s="38" t="s">
        <v>189</v>
      </c>
    </row>
    <row r="8" spans="2:6" ht="37.5" customHeight="1" x14ac:dyDescent="0.3">
      <c r="B8" s="29">
        <v>3</v>
      </c>
      <c r="C8" s="30" t="s">
        <v>75</v>
      </c>
      <c r="D8" s="31" t="s">
        <v>190</v>
      </c>
      <c r="E8" s="32" t="s">
        <v>77</v>
      </c>
      <c r="F8" s="33" t="s">
        <v>191</v>
      </c>
    </row>
    <row r="9" spans="2:6" ht="6" customHeight="1" x14ac:dyDescent="0.3"/>
    <row r="10" spans="2:6" ht="21.75" customHeight="1" x14ac:dyDescent="0.3">
      <c r="B10" s="2" t="s">
        <v>192</v>
      </c>
      <c r="C10" s="2"/>
      <c r="D10" s="2"/>
      <c r="E10" s="2"/>
      <c r="F10" s="2"/>
    </row>
    <row r="11" spans="2:6" ht="37.5" customHeight="1" x14ac:dyDescent="0.3">
      <c r="B11" s="34">
        <v>4</v>
      </c>
      <c r="C11" s="35" t="s">
        <v>75</v>
      </c>
      <c r="D11" s="36" t="s">
        <v>193</v>
      </c>
      <c r="E11" s="41" t="s">
        <v>82</v>
      </c>
      <c r="F11" s="38" t="s">
        <v>194</v>
      </c>
    </row>
    <row r="12" spans="2:6" ht="37.5" customHeight="1" x14ac:dyDescent="0.3">
      <c r="B12" s="29">
        <v>5</v>
      </c>
      <c r="C12" s="30" t="s">
        <v>75</v>
      </c>
      <c r="D12" s="31" t="s">
        <v>195</v>
      </c>
      <c r="E12" s="39" t="s">
        <v>82</v>
      </c>
      <c r="F12" s="33" t="s">
        <v>196</v>
      </c>
    </row>
    <row r="13" spans="2:6" ht="37.5" customHeight="1" x14ac:dyDescent="0.3">
      <c r="B13" s="34">
        <v>6</v>
      </c>
      <c r="C13" s="35" t="s">
        <v>75</v>
      </c>
      <c r="D13" s="36" t="s">
        <v>197</v>
      </c>
      <c r="E13" s="37" t="s">
        <v>77</v>
      </c>
      <c r="F13" s="38" t="s">
        <v>198</v>
      </c>
    </row>
    <row r="14" spans="2:6" ht="37.5" customHeight="1" x14ac:dyDescent="0.3">
      <c r="B14" s="29">
        <v>7</v>
      </c>
      <c r="C14" s="30" t="s">
        <v>75</v>
      </c>
      <c r="D14" s="31" t="s">
        <v>199</v>
      </c>
      <c r="E14" s="32" t="s">
        <v>77</v>
      </c>
      <c r="F14" s="33" t="s">
        <v>200</v>
      </c>
    </row>
    <row r="15" spans="2:6" ht="37.5" customHeight="1" x14ac:dyDescent="0.3">
      <c r="B15" s="34">
        <v>8</v>
      </c>
      <c r="C15" s="35" t="s">
        <v>75</v>
      </c>
      <c r="D15" s="36" t="s">
        <v>201</v>
      </c>
      <c r="E15" s="41" t="s">
        <v>82</v>
      </c>
      <c r="F15" s="38" t="s">
        <v>202</v>
      </c>
    </row>
    <row r="16" spans="2:6" ht="37.5" customHeight="1" x14ac:dyDescent="0.3">
      <c r="B16" s="29">
        <v>9</v>
      </c>
      <c r="C16" s="30" t="s">
        <v>75</v>
      </c>
      <c r="D16" s="31" t="s">
        <v>203</v>
      </c>
      <c r="E16" s="42" t="s">
        <v>85</v>
      </c>
      <c r="F16" s="33" t="s">
        <v>204</v>
      </c>
    </row>
    <row r="17" spans="2:6" ht="6" customHeight="1" x14ac:dyDescent="0.3"/>
    <row r="18" spans="2:6" ht="21.75" customHeight="1" x14ac:dyDescent="0.3">
      <c r="B18" s="2" t="s">
        <v>205</v>
      </c>
      <c r="C18" s="2"/>
      <c r="D18" s="2"/>
      <c r="E18" s="2"/>
      <c r="F18" s="2"/>
    </row>
    <row r="19" spans="2:6" ht="37.5" customHeight="1" x14ac:dyDescent="0.3">
      <c r="B19" s="34">
        <v>10</v>
      </c>
      <c r="C19" s="35" t="s">
        <v>75</v>
      </c>
      <c r="D19" s="36" t="s">
        <v>206</v>
      </c>
      <c r="E19" s="41" t="s">
        <v>82</v>
      </c>
      <c r="F19" s="38" t="s">
        <v>207</v>
      </c>
    </row>
    <row r="20" spans="2:6" ht="37.5" customHeight="1" x14ac:dyDescent="0.3">
      <c r="B20" s="29">
        <v>11</v>
      </c>
      <c r="C20" s="30" t="s">
        <v>75</v>
      </c>
      <c r="D20" s="31" t="s">
        <v>208</v>
      </c>
      <c r="E20" s="32" t="s">
        <v>77</v>
      </c>
      <c r="F20" s="33" t="s">
        <v>209</v>
      </c>
    </row>
    <row r="21" spans="2:6" ht="37.5" customHeight="1" x14ac:dyDescent="0.3">
      <c r="B21" s="34">
        <v>12</v>
      </c>
      <c r="C21" s="35" t="s">
        <v>75</v>
      </c>
      <c r="D21" s="36" t="s">
        <v>210</v>
      </c>
      <c r="E21" s="37" t="s">
        <v>77</v>
      </c>
      <c r="F21" s="38" t="s">
        <v>211</v>
      </c>
    </row>
    <row r="22" spans="2:6" ht="37.5" customHeight="1" x14ac:dyDescent="0.3">
      <c r="B22" s="29">
        <v>13</v>
      </c>
      <c r="C22" s="30" t="s">
        <v>75</v>
      </c>
      <c r="D22" s="31" t="s">
        <v>212</v>
      </c>
      <c r="E22" s="32" t="s">
        <v>77</v>
      </c>
      <c r="F22" s="33" t="s">
        <v>213</v>
      </c>
    </row>
    <row r="23" spans="2:6" ht="37.5" customHeight="1" x14ac:dyDescent="0.3">
      <c r="B23" s="34">
        <v>14</v>
      </c>
      <c r="C23" s="35" t="s">
        <v>75</v>
      </c>
      <c r="D23" s="36" t="s">
        <v>214</v>
      </c>
      <c r="E23" s="41" t="s">
        <v>82</v>
      </c>
      <c r="F23" s="38" t="s">
        <v>215</v>
      </c>
    </row>
    <row r="24" spans="2:6" ht="6" customHeight="1" x14ac:dyDescent="0.3"/>
    <row r="26" spans="2:6" ht="15" customHeight="1" x14ac:dyDescent="0.3">
      <c r="B26" s="7" t="s">
        <v>66</v>
      </c>
      <c r="C26" s="7"/>
      <c r="D26" s="7"/>
      <c r="E26" s="7"/>
      <c r="F26" s="7"/>
    </row>
  </sheetData>
  <mergeCells count="7">
    <mergeCell ref="B18:F18"/>
    <mergeCell ref="B26:F26"/>
    <mergeCell ref="B1:F1"/>
    <mergeCell ref="B2:F2"/>
    <mergeCell ref="B3:D3"/>
    <mergeCell ref="B5:F5"/>
    <mergeCell ref="B10:F10"/>
  </mergeCells>
  <conditionalFormatting sqref="C5:C23">
    <cfRule type="expression" dxfId="14" priority="2">
      <formula>LEFT(C5,1)="✅"</formula>
    </cfRule>
    <cfRule type="expression" dxfId="13" priority="3">
      <formula>LEFT(C5,1)="⚠"</formula>
    </cfRule>
    <cfRule type="expression" dxfId="12" priority="4">
      <formula>LEFT(C5,1)="❌"</formula>
    </cfRule>
  </conditionalFormatting>
  <dataValidations count="1">
    <dataValidation type="list" allowBlank="1" sqref="C5:C23" xr:uid="{00000000-0002-0000-0400-000000000000}">
      <formula1>"✅ Validé,⚠️ En cours,❌ Non fait,N/A"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27"/>
  <sheetViews>
    <sheetView showGridLines="0" zoomScaleNormal="100" workbookViewId="0"/>
  </sheetViews>
  <sheetFormatPr defaultColWidth="8.6640625" defaultRowHeight="14.4" x14ac:dyDescent="0.3"/>
  <cols>
    <col min="1" max="1" width="3" customWidth="1"/>
    <col min="2" max="2" width="5" customWidth="1"/>
    <col min="3" max="3" width="22" customWidth="1"/>
    <col min="4" max="4" width="52" customWidth="1"/>
    <col min="5" max="5" width="16" customWidth="1"/>
    <col min="6" max="6" width="38" customWidth="1"/>
  </cols>
  <sheetData>
    <row r="1" spans="2:6" ht="33.75" customHeight="1" x14ac:dyDescent="0.3">
      <c r="B1" s="4" t="s">
        <v>216</v>
      </c>
      <c r="C1" s="4"/>
      <c r="D1" s="4"/>
      <c r="E1" s="4"/>
      <c r="F1" s="4"/>
    </row>
    <row r="2" spans="2:6" ht="19.5" customHeight="1" x14ac:dyDescent="0.3">
      <c r="B2" s="6" t="s">
        <v>217</v>
      </c>
      <c r="C2" s="6"/>
      <c r="D2" s="6"/>
      <c r="E2" s="6"/>
      <c r="F2" s="6"/>
    </row>
    <row r="3" spans="2:6" ht="24" customHeight="1" x14ac:dyDescent="0.3">
      <c r="B3" s="3" t="s">
        <v>69</v>
      </c>
      <c r="C3" s="3"/>
      <c r="D3" s="3"/>
      <c r="E3" s="27" t="str">
        <f>COUNTIF(C:C,"✅ Validé")&amp;" / 13"</f>
        <v>0 / 13</v>
      </c>
      <c r="F3" s="28" t="str">
        <f>REPT("█",ROUND(COUNTIF(C:C,"✅ Validé")/13*10,0))&amp;" "&amp;TEXT(COUNTIF(C:C,"✅ Validé")/13,"0%")</f>
        <v xml:space="preserve"> 0%</v>
      </c>
    </row>
    <row r="4" spans="2:6" ht="21.75" customHeight="1" x14ac:dyDescent="0.3">
      <c r="B4" s="15" t="s">
        <v>70</v>
      </c>
      <c r="C4" s="15" t="s">
        <v>44</v>
      </c>
      <c r="D4" s="15" t="s">
        <v>71</v>
      </c>
      <c r="E4" s="15" t="s">
        <v>72</v>
      </c>
      <c r="F4" s="15" t="s">
        <v>73</v>
      </c>
    </row>
    <row r="5" spans="2:6" ht="21.75" customHeight="1" x14ac:dyDescent="0.3">
      <c r="B5" s="2" t="s">
        <v>218</v>
      </c>
      <c r="C5" s="2"/>
      <c r="D5" s="2"/>
      <c r="E5" s="2"/>
      <c r="F5" s="2"/>
    </row>
    <row r="6" spans="2:6" ht="37.5" customHeight="1" x14ac:dyDescent="0.3">
      <c r="B6" s="29">
        <v>1</v>
      </c>
      <c r="C6" s="30" t="s">
        <v>75</v>
      </c>
      <c r="D6" s="31" t="s">
        <v>219</v>
      </c>
      <c r="E6" s="32" t="s">
        <v>77</v>
      </c>
      <c r="F6" s="33" t="s">
        <v>220</v>
      </c>
    </row>
    <row r="7" spans="2:6" ht="37.5" customHeight="1" x14ac:dyDescent="0.3">
      <c r="B7" s="34">
        <v>2</v>
      </c>
      <c r="C7" s="35" t="s">
        <v>75</v>
      </c>
      <c r="D7" s="36" t="s">
        <v>221</v>
      </c>
      <c r="E7" s="37" t="s">
        <v>77</v>
      </c>
      <c r="F7" s="38" t="s">
        <v>222</v>
      </c>
    </row>
    <row r="8" spans="2:6" ht="37.5" customHeight="1" x14ac:dyDescent="0.3">
      <c r="B8" s="29">
        <v>3</v>
      </c>
      <c r="C8" s="30" t="s">
        <v>75</v>
      </c>
      <c r="D8" s="31" t="s">
        <v>223</v>
      </c>
      <c r="E8" s="39" t="s">
        <v>82</v>
      </c>
      <c r="F8" s="33" t="s">
        <v>224</v>
      </c>
    </row>
    <row r="9" spans="2:6" ht="37.5" customHeight="1" x14ac:dyDescent="0.3">
      <c r="B9" s="34">
        <v>4</v>
      </c>
      <c r="C9" s="35" t="s">
        <v>75</v>
      </c>
      <c r="D9" s="36" t="s">
        <v>225</v>
      </c>
      <c r="E9" s="41" t="s">
        <v>82</v>
      </c>
      <c r="F9" s="38" t="s">
        <v>226</v>
      </c>
    </row>
    <row r="10" spans="2:6" ht="6" customHeight="1" x14ac:dyDescent="0.3"/>
    <row r="11" spans="2:6" ht="21.75" customHeight="1" x14ac:dyDescent="0.3">
      <c r="B11" s="2" t="s">
        <v>227</v>
      </c>
      <c r="C11" s="2"/>
      <c r="D11" s="2"/>
      <c r="E11" s="2"/>
      <c r="F11" s="2"/>
    </row>
    <row r="12" spans="2:6" ht="37.5" customHeight="1" x14ac:dyDescent="0.3">
      <c r="B12" s="29">
        <v>5</v>
      </c>
      <c r="C12" s="30" t="s">
        <v>75</v>
      </c>
      <c r="D12" s="31" t="s">
        <v>228</v>
      </c>
      <c r="E12" s="32" t="s">
        <v>77</v>
      </c>
      <c r="F12" s="33" t="s">
        <v>229</v>
      </c>
    </row>
    <row r="13" spans="2:6" ht="37.5" customHeight="1" x14ac:dyDescent="0.3">
      <c r="B13" s="34">
        <v>6</v>
      </c>
      <c r="C13" s="35" t="s">
        <v>75</v>
      </c>
      <c r="D13" s="36" t="s">
        <v>230</v>
      </c>
      <c r="E13" s="40" t="s">
        <v>85</v>
      </c>
      <c r="F13" s="38" t="s">
        <v>231</v>
      </c>
    </row>
    <row r="14" spans="2:6" ht="6" customHeight="1" x14ac:dyDescent="0.3"/>
    <row r="15" spans="2:6" ht="21.75" customHeight="1" x14ac:dyDescent="0.3">
      <c r="B15" s="2" t="s">
        <v>232</v>
      </c>
      <c r="C15" s="2"/>
      <c r="D15" s="2"/>
      <c r="E15" s="2"/>
      <c r="F15" s="2"/>
    </row>
    <row r="16" spans="2:6" ht="37.5" customHeight="1" x14ac:dyDescent="0.3">
      <c r="B16" s="29">
        <v>7</v>
      </c>
      <c r="C16" s="30" t="s">
        <v>75</v>
      </c>
      <c r="D16" s="31" t="s">
        <v>233</v>
      </c>
      <c r="E16" s="32" t="s">
        <v>77</v>
      </c>
      <c r="F16" s="33" t="s">
        <v>234</v>
      </c>
    </row>
    <row r="17" spans="2:6" ht="37.5" customHeight="1" x14ac:dyDescent="0.3">
      <c r="B17" s="34">
        <v>8</v>
      </c>
      <c r="C17" s="35" t="s">
        <v>75</v>
      </c>
      <c r="D17" s="36" t="s">
        <v>235</v>
      </c>
      <c r="E17" s="41" t="s">
        <v>82</v>
      </c>
      <c r="F17" s="38" t="s">
        <v>236</v>
      </c>
    </row>
    <row r="18" spans="2:6" ht="37.5" customHeight="1" x14ac:dyDescent="0.3">
      <c r="B18" s="29">
        <v>9</v>
      </c>
      <c r="C18" s="30" t="s">
        <v>75</v>
      </c>
      <c r="D18" s="31" t="s">
        <v>237</v>
      </c>
      <c r="E18" s="32" t="s">
        <v>77</v>
      </c>
      <c r="F18" s="33" t="s">
        <v>238</v>
      </c>
    </row>
    <row r="19" spans="2:6" ht="37.5" customHeight="1" x14ac:dyDescent="0.3">
      <c r="B19" s="34">
        <v>10</v>
      </c>
      <c r="C19" s="35" t="s">
        <v>75</v>
      </c>
      <c r="D19" s="36" t="s">
        <v>239</v>
      </c>
      <c r="E19" s="41" t="s">
        <v>82</v>
      </c>
      <c r="F19" s="38" t="s">
        <v>240</v>
      </c>
    </row>
    <row r="20" spans="2:6" ht="37.5" customHeight="1" x14ac:dyDescent="0.3">
      <c r="B20" s="29">
        <v>11</v>
      </c>
      <c r="C20" s="30" t="s">
        <v>75</v>
      </c>
      <c r="D20" s="31" t="s">
        <v>241</v>
      </c>
      <c r="E20" s="42" t="s">
        <v>85</v>
      </c>
      <c r="F20" s="33" t="s">
        <v>242</v>
      </c>
    </row>
    <row r="21" spans="2:6" ht="6" customHeight="1" x14ac:dyDescent="0.3"/>
    <row r="22" spans="2:6" ht="21.75" customHeight="1" x14ac:dyDescent="0.3">
      <c r="B22" s="2" t="s">
        <v>243</v>
      </c>
      <c r="C22" s="2"/>
      <c r="D22" s="2"/>
      <c r="E22" s="2"/>
      <c r="F22" s="2"/>
    </row>
    <row r="23" spans="2:6" ht="37.5" customHeight="1" x14ac:dyDescent="0.3">
      <c r="B23" s="34">
        <v>12</v>
      </c>
      <c r="C23" s="35" t="s">
        <v>75</v>
      </c>
      <c r="D23" s="36" t="s">
        <v>244</v>
      </c>
      <c r="E23" s="41" t="s">
        <v>82</v>
      </c>
      <c r="F23" s="38" t="s">
        <v>245</v>
      </c>
    </row>
    <row r="24" spans="2:6" ht="37.5" customHeight="1" x14ac:dyDescent="0.3">
      <c r="B24" s="29">
        <v>13</v>
      </c>
      <c r="C24" s="30" t="s">
        <v>75</v>
      </c>
      <c r="D24" s="31" t="s">
        <v>246</v>
      </c>
      <c r="E24" s="42" t="s">
        <v>85</v>
      </c>
      <c r="F24" s="33" t="s">
        <v>247</v>
      </c>
    </row>
    <row r="25" spans="2:6" ht="6" customHeight="1" x14ac:dyDescent="0.3"/>
    <row r="27" spans="2:6" ht="15" customHeight="1" x14ac:dyDescent="0.3">
      <c r="B27" s="7" t="s">
        <v>66</v>
      </c>
      <c r="C27" s="7"/>
      <c r="D27" s="7"/>
      <c r="E27" s="7"/>
      <c r="F27" s="7"/>
    </row>
  </sheetData>
  <mergeCells count="8">
    <mergeCell ref="B15:F15"/>
    <mergeCell ref="B22:F22"/>
    <mergeCell ref="B27:F27"/>
    <mergeCell ref="B1:F1"/>
    <mergeCell ref="B2:F2"/>
    <mergeCell ref="B3:D3"/>
    <mergeCell ref="B5:F5"/>
    <mergeCell ref="B11:F11"/>
  </mergeCells>
  <conditionalFormatting sqref="C5:C24">
    <cfRule type="expression" dxfId="11" priority="2">
      <formula>LEFT(C5,1)="✅"</formula>
    </cfRule>
    <cfRule type="expression" dxfId="10" priority="3">
      <formula>LEFT(C5,1)="⚠"</formula>
    </cfRule>
    <cfRule type="expression" dxfId="9" priority="4">
      <formula>LEFT(C5,1)="❌"</formula>
    </cfRule>
  </conditionalFormatting>
  <dataValidations count="1">
    <dataValidation type="list" allowBlank="1" sqref="C5:C24" xr:uid="{00000000-0002-0000-0500-000000000000}">
      <formula1>"✅ Validé,⚠️ En cours,❌ Non fait,N/A"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33"/>
  <sheetViews>
    <sheetView showGridLines="0" zoomScaleNormal="100" workbookViewId="0">
      <selection activeCell="B12" sqref="B12"/>
    </sheetView>
  </sheetViews>
  <sheetFormatPr defaultColWidth="8.6640625" defaultRowHeight="14.4" x14ac:dyDescent="0.3"/>
  <cols>
    <col min="1" max="1" width="3" customWidth="1"/>
    <col min="2" max="2" width="42" customWidth="1"/>
    <col min="3" max="4" width="20" customWidth="1"/>
    <col min="5" max="5" width="22" customWidth="1"/>
  </cols>
  <sheetData>
    <row r="1" spans="2:5" ht="33.75" customHeight="1" x14ac:dyDescent="0.3">
      <c r="B1" s="4" t="s">
        <v>248</v>
      </c>
      <c r="C1" s="4"/>
      <c r="D1" s="4"/>
      <c r="E1" s="4"/>
    </row>
    <row r="2" spans="2:5" ht="19.5" customHeight="1" x14ac:dyDescent="0.3">
      <c r="B2" s="6" t="s">
        <v>249</v>
      </c>
      <c r="C2" s="6"/>
      <c r="D2" s="6"/>
      <c r="E2" s="6"/>
    </row>
    <row r="3" spans="2:5" ht="9.75" customHeight="1" x14ac:dyDescent="0.3"/>
    <row r="4" spans="2:5" ht="19.5" customHeight="1" x14ac:dyDescent="0.3">
      <c r="B4" s="15" t="s">
        <v>250</v>
      </c>
      <c r="C4" s="15" t="s">
        <v>251</v>
      </c>
      <c r="D4" s="15" t="s">
        <v>252</v>
      </c>
      <c r="E4" s="15" t="s">
        <v>253</v>
      </c>
    </row>
    <row r="5" spans="2:5" ht="21.75" customHeight="1" x14ac:dyDescent="0.3">
      <c r="B5" s="95" t="s">
        <v>254</v>
      </c>
      <c r="C5" s="95"/>
      <c r="D5" s="95"/>
      <c r="E5" s="95"/>
    </row>
    <row r="6" spans="2:5" ht="25.5" customHeight="1" x14ac:dyDescent="0.3">
      <c r="B6" s="51" t="s">
        <v>255</v>
      </c>
      <c r="C6" s="49">
        <v>1200</v>
      </c>
      <c r="D6" s="38" t="s">
        <v>256</v>
      </c>
      <c r="E6" s="52" t="str">
        <f t="shared" ref="E6:E11" si="0">IF(C6&lt;&gt;0,"+"&amp;TEXT(ABS(C6),"#,##0")&amp;" k€","—")</f>
        <v>+1200,0 k€</v>
      </c>
    </row>
    <row r="7" spans="2:5" ht="25.5" customHeight="1" x14ac:dyDescent="0.3">
      <c r="B7" s="53" t="s">
        <v>257</v>
      </c>
      <c r="C7" s="49">
        <v>300</v>
      </c>
      <c r="D7" s="33" t="s">
        <v>258</v>
      </c>
      <c r="E7" s="54" t="str">
        <f t="shared" si="0"/>
        <v>+300,0 k€</v>
      </c>
    </row>
    <row r="8" spans="2:5" ht="25.5" customHeight="1" x14ac:dyDescent="0.3">
      <c r="B8" s="51" t="s">
        <v>259</v>
      </c>
      <c r="C8" s="49">
        <v>350</v>
      </c>
      <c r="D8" s="38" t="s">
        <v>260</v>
      </c>
      <c r="E8" s="52" t="str">
        <f t="shared" si="0"/>
        <v>+350,0 k€</v>
      </c>
    </row>
    <row r="9" spans="2:5" ht="25.5" customHeight="1" x14ac:dyDescent="0.3">
      <c r="B9" s="53" t="s">
        <v>261</v>
      </c>
      <c r="C9" s="49">
        <v>180</v>
      </c>
      <c r="D9" s="33" t="s">
        <v>262</v>
      </c>
      <c r="E9" s="54" t="str">
        <f t="shared" si="0"/>
        <v>+180,0 k€</v>
      </c>
    </row>
    <row r="10" spans="2:5" ht="25.5" customHeight="1" x14ac:dyDescent="0.3">
      <c r="B10" s="51" t="s">
        <v>263</v>
      </c>
      <c r="C10" s="49">
        <v>0</v>
      </c>
      <c r="D10" s="38" t="s">
        <v>264</v>
      </c>
      <c r="E10" s="52" t="str">
        <f t="shared" si="0"/>
        <v>—</v>
      </c>
    </row>
    <row r="11" spans="2:5" ht="25.5" customHeight="1" x14ac:dyDescent="0.3">
      <c r="B11" s="165" t="s">
        <v>265</v>
      </c>
      <c r="C11" s="119">
        <v>0</v>
      </c>
      <c r="D11" s="166" t="s">
        <v>266</v>
      </c>
      <c r="E11" s="168" t="str">
        <f t="shared" si="0"/>
        <v>—</v>
      </c>
    </row>
    <row r="12" spans="2:5" s="113" customFormat="1" ht="24" customHeight="1" x14ac:dyDescent="0.3">
      <c r="B12" s="174" t="s">
        <v>267</v>
      </c>
      <c r="C12" s="169">
        <f>SUM(C6:C11)</f>
        <v>2030</v>
      </c>
    </row>
    <row r="14" spans="2:5" ht="21.75" customHeight="1" x14ac:dyDescent="0.3">
      <c r="B14" s="96" t="s">
        <v>268</v>
      </c>
      <c r="C14" s="96"/>
      <c r="D14" s="96"/>
      <c r="E14" s="96"/>
    </row>
    <row r="15" spans="2:5" ht="25.5" customHeight="1" x14ac:dyDescent="0.3">
      <c r="B15" s="51" t="s">
        <v>269</v>
      </c>
      <c r="C15" s="49">
        <v>680</v>
      </c>
      <c r="D15" s="38" t="s">
        <v>270</v>
      </c>
      <c r="E15" s="55" t="str">
        <f>IF(C15&lt;&gt;0,"-"&amp;TEXT(ABS(C15),"#,##0")&amp;" k€","—")</f>
        <v>-680,0 k€</v>
      </c>
    </row>
    <row r="16" spans="2:5" ht="25.5" customHeight="1" x14ac:dyDescent="0.3">
      <c r="B16" s="165" t="s">
        <v>271</v>
      </c>
      <c r="C16" s="119">
        <v>50</v>
      </c>
      <c r="D16" s="166" t="s">
        <v>272</v>
      </c>
      <c r="E16" s="167" t="str">
        <f>IF(C16&lt;&gt;0,"-"&amp;TEXT(ABS(C16),"#,##0")&amp;" k€","—")</f>
        <v>-50,0 k€</v>
      </c>
    </row>
    <row r="17" spans="2:5" s="113" customFormat="1" ht="24" customHeight="1" x14ac:dyDescent="0.3">
      <c r="B17" s="173" t="s">
        <v>273</v>
      </c>
      <c r="C17" s="141">
        <f>SUM(C15:C16)</f>
        <v>730</v>
      </c>
    </row>
    <row r="19" spans="2:5" ht="21.75" customHeight="1" x14ac:dyDescent="0.3">
      <c r="B19" s="97" t="s">
        <v>274</v>
      </c>
      <c r="C19" s="97"/>
      <c r="D19" s="97"/>
      <c r="E19" s="97"/>
    </row>
    <row r="20" spans="2:5" ht="25.5" customHeight="1" x14ac:dyDescent="0.3">
      <c r="B20" s="51" t="s">
        <v>275</v>
      </c>
      <c r="C20" s="49">
        <v>85</v>
      </c>
      <c r="D20" s="38" t="s">
        <v>276</v>
      </c>
      <c r="E20" s="52" t="str">
        <f>IF(C20&lt;&gt;0,"+"&amp;TEXT(ABS(C20),"#,##0")&amp;" k€","—")</f>
        <v>+85,0 k€</v>
      </c>
    </row>
    <row r="21" spans="2:5" ht="25.5" customHeight="1" x14ac:dyDescent="0.3">
      <c r="B21" s="53" t="s">
        <v>277</v>
      </c>
      <c r="C21" s="49">
        <v>0</v>
      </c>
      <c r="D21" s="33" t="s">
        <v>278</v>
      </c>
      <c r="E21" s="54" t="str">
        <f>IF(C21&lt;&gt;0,"+"&amp;TEXT(ABS(C21),"#,##0")&amp;" k€","—")</f>
        <v>—</v>
      </c>
    </row>
    <row r="22" spans="2:5" ht="25.5" customHeight="1" x14ac:dyDescent="0.3">
      <c r="B22" s="51" t="s">
        <v>279</v>
      </c>
      <c r="C22" s="49">
        <v>120</v>
      </c>
      <c r="D22" s="38" t="s">
        <v>280</v>
      </c>
      <c r="E22" s="52" t="str">
        <f>IF(C22&lt;&gt;0,"+"&amp;TEXT(ABS(C22),"#,##0")&amp;" k€","—")</f>
        <v>+120,0 k€</v>
      </c>
    </row>
    <row r="23" spans="2:5" ht="25.5" customHeight="1" x14ac:dyDescent="0.3">
      <c r="B23" s="53" t="s">
        <v>281</v>
      </c>
      <c r="C23" s="49">
        <v>0</v>
      </c>
      <c r="D23" s="33" t="s">
        <v>282</v>
      </c>
      <c r="E23" s="54" t="str">
        <f>IF(C23&lt;&gt;0,"+"&amp;TEXT(ABS(C23),"#,##0")&amp;" k€","—")</f>
        <v>—</v>
      </c>
    </row>
    <row r="24" spans="2:5" ht="25.5" customHeight="1" x14ac:dyDescent="0.3">
      <c r="B24" s="161" t="s">
        <v>283</v>
      </c>
      <c r="C24" s="119">
        <v>0</v>
      </c>
      <c r="D24" s="162" t="s">
        <v>284</v>
      </c>
      <c r="E24" s="170" t="str">
        <f>IF(C24&lt;&gt;0,"+"&amp;TEXT(ABS(C24),"#,##0")&amp;" k€","—")</f>
        <v>—</v>
      </c>
    </row>
    <row r="25" spans="2:5" s="113" customFormat="1" ht="24" customHeight="1" x14ac:dyDescent="0.3">
      <c r="B25" s="172" t="s">
        <v>285</v>
      </c>
      <c r="C25" s="171">
        <f>SUM(C20:C24)</f>
        <v>205</v>
      </c>
    </row>
    <row r="27" spans="2:5" ht="21.75" customHeight="1" x14ac:dyDescent="0.3">
      <c r="B27" s="2" t="s">
        <v>286</v>
      </c>
      <c r="C27" s="2"/>
      <c r="D27" s="2"/>
      <c r="E27" s="2"/>
    </row>
    <row r="28" spans="2:5" ht="25.5" customHeight="1" x14ac:dyDescent="0.3">
      <c r="B28" s="51" t="s">
        <v>287</v>
      </c>
      <c r="C28" s="49">
        <v>95</v>
      </c>
      <c r="D28" s="38" t="s">
        <v>288</v>
      </c>
      <c r="E28" s="55" t="str">
        <f>IF(C28&lt;&gt;0,"-"&amp;TEXT(ABS(C28),"#,##0")&amp;" k€","—")</f>
        <v>-95,0 k€</v>
      </c>
    </row>
    <row r="29" spans="2:5" ht="25.5" customHeight="1" x14ac:dyDescent="0.3">
      <c r="B29" s="53" t="s">
        <v>289</v>
      </c>
      <c r="C29" s="49">
        <v>30</v>
      </c>
      <c r="D29" s="33" t="s">
        <v>284</v>
      </c>
      <c r="E29" s="56" t="str">
        <f>IF(C29&lt;&gt;0,"-"&amp;TEXT(ABS(C29),"#,##0")&amp;" k€","—")</f>
        <v>-30,0 k€</v>
      </c>
    </row>
    <row r="30" spans="2:5" ht="25.5" customHeight="1" x14ac:dyDescent="0.3">
      <c r="B30" s="161" t="s">
        <v>290</v>
      </c>
      <c r="C30" s="119">
        <v>0</v>
      </c>
      <c r="D30" s="162" t="s">
        <v>291</v>
      </c>
      <c r="E30" s="163" t="str">
        <f>IF(C30&lt;&gt;0,"-"&amp;TEXT(ABS(C30),"#,##0")&amp;" k€","—")</f>
        <v>—</v>
      </c>
    </row>
    <row r="31" spans="2:5" s="113" customFormat="1" ht="24" customHeight="1" x14ac:dyDescent="0.3">
      <c r="B31" s="164" t="s">
        <v>292</v>
      </c>
      <c r="C31" s="149">
        <f>SUM(C28:C30)</f>
        <v>125</v>
      </c>
    </row>
    <row r="33" spans="2:5" s="160" customFormat="1" ht="31.5" customHeight="1" x14ac:dyDescent="0.3">
      <c r="B33" s="118" t="s">
        <v>293</v>
      </c>
      <c r="C33" s="157">
        <f>C12-C17+C25-C31</f>
        <v>1380</v>
      </c>
      <c r="D33" s="159" t="str">
        <f>IF(C33&gt;0,"Dette nette : à déduire du prix des FP","Position nette créditrice")</f>
        <v>Dette nette : à déduire du prix des FP</v>
      </c>
      <c r="E33" s="159"/>
    </row>
  </sheetData>
  <mergeCells count="7">
    <mergeCell ref="B27:E27"/>
    <mergeCell ref="D33:E33"/>
    <mergeCell ref="B1:E1"/>
    <mergeCell ref="B2:E2"/>
    <mergeCell ref="B5:E5"/>
    <mergeCell ref="B14:E14"/>
    <mergeCell ref="B19:E19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48"/>
  <sheetViews>
    <sheetView showGridLines="0" topLeftCell="A5" zoomScaleNormal="100" workbookViewId="0">
      <selection activeCell="A12" sqref="A12:XFD12"/>
    </sheetView>
  </sheetViews>
  <sheetFormatPr defaultColWidth="8.6640625" defaultRowHeight="14.4" x14ac:dyDescent="0.3"/>
  <cols>
    <col min="1" max="1" width="3" customWidth="1"/>
    <col min="2" max="2" width="20" customWidth="1"/>
    <col min="3" max="16" width="15.77734375" customWidth="1"/>
  </cols>
  <sheetData>
    <row r="1" spans="2:16" ht="33.75" customHeight="1" x14ac:dyDescent="0.3">
      <c r="B1" s="4" t="s">
        <v>294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2:16" ht="19.5" customHeight="1" x14ac:dyDescent="0.3">
      <c r="B2" s="6" t="s">
        <v>295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2:16" ht="9.75" customHeight="1" x14ac:dyDescent="0.3"/>
    <row r="4" spans="2:16" ht="21.75" customHeight="1" x14ac:dyDescent="0.3">
      <c r="B4" s="10" t="s">
        <v>296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4" t="s">
        <v>297</v>
      </c>
      <c r="P4" s="24" t="s">
        <v>298</v>
      </c>
    </row>
    <row r="5" spans="2:16" ht="19.5" customHeight="1" x14ac:dyDescent="0.3">
      <c r="B5" s="57" t="s">
        <v>149</v>
      </c>
      <c r="C5" s="58" t="s">
        <v>299</v>
      </c>
      <c r="D5" s="58" t="s">
        <v>300</v>
      </c>
      <c r="E5" s="58" t="s">
        <v>301</v>
      </c>
      <c r="F5" s="58" t="s">
        <v>302</v>
      </c>
      <c r="G5" s="58" t="s">
        <v>303</v>
      </c>
      <c r="H5" s="58" t="s">
        <v>304</v>
      </c>
      <c r="I5" s="58" t="s">
        <v>305</v>
      </c>
      <c r="J5" s="58" t="s">
        <v>306</v>
      </c>
      <c r="K5" s="58" t="s">
        <v>307</v>
      </c>
      <c r="L5" s="58" t="s">
        <v>308</v>
      </c>
      <c r="M5" s="58" t="s">
        <v>309</v>
      </c>
      <c r="N5" s="58" t="s">
        <v>310</v>
      </c>
    </row>
    <row r="6" spans="2:16" ht="24" customHeight="1" x14ac:dyDescent="0.3">
      <c r="B6" s="59" t="s">
        <v>311</v>
      </c>
      <c r="C6" s="49">
        <v>420</v>
      </c>
      <c r="D6" s="49">
        <v>380</v>
      </c>
      <c r="E6" s="49">
        <v>410</v>
      </c>
      <c r="F6" s="49">
        <v>450</v>
      </c>
      <c r="G6" s="49">
        <v>430</v>
      </c>
      <c r="H6" s="49">
        <v>460</v>
      </c>
      <c r="I6" s="49">
        <v>480</v>
      </c>
      <c r="J6" s="49">
        <v>400</v>
      </c>
      <c r="K6" s="49">
        <v>420</v>
      </c>
      <c r="L6" s="49">
        <v>440</v>
      </c>
      <c r="M6" s="49">
        <v>460</v>
      </c>
      <c r="N6" s="49">
        <v>500</v>
      </c>
      <c r="O6" s="60">
        <f t="shared" ref="O6:O12" si="0">AVERAGE(C6:N6)</f>
        <v>437.5</v>
      </c>
    </row>
    <row r="7" spans="2:16" ht="24" customHeight="1" x14ac:dyDescent="0.3">
      <c r="B7" s="59" t="s">
        <v>312</v>
      </c>
      <c r="C7" s="49">
        <v>180</v>
      </c>
      <c r="D7" s="49">
        <v>175</v>
      </c>
      <c r="E7" s="49">
        <v>185</v>
      </c>
      <c r="F7" s="49">
        <v>190</v>
      </c>
      <c r="G7" s="49">
        <v>185</v>
      </c>
      <c r="H7" s="49">
        <v>195</v>
      </c>
      <c r="I7" s="49">
        <v>200</v>
      </c>
      <c r="J7" s="49">
        <v>170</v>
      </c>
      <c r="K7" s="49">
        <v>180</v>
      </c>
      <c r="L7" s="49">
        <v>185</v>
      </c>
      <c r="M7" s="49">
        <v>190</v>
      </c>
      <c r="N7" s="49">
        <v>210</v>
      </c>
      <c r="O7" s="60">
        <f t="shared" si="0"/>
        <v>187.08333333333334</v>
      </c>
    </row>
    <row r="8" spans="2:16" ht="24" customHeight="1" x14ac:dyDescent="0.3">
      <c r="B8" s="59" t="s">
        <v>313</v>
      </c>
      <c r="C8" s="49">
        <v>280</v>
      </c>
      <c r="D8" s="49">
        <v>260</v>
      </c>
      <c r="E8" s="49">
        <v>270</v>
      </c>
      <c r="F8" s="49">
        <v>295</v>
      </c>
      <c r="G8" s="49">
        <v>285</v>
      </c>
      <c r="H8" s="49">
        <v>300</v>
      </c>
      <c r="I8" s="49">
        <v>310</v>
      </c>
      <c r="J8" s="49">
        <v>265</v>
      </c>
      <c r="K8" s="49">
        <v>275</v>
      </c>
      <c r="L8" s="49">
        <v>285</v>
      </c>
      <c r="M8" s="49">
        <v>295</v>
      </c>
      <c r="N8" s="49">
        <v>320</v>
      </c>
      <c r="O8" s="60">
        <f t="shared" si="0"/>
        <v>286.66666666666669</v>
      </c>
    </row>
    <row r="9" spans="2:16" ht="24" customHeight="1" x14ac:dyDescent="0.3">
      <c r="B9" s="13" t="s">
        <v>314</v>
      </c>
      <c r="C9" s="49">
        <v>430</v>
      </c>
      <c r="D9" s="49">
        <v>390</v>
      </c>
      <c r="E9" s="49">
        <v>420</v>
      </c>
      <c r="F9" s="49">
        <v>460</v>
      </c>
      <c r="G9" s="49">
        <v>440</v>
      </c>
      <c r="H9" s="49">
        <v>470</v>
      </c>
      <c r="I9" s="49">
        <v>490</v>
      </c>
      <c r="J9" s="49">
        <v>410</v>
      </c>
      <c r="K9" s="49">
        <v>435</v>
      </c>
      <c r="L9" s="49">
        <v>450</v>
      </c>
      <c r="M9" s="49">
        <v>470</v>
      </c>
      <c r="N9" s="49">
        <v>510</v>
      </c>
      <c r="O9" s="60">
        <f t="shared" si="0"/>
        <v>447.91666666666669</v>
      </c>
    </row>
    <row r="10" spans="2:16" ht="24" customHeight="1" x14ac:dyDescent="0.3">
      <c r="B10" s="13" t="s">
        <v>315</v>
      </c>
      <c r="C10" s="49">
        <v>200</v>
      </c>
      <c r="D10" s="49">
        <v>185</v>
      </c>
      <c r="E10" s="49">
        <v>200</v>
      </c>
      <c r="F10" s="49">
        <v>215</v>
      </c>
      <c r="G10" s="49">
        <v>205</v>
      </c>
      <c r="H10" s="49">
        <v>220</v>
      </c>
      <c r="I10" s="49">
        <v>230</v>
      </c>
      <c r="J10" s="49">
        <v>195</v>
      </c>
      <c r="K10" s="49">
        <v>205</v>
      </c>
      <c r="L10" s="49">
        <v>215</v>
      </c>
      <c r="M10" s="49">
        <v>220</v>
      </c>
      <c r="N10" s="49">
        <v>240</v>
      </c>
      <c r="O10" s="60">
        <f t="shared" si="0"/>
        <v>210.83333333333334</v>
      </c>
    </row>
    <row r="11" spans="2:16" ht="24" customHeight="1" x14ac:dyDescent="0.3">
      <c r="B11" s="106" t="s">
        <v>316</v>
      </c>
      <c r="C11" s="119">
        <v>290</v>
      </c>
      <c r="D11" s="119">
        <v>270</v>
      </c>
      <c r="E11" s="119">
        <v>285</v>
      </c>
      <c r="F11" s="119">
        <v>300</v>
      </c>
      <c r="G11" s="119">
        <v>290</v>
      </c>
      <c r="H11" s="119">
        <v>310</v>
      </c>
      <c r="I11" s="119">
        <v>320</v>
      </c>
      <c r="J11" s="119">
        <v>275</v>
      </c>
      <c r="K11" s="119">
        <v>285</v>
      </c>
      <c r="L11" s="119">
        <v>295</v>
      </c>
      <c r="M11" s="119">
        <v>305</v>
      </c>
      <c r="N11" s="119">
        <v>330</v>
      </c>
      <c r="O11" s="156">
        <f t="shared" si="0"/>
        <v>296.25</v>
      </c>
    </row>
    <row r="12" spans="2:16" s="113" customFormat="1" ht="27.75" customHeight="1" x14ac:dyDescent="0.3">
      <c r="B12" s="132" t="s">
        <v>317</v>
      </c>
      <c r="C12" s="157">
        <f t="shared" ref="C12:N12" si="1">C6+C7-C8</f>
        <v>320</v>
      </c>
      <c r="D12" s="157">
        <f t="shared" si="1"/>
        <v>295</v>
      </c>
      <c r="E12" s="157">
        <f t="shared" si="1"/>
        <v>325</v>
      </c>
      <c r="F12" s="157">
        <f t="shared" si="1"/>
        <v>345</v>
      </c>
      <c r="G12" s="157">
        <f t="shared" si="1"/>
        <v>330</v>
      </c>
      <c r="H12" s="157">
        <f t="shared" si="1"/>
        <v>355</v>
      </c>
      <c r="I12" s="157">
        <f t="shared" si="1"/>
        <v>370</v>
      </c>
      <c r="J12" s="157">
        <f t="shared" si="1"/>
        <v>305</v>
      </c>
      <c r="K12" s="157">
        <f t="shared" si="1"/>
        <v>325</v>
      </c>
      <c r="L12" s="157">
        <f t="shared" si="1"/>
        <v>340</v>
      </c>
      <c r="M12" s="157">
        <f t="shared" si="1"/>
        <v>355</v>
      </c>
      <c r="N12" s="157">
        <f t="shared" si="1"/>
        <v>390</v>
      </c>
      <c r="O12" s="121">
        <f t="shared" si="0"/>
        <v>337.91666666666669</v>
      </c>
      <c r="P12" s="158">
        <f>O12</f>
        <v>337.91666666666669</v>
      </c>
    </row>
    <row r="13" spans="2:16" ht="9.75" customHeight="1" x14ac:dyDescent="0.3"/>
    <row r="14" spans="2:16" ht="21.75" customHeight="1" x14ac:dyDescent="0.3">
      <c r="B14" s="10" t="s">
        <v>318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2:16" ht="19.5" customHeight="1" x14ac:dyDescent="0.3">
      <c r="B15" s="15" t="s">
        <v>319</v>
      </c>
      <c r="C15" s="15" t="s">
        <v>320</v>
      </c>
      <c r="D15" s="15" t="s">
        <v>321</v>
      </c>
      <c r="E15" s="15" t="s">
        <v>322</v>
      </c>
      <c r="F15" s="1" t="s">
        <v>323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2:16" ht="27.75" customHeight="1" x14ac:dyDescent="0.3">
      <c r="B16" s="13" t="s">
        <v>324</v>
      </c>
      <c r="C16" s="123" t="s">
        <v>325</v>
      </c>
      <c r="D16" s="61">
        <f>O6/O9*30</f>
        <v>29.302325581395348</v>
      </c>
      <c r="E16" s="125" t="s">
        <v>326</v>
      </c>
      <c r="F16" s="98" t="s">
        <v>327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</row>
    <row r="17" spans="2:16" ht="27.75" customHeight="1" x14ac:dyDescent="0.3">
      <c r="B17" s="14" t="s">
        <v>328</v>
      </c>
      <c r="C17" s="124" t="s">
        <v>325</v>
      </c>
      <c r="D17" s="61">
        <f>O7/O10*30</f>
        <v>26.620553359683793</v>
      </c>
      <c r="E17" s="126" t="s">
        <v>329</v>
      </c>
      <c r="F17" s="99" t="s">
        <v>330</v>
      </c>
      <c r="G17" s="99"/>
      <c r="H17" s="99"/>
      <c r="I17" s="99"/>
      <c r="J17" s="99"/>
      <c r="K17" s="99"/>
      <c r="L17" s="99"/>
      <c r="M17" s="99"/>
      <c r="N17" s="99"/>
      <c r="O17" s="99"/>
      <c r="P17" s="99"/>
    </row>
    <row r="18" spans="2:16" ht="27.75" customHeight="1" x14ac:dyDescent="0.3">
      <c r="B18" s="13" t="s">
        <v>331</v>
      </c>
      <c r="C18" s="123" t="s">
        <v>325</v>
      </c>
      <c r="D18" s="61">
        <f>O8/O11*30</f>
        <v>29.029535864978904</v>
      </c>
      <c r="E18" s="125" t="s">
        <v>332</v>
      </c>
      <c r="F18" s="98" t="s">
        <v>333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20" spans="2:16" ht="9.75" customHeight="1" x14ac:dyDescent="0.3"/>
    <row r="40" spans="2:5" ht="21.75" customHeight="1" x14ac:dyDescent="0.3">
      <c r="B40" s="10" t="s">
        <v>334</v>
      </c>
      <c r="C40" s="10"/>
      <c r="D40" s="10"/>
      <c r="E40" s="10"/>
    </row>
    <row r="41" spans="2:5" ht="19.5" customHeight="1" x14ac:dyDescent="0.3">
      <c r="B41" s="15" t="s">
        <v>70</v>
      </c>
      <c r="C41" s="15" t="s">
        <v>44</v>
      </c>
      <c r="D41" s="58" t="s">
        <v>71</v>
      </c>
      <c r="E41" s="15" t="s">
        <v>72</v>
      </c>
    </row>
    <row r="42" spans="2:5" ht="30" customHeight="1" x14ac:dyDescent="0.3">
      <c r="B42" s="34">
        <v>1</v>
      </c>
      <c r="C42" s="35" t="s">
        <v>75</v>
      </c>
      <c r="D42" s="125" t="s">
        <v>335</v>
      </c>
      <c r="E42" s="37" t="s">
        <v>77</v>
      </c>
    </row>
    <row r="43" spans="2:5" ht="30" customHeight="1" x14ac:dyDescent="0.3">
      <c r="B43" s="29">
        <v>2</v>
      </c>
      <c r="C43" s="30" t="s">
        <v>75</v>
      </c>
      <c r="D43" s="126" t="s">
        <v>336</v>
      </c>
      <c r="E43" s="39" t="s">
        <v>82</v>
      </c>
    </row>
    <row r="44" spans="2:5" ht="30" customHeight="1" x14ac:dyDescent="0.3">
      <c r="B44" s="34">
        <v>3</v>
      </c>
      <c r="C44" s="35" t="s">
        <v>75</v>
      </c>
      <c r="D44" s="125" t="s">
        <v>337</v>
      </c>
      <c r="E44" s="37" t="s">
        <v>77</v>
      </c>
    </row>
    <row r="45" spans="2:5" ht="30" customHeight="1" x14ac:dyDescent="0.3">
      <c r="B45" s="29">
        <v>4</v>
      </c>
      <c r="C45" s="30" t="s">
        <v>75</v>
      </c>
      <c r="D45" s="126" t="s">
        <v>338</v>
      </c>
      <c r="E45" s="39" t="s">
        <v>82</v>
      </c>
    </row>
    <row r="46" spans="2:5" ht="30" customHeight="1" x14ac:dyDescent="0.3">
      <c r="B46" s="34">
        <v>5</v>
      </c>
      <c r="C46" s="35" t="s">
        <v>75</v>
      </c>
      <c r="D46" s="125" t="s">
        <v>339</v>
      </c>
      <c r="E46" s="41" t="s">
        <v>82</v>
      </c>
    </row>
    <row r="47" spans="2:5" ht="30" customHeight="1" x14ac:dyDescent="0.3">
      <c r="B47" s="29">
        <v>6</v>
      </c>
      <c r="C47" s="30" t="s">
        <v>75</v>
      </c>
      <c r="D47" s="126" t="s">
        <v>340</v>
      </c>
      <c r="E47" s="32" t="s">
        <v>77</v>
      </c>
    </row>
    <row r="48" spans="2:5" ht="30" customHeight="1" x14ac:dyDescent="0.3">
      <c r="B48" s="34">
        <v>7</v>
      </c>
      <c r="C48" s="35" t="s">
        <v>75</v>
      </c>
      <c r="D48" s="125" t="s">
        <v>341</v>
      </c>
      <c r="E48" s="37" t="s">
        <v>77</v>
      </c>
    </row>
  </sheetData>
  <mergeCells count="9">
    <mergeCell ref="F16:P16"/>
    <mergeCell ref="F17:P17"/>
    <mergeCell ref="F18:P18"/>
    <mergeCell ref="B40:E40"/>
    <mergeCell ref="B1:P1"/>
    <mergeCell ref="B2:P2"/>
    <mergeCell ref="B4:N4"/>
    <mergeCell ref="B14:P14"/>
    <mergeCell ref="F15:P15"/>
  </mergeCells>
  <conditionalFormatting sqref="C42:C48">
    <cfRule type="expression" dxfId="8" priority="2">
      <formula>LEFT(C42,1)="✅"</formula>
    </cfRule>
    <cfRule type="expression" dxfId="7" priority="3">
      <formula>LEFT(C42,1)="⚠"</formula>
    </cfRule>
    <cfRule type="expression" dxfId="6" priority="4">
      <formula>LEFT(C42,1)="❌"</formula>
    </cfRule>
  </conditionalFormatting>
  <dataValidations count="1">
    <dataValidation type="list" allowBlank="1" sqref="C42:C48" xr:uid="{00000000-0002-0000-0700-000000000000}">
      <formula1>"✅ Validé,⚠️ En cours,❌ Non fait,N/A"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5"/>
  <sheetViews>
    <sheetView showGridLines="0" zoomScaleNormal="100" workbookViewId="0">
      <selection activeCell="L10" sqref="L10"/>
    </sheetView>
  </sheetViews>
  <sheetFormatPr defaultColWidth="8.6640625" defaultRowHeight="14.4" x14ac:dyDescent="0.3"/>
  <cols>
    <col min="1" max="1" width="3" customWidth="1"/>
    <col min="2" max="2" width="42" customWidth="1"/>
    <col min="3" max="4" width="18" customWidth="1"/>
    <col min="5" max="5" width="22" customWidth="1"/>
  </cols>
  <sheetData>
    <row r="1" spans="2:5" ht="33.75" customHeight="1" x14ac:dyDescent="0.3">
      <c r="B1" s="4" t="s">
        <v>342</v>
      </c>
      <c r="C1" s="4"/>
      <c r="D1" s="4"/>
      <c r="E1" s="4"/>
    </row>
    <row r="2" spans="2:5" ht="19.5" customHeight="1" x14ac:dyDescent="0.3">
      <c r="B2" s="6" t="s">
        <v>343</v>
      </c>
      <c r="C2" s="6"/>
      <c r="D2" s="6"/>
      <c r="E2" s="6"/>
    </row>
    <row r="3" spans="2:5" ht="9.75" customHeight="1" x14ac:dyDescent="0.3"/>
    <row r="4" spans="2:5" ht="21.75" customHeight="1" x14ac:dyDescent="0.3">
      <c r="B4" s="127" t="s">
        <v>344</v>
      </c>
      <c r="C4" s="127" t="s">
        <v>251</v>
      </c>
      <c r="D4" s="127" t="s">
        <v>345</v>
      </c>
      <c r="E4" s="127" t="s">
        <v>346</v>
      </c>
    </row>
    <row r="5" spans="2:5" s="113" customFormat="1" ht="27.75" customHeight="1" x14ac:dyDescent="0.3">
      <c r="B5" s="132" t="s">
        <v>347</v>
      </c>
      <c r="C5" s="121">
        <v>2500</v>
      </c>
      <c r="D5" s="118" t="s">
        <v>348</v>
      </c>
      <c r="E5" s="133">
        <f>C5</f>
        <v>2500</v>
      </c>
    </row>
    <row r="6" spans="2:5" ht="27.75" customHeight="1" x14ac:dyDescent="0.3">
      <c r="B6" s="128" t="s">
        <v>349</v>
      </c>
      <c r="C6" s="129">
        <v>-120</v>
      </c>
      <c r="D6" s="130" t="s">
        <v>350</v>
      </c>
      <c r="E6" s="131">
        <f>C5+SUM(C6:C6)</f>
        <v>2380</v>
      </c>
    </row>
    <row r="7" spans="2:5" ht="27.75" customHeight="1" x14ac:dyDescent="0.3">
      <c r="B7" s="62" t="s">
        <v>351</v>
      </c>
      <c r="C7" s="63">
        <v>-180</v>
      </c>
      <c r="D7" s="64" t="s">
        <v>352</v>
      </c>
      <c r="E7" s="65">
        <f>C5+SUM(C6:C7)</f>
        <v>2200</v>
      </c>
    </row>
    <row r="8" spans="2:5" ht="27.75" customHeight="1" x14ac:dyDescent="0.3">
      <c r="B8" s="66" t="s">
        <v>353</v>
      </c>
      <c r="C8" s="67">
        <v>45</v>
      </c>
      <c r="D8" s="68" t="s">
        <v>354</v>
      </c>
      <c r="E8" s="69">
        <f>C5+SUM(C6:C8)</f>
        <v>2245</v>
      </c>
    </row>
    <row r="9" spans="2:5" ht="27.75" customHeight="1" x14ac:dyDescent="0.3">
      <c r="B9" s="62" t="s">
        <v>355</v>
      </c>
      <c r="C9" s="63">
        <v>-65</v>
      </c>
      <c r="D9" s="64" t="s">
        <v>356</v>
      </c>
      <c r="E9" s="65">
        <f>C5+SUM(C6:C9)</f>
        <v>2180</v>
      </c>
    </row>
    <row r="10" spans="2:5" ht="27.75" customHeight="1" x14ac:dyDescent="0.3">
      <c r="B10" s="62" t="s">
        <v>357</v>
      </c>
      <c r="C10" s="63">
        <v>-90</v>
      </c>
      <c r="D10" s="64" t="s">
        <v>358</v>
      </c>
      <c r="E10" s="65">
        <f>C5+SUM(C6:C10)</f>
        <v>2090</v>
      </c>
    </row>
    <row r="11" spans="2:5" ht="27.75" customHeight="1" x14ac:dyDescent="0.3">
      <c r="B11" s="142" t="s">
        <v>359</v>
      </c>
      <c r="C11" s="143">
        <v>-55</v>
      </c>
      <c r="D11" s="144" t="s">
        <v>360</v>
      </c>
      <c r="E11" s="145">
        <f>C5+SUM(C6:C11)</f>
        <v>2035</v>
      </c>
    </row>
    <row r="12" spans="2:5" s="113" customFormat="1" ht="27.75" customHeight="1" x14ac:dyDescent="0.3">
      <c r="B12" s="146" t="s">
        <v>361</v>
      </c>
      <c r="C12" s="147">
        <f>C5+SUM(C6:C11)</f>
        <v>2035</v>
      </c>
      <c r="D12" s="148" t="s">
        <v>362</v>
      </c>
      <c r="E12" s="149">
        <f>C12</f>
        <v>2035</v>
      </c>
    </row>
    <row r="13" spans="2:5" ht="27.75" customHeight="1" x14ac:dyDescent="0.3">
      <c r="B13" s="128" t="s">
        <v>363</v>
      </c>
      <c r="C13" s="129">
        <v>-200</v>
      </c>
      <c r="D13" s="130" t="s">
        <v>364</v>
      </c>
      <c r="E13" s="131">
        <f>C12+SUM(C13:C13)</f>
        <v>1835</v>
      </c>
    </row>
    <row r="14" spans="2:5" ht="27.75" customHeight="1" x14ac:dyDescent="0.3">
      <c r="B14" s="134" t="s">
        <v>365</v>
      </c>
      <c r="C14" s="135">
        <v>80</v>
      </c>
      <c r="D14" s="136" t="s">
        <v>366</v>
      </c>
      <c r="E14" s="137">
        <f>C12+SUM(C13:C14)</f>
        <v>1915</v>
      </c>
    </row>
    <row r="15" spans="2:5" s="113" customFormat="1" ht="27.75" customHeight="1" x14ac:dyDescent="0.3">
      <c r="B15" s="138" t="s">
        <v>367</v>
      </c>
      <c r="C15" s="139">
        <f>C12+SUM(C13:C14)</f>
        <v>1915</v>
      </c>
      <c r="D15" s="140" t="s">
        <v>362</v>
      </c>
      <c r="E15" s="141">
        <f>C15</f>
        <v>1915</v>
      </c>
    </row>
  </sheetData>
  <mergeCells count="2">
    <mergeCell ref="B1:E1"/>
    <mergeCell ref="B2:E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🏠 Mission</vt:lpstr>
      <vt:lpstr>📊 Tableau de bord</vt:lpstr>
      <vt:lpstr>📋 QoE CR</vt:lpstr>
      <vt:lpstr>💶 Reconn. CA</vt:lpstr>
      <vt:lpstr>🏦 Bilan</vt:lpstr>
      <vt:lpstr>💰 Dette nette</vt:lpstr>
      <vt:lpstr>🧮 Calc. Dette</vt:lpstr>
      <vt:lpstr>🔄 BFR</vt:lpstr>
      <vt:lpstr>📈 Bridge EBITDA</vt:lpstr>
      <vt:lpstr>💹 Impact Prix</vt:lpstr>
      <vt:lpstr>⚠️ Red flags</vt:lpstr>
      <vt:lpstr>📁 Data room</vt:lpstr>
      <vt:lpstr>📄 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Aristide Ruot</cp:lastModifiedBy>
  <cp:revision>1</cp:revision>
  <dcterms:created xsi:type="dcterms:W3CDTF">2026-03-21T06:43:24Z</dcterms:created>
  <dcterms:modified xsi:type="dcterms:W3CDTF">2026-03-21T15:17:19Z</dcterms:modified>
  <dc:language>en-US</dc:language>
</cp:coreProperties>
</file>