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arist\OneDrive\Bureau\Hectelion - Claude code\_webflow_pubs\"/>
    </mc:Choice>
  </mc:AlternateContent>
  <xr:revisionPtr revIDLastSave="0" documentId="13_ncr:1_{5B7A7098-2BE2-4103-9B50-8255AAF9994F}" xr6:coauthVersionLast="47" xr6:coauthVersionMax="47" xr10:uidLastSave="{00000000-0000-0000-0000-000000000000}"/>
  <bookViews>
    <workbookView xWindow="-38508" yWindow="-2280" windowWidth="38616" windowHeight="21096" xr2:uid="{00000000-000D-0000-FFFF-FFFF00000000}"/>
  </bookViews>
  <sheets>
    <sheet name="Notice" sheetId="1" r:id="rId1"/>
    <sheet name="Calculateur" sheetId="2" r:id="rId2"/>
    <sheet name="Barèmes" sheetId="3" r:id="rId3"/>
    <sheet name="Cas 1 — Medtech CH" sheetId="4" r:id="rId4"/>
    <sheet name="Cas 2 — PME indus FR" sheetId="5" r:id="rId5"/>
    <sheet name="Moteur" sheetId="6" state="hidden" r:id="rId6"/>
  </sheets>
  <definedNames>
    <definedName name="_xlnm.Print_Area" localSheetId="2">Barèmes!$A$1:$G$37</definedName>
    <definedName name="_xlnm.Print_Area" localSheetId="1">Calculateur!$A$1:$J$40</definedName>
    <definedName name="_xlnm.Print_Area" localSheetId="3">'Cas 1 — Medtech CH'!$A$1:$D$22</definedName>
    <definedName name="_xlnm.Print_Area" localSheetId="4">'Cas 2 — PME indus FR'!$A$1:$D$22</definedName>
    <definedName name="_xlnm.Print_Area" localSheetId="0">Notice!$A$1:$C$19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6" l="1"/>
  <c r="G10" i="6"/>
  <c r="F10" i="6"/>
  <c r="I10" i="6" s="1"/>
  <c r="H9" i="6"/>
  <c r="G9" i="6"/>
  <c r="F9" i="6"/>
  <c r="I9" i="6" s="1"/>
  <c r="H8" i="6"/>
  <c r="G8" i="6"/>
  <c r="F8" i="6"/>
  <c r="I8" i="6" s="1"/>
  <c r="H7" i="6"/>
  <c r="G7" i="6"/>
  <c r="F7" i="6"/>
  <c r="I7" i="6" s="1"/>
  <c r="H6" i="6"/>
  <c r="G6" i="6"/>
  <c r="F6" i="6"/>
  <c r="I6" i="6" s="1"/>
  <c r="D6" i="6"/>
  <c r="C6" i="6"/>
  <c r="B6" i="6"/>
  <c r="Q6" i="6" s="1"/>
  <c r="H5" i="6"/>
  <c r="G5" i="6"/>
  <c r="F5" i="6"/>
  <c r="I5" i="6" s="1"/>
  <c r="D5" i="6"/>
  <c r="B5" i="6"/>
  <c r="Q5" i="6" s="1"/>
  <c r="Q4" i="6"/>
  <c r="P4" i="6"/>
  <c r="H4" i="6"/>
  <c r="G4" i="6"/>
  <c r="F4" i="6"/>
  <c r="I4" i="6" s="1"/>
  <c r="D4" i="6"/>
  <c r="B4" i="6"/>
  <c r="C4" i="6" s="1"/>
  <c r="Q3" i="6"/>
  <c r="P3" i="6"/>
  <c r="H3" i="6"/>
  <c r="G3" i="6"/>
  <c r="I3" i="6" s="1"/>
  <c r="F3" i="6"/>
  <c r="B3" i="6"/>
  <c r="D3" i="6" s="1"/>
  <c r="H2" i="6"/>
  <c r="G2" i="6"/>
  <c r="F2" i="6"/>
  <c r="I2" i="6" s="1"/>
  <c r="B2" i="6"/>
  <c r="H1" i="6"/>
  <c r="G1" i="6"/>
  <c r="F1" i="6"/>
  <c r="B1" i="6"/>
  <c r="I36" i="2"/>
  <c r="I27" i="2"/>
  <c r="I24" i="2"/>
  <c r="I21" i="2"/>
  <c r="B41" i="6" l="1"/>
  <c r="I7" i="2" s="1"/>
  <c r="K6" i="6"/>
  <c r="L6" i="6"/>
  <c r="J6" i="6"/>
  <c r="L3" i="6"/>
  <c r="K3" i="6"/>
  <c r="J3" i="6"/>
  <c r="L7" i="6"/>
  <c r="K7" i="6"/>
  <c r="J7" i="6"/>
  <c r="L2" i="6"/>
  <c r="K2" i="6"/>
  <c r="J2" i="6"/>
  <c r="L8" i="6"/>
  <c r="K8" i="6"/>
  <c r="J8" i="6"/>
  <c r="L4" i="6"/>
  <c r="K4" i="6"/>
  <c r="J4" i="6"/>
  <c r="L9" i="6"/>
  <c r="K9" i="6"/>
  <c r="J9" i="6"/>
  <c r="L10" i="6"/>
  <c r="K10" i="6"/>
  <c r="J10" i="6"/>
  <c r="L5" i="6"/>
  <c r="K5" i="6"/>
  <c r="J5" i="6"/>
  <c r="C2" i="6"/>
  <c r="D2" i="6"/>
  <c r="C5" i="6"/>
  <c r="C1" i="6"/>
  <c r="D1" i="6"/>
  <c r="P6" i="6"/>
  <c r="P5" i="6"/>
  <c r="I1" i="6"/>
  <c r="C3" i="6"/>
  <c r="N1" i="6" l="1"/>
  <c r="L1" i="6"/>
  <c r="K1" i="6"/>
  <c r="J1" i="6"/>
  <c r="N5" i="6"/>
  <c r="N2" i="6"/>
  <c r="N6" i="6"/>
  <c r="N3" i="6"/>
  <c r="N4" i="6"/>
  <c r="O1" i="6" l="1"/>
  <c r="P1" i="6" s="1"/>
  <c r="O2" i="6"/>
  <c r="P2" i="6" s="1"/>
  <c r="Q2" i="6" s="1"/>
  <c r="O3" i="6"/>
  <c r="O4" i="6"/>
  <c r="O6" i="6"/>
  <c r="O5" i="6"/>
  <c r="B40" i="6" l="1"/>
  <c r="Q1" i="6"/>
  <c r="I10" i="2" l="1"/>
  <c r="I34" i="2"/>
  <c r="I9" i="2"/>
  <c r="I8" i="2"/>
  <c r="I6" i="2"/>
  <c r="I11" i="2" l="1"/>
  <c r="I13" i="2" s="1"/>
  <c r="I22" i="2" s="1"/>
  <c r="I28" i="2" s="1"/>
</calcChain>
</file>

<file path=xl/sharedStrings.xml><?xml version="1.0" encoding="utf-8"?>
<sst xmlns="http://schemas.openxmlformats.org/spreadsheetml/2006/main" count="220" uniqueCount="198">
  <si>
    <t>Calculateur SRL  →  Prime de risque  →  WACC</t>
  </si>
  <si>
    <t>Hectelion SA — Évaluation d'entreprise franco-suisse</t>
  </si>
  <si>
    <t>À quoi sert cet outil</t>
  </si>
  <si>
    <t>Cet outil traduit la maturité d'un système en un indice composite SRL (méthode matricielle de Sauser), puis en prime de risque et en coût du capital (WACC), selon la méthodologie Hectelion.</t>
  </si>
  <si>
    <t>Mode d'emploi</t>
  </si>
  <si>
    <t>1. Onglet « Calculateur », tableau « Briques » : nomme chaque brique technologique et saisis son TRL (1 à 9) dans la cellule ambre. Laisse vide une ligne inutilisée.</t>
  </si>
  <si>
    <t>2. Tableau « Intégrations » : pour chaque liaison entre deux briques, indique les numéros des deux briques reliées et l'IRL de la liaison (1 à 9). L'outil reconstruit la matrice TRL/IRL en coulisses.</t>
  </si>
  <si>
    <t>3. Le SRL composite, la bande de maturité (Sauser), la prime Hectelion (plafonnée) et la WACC se calculent automatiquement.</t>
  </si>
  <si>
    <t>4. Option Damodaran : règle la probabilité de survie pour porter le risque d'échec sur les flux plutôt que sur le taux.</t>
  </si>
  <si>
    <t>5. Onglet « Barèmes » : échelles TRL, IRL et bandes SRL de référence. Onglets « Cas » : deux exemples chiffrés.</t>
  </si>
  <si>
    <t>Avertissement</t>
  </si>
  <si>
    <t>Avertissement. Ce calculateur est un outil pédagogique et indicatif mis à disposition par Hectelion SA. Les fourchettes de prime de risque, la grille de correspondance SRL et les hypothèses de coût du capital qu'il contient sont propres à la méthodologie Hectelion et constituent de simples ordres de grandeur. Elles ne sauraient être appliquées mécaniquement et doivent être ajustées au secteur, à la géographie, au cadre réglementaire et au cycle de marché de chaque dossier. Cet outil ne constitue ni un conseil en investissement, ni un conseil financier, comptable, juridique ou fiscal, ni une recommandation, ni une évaluation au sens des standards IVSC. Aucune décision d'investissement, de financement ou de transaction ne devrait être prise sur la seule base de ce fichier. Hectelion SA ne donne aucune garantie quant à l'exactitude, l'exhaustivité ou l'adéquation des résultats à une situation particulière et décline toute responsabilité au titre de l'usage qui pourrait en être fait. Hectelion SA n'est pas agréée FINMA et n'intervient pas sur les opérations portant sur des sociétés cotées. © Hectelion SA. Tous droits réservés.</t>
  </si>
  <si>
    <t>Contact : https://www.hectelion.com  ·  https://calendly.com/aristide-ruot-hectelion-dcc/30min</t>
  </si>
  <si>
    <t>Calculateur SRL → Prime → WACC</t>
  </si>
  <si>
    <t>Saisis uniquement les cellules ambre</t>
  </si>
  <si>
    <t>Étapes 1-2 — Briques technologiques et leur TRL</t>
  </si>
  <si>
    <t>Résultat</t>
  </si>
  <si>
    <t>#</t>
  </si>
  <si>
    <t>Nom de la brique</t>
  </si>
  <si>
    <t>TRL (1-9)</t>
  </si>
  <si>
    <t>SRL du système</t>
  </si>
  <si>
    <t>Capteur</t>
  </si>
  <si>
    <t>Briques renseignées</t>
  </si>
  <si>
    <t>Algorithme</t>
  </si>
  <si>
    <t>Bande de maturité (Sauser)</t>
  </si>
  <si>
    <t>Prime basse (pts)</t>
  </si>
  <si>
    <t>Prime haute (pts)</t>
  </si>
  <si>
    <t>Prime retenue (pts) — modifiable</t>
  </si>
  <si>
    <t>Plafond de prime (pts)</t>
  </si>
  <si>
    <t>Prime appliquée (pts)</t>
  </si>
  <si>
    <t>Étape 3 — Intégrations entre briques et leur IRL</t>
  </si>
  <si>
    <t>Brique A (n°)</t>
  </si>
  <si>
    <t>Brique B (n°)</t>
  </si>
  <si>
    <t>IRL (1-9)</t>
  </si>
  <si>
    <t>Taux sans risque</t>
  </si>
  <si>
    <t>Bêta sectoriel</t>
  </si>
  <si>
    <t>Prime de marché (ERP)</t>
  </si>
  <si>
    <t>Prime de taille</t>
  </si>
  <si>
    <t>Socle — coût des fonds propres</t>
  </si>
  <si>
    <t>Coût des fonds propres (Ke = socle + prime)</t>
  </si>
  <si>
    <t>Part fonds propres (E/V)</t>
  </si>
  <si>
    <t>Part dette (D/V)</t>
  </si>
  <si>
    <t>Coût de la dette (avant impôt)</t>
  </si>
  <si>
    <t>Taux d'impôt</t>
  </si>
  <si>
    <t>Coût de la dette après impôt</t>
  </si>
  <si>
    <t>WACC</t>
  </si>
  <si>
    <t>Option Damodaran — porter le risque d'échec sur les flux</t>
  </si>
  <si>
    <t>Valeur si succès (actualisée à la WACC)</t>
  </si>
  <si>
    <t>Probabilité de survie p</t>
  </si>
  <si>
    <t>p indicatif (selon la bande)</t>
  </si>
  <si>
    <t>Valeur d'échec</t>
  </si>
  <si>
    <t>Valeur attendue (ajustée du risque d'échec)</t>
  </si>
  <si>
    <t>La prime de SRL est plafonnée (ligne 12) ; le risque d'échec résiduel se porte ici sur les flux via p, au lieu de tout empiler dans le taux.</t>
  </si>
  <si>
    <t>Barèmes de référence</t>
  </si>
  <si>
    <t>Échelle TRL — Technology Readiness Level (ISO 16290:2013)</t>
  </si>
  <si>
    <t>Niveau</t>
  </si>
  <si>
    <t>Description</t>
  </si>
  <si>
    <t>Prime indicative (pts)</t>
  </si>
  <si>
    <t>TRL 1</t>
  </si>
  <si>
    <t>Observation des principes scientifiques fondamentaux.</t>
  </si>
  <si>
    <t>+20 à +25</t>
  </si>
  <si>
    <t>TRL 2</t>
  </si>
  <si>
    <t>Formulation du concept technologique.</t>
  </si>
  <si>
    <t>+18 à +22</t>
  </si>
  <si>
    <t>TRL 3</t>
  </si>
  <si>
    <t>Preuve de concept expérimentale en laboratoire.</t>
  </si>
  <si>
    <t>+15 à +18</t>
  </si>
  <si>
    <t>TRL 4</t>
  </si>
  <si>
    <t>Validation en laboratoire d'un composant ou sous-système.</t>
  </si>
  <si>
    <t>+11 à +14</t>
  </si>
  <si>
    <t>TRL 5</t>
  </si>
  <si>
    <t>Validation en environnement pertinent.</t>
  </si>
  <si>
    <t>+8 à +11</t>
  </si>
  <si>
    <t>TRL 6</t>
  </si>
  <si>
    <t>Démonstration d'un prototype en environnement pertinent.</t>
  </si>
  <si>
    <t>+5 à +7</t>
  </si>
  <si>
    <t>TRL 7</t>
  </si>
  <si>
    <t>Démonstration d'un système prototype en environnement opérationnel.</t>
  </si>
  <si>
    <t>+4 à +5</t>
  </si>
  <si>
    <t>TRL 8</t>
  </si>
  <si>
    <t>Système complet et qualifié.</t>
  </si>
  <si>
    <t>+2 à +3</t>
  </si>
  <si>
    <t>TRL 9</t>
  </si>
  <si>
    <t>Système éprouvé en conditions réelles d'exploitation.</t>
  </si>
  <si>
    <t>0 à +1</t>
  </si>
  <si>
    <t>Échelle IRL — Integration Readiness Level (Gove, Sauser, Ramirez-Marquez, 2007)</t>
  </si>
  <si>
    <t>Signification</t>
  </si>
  <si>
    <t>IRL 1</t>
  </si>
  <si>
    <t>Une interface entre les deux technologies est identifiée.</t>
  </si>
  <si>
    <t>IRL 2</t>
  </si>
  <si>
    <t>Les deux technologies peuvent interagir et échanger de l'information.</t>
  </si>
  <si>
    <t>IRL 3</t>
  </si>
  <si>
    <t>Compatibilité établie : données ordonnées et exploitables.</t>
  </si>
  <si>
    <t>IRL 4</t>
  </si>
  <si>
    <t>Intégration de qualité assurée, fiable et détaillée.</t>
  </si>
  <si>
    <t>IRL 5</t>
  </si>
  <si>
    <t>Intégration contrôlée : établie, gérée et arrêtée à volonté.</t>
  </si>
  <si>
    <t>IRL 6</t>
  </si>
  <si>
    <t>Information acceptée, traduite et structurée de bout en bout.</t>
  </si>
  <si>
    <t>IRL 7</t>
  </si>
  <si>
    <t>Intégration vérifiée et validée en conditions représentatives.</t>
  </si>
  <si>
    <t>IRL 8</t>
  </si>
  <si>
    <t>Intégration complète et qualifiée par essais système.</t>
  </si>
  <si>
    <t>IRL 9</t>
  </si>
  <si>
    <t>Intégration prouvée en mission réelle.</t>
  </si>
  <si>
    <t>Bandes SRL — System Readiness Level (Sauser) et prime Hectelion</t>
  </si>
  <si>
    <t>Bande</t>
  </si>
  <si>
    <t>Maturité (Sauser)</t>
  </si>
  <si>
    <t>Stade de financement</t>
  </si>
  <si>
    <t>TRL indicatif</t>
  </si>
  <si>
    <t>Prime Hectelion</t>
  </si>
  <si>
    <t>0,10 – 0,39</t>
  </si>
  <si>
    <t>Affinage du concept</t>
  </si>
  <si>
    <t>Recherche, pré-amorçage</t>
  </si>
  <si>
    <t>TRL 1 à 3</t>
  </si>
  <si>
    <t>+15 à +25 points</t>
  </si>
  <si>
    <t>0,40 – 0,59</t>
  </si>
  <si>
    <t>Développement technologique</t>
  </si>
  <si>
    <t>Amorçage, Série A</t>
  </si>
  <si>
    <t>TRL 4 à 5</t>
  </si>
  <si>
    <t>+8 à +14 points</t>
  </si>
  <si>
    <t>0,60 – 0,79</t>
  </si>
  <si>
    <t>Développement et démonstration système</t>
  </si>
  <si>
    <t>Série B</t>
  </si>
  <si>
    <t>TRL 6 à 7</t>
  </si>
  <si>
    <t>+4 à +7 points</t>
  </si>
  <si>
    <t>0,80 – 0,89</t>
  </si>
  <si>
    <t>Production et déploiement</t>
  </si>
  <si>
    <t>Pré-industrialisation</t>
  </si>
  <si>
    <t>+2 à +3 points</t>
  </si>
  <si>
    <t>0,90 – 1,00</t>
  </si>
  <si>
    <t>Exploitation et soutien</t>
  </si>
  <si>
    <t>Industriellement éprouvé</t>
  </si>
  <si>
    <t>0 à +1 point</t>
  </si>
  <si>
    <t>Primes indicatives par niveau ; la prime opérante du calculateur découle du SRL composite (bande), puis est plafonnée.</t>
  </si>
  <si>
    <t>Cas 1 — Medtech CH</t>
  </si>
  <si>
    <t>Illustratif — hypothèses cohérentes avec la publication</t>
  </si>
  <si>
    <t>Contexte</t>
  </si>
  <si>
    <t>Dispositif de diagnostic, composants validés en labo, intégration clinique débutante</t>
  </si>
  <si>
    <t>Hypothèses</t>
  </si>
  <si>
    <t>SRL estimé</t>
  </si>
  <si>
    <t>≈ 0,40</t>
  </si>
  <si>
    <t>Financement</t>
  </si>
  <si>
    <t>100 % fonds propres (pré-revenus)</t>
  </si>
  <si>
    <t>Socle coût des fonds propres</t>
  </si>
  <si>
    <t>9 %</t>
  </si>
  <si>
    <t>Prime de risque (SRL 0,40)</t>
  </si>
  <si>
    <t>+12 points</t>
  </si>
  <si>
    <t>Taux d'actualisation retenu</t>
  </si>
  <si>
    <t>≈ 21 %</t>
  </si>
  <si>
    <t>Valorisation</t>
  </si>
  <si>
    <t>Valeur de sortie anticipée (5 ans)</t>
  </si>
  <si>
    <t>60 MCHF</t>
  </si>
  <si>
    <t>Valeur actuelle à 21 %  =  60 / 1,21^5</t>
  </si>
  <si>
    <t>23,1 MCHF</t>
  </si>
  <si>
    <t>Après franchissement du pilote → SRL ≈ 0,60</t>
  </si>
  <si>
    <t>Prime compressée</t>
  </si>
  <si>
    <t>+5 points</t>
  </si>
  <si>
    <t>Nouveau taux</t>
  </si>
  <si>
    <t>≈ 14 %</t>
  </si>
  <si>
    <t>Valeur actuelle à 14 %  =  60 / 1,14^5</t>
  </si>
  <si>
    <t>31,2 MCHF</t>
  </si>
  <si>
    <t>Création de valeur (un palier de SRL)</t>
  </si>
  <si>
    <t>+8,1 MCHF  (+35 %)</t>
  </si>
  <si>
    <t>Cas 2 — PME indus FR</t>
  </si>
  <si>
    <t>Ligne de production à procédé propriétaire, démontrée mais non industrialisée</t>
  </si>
  <si>
    <t>EBITDA</t>
  </si>
  <si>
    <t>4 M EUR</t>
  </si>
  <si>
    <t>≈ 0,70</t>
  </si>
  <si>
    <t>Coût des fonds propres</t>
  </si>
  <si>
    <t>12 %</t>
  </si>
  <si>
    <t>3,375 %</t>
  </si>
  <si>
    <t>Structure (E/V ; D/V)</t>
  </si>
  <si>
    <t>60 % ; 40 %</t>
  </si>
  <si>
    <t>WACC de base</t>
  </si>
  <si>
    <t>8,5 %</t>
  </si>
  <si>
    <t>Prime maturité industrielle (+3 pts)</t>
  </si>
  <si>
    <t>WACC → 11,5 %</t>
  </si>
  <si>
    <t>Valorisation (SRL 0,70)</t>
  </si>
  <si>
    <t>FCF (60 % EBITDA)</t>
  </si>
  <si>
    <t>2,4 M EUR</t>
  </si>
  <si>
    <t>VE = 2,4×1,02 / (0,115−0,02)</t>
  </si>
  <si>
    <t>25,8 M EUR  (6,4× EBITDA)</t>
  </si>
  <si>
    <t>Après industrialisation → SRL ≈ 0,90</t>
  </si>
  <si>
    <t>9,0 %</t>
  </si>
  <si>
    <t>VE = 2,448 / (0,09−0,02)</t>
  </si>
  <si>
    <t>35,0 M EUR  (8,7× EBITDA)</t>
  </si>
  <si>
    <t>Création de valeur</t>
  </si>
  <si>
    <t>+9,2 M EUR  (+36 % ; +2,3× EBITDA)</t>
  </si>
  <si>
    <t>TRL1</t>
  </si>
  <si>
    <t>TRL2</t>
  </si>
  <si>
    <t>TRL3</t>
  </si>
  <si>
    <t>TRL4</t>
  </si>
  <si>
    <t>TRL5</t>
  </si>
  <si>
    <t>TRL6</t>
  </si>
  <si>
    <t>SRL_sys</t>
  </si>
  <si>
    <t>nComp</t>
  </si>
  <si>
    <t>Coût du capital (WACC)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</si>
</sst>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
    <numFmt numFmtId="167" formatCode="#,##0.0"/>
  </numFmts>
  <fonts count="10" x14ac:knownFonts="1">
    <font>
      <sz val="11"/>
      <color theme="1"/>
      <name val="Aptos"/>
      <family val="2"/>
      <scheme val="minor"/>
    </font>
    <font>
      <b/>
      <sz val="16"/>
      <color rgb="FF182E4E"/>
      <name val="Cardo"/>
      <family val="1"/>
    </font>
    <font>
      <sz val="11"/>
      <color theme="1"/>
      <name val="Cardo"/>
      <family val="1"/>
    </font>
    <font>
      <i/>
      <sz val="11"/>
      <color rgb="FF555555"/>
      <name val="Cardo"/>
      <family val="1"/>
    </font>
    <font>
      <b/>
      <sz val="11"/>
      <color rgb="FF182E4E"/>
      <name val="Cardo"/>
      <family val="1"/>
    </font>
    <font>
      <b/>
      <sz val="11"/>
      <color rgb="FFFFFFFF"/>
      <name val="Cardo"/>
      <family val="1"/>
    </font>
    <font>
      <b/>
      <sz val="11"/>
      <name val="Cardo"/>
      <family val="1"/>
    </font>
    <font>
      <sz val="11"/>
      <color theme="3"/>
      <name val="Cardo"/>
      <family val="1"/>
    </font>
    <font>
      <b/>
      <sz val="11"/>
      <color theme="3"/>
      <name val="Cardo"/>
      <family val="1"/>
    </font>
    <font>
      <b/>
      <sz val="14"/>
      <color theme="3"/>
      <name val="Cardo"/>
      <family val="1"/>
    </font>
  </fonts>
  <fills count="6">
    <fill>
      <patternFill patternType="none"/>
    </fill>
    <fill>
      <patternFill patternType="gray125"/>
    </fill>
    <fill>
      <patternFill patternType="solid">
        <fgColor rgb="FFF4F6F9"/>
      </patternFill>
    </fill>
    <fill>
      <patternFill patternType="solid">
        <fgColor rgb="FF182E4E"/>
      </patternFill>
    </fill>
    <fill>
      <patternFill patternType="solid">
        <fgColor rgb="FFFFF7E6"/>
      </patternFill>
    </fill>
    <fill>
      <patternFill patternType="solid">
        <fgColor theme="3" tint="0.89999084444715716"/>
        <bgColor indexed="64"/>
      </patternFill>
    </fill>
  </fills>
  <borders count="5">
    <border>
      <left/>
      <right/>
      <top/>
      <bottom/>
      <diagonal/>
    </border>
    <border>
      <left style="thin">
        <color rgb="FFD6DCE5"/>
      </left>
      <right style="thin">
        <color rgb="FFD6DCE5"/>
      </right>
      <top style="thin">
        <color rgb="FFD6DCE5"/>
      </top>
      <bottom style="thin">
        <color rgb="FFD6DCE5"/>
      </bottom>
      <diagonal/>
    </border>
    <border>
      <left/>
      <right/>
      <top style="thin">
        <color rgb="FFD6DCE5"/>
      </top>
      <bottom style="thin">
        <color rgb="FFD6DCE5"/>
      </bottom>
      <diagonal/>
    </border>
    <border>
      <left/>
      <right style="thin">
        <color rgb="FFD6DCE5"/>
      </right>
      <top style="thin">
        <color rgb="FFD6DCE5"/>
      </top>
      <bottom style="thin">
        <color rgb="FFD6DCE5"/>
      </bottom>
      <diagonal/>
    </border>
    <border>
      <left style="thin">
        <color rgb="FFD6DCE5"/>
      </left>
      <right/>
      <top style="thin">
        <color rgb="FFD6DCE5"/>
      </top>
      <bottom style="thin">
        <color rgb="FFD6DCE5"/>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top" wrapText="1"/>
    </xf>
    <xf numFmtId="0" fontId="5" fillId="3" borderId="1" xfId="0" applyFont="1" applyFill="1" applyBorder="1" applyAlignment="1">
      <alignment horizontal="left" vertical="center" wrapText="1"/>
    </xf>
    <xf numFmtId="0" fontId="2" fillId="0" borderId="3" xfId="0" applyFont="1" applyBorder="1"/>
    <xf numFmtId="0" fontId="6" fillId="0" borderId="1" xfId="0" applyFont="1" applyBorder="1" applyAlignment="1">
      <alignment horizontal="center" vertical="center"/>
    </xf>
    <xf numFmtId="0" fontId="2" fillId="0" borderId="2" xfId="0" applyFont="1" applyBorder="1"/>
    <xf numFmtId="0" fontId="5" fillId="3" borderId="1" xfId="0" applyFont="1" applyFill="1" applyBorder="1" applyAlignment="1">
      <alignment horizontal="left" vertical="center" wrapText="1"/>
    </xf>
    <xf numFmtId="0" fontId="3" fillId="0" borderId="0" xfId="0" applyFont="1"/>
    <xf numFmtId="0" fontId="2" fillId="0" borderId="0" xfId="0" applyFont="1"/>
    <xf numFmtId="0" fontId="3" fillId="0" borderId="0" xfId="0" applyFont="1" applyAlignment="1">
      <alignment vertical="top" wrapText="1"/>
    </xf>
    <xf numFmtId="0" fontId="7" fillId="0" borderId="0" xfId="0" applyFont="1" applyAlignment="1">
      <alignment vertical="top" wrapText="1"/>
    </xf>
    <xf numFmtId="0" fontId="7" fillId="2" borderId="0" xfId="0" applyFont="1" applyFill="1" applyAlignment="1">
      <alignment vertical="top" wrapText="1"/>
    </xf>
    <xf numFmtId="0" fontId="8" fillId="0" borderId="1" xfId="0" applyFont="1" applyBorder="1" applyAlignment="1">
      <alignment horizontal="left" vertical="center"/>
    </xf>
    <xf numFmtId="0" fontId="7" fillId="0" borderId="1" xfId="0" applyFont="1" applyBorder="1" applyAlignment="1">
      <alignment horizontal="center" vertical="center" wrapText="1"/>
    </xf>
    <xf numFmtId="1" fontId="7" fillId="4" borderId="1" xfId="0" applyNumberFormat="1" applyFont="1" applyFill="1" applyBorder="1" applyAlignment="1">
      <alignment horizontal="center" vertical="center"/>
    </xf>
    <xf numFmtId="10" fontId="7" fillId="4" borderId="1" xfId="0" applyNumberFormat="1" applyFont="1" applyFill="1" applyBorder="1" applyAlignment="1">
      <alignment horizontal="center" vertical="center"/>
    </xf>
    <xf numFmtId="2"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7" fillId="4" borderId="1" xfId="0" applyNumberFormat="1" applyFont="1" applyFill="1" applyBorder="1" applyAlignment="1">
      <alignment horizontal="center" vertical="center"/>
    </xf>
    <xf numFmtId="9" fontId="7" fillId="4"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8" fillId="0" borderId="1" xfId="0" applyFont="1" applyBorder="1" applyAlignment="1">
      <alignment vertical="top" wrapText="1"/>
    </xf>
    <xf numFmtId="0" fontId="7" fillId="0" borderId="1" xfId="0" applyFont="1" applyBorder="1" applyAlignment="1">
      <alignment vertical="top" wrapText="1"/>
    </xf>
    <xf numFmtId="0" fontId="8" fillId="2" borderId="1" xfId="0" applyFont="1" applyFill="1" applyBorder="1" applyAlignment="1">
      <alignment vertical="top" wrapText="1"/>
    </xf>
    <xf numFmtId="0" fontId="7" fillId="2" borderId="1" xfId="0" applyFont="1" applyFill="1" applyBorder="1" applyAlignment="1">
      <alignment vertical="top" wrapText="1"/>
    </xf>
    <xf numFmtId="0" fontId="8" fillId="3" borderId="1" xfId="0" applyFont="1" applyFill="1" applyBorder="1" applyAlignment="1">
      <alignment horizontal="left" vertical="center" wrapText="1"/>
    </xf>
    <xf numFmtId="0" fontId="7" fillId="0" borderId="3" xfId="0" applyFont="1" applyBorder="1"/>
    <xf numFmtId="10" fontId="7" fillId="5" borderId="1" xfId="0" applyNumberFormat="1" applyFont="1" applyFill="1" applyBorder="1" applyAlignment="1">
      <alignment horizontal="center" vertical="center"/>
    </xf>
    <xf numFmtId="166" fontId="7" fillId="5" borderId="1" xfId="0" applyNumberFormat="1" applyFont="1" applyFill="1" applyBorder="1" applyAlignment="1">
      <alignment horizontal="center" vertical="center"/>
    </xf>
    <xf numFmtId="10" fontId="9" fillId="5" borderId="1" xfId="0" applyNumberFormat="1" applyFont="1" applyFill="1" applyBorder="1" applyAlignment="1">
      <alignment horizontal="center" vertical="center"/>
    </xf>
    <xf numFmtId="164" fontId="9" fillId="5" borderId="1" xfId="0" applyNumberFormat="1" applyFont="1" applyFill="1" applyBorder="1" applyAlignment="1">
      <alignment horizontal="center" vertical="center"/>
    </xf>
    <xf numFmtId="1" fontId="7" fillId="5" borderId="1" xfId="0" applyNumberFormat="1" applyFont="1" applyFill="1" applyBorder="1" applyAlignment="1">
      <alignment horizontal="center" vertical="center"/>
    </xf>
    <xf numFmtId="165" fontId="9" fillId="5" borderId="1" xfId="0" applyNumberFormat="1" applyFont="1" applyFill="1" applyBorder="1" applyAlignment="1">
      <alignment horizontal="center" vertical="center"/>
    </xf>
    <xf numFmtId="9" fontId="7" fillId="5" borderId="1" xfId="0" applyNumberFormat="1" applyFont="1" applyFill="1" applyBorder="1" applyAlignment="1">
      <alignment horizontal="center" vertical="center"/>
    </xf>
    <xf numFmtId="167" fontId="9" fillId="5" borderId="1" xfId="0" applyNumberFormat="1" applyFont="1" applyFill="1" applyBorder="1" applyAlignment="1">
      <alignment horizontal="center" vertical="center"/>
    </xf>
    <xf numFmtId="165" fontId="7" fillId="5" borderId="1" xfId="0" applyNumberFormat="1" applyFont="1" applyFill="1" applyBorder="1" applyAlignment="1">
      <alignment horizontal="center" vertical="center"/>
    </xf>
    <xf numFmtId="0" fontId="5" fillId="3"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AR Capital - Thème - Template">
  <a:themeElements>
    <a:clrScheme name="AR Capital">
      <a:dk1>
        <a:sysClr val="windowText" lastClr="000000"/>
      </a:dk1>
      <a:lt1>
        <a:sysClr val="window" lastClr="FFFFFF"/>
      </a:lt1>
      <a:dk2>
        <a:srgbClr val="0E2841"/>
      </a:dk2>
      <a:lt2>
        <a:srgbClr val="E8E8E8"/>
      </a:lt2>
      <a:accent1>
        <a:srgbClr val="182E4E"/>
      </a:accent1>
      <a:accent2>
        <a:srgbClr val="559AED"/>
      </a:accent2>
      <a:accent3>
        <a:srgbClr val="0052BF"/>
      </a:accent3>
      <a:accent4>
        <a:srgbClr val="722A92"/>
      </a:accent4>
      <a:accent5>
        <a:srgbClr val="6FCF9A"/>
      </a:accent5>
      <a:accent6>
        <a:srgbClr val="6EC2E8"/>
      </a:accent6>
      <a:hlink>
        <a:srgbClr val="4D94D8"/>
      </a:hlink>
      <a:folHlink>
        <a:srgbClr val="215E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AR Capital - Thème - Template" id="{365F522F-6B5E-40EF-957C-F6533AC27562}" vid="{E9F54E07-5A84-4DF6-A288-186814657B6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2:B18"/>
  <sheetViews>
    <sheetView showGridLines="0" tabSelected="1" view="pageBreakPreview" zoomScale="115" zoomScaleNormal="100" zoomScaleSheetLayoutView="115" workbookViewId="0"/>
  </sheetViews>
  <sheetFormatPr defaultRowHeight="15.6" x14ac:dyDescent="0.4"/>
  <cols>
    <col min="1" max="1" width="2.69921875" style="2" customWidth="1"/>
    <col min="2" max="2" width="111.8984375" style="2" customWidth="1"/>
    <col min="3" max="16384" width="8.796875" style="2"/>
  </cols>
  <sheetData>
    <row r="2" spans="2:2" ht="22.8" x14ac:dyDescent="0.55000000000000004">
      <c r="B2" s="1" t="s">
        <v>0</v>
      </c>
    </row>
    <row r="3" spans="2:2" x14ac:dyDescent="0.4">
      <c r="B3" s="3" t="s">
        <v>1</v>
      </c>
    </row>
    <row r="5" spans="2:2" x14ac:dyDescent="0.4">
      <c r="B5" s="4" t="s">
        <v>2</v>
      </c>
    </row>
    <row r="6" spans="2:2" ht="31.2" x14ac:dyDescent="0.4">
      <c r="B6" s="13" t="s">
        <v>3</v>
      </c>
    </row>
    <row r="8" spans="2:2" x14ac:dyDescent="0.4">
      <c r="B8" s="4" t="s">
        <v>4</v>
      </c>
    </row>
    <row r="9" spans="2:2" ht="31.2" x14ac:dyDescent="0.4">
      <c r="B9" s="13" t="s">
        <v>5</v>
      </c>
    </row>
    <row r="10" spans="2:2" ht="31.2" x14ac:dyDescent="0.4">
      <c r="B10" s="13" t="s">
        <v>6</v>
      </c>
    </row>
    <row r="11" spans="2:2" x14ac:dyDescent="0.4">
      <c r="B11" s="13" t="s">
        <v>7</v>
      </c>
    </row>
    <row r="12" spans="2:2" x14ac:dyDescent="0.4">
      <c r="B12" s="13" t="s">
        <v>8</v>
      </c>
    </row>
    <row r="13" spans="2:2" x14ac:dyDescent="0.4">
      <c r="B13" s="13" t="s">
        <v>9</v>
      </c>
    </row>
    <row r="15" spans="2:2" x14ac:dyDescent="0.4">
      <c r="B15" s="4" t="s">
        <v>10</v>
      </c>
    </row>
    <row r="16" spans="2:2" ht="205.05" customHeight="1" x14ac:dyDescent="0.4">
      <c r="B16" s="14" t="s">
        <v>11</v>
      </c>
    </row>
    <row r="18" spans="2:2" x14ac:dyDescent="0.4">
      <c r="B18" s="3" t="s">
        <v>12</v>
      </c>
    </row>
  </sheetData>
  <pageMargins left="0.75" right="0.75" top="1" bottom="1" header="0.5" footer="0.5"/>
  <pageSetup paperSize="9" scale="6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B2:I39"/>
  <sheetViews>
    <sheetView showGridLines="0" view="pageBreakPreview" zoomScale="115" zoomScaleNormal="100" zoomScaleSheetLayoutView="115" workbookViewId="0"/>
  </sheetViews>
  <sheetFormatPr defaultRowHeight="15.6" x14ac:dyDescent="0.4"/>
  <cols>
    <col min="1" max="1" width="2.69921875" style="2" customWidth="1"/>
    <col min="2" max="2" width="5.8984375" style="2" customWidth="1"/>
    <col min="3" max="3" width="23.8984375" style="2" customWidth="1"/>
    <col min="4" max="4" width="11.8984375" style="2" customWidth="1"/>
    <col min="5" max="5" width="9.8984375" style="2" customWidth="1"/>
    <col min="6" max="7" width="1.8984375" style="2" customWidth="1"/>
    <col min="8" max="8" width="39.8984375" style="2" customWidth="1"/>
    <col min="9" max="9" width="50.69921875" style="2" customWidth="1"/>
    <col min="10" max="16384" width="8.796875" style="2"/>
  </cols>
  <sheetData>
    <row r="2" spans="2:9" ht="22.8" x14ac:dyDescent="0.55000000000000004">
      <c r="B2" s="1" t="s">
        <v>13</v>
      </c>
    </row>
    <row r="3" spans="2:9" x14ac:dyDescent="0.4">
      <c r="B3" s="3" t="s">
        <v>14</v>
      </c>
    </row>
    <row r="5" spans="2:9" x14ac:dyDescent="0.4">
      <c r="B5" s="5" t="s">
        <v>15</v>
      </c>
      <c r="C5" s="8"/>
      <c r="D5" s="6"/>
      <c r="H5" s="5" t="s">
        <v>16</v>
      </c>
      <c r="I5" s="6"/>
    </row>
    <row r="6" spans="2:9" ht="19.2" x14ac:dyDescent="0.4">
      <c r="B6" s="9" t="s">
        <v>17</v>
      </c>
      <c r="C6" s="9" t="s">
        <v>18</v>
      </c>
      <c r="D6" s="9" t="s">
        <v>19</v>
      </c>
      <c r="H6" s="15" t="s">
        <v>20</v>
      </c>
      <c r="I6" s="35">
        <f>Moteur!B40</f>
        <v>0.60493827160493829</v>
      </c>
    </row>
    <row r="7" spans="2:9" x14ac:dyDescent="0.4">
      <c r="B7" s="23">
        <v>1</v>
      </c>
      <c r="C7" s="25" t="s">
        <v>21</v>
      </c>
      <c r="D7" s="24">
        <v>9</v>
      </c>
      <c r="H7" s="15" t="s">
        <v>22</v>
      </c>
      <c r="I7" s="36">
        <f>Moteur!B41</f>
        <v>2</v>
      </c>
    </row>
    <row r="8" spans="2:9" ht="19.95" customHeight="1" x14ac:dyDescent="0.4">
      <c r="B8" s="23">
        <v>2</v>
      </c>
      <c r="C8" s="25" t="s">
        <v>23</v>
      </c>
      <c r="D8" s="24">
        <v>5</v>
      </c>
      <c r="H8" s="15" t="s">
        <v>24</v>
      </c>
      <c r="I8" s="16" t="str">
        <f>IF(Moteur!B40="","",IF(Moteur!B40&gt;=0.9,"Exploitation et soutien",IF(Moteur!B40&gt;=0.8,"Production et déploiement",IF(Moteur!B40&gt;=0.6,"Développement et démonstration",IF(Moteur!B40&gt;=0.4,"Développement technologique",IF(Moteur!B40&gt;=0.1,"Affinage du concept","Hors échelle"))))))</f>
        <v>Développement et démonstration</v>
      </c>
    </row>
    <row r="9" spans="2:9" x14ac:dyDescent="0.4">
      <c r="B9" s="23">
        <v>3</v>
      </c>
      <c r="C9" s="25"/>
      <c r="D9" s="24"/>
      <c r="H9" s="15" t="s">
        <v>25</v>
      </c>
      <c r="I9" s="36">
        <f>IF(Moteur!B40="","",IF(Moteur!B40&gt;=0.9,0,IF(Moteur!B40&gt;=0.8,2,IF(Moteur!B40&gt;=0.6,4,IF(Moteur!B40&gt;=0.4,8,IF(Moteur!B40&gt;=0.1,15,""))))))</f>
        <v>4</v>
      </c>
    </row>
    <row r="10" spans="2:9" x14ac:dyDescent="0.4">
      <c r="B10" s="23">
        <v>4</v>
      </c>
      <c r="C10" s="25"/>
      <c r="D10" s="24"/>
      <c r="H10" s="15" t="s">
        <v>26</v>
      </c>
      <c r="I10" s="36">
        <f>IF(Moteur!B40="","",IF(Moteur!B40&gt;=0.9,1,IF(Moteur!B40&gt;=0.8,3,IF(Moteur!B40&gt;=0.6,7,IF(Moteur!B40&gt;=0.4,14,IF(Moteur!B40&gt;=0.1,25,""))))))</f>
        <v>7</v>
      </c>
    </row>
    <row r="11" spans="2:9" x14ac:dyDescent="0.4">
      <c r="B11" s="23">
        <v>5</v>
      </c>
      <c r="C11" s="25"/>
      <c r="D11" s="24"/>
      <c r="H11" s="15" t="s">
        <v>27</v>
      </c>
      <c r="I11" s="40">
        <f>IF(I9="","",ROUND((I9+I10)/2,1))</f>
        <v>5.5</v>
      </c>
    </row>
    <row r="12" spans="2:9" x14ac:dyDescent="0.4">
      <c r="B12" s="23">
        <v>6</v>
      </c>
      <c r="C12" s="25"/>
      <c r="D12" s="24"/>
      <c r="H12" s="15" t="s">
        <v>28</v>
      </c>
      <c r="I12" s="17">
        <v>15</v>
      </c>
    </row>
    <row r="13" spans="2:9" ht="19.2" x14ac:dyDescent="0.4">
      <c r="H13" s="15" t="s">
        <v>29</v>
      </c>
      <c r="I13" s="37">
        <f>IF(I11="","",MIN(I11,I12))</f>
        <v>5.5</v>
      </c>
    </row>
    <row r="14" spans="2:9" x14ac:dyDescent="0.4">
      <c r="B14" s="5" t="s">
        <v>30</v>
      </c>
      <c r="C14" s="8"/>
      <c r="D14" s="8"/>
      <c r="E14" s="6"/>
    </row>
    <row r="15" spans="2:9" ht="31.2" x14ac:dyDescent="0.4">
      <c r="B15" s="9" t="s">
        <v>17</v>
      </c>
      <c r="C15" s="9" t="s">
        <v>31</v>
      </c>
      <c r="D15" s="9" t="s">
        <v>32</v>
      </c>
      <c r="E15" s="9" t="s">
        <v>33</v>
      </c>
    </row>
    <row r="16" spans="2:9" x14ac:dyDescent="0.4">
      <c r="B16" s="23">
        <v>1</v>
      </c>
      <c r="C16" s="24">
        <v>1</v>
      </c>
      <c r="D16" s="24">
        <v>2</v>
      </c>
      <c r="E16" s="24">
        <v>5</v>
      </c>
      <c r="H16" s="5" t="s">
        <v>197</v>
      </c>
      <c r="I16" s="6"/>
    </row>
    <row r="17" spans="2:9" x14ac:dyDescent="0.4">
      <c r="B17" s="23">
        <v>2</v>
      </c>
      <c r="C17" s="24"/>
      <c r="D17" s="24"/>
      <c r="E17" s="24"/>
      <c r="H17" s="15" t="s">
        <v>34</v>
      </c>
      <c r="I17" s="18">
        <v>0.01</v>
      </c>
    </row>
    <row r="18" spans="2:9" x14ac:dyDescent="0.4">
      <c r="B18" s="23">
        <v>3</v>
      </c>
      <c r="C18" s="24"/>
      <c r="D18" s="24"/>
      <c r="E18" s="24"/>
      <c r="H18" s="15" t="s">
        <v>35</v>
      </c>
      <c r="I18" s="19">
        <v>1.1000000000000001</v>
      </c>
    </row>
    <row r="19" spans="2:9" x14ac:dyDescent="0.4">
      <c r="B19" s="23">
        <v>4</v>
      </c>
      <c r="C19" s="24"/>
      <c r="D19" s="24"/>
      <c r="E19" s="24"/>
      <c r="H19" s="15" t="s">
        <v>36</v>
      </c>
      <c r="I19" s="18">
        <v>5.5E-2</v>
      </c>
    </row>
    <row r="20" spans="2:9" x14ac:dyDescent="0.4">
      <c r="B20" s="23">
        <v>5</v>
      </c>
      <c r="C20" s="24"/>
      <c r="D20" s="24"/>
      <c r="E20" s="24"/>
      <c r="H20" s="15" t="s">
        <v>37</v>
      </c>
      <c r="I20" s="18">
        <v>0.02</v>
      </c>
    </row>
    <row r="21" spans="2:9" x14ac:dyDescent="0.4">
      <c r="B21" s="23">
        <v>6</v>
      </c>
      <c r="C21" s="24"/>
      <c r="D21" s="24"/>
      <c r="E21" s="24"/>
      <c r="H21" s="15" t="s">
        <v>38</v>
      </c>
      <c r="I21" s="32">
        <f>I17+I18*I19+I20</f>
        <v>9.0500000000000011E-2</v>
      </c>
    </row>
    <row r="22" spans="2:9" x14ac:dyDescent="0.4">
      <c r="B22" s="23">
        <v>7</v>
      </c>
      <c r="C22" s="24"/>
      <c r="D22" s="24"/>
      <c r="E22" s="24"/>
      <c r="H22" s="15" t="s">
        <v>39</v>
      </c>
      <c r="I22" s="32">
        <f>IF(I13="",I21,I21+I13/100)</f>
        <v>0.14550000000000002</v>
      </c>
    </row>
    <row r="23" spans="2:9" x14ac:dyDescent="0.4">
      <c r="B23" s="23">
        <v>8</v>
      </c>
      <c r="C23" s="24"/>
      <c r="D23" s="24"/>
      <c r="E23" s="24"/>
      <c r="H23" s="15" t="s">
        <v>40</v>
      </c>
      <c r="I23" s="20">
        <v>0.7</v>
      </c>
    </row>
    <row r="24" spans="2:9" x14ac:dyDescent="0.4">
      <c r="B24" s="23">
        <v>9</v>
      </c>
      <c r="C24" s="24"/>
      <c r="D24" s="24"/>
      <c r="E24" s="24"/>
      <c r="H24" s="15" t="s">
        <v>41</v>
      </c>
      <c r="I24" s="33">
        <f>1-I23</f>
        <v>0.30000000000000004</v>
      </c>
    </row>
    <row r="25" spans="2:9" x14ac:dyDescent="0.4">
      <c r="B25" s="23">
        <v>10</v>
      </c>
      <c r="C25" s="24"/>
      <c r="D25" s="24"/>
      <c r="E25" s="24"/>
      <c r="H25" s="15" t="s">
        <v>42</v>
      </c>
      <c r="I25" s="18">
        <v>0.05</v>
      </c>
    </row>
    <row r="26" spans="2:9" x14ac:dyDescent="0.4">
      <c r="H26" s="15" t="s">
        <v>43</v>
      </c>
      <c r="I26" s="20">
        <v>0.25</v>
      </c>
    </row>
    <row r="27" spans="2:9" x14ac:dyDescent="0.4">
      <c r="H27" s="15" t="s">
        <v>44</v>
      </c>
      <c r="I27" s="32">
        <f>I25*(1-I26)</f>
        <v>3.7500000000000006E-2</v>
      </c>
    </row>
    <row r="28" spans="2:9" ht="19.2" x14ac:dyDescent="0.4">
      <c r="H28" s="15" t="s">
        <v>45</v>
      </c>
      <c r="I28" s="34">
        <f>I23*I22+I24*I27</f>
        <v>0.11310000000000001</v>
      </c>
    </row>
    <row r="31" spans="2:9" x14ac:dyDescent="0.4">
      <c r="H31" s="5" t="s">
        <v>46</v>
      </c>
      <c r="I31" s="6"/>
    </row>
    <row r="32" spans="2:9" x14ac:dyDescent="0.4">
      <c r="H32" s="15" t="s">
        <v>47</v>
      </c>
      <c r="I32" s="21">
        <v>30</v>
      </c>
    </row>
    <row r="33" spans="8:9" x14ac:dyDescent="0.4">
      <c r="H33" s="15" t="s">
        <v>48</v>
      </c>
      <c r="I33" s="22">
        <v>0.5</v>
      </c>
    </row>
    <row r="34" spans="8:9" x14ac:dyDescent="0.4">
      <c r="H34" s="15" t="s">
        <v>49</v>
      </c>
      <c r="I34" s="38">
        <f>IF(Moteur!B40="","",IF(Moteur!B40&gt;=0.9,0.95,IF(Moteur!B40&gt;=0.8,0.85,IF(Moteur!B40&gt;=0.6,0.7,IF(Moteur!B40&gt;=0.4,0.5,IF(Moteur!B40&gt;=0.1,0.3,0.15))))))</f>
        <v>0.7</v>
      </c>
    </row>
    <row r="35" spans="8:9" x14ac:dyDescent="0.4">
      <c r="H35" s="15" t="s">
        <v>50</v>
      </c>
      <c r="I35" s="21">
        <v>0</v>
      </c>
    </row>
    <row r="36" spans="8:9" ht="19.2" x14ac:dyDescent="0.4">
      <c r="H36" s="15" t="s">
        <v>51</v>
      </c>
      <c r="I36" s="39">
        <f>I32*I33+(1-I33)*I35</f>
        <v>15</v>
      </c>
    </row>
    <row r="38" spans="8:9" x14ac:dyDescent="0.4">
      <c r="H38" s="12" t="s">
        <v>52</v>
      </c>
      <c r="I38" s="11"/>
    </row>
    <row r="39" spans="8:9" x14ac:dyDescent="0.4">
      <c r="H39" s="11"/>
      <c r="I39" s="11"/>
    </row>
  </sheetData>
  <mergeCells count="6">
    <mergeCell ref="B5:D5"/>
    <mergeCell ref="H16:I16"/>
    <mergeCell ref="H5:I5"/>
    <mergeCell ref="H31:I31"/>
    <mergeCell ref="H38:I39"/>
    <mergeCell ref="B14:E14"/>
  </mergeCells>
  <dataValidations disablePrompts="1" count="2">
    <dataValidation type="whole" allowBlank="1" sqref="D7:D12 E16:E25" xr:uid="{00000000-0002-0000-0100-000000000000}">
      <formula1>1</formula1>
      <formula2>9</formula2>
    </dataValidation>
    <dataValidation type="list" allowBlank="1" sqref="C16:C25 D16:D25" xr:uid="{00000000-0002-0000-0100-000001000000}">
      <formula1>"1,2,3,4,5,6"</formula1>
    </dataValidation>
  </dataValidations>
  <pageMargins left="0.75" right="0.75" top="1" bottom="1" header="0.5" footer="0.5"/>
  <pageSetup paperSize="9" scale="5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2:F36"/>
  <sheetViews>
    <sheetView showGridLines="0" view="pageBreakPreview" zoomScale="115" zoomScaleNormal="100" zoomScaleSheetLayoutView="115" workbookViewId="0"/>
  </sheetViews>
  <sheetFormatPr defaultRowHeight="15.6" x14ac:dyDescent="0.4"/>
  <cols>
    <col min="1" max="1" width="2.69921875" style="2" customWidth="1"/>
    <col min="2" max="2" width="13.8984375" style="2" customWidth="1"/>
    <col min="3" max="3" width="63.8984375" style="2" customWidth="1"/>
    <col min="4" max="4" width="23.8984375" style="2" customWidth="1"/>
    <col min="5" max="5" width="21.8984375" style="2" customWidth="1"/>
    <col min="6" max="6" width="19.8984375" style="2" customWidth="1"/>
    <col min="7" max="7" width="23.8984375" style="2" customWidth="1"/>
    <col min="8" max="16384" width="8.796875" style="2"/>
  </cols>
  <sheetData>
    <row r="2" spans="2:4" ht="22.8" x14ac:dyDescent="0.55000000000000004">
      <c r="B2" s="1" t="s">
        <v>53</v>
      </c>
    </row>
    <row r="4" spans="2:4" x14ac:dyDescent="0.4">
      <c r="B4" s="5" t="s">
        <v>54</v>
      </c>
      <c r="C4" s="8"/>
      <c r="D4" s="6"/>
    </row>
    <row r="5" spans="2:4" x14ac:dyDescent="0.4">
      <c r="B5" s="9" t="s">
        <v>55</v>
      </c>
      <c r="C5" s="9" t="s">
        <v>56</v>
      </c>
      <c r="D5" s="9" t="s">
        <v>57</v>
      </c>
    </row>
    <row r="6" spans="2:4" x14ac:dyDescent="0.4">
      <c r="B6" s="26" t="s">
        <v>58</v>
      </c>
      <c r="C6" s="27" t="s">
        <v>59</v>
      </c>
      <c r="D6" s="27" t="s">
        <v>60</v>
      </c>
    </row>
    <row r="7" spans="2:4" x14ac:dyDescent="0.4">
      <c r="B7" s="28" t="s">
        <v>61</v>
      </c>
      <c r="C7" s="29" t="s">
        <v>62</v>
      </c>
      <c r="D7" s="29" t="s">
        <v>63</v>
      </c>
    </row>
    <row r="8" spans="2:4" x14ac:dyDescent="0.4">
      <c r="B8" s="26" t="s">
        <v>64</v>
      </c>
      <c r="C8" s="27" t="s">
        <v>65</v>
      </c>
      <c r="D8" s="27" t="s">
        <v>66</v>
      </c>
    </row>
    <row r="9" spans="2:4" x14ac:dyDescent="0.4">
      <c r="B9" s="28" t="s">
        <v>67</v>
      </c>
      <c r="C9" s="29" t="s">
        <v>68</v>
      </c>
      <c r="D9" s="29" t="s">
        <v>69</v>
      </c>
    </row>
    <row r="10" spans="2:4" x14ac:dyDescent="0.4">
      <c r="B10" s="26" t="s">
        <v>70</v>
      </c>
      <c r="C10" s="27" t="s">
        <v>71</v>
      </c>
      <c r="D10" s="27" t="s">
        <v>72</v>
      </c>
    </row>
    <row r="11" spans="2:4" x14ac:dyDescent="0.4">
      <c r="B11" s="28" t="s">
        <v>73</v>
      </c>
      <c r="C11" s="29" t="s">
        <v>74</v>
      </c>
      <c r="D11" s="29" t="s">
        <v>75</v>
      </c>
    </row>
    <row r="12" spans="2:4" x14ac:dyDescent="0.4">
      <c r="B12" s="26" t="s">
        <v>76</v>
      </c>
      <c r="C12" s="27" t="s">
        <v>77</v>
      </c>
      <c r="D12" s="27" t="s">
        <v>78</v>
      </c>
    </row>
    <row r="13" spans="2:4" x14ac:dyDescent="0.4">
      <c r="B13" s="28" t="s">
        <v>79</v>
      </c>
      <c r="C13" s="29" t="s">
        <v>80</v>
      </c>
      <c r="D13" s="29" t="s">
        <v>81</v>
      </c>
    </row>
    <row r="14" spans="2:4" x14ac:dyDescent="0.4">
      <c r="B14" s="26" t="s">
        <v>82</v>
      </c>
      <c r="C14" s="27" t="s">
        <v>83</v>
      </c>
      <c r="D14" s="27" t="s">
        <v>84</v>
      </c>
    </row>
    <row r="16" spans="2:4" x14ac:dyDescent="0.4">
      <c r="B16" s="5" t="s">
        <v>85</v>
      </c>
      <c r="C16" s="8"/>
      <c r="D16" s="6"/>
    </row>
    <row r="17" spans="2:6" x14ac:dyDescent="0.4">
      <c r="B17" s="9" t="s">
        <v>55</v>
      </c>
      <c r="C17" s="9" t="s">
        <v>86</v>
      </c>
      <c r="D17" s="9" t="s">
        <v>57</v>
      </c>
    </row>
    <row r="18" spans="2:6" x14ac:dyDescent="0.4">
      <c r="B18" s="26" t="s">
        <v>87</v>
      </c>
      <c r="C18" s="27" t="s">
        <v>88</v>
      </c>
      <c r="D18" s="27" t="s">
        <v>60</v>
      </c>
    </row>
    <row r="19" spans="2:6" x14ac:dyDescent="0.4">
      <c r="B19" s="28" t="s">
        <v>89</v>
      </c>
      <c r="C19" s="29" t="s">
        <v>90</v>
      </c>
      <c r="D19" s="29" t="s">
        <v>63</v>
      </c>
    </row>
    <row r="20" spans="2:6" x14ac:dyDescent="0.4">
      <c r="B20" s="26" t="s">
        <v>91</v>
      </c>
      <c r="C20" s="27" t="s">
        <v>92</v>
      </c>
      <c r="D20" s="27" t="s">
        <v>66</v>
      </c>
    </row>
    <row r="21" spans="2:6" x14ac:dyDescent="0.4">
      <c r="B21" s="28" t="s">
        <v>93</v>
      </c>
      <c r="C21" s="29" t="s">
        <v>94</v>
      </c>
      <c r="D21" s="29" t="s">
        <v>69</v>
      </c>
    </row>
    <row r="22" spans="2:6" x14ac:dyDescent="0.4">
      <c r="B22" s="26" t="s">
        <v>95</v>
      </c>
      <c r="C22" s="27" t="s">
        <v>96</v>
      </c>
      <c r="D22" s="27" t="s">
        <v>72</v>
      </c>
    </row>
    <row r="23" spans="2:6" x14ac:dyDescent="0.4">
      <c r="B23" s="28" t="s">
        <v>97</v>
      </c>
      <c r="C23" s="29" t="s">
        <v>98</v>
      </c>
      <c r="D23" s="29" t="s">
        <v>75</v>
      </c>
    </row>
    <row r="24" spans="2:6" x14ac:dyDescent="0.4">
      <c r="B24" s="26" t="s">
        <v>99</v>
      </c>
      <c r="C24" s="27" t="s">
        <v>100</v>
      </c>
      <c r="D24" s="27" t="s">
        <v>78</v>
      </c>
    </row>
    <row r="25" spans="2:6" x14ac:dyDescent="0.4">
      <c r="B25" s="28" t="s">
        <v>101</v>
      </c>
      <c r="C25" s="29" t="s">
        <v>102</v>
      </c>
      <c r="D25" s="29" t="s">
        <v>81</v>
      </c>
    </row>
    <row r="26" spans="2:6" x14ac:dyDescent="0.4">
      <c r="B26" s="26" t="s">
        <v>103</v>
      </c>
      <c r="C26" s="27" t="s">
        <v>104</v>
      </c>
      <c r="D26" s="27" t="s">
        <v>84</v>
      </c>
    </row>
    <row r="28" spans="2:6" ht="15.6" customHeight="1" x14ac:dyDescent="0.4">
      <c r="B28" s="41" t="s">
        <v>105</v>
      </c>
      <c r="C28" s="42"/>
      <c r="D28" s="42"/>
      <c r="E28" s="42"/>
      <c r="F28" s="43"/>
    </row>
    <row r="29" spans="2:6" x14ac:dyDescent="0.4">
      <c r="B29" s="9" t="s">
        <v>106</v>
      </c>
      <c r="C29" s="9" t="s">
        <v>107</v>
      </c>
      <c r="D29" s="9" t="s">
        <v>108</v>
      </c>
      <c r="E29" s="9" t="s">
        <v>109</v>
      </c>
      <c r="F29" s="9" t="s">
        <v>110</v>
      </c>
    </row>
    <row r="30" spans="2:6" x14ac:dyDescent="0.4">
      <c r="B30" s="26" t="s">
        <v>111</v>
      </c>
      <c r="C30" s="27" t="s">
        <v>112</v>
      </c>
      <c r="D30" s="27" t="s">
        <v>113</v>
      </c>
      <c r="E30" s="27" t="s">
        <v>114</v>
      </c>
      <c r="F30" s="27" t="s">
        <v>115</v>
      </c>
    </row>
    <row r="31" spans="2:6" x14ac:dyDescent="0.4">
      <c r="B31" s="28" t="s">
        <v>116</v>
      </c>
      <c r="C31" s="29" t="s">
        <v>117</v>
      </c>
      <c r="D31" s="29" t="s">
        <v>118</v>
      </c>
      <c r="E31" s="29" t="s">
        <v>119</v>
      </c>
      <c r="F31" s="29" t="s">
        <v>120</v>
      </c>
    </row>
    <row r="32" spans="2:6" x14ac:dyDescent="0.4">
      <c r="B32" s="26" t="s">
        <v>121</v>
      </c>
      <c r="C32" s="27" t="s">
        <v>122</v>
      </c>
      <c r="D32" s="27" t="s">
        <v>123</v>
      </c>
      <c r="E32" s="27" t="s">
        <v>124</v>
      </c>
      <c r="F32" s="27" t="s">
        <v>125</v>
      </c>
    </row>
    <row r="33" spans="2:6" x14ac:dyDescent="0.4">
      <c r="B33" s="28" t="s">
        <v>126</v>
      </c>
      <c r="C33" s="29" t="s">
        <v>127</v>
      </c>
      <c r="D33" s="29" t="s">
        <v>128</v>
      </c>
      <c r="E33" s="29" t="s">
        <v>79</v>
      </c>
      <c r="F33" s="29" t="s">
        <v>129</v>
      </c>
    </row>
    <row r="34" spans="2:6" x14ac:dyDescent="0.4">
      <c r="B34" s="26" t="s">
        <v>130</v>
      </c>
      <c r="C34" s="27" t="s">
        <v>131</v>
      </c>
      <c r="D34" s="27" t="s">
        <v>132</v>
      </c>
      <c r="E34" s="27" t="s">
        <v>82</v>
      </c>
      <c r="F34" s="27" t="s">
        <v>133</v>
      </c>
    </row>
    <row r="36" spans="2:6" x14ac:dyDescent="0.4">
      <c r="B36" s="10" t="s">
        <v>134</v>
      </c>
      <c r="C36" s="11"/>
      <c r="D36" s="11"/>
      <c r="E36" s="11"/>
      <c r="F36" s="11"/>
    </row>
  </sheetData>
  <mergeCells count="4">
    <mergeCell ref="B36:F36"/>
    <mergeCell ref="B28:F28"/>
    <mergeCell ref="B16:D16"/>
    <mergeCell ref="B4:D4"/>
  </mergeCells>
  <pageMargins left="0.75" right="0.75" top="1" bottom="1" header="0.5" footer="0.5"/>
  <pageSetup paperSize="9" scale="48"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sheetPr>
  <dimension ref="B2:C21"/>
  <sheetViews>
    <sheetView showGridLines="0" view="pageBreakPreview" zoomScale="115" zoomScaleNormal="100" zoomScaleSheetLayoutView="115" workbookViewId="0"/>
  </sheetViews>
  <sheetFormatPr defaultRowHeight="15.6" x14ac:dyDescent="0.4"/>
  <cols>
    <col min="1" max="1" width="2.69921875" style="2" customWidth="1"/>
    <col min="2" max="2" width="61.8984375" style="2" customWidth="1"/>
    <col min="3" max="3" width="50.69921875" style="2" customWidth="1"/>
    <col min="4" max="16384" width="8.796875" style="2"/>
  </cols>
  <sheetData>
    <row r="2" spans="2:3" ht="22.8" x14ac:dyDescent="0.55000000000000004">
      <c r="B2" s="1" t="s">
        <v>135</v>
      </c>
    </row>
    <row r="3" spans="2:3" x14ac:dyDescent="0.4">
      <c r="B3" s="3" t="s">
        <v>136</v>
      </c>
    </row>
    <row r="5" spans="2:3" x14ac:dyDescent="0.4">
      <c r="B5" s="5" t="s">
        <v>137</v>
      </c>
      <c r="C5" s="6"/>
    </row>
    <row r="6" spans="2:3" ht="31.2" x14ac:dyDescent="0.4">
      <c r="B6" s="27" t="s">
        <v>138</v>
      </c>
      <c r="C6" s="23"/>
    </row>
    <row r="7" spans="2:3" x14ac:dyDescent="0.4">
      <c r="B7" s="30" t="s">
        <v>139</v>
      </c>
      <c r="C7" s="31"/>
    </row>
    <row r="8" spans="2:3" x14ac:dyDescent="0.4">
      <c r="B8" s="27" t="s">
        <v>140</v>
      </c>
      <c r="C8" s="23" t="s">
        <v>141</v>
      </c>
    </row>
    <row r="9" spans="2:3" x14ac:dyDescent="0.4">
      <c r="B9" s="27" t="s">
        <v>106</v>
      </c>
      <c r="C9" s="23" t="s">
        <v>117</v>
      </c>
    </row>
    <row r="10" spans="2:3" x14ac:dyDescent="0.4">
      <c r="B10" s="27" t="s">
        <v>142</v>
      </c>
      <c r="C10" s="23" t="s">
        <v>143</v>
      </c>
    </row>
    <row r="11" spans="2:3" x14ac:dyDescent="0.4">
      <c r="B11" s="27" t="s">
        <v>144</v>
      </c>
      <c r="C11" s="23" t="s">
        <v>145</v>
      </c>
    </row>
    <row r="12" spans="2:3" x14ac:dyDescent="0.4">
      <c r="B12" s="27" t="s">
        <v>146</v>
      </c>
      <c r="C12" s="23" t="s">
        <v>147</v>
      </c>
    </row>
    <row r="13" spans="2:3" x14ac:dyDescent="0.4">
      <c r="B13" s="27" t="s">
        <v>148</v>
      </c>
      <c r="C13" s="23" t="s">
        <v>149</v>
      </c>
    </row>
    <row r="14" spans="2:3" x14ac:dyDescent="0.4">
      <c r="B14" s="5" t="s">
        <v>150</v>
      </c>
      <c r="C14" s="6"/>
    </row>
    <row r="15" spans="2:3" x14ac:dyDescent="0.4">
      <c r="B15" s="27" t="s">
        <v>151</v>
      </c>
      <c r="C15" s="23" t="s">
        <v>152</v>
      </c>
    </row>
    <row r="16" spans="2:3" x14ac:dyDescent="0.4">
      <c r="B16" s="27" t="s">
        <v>153</v>
      </c>
      <c r="C16" s="23" t="s">
        <v>154</v>
      </c>
    </row>
    <row r="17" spans="2:3" x14ac:dyDescent="0.4">
      <c r="B17" s="5" t="s">
        <v>155</v>
      </c>
      <c r="C17" s="6"/>
    </row>
    <row r="18" spans="2:3" x14ac:dyDescent="0.4">
      <c r="B18" s="27" t="s">
        <v>156</v>
      </c>
      <c r="C18" s="23" t="s">
        <v>157</v>
      </c>
    </row>
    <row r="19" spans="2:3" x14ac:dyDescent="0.4">
      <c r="B19" s="27" t="s">
        <v>158</v>
      </c>
      <c r="C19" s="23" t="s">
        <v>159</v>
      </c>
    </row>
    <row r="20" spans="2:3" x14ac:dyDescent="0.4">
      <c r="B20" s="27" t="s">
        <v>160</v>
      </c>
      <c r="C20" s="23" t="s">
        <v>161</v>
      </c>
    </row>
    <row r="21" spans="2:3" x14ac:dyDescent="0.4">
      <c r="B21" s="27" t="s">
        <v>162</v>
      </c>
      <c r="C21" s="23" t="s">
        <v>163</v>
      </c>
    </row>
  </sheetData>
  <mergeCells count="4">
    <mergeCell ref="B14:C14"/>
    <mergeCell ref="B5:C5"/>
    <mergeCell ref="B17:C17"/>
    <mergeCell ref="B7:C7"/>
  </mergeCells>
  <pageMargins left="0.75" right="0.75" top="1" bottom="1" header="0.5" footer="0.5"/>
  <pageSetup paperSize="9" scale="66"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sheetPr>
  <dimension ref="B2:C21"/>
  <sheetViews>
    <sheetView showGridLines="0" view="pageBreakPreview" zoomScale="115" zoomScaleNormal="100" zoomScaleSheetLayoutView="115" workbookViewId="0"/>
  </sheetViews>
  <sheetFormatPr defaultRowHeight="15.6" x14ac:dyDescent="0.4"/>
  <cols>
    <col min="1" max="1" width="2.69921875" style="2" customWidth="1"/>
    <col min="2" max="2" width="61.8984375" style="2" customWidth="1"/>
    <col min="3" max="3" width="50.69921875" style="2" customWidth="1"/>
    <col min="4" max="16384" width="8.796875" style="2"/>
  </cols>
  <sheetData>
    <row r="2" spans="2:3" ht="22.8" x14ac:dyDescent="0.55000000000000004">
      <c r="B2" s="1" t="s">
        <v>164</v>
      </c>
    </row>
    <row r="3" spans="2:3" x14ac:dyDescent="0.4">
      <c r="B3" s="3" t="s">
        <v>136</v>
      </c>
    </row>
    <row r="5" spans="2:3" x14ac:dyDescent="0.4">
      <c r="B5" s="5" t="s">
        <v>137</v>
      </c>
      <c r="C5" s="6"/>
    </row>
    <row r="6" spans="2:3" ht="31.2" x14ac:dyDescent="0.4">
      <c r="B6" s="27" t="s">
        <v>165</v>
      </c>
      <c r="C6" s="7"/>
    </row>
    <row r="7" spans="2:3" x14ac:dyDescent="0.4">
      <c r="B7" s="5" t="s">
        <v>139</v>
      </c>
      <c r="C7" s="6"/>
    </row>
    <row r="8" spans="2:3" x14ac:dyDescent="0.4">
      <c r="B8" s="27" t="s">
        <v>166</v>
      </c>
      <c r="C8" s="23" t="s">
        <v>167</v>
      </c>
    </row>
    <row r="9" spans="2:3" x14ac:dyDescent="0.4">
      <c r="B9" s="27" t="s">
        <v>140</v>
      </c>
      <c r="C9" s="23" t="s">
        <v>168</v>
      </c>
    </row>
    <row r="10" spans="2:3" x14ac:dyDescent="0.4">
      <c r="B10" s="27" t="s">
        <v>169</v>
      </c>
      <c r="C10" s="23" t="s">
        <v>170</v>
      </c>
    </row>
    <row r="11" spans="2:3" x14ac:dyDescent="0.4">
      <c r="B11" s="27" t="s">
        <v>44</v>
      </c>
      <c r="C11" s="23" t="s">
        <v>171</v>
      </c>
    </row>
    <row r="12" spans="2:3" x14ac:dyDescent="0.4">
      <c r="B12" s="27" t="s">
        <v>172</v>
      </c>
      <c r="C12" s="23" t="s">
        <v>173</v>
      </c>
    </row>
    <row r="13" spans="2:3" x14ac:dyDescent="0.4">
      <c r="B13" s="27" t="s">
        <v>174</v>
      </c>
      <c r="C13" s="23" t="s">
        <v>175</v>
      </c>
    </row>
    <row r="14" spans="2:3" x14ac:dyDescent="0.4">
      <c r="B14" s="27" t="s">
        <v>176</v>
      </c>
      <c r="C14" s="23" t="s">
        <v>177</v>
      </c>
    </row>
    <row r="15" spans="2:3" x14ac:dyDescent="0.4">
      <c r="B15" s="5" t="s">
        <v>178</v>
      </c>
      <c r="C15" s="6"/>
    </row>
    <row r="16" spans="2:3" x14ac:dyDescent="0.4">
      <c r="B16" s="27" t="s">
        <v>179</v>
      </c>
      <c r="C16" s="23" t="s">
        <v>180</v>
      </c>
    </row>
    <row r="17" spans="2:3" x14ac:dyDescent="0.4">
      <c r="B17" s="27" t="s">
        <v>181</v>
      </c>
      <c r="C17" s="23" t="s">
        <v>182</v>
      </c>
    </row>
    <row r="18" spans="2:3" x14ac:dyDescent="0.4">
      <c r="B18" s="5" t="s">
        <v>183</v>
      </c>
      <c r="C18" s="6"/>
    </row>
    <row r="19" spans="2:3" x14ac:dyDescent="0.4">
      <c r="B19" s="27" t="s">
        <v>45</v>
      </c>
      <c r="C19" s="23" t="s">
        <v>184</v>
      </c>
    </row>
    <row r="20" spans="2:3" x14ac:dyDescent="0.4">
      <c r="B20" s="27" t="s">
        <v>185</v>
      </c>
      <c r="C20" s="23" t="s">
        <v>186</v>
      </c>
    </row>
    <row r="21" spans="2:3" x14ac:dyDescent="0.4">
      <c r="B21" s="27" t="s">
        <v>187</v>
      </c>
      <c r="C21" s="23" t="s">
        <v>188</v>
      </c>
    </row>
  </sheetData>
  <mergeCells count="4">
    <mergeCell ref="B18:C18"/>
    <mergeCell ref="B5:C5"/>
    <mergeCell ref="B15:C15"/>
    <mergeCell ref="B7:C7"/>
  </mergeCells>
  <pageMargins left="0.75" right="0.75" top="1" bottom="1" header="0.5" footer="0.5"/>
  <pageSetup paperSize="9" scale="6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1"/>
  <sheetViews>
    <sheetView workbookViewId="0"/>
  </sheetViews>
  <sheetFormatPr defaultRowHeight="14.4" x14ac:dyDescent="0.3"/>
  <sheetData>
    <row r="1" spans="1:17" x14ac:dyDescent="0.3">
      <c r="A1" t="s">
        <v>189</v>
      </c>
      <c r="B1">
        <f>IF(Calculateur!D7="","",Calculateur!D7)</f>
        <v>9</v>
      </c>
      <c r="C1">
        <f t="shared" ref="C1:C6" si="0">IF(B1="",0,1)</f>
        <v>1</v>
      </c>
      <c r="D1">
        <f t="shared" ref="D1:D6" si="1">IF(B1="",0,B1/9)</f>
        <v>1</v>
      </c>
      <c r="F1">
        <f>IF(Calculateur!C16="","",Calculateur!C16*1)</f>
        <v>1</v>
      </c>
      <c r="G1">
        <f>IF(Calculateur!D16="","",Calculateur!D16*1)</f>
        <v>2</v>
      </c>
      <c r="H1">
        <f>IF(Calculateur!E16="","",Calculateur!E16)</f>
        <v>5</v>
      </c>
      <c r="I1">
        <f t="shared" ref="I1:I10" si="2">IF(AND(F1&lt;&gt;"",G1&lt;&gt;"",H1&lt;&gt;""),IF(AND(INDEX($C$1:$C$6,F1)=1,INDEX($C$1:$C$6,G1)=1),1,0),0)</f>
        <v>1</v>
      </c>
      <c r="J1">
        <f t="shared" ref="J1:J10" si="3">IF(I1=1,H1/9,0)</f>
        <v>0.55555555555555558</v>
      </c>
      <c r="K1">
        <f t="shared" ref="K1:K10" si="4">IF(I1=1,INDEX($D$1:$D$6,F1),0)</f>
        <v>1</v>
      </c>
      <c r="L1">
        <f t="shared" ref="L1:L10" si="5">IF(I1=1,INDEX($D$1:$D$6,G1),0)</f>
        <v>0.55555555555555558</v>
      </c>
      <c r="N1">
        <f>SUMPRODUCT($I$1:$I$10*(($F$1:$F$10=1)+($G$1:$G$10=1)))</f>
        <v>1</v>
      </c>
      <c r="O1">
        <f>SUMPRODUCT(($F$1:$F$10=1)*$J$1:$J$10*$L$1:$L$10)+SUMPRODUCT(($G$1:$G$10=1)*$J$1:$J$10*$K$1:$K$10)</f>
        <v>0.30864197530864201</v>
      </c>
      <c r="P1">
        <f t="shared" ref="P1:P6" si="6">IF(B1="",0,(D1+O1)/(1+N1))</f>
        <v>0.65432098765432101</v>
      </c>
      <c r="Q1">
        <f t="shared" ref="Q1:Q6" si="7">IF(B1="","",P1)</f>
        <v>0.65432098765432101</v>
      </c>
    </row>
    <row r="2" spans="1:17" x14ac:dyDescent="0.3">
      <c r="A2" t="s">
        <v>190</v>
      </c>
      <c r="B2">
        <f>IF(Calculateur!D8="","",Calculateur!D8)</f>
        <v>5</v>
      </c>
      <c r="C2">
        <f t="shared" si="0"/>
        <v>1</v>
      </c>
      <c r="D2">
        <f t="shared" si="1"/>
        <v>0.55555555555555558</v>
      </c>
      <c r="F2" t="str">
        <f>IF(Calculateur!C17="","",Calculateur!C17*1)</f>
        <v/>
      </c>
      <c r="G2" t="str">
        <f>IF(Calculateur!D17="","",Calculateur!D17*1)</f>
        <v/>
      </c>
      <c r="H2" t="str">
        <f>IF(Calculateur!E17="","",Calculateur!E17)</f>
        <v/>
      </c>
      <c r="I2">
        <f t="shared" si="2"/>
        <v>0</v>
      </c>
      <c r="J2">
        <f t="shared" si="3"/>
        <v>0</v>
      </c>
      <c r="K2">
        <f t="shared" si="4"/>
        <v>0</v>
      </c>
      <c r="L2">
        <f t="shared" si="5"/>
        <v>0</v>
      </c>
      <c r="N2">
        <f>SUMPRODUCT($I$1:$I$10*(($F$1:$F$10=2)+($G$1:$G$10=2)))</f>
        <v>1</v>
      </c>
      <c r="O2">
        <f>SUMPRODUCT(($F$1:$F$10=2)*$J$1:$J$10*$L$1:$L$10)+SUMPRODUCT(($G$1:$G$10=2)*$J$1:$J$10*$K$1:$K$10)</f>
        <v>0.55555555555555558</v>
      </c>
      <c r="P2">
        <f t="shared" si="6"/>
        <v>0.55555555555555558</v>
      </c>
      <c r="Q2">
        <f t="shared" si="7"/>
        <v>0.55555555555555558</v>
      </c>
    </row>
    <row r="3" spans="1:17" x14ac:dyDescent="0.3">
      <c r="A3" t="s">
        <v>191</v>
      </c>
      <c r="B3" t="str">
        <f>IF(Calculateur!D9="","",Calculateur!D9)</f>
        <v/>
      </c>
      <c r="C3">
        <f t="shared" si="0"/>
        <v>0</v>
      </c>
      <c r="D3">
        <f t="shared" si="1"/>
        <v>0</v>
      </c>
      <c r="F3" t="str">
        <f>IF(Calculateur!C18="","",Calculateur!C18*1)</f>
        <v/>
      </c>
      <c r="G3" t="str">
        <f>IF(Calculateur!D18="","",Calculateur!D18*1)</f>
        <v/>
      </c>
      <c r="H3" t="str">
        <f>IF(Calculateur!E18="","",Calculateur!E18)</f>
        <v/>
      </c>
      <c r="I3">
        <f t="shared" si="2"/>
        <v>0</v>
      </c>
      <c r="J3">
        <f t="shared" si="3"/>
        <v>0</v>
      </c>
      <c r="K3">
        <f t="shared" si="4"/>
        <v>0</v>
      </c>
      <c r="L3">
        <f t="shared" si="5"/>
        <v>0</v>
      </c>
      <c r="N3">
        <f>SUMPRODUCT($I$1:$I$10*(($F$1:$F$10=3)+($G$1:$G$10=3)))</f>
        <v>0</v>
      </c>
      <c r="O3">
        <f>SUMPRODUCT(($F$1:$F$10=3)*$J$1:$J$10*$L$1:$L$10)+SUMPRODUCT(($G$1:$G$10=3)*$J$1:$J$10*$K$1:$K$10)</f>
        <v>0</v>
      </c>
      <c r="P3">
        <f t="shared" si="6"/>
        <v>0</v>
      </c>
      <c r="Q3" t="str">
        <f t="shared" si="7"/>
        <v/>
      </c>
    </row>
    <row r="4" spans="1:17" x14ac:dyDescent="0.3">
      <c r="A4" t="s">
        <v>192</v>
      </c>
      <c r="B4" t="str">
        <f>IF(Calculateur!D10="","",Calculateur!D10)</f>
        <v/>
      </c>
      <c r="C4">
        <f t="shared" si="0"/>
        <v>0</v>
      </c>
      <c r="D4">
        <f t="shared" si="1"/>
        <v>0</v>
      </c>
      <c r="F4" t="str">
        <f>IF(Calculateur!C19="","",Calculateur!C19*1)</f>
        <v/>
      </c>
      <c r="G4" t="str">
        <f>IF(Calculateur!D19="","",Calculateur!D19*1)</f>
        <v/>
      </c>
      <c r="H4" t="str">
        <f>IF(Calculateur!E19="","",Calculateur!E19)</f>
        <v/>
      </c>
      <c r="I4">
        <f t="shared" si="2"/>
        <v>0</v>
      </c>
      <c r="J4">
        <f t="shared" si="3"/>
        <v>0</v>
      </c>
      <c r="K4">
        <f t="shared" si="4"/>
        <v>0</v>
      </c>
      <c r="L4">
        <f t="shared" si="5"/>
        <v>0</v>
      </c>
      <c r="N4">
        <f>SUMPRODUCT($I$1:$I$10*(($F$1:$F$10=4)+($G$1:$G$10=4)))</f>
        <v>0</v>
      </c>
      <c r="O4">
        <f>SUMPRODUCT(($F$1:$F$10=4)*$J$1:$J$10*$L$1:$L$10)+SUMPRODUCT(($G$1:$G$10=4)*$J$1:$J$10*$K$1:$K$10)</f>
        <v>0</v>
      </c>
      <c r="P4">
        <f t="shared" si="6"/>
        <v>0</v>
      </c>
      <c r="Q4" t="str">
        <f t="shared" si="7"/>
        <v/>
      </c>
    </row>
    <row r="5" spans="1:17" x14ac:dyDescent="0.3">
      <c r="A5" t="s">
        <v>193</v>
      </c>
      <c r="B5" t="str">
        <f>IF(Calculateur!D11="","",Calculateur!D11)</f>
        <v/>
      </c>
      <c r="C5">
        <f t="shared" si="0"/>
        <v>0</v>
      </c>
      <c r="D5">
        <f t="shared" si="1"/>
        <v>0</v>
      </c>
      <c r="F5" t="str">
        <f>IF(Calculateur!C20="","",Calculateur!C20*1)</f>
        <v/>
      </c>
      <c r="G5" t="str">
        <f>IF(Calculateur!D20="","",Calculateur!D20*1)</f>
        <v/>
      </c>
      <c r="H5" t="str">
        <f>IF(Calculateur!E20="","",Calculateur!E20)</f>
        <v/>
      </c>
      <c r="I5">
        <f t="shared" si="2"/>
        <v>0</v>
      </c>
      <c r="J5">
        <f t="shared" si="3"/>
        <v>0</v>
      </c>
      <c r="K5">
        <f t="shared" si="4"/>
        <v>0</v>
      </c>
      <c r="L5">
        <f t="shared" si="5"/>
        <v>0</v>
      </c>
      <c r="N5">
        <f>SUMPRODUCT($I$1:$I$10*(($F$1:$F$10=5)+($G$1:$G$10=5)))</f>
        <v>0</v>
      </c>
      <c r="O5">
        <f>SUMPRODUCT(($F$1:$F$10=5)*$J$1:$J$10*$L$1:$L$10)+SUMPRODUCT(($G$1:$G$10=5)*$J$1:$J$10*$K$1:$K$10)</f>
        <v>0</v>
      </c>
      <c r="P5">
        <f t="shared" si="6"/>
        <v>0</v>
      </c>
      <c r="Q5" t="str">
        <f t="shared" si="7"/>
        <v/>
      </c>
    </row>
    <row r="6" spans="1:17" x14ac:dyDescent="0.3">
      <c r="A6" t="s">
        <v>194</v>
      </c>
      <c r="B6" t="str">
        <f>IF(Calculateur!D12="","",Calculateur!D12)</f>
        <v/>
      </c>
      <c r="C6">
        <f t="shared" si="0"/>
        <v>0</v>
      </c>
      <c r="D6">
        <f t="shared" si="1"/>
        <v>0</v>
      </c>
      <c r="F6" t="str">
        <f>IF(Calculateur!C21="","",Calculateur!C21*1)</f>
        <v/>
      </c>
      <c r="G6" t="str">
        <f>IF(Calculateur!D21="","",Calculateur!D21*1)</f>
        <v/>
      </c>
      <c r="H6" t="str">
        <f>IF(Calculateur!E21="","",Calculateur!E21)</f>
        <v/>
      </c>
      <c r="I6">
        <f t="shared" si="2"/>
        <v>0</v>
      </c>
      <c r="J6">
        <f t="shared" si="3"/>
        <v>0</v>
      </c>
      <c r="K6">
        <f t="shared" si="4"/>
        <v>0</v>
      </c>
      <c r="L6">
        <f t="shared" si="5"/>
        <v>0</v>
      </c>
      <c r="N6">
        <f>SUMPRODUCT($I$1:$I$10*(($F$1:$F$10=6)+($G$1:$G$10=6)))</f>
        <v>0</v>
      </c>
      <c r="O6">
        <f>SUMPRODUCT(($F$1:$F$10=6)*$J$1:$J$10*$L$1:$L$10)+SUMPRODUCT(($G$1:$G$10=6)*$J$1:$J$10*$K$1:$K$10)</f>
        <v>0</v>
      </c>
      <c r="P6">
        <f t="shared" si="6"/>
        <v>0</v>
      </c>
      <c r="Q6" t="str">
        <f t="shared" si="7"/>
        <v/>
      </c>
    </row>
    <row r="7" spans="1:17" x14ac:dyDescent="0.3">
      <c r="F7" t="str">
        <f>IF(Calculateur!C22="","",Calculateur!C22*1)</f>
        <v/>
      </c>
      <c r="G7" t="str">
        <f>IF(Calculateur!D22="","",Calculateur!D22*1)</f>
        <v/>
      </c>
      <c r="H7" t="str">
        <f>IF(Calculateur!E22="","",Calculateur!E22)</f>
        <v/>
      </c>
      <c r="I7">
        <f t="shared" si="2"/>
        <v>0</v>
      </c>
      <c r="J7">
        <f t="shared" si="3"/>
        <v>0</v>
      </c>
      <c r="K7">
        <f t="shared" si="4"/>
        <v>0</v>
      </c>
      <c r="L7">
        <f t="shared" si="5"/>
        <v>0</v>
      </c>
    </row>
    <row r="8" spans="1:17" x14ac:dyDescent="0.3">
      <c r="F8" t="str">
        <f>IF(Calculateur!C23="","",Calculateur!C23*1)</f>
        <v/>
      </c>
      <c r="G8" t="str">
        <f>IF(Calculateur!D23="","",Calculateur!D23*1)</f>
        <v/>
      </c>
      <c r="H8" t="str">
        <f>IF(Calculateur!E23="","",Calculateur!E23)</f>
        <v/>
      </c>
      <c r="I8">
        <f t="shared" si="2"/>
        <v>0</v>
      </c>
      <c r="J8">
        <f t="shared" si="3"/>
        <v>0</v>
      </c>
      <c r="K8">
        <f t="shared" si="4"/>
        <v>0</v>
      </c>
      <c r="L8">
        <f t="shared" si="5"/>
        <v>0</v>
      </c>
    </row>
    <row r="9" spans="1:17" x14ac:dyDescent="0.3">
      <c r="F9" t="str">
        <f>IF(Calculateur!C24="","",Calculateur!C24*1)</f>
        <v/>
      </c>
      <c r="G9" t="str">
        <f>IF(Calculateur!D24="","",Calculateur!D24*1)</f>
        <v/>
      </c>
      <c r="H9" t="str">
        <f>IF(Calculateur!E24="","",Calculateur!E24)</f>
        <v/>
      </c>
      <c r="I9">
        <f t="shared" si="2"/>
        <v>0</v>
      </c>
      <c r="J9">
        <f t="shared" si="3"/>
        <v>0</v>
      </c>
      <c r="K9">
        <f t="shared" si="4"/>
        <v>0</v>
      </c>
      <c r="L9">
        <f t="shared" si="5"/>
        <v>0</v>
      </c>
    </row>
    <row r="10" spans="1:17" x14ac:dyDescent="0.3">
      <c r="F10" t="str">
        <f>IF(Calculateur!C25="","",Calculateur!C25*1)</f>
        <v/>
      </c>
      <c r="G10" t="str">
        <f>IF(Calculateur!D25="","",Calculateur!D25*1)</f>
        <v/>
      </c>
      <c r="H10" t="str">
        <f>IF(Calculateur!E25="","",Calculateur!E25)</f>
        <v/>
      </c>
      <c r="I10">
        <f t="shared" si="2"/>
        <v>0</v>
      </c>
      <c r="J10">
        <f t="shared" si="3"/>
        <v>0</v>
      </c>
      <c r="K10">
        <f t="shared" si="4"/>
        <v>0</v>
      </c>
      <c r="L10">
        <f t="shared" si="5"/>
        <v>0</v>
      </c>
    </row>
    <row r="40" spans="1:2" x14ac:dyDescent="0.3">
      <c r="A40" t="s">
        <v>195</v>
      </c>
      <c r="B40">
        <f>IF(COUNT(B1:B6)=0,"",SUM(P1:P6)/COUNT(B1:B6))</f>
        <v>0.60493827160493829</v>
      </c>
    </row>
    <row r="41" spans="1:2" x14ac:dyDescent="0.3">
      <c r="A41" t="s">
        <v>196</v>
      </c>
      <c r="B41">
        <f>COUNT(B1:B6)</f>
        <v>2</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Notice</vt:lpstr>
      <vt:lpstr>Calculateur</vt:lpstr>
      <vt:lpstr>Barèmes</vt:lpstr>
      <vt:lpstr>Cas 1 — Medtech CH</vt:lpstr>
      <vt:lpstr>Cas 2 — PME indus FR</vt:lpstr>
      <vt:lpstr>Moteur</vt:lpstr>
      <vt:lpstr>Barèmes!Print_Area</vt:lpstr>
      <vt:lpstr>Calculateur!Print_Area</vt:lpstr>
      <vt:lpstr>'Cas 1 — Medtech CH'!Print_Area</vt:lpstr>
      <vt:lpstr>'Cas 2 — PME indus FR'!Print_Area</vt:lpstr>
      <vt:lpstr>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Aristide Ruot</cp:lastModifiedBy>
  <dcterms:created xsi:type="dcterms:W3CDTF">2026-06-20T11:18:59Z</dcterms:created>
  <dcterms:modified xsi:type="dcterms:W3CDTF">2026-06-20T12:26:23Z</dcterms:modified>
</cp:coreProperties>
</file>