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Hectelion\01_Admin\08_Marketing\11_Publications gratuites\49_SRL\"/>
    </mc:Choice>
  </mc:AlternateContent>
  <xr:revisionPtr revIDLastSave="0" documentId="13_ncr:1_{891C8B9A-48B6-4B3E-8B6C-18964A6B6501}" xr6:coauthVersionLast="47" xr6:coauthVersionMax="47" xr10:uidLastSave="{00000000-0000-0000-0000-000000000000}"/>
  <bookViews>
    <workbookView xWindow="-38508" yWindow="-2280" windowWidth="38616" windowHeight="21096" xr2:uid="{00000000-000D-0000-FFFF-FFFF00000000}"/>
  </bookViews>
  <sheets>
    <sheet name="Instructions" sheetId="1" r:id="rId1"/>
    <sheet name="Calculator" sheetId="2" r:id="rId2"/>
    <sheet name="Scales" sheetId="3" r:id="rId3"/>
    <sheet name="Case 1 — Medtech CH" sheetId="4" r:id="rId4"/>
    <sheet name="Case 2 — Ind. SME FR" sheetId="5" r:id="rId5"/>
    <sheet name="Engine" sheetId="6" state="hidden" r:id="rId6"/>
  </sheets>
  <definedNames>
    <definedName name="_xlnm.Print_Area" localSheetId="1">Calculator!$A$1:$J$40</definedName>
    <definedName name="_xlnm.Print_Area" localSheetId="3">'Case 1 — Medtech CH'!$A$1:$D$22</definedName>
    <definedName name="_xlnm.Print_Area" localSheetId="4">'Case 2 — Ind. SME FR'!$A$1:$D$22</definedName>
    <definedName name="_xlnm.Print_Area" localSheetId="0">Instructions!$A$1:$C$19</definedName>
    <definedName name="_xlnm.Print_Area" localSheetId="2">Scales!$A$1:$G$37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 l="1"/>
  <c r="G10" i="6"/>
  <c r="F10" i="6"/>
  <c r="I10" i="6" s="1"/>
  <c r="H9" i="6"/>
  <c r="G9" i="6"/>
  <c r="F9" i="6"/>
  <c r="I9" i="6" s="1"/>
  <c r="H8" i="6"/>
  <c r="G8" i="6"/>
  <c r="F8" i="6"/>
  <c r="I8" i="6" s="1"/>
  <c r="H7" i="6"/>
  <c r="G7" i="6"/>
  <c r="F7" i="6"/>
  <c r="I7" i="6" s="1"/>
  <c r="H6" i="6"/>
  <c r="G6" i="6"/>
  <c r="F6" i="6"/>
  <c r="I6" i="6" s="1"/>
  <c r="D6" i="6"/>
  <c r="C6" i="6"/>
  <c r="B6" i="6"/>
  <c r="Q6" i="6" s="1"/>
  <c r="H5" i="6"/>
  <c r="G5" i="6"/>
  <c r="F5" i="6"/>
  <c r="I5" i="6" s="1"/>
  <c r="D5" i="6"/>
  <c r="B5" i="6"/>
  <c r="Q5" i="6" s="1"/>
  <c r="Q4" i="6"/>
  <c r="P4" i="6"/>
  <c r="H4" i="6"/>
  <c r="G4" i="6"/>
  <c r="F4" i="6"/>
  <c r="I4" i="6" s="1"/>
  <c r="D4" i="6"/>
  <c r="B4" i="6"/>
  <c r="C4" i="6" s="1"/>
  <c r="Q3" i="6"/>
  <c r="P3" i="6"/>
  <c r="H3" i="6"/>
  <c r="G3" i="6"/>
  <c r="I3" i="6" s="1"/>
  <c r="F3" i="6"/>
  <c r="B3" i="6"/>
  <c r="D3" i="6" s="1"/>
  <c r="H2" i="6"/>
  <c r="G2" i="6"/>
  <c r="F2" i="6"/>
  <c r="I2" i="6" s="1"/>
  <c r="B2" i="6"/>
  <c r="H1" i="6"/>
  <c r="G1" i="6"/>
  <c r="F1" i="6"/>
  <c r="B1" i="6"/>
  <c r="I36" i="2"/>
  <c r="I27" i="2"/>
  <c r="I24" i="2"/>
  <c r="I21" i="2"/>
  <c r="B41" i="6" l="1"/>
  <c r="I7" i="2" s="1"/>
  <c r="K6" i="6"/>
  <c r="L6" i="6"/>
  <c r="J6" i="6"/>
  <c r="L3" i="6"/>
  <c r="K3" i="6"/>
  <c r="J3" i="6"/>
  <c r="L7" i="6"/>
  <c r="K7" i="6"/>
  <c r="J7" i="6"/>
  <c r="L2" i="6"/>
  <c r="K2" i="6"/>
  <c r="J2" i="6"/>
  <c r="L8" i="6"/>
  <c r="K8" i="6"/>
  <c r="J8" i="6"/>
  <c r="L4" i="6"/>
  <c r="K4" i="6"/>
  <c r="J4" i="6"/>
  <c r="L9" i="6"/>
  <c r="K9" i="6"/>
  <c r="J9" i="6"/>
  <c r="L10" i="6"/>
  <c r="K10" i="6"/>
  <c r="J10" i="6"/>
  <c r="L5" i="6"/>
  <c r="K5" i="6"/>
  <c r="J5" i="6"/>
  <c r="C2" i="6"/>
  <c r="D2" i="6"/>
  <c r="C5" i="6"/>
  <c r="C1" i="6"/>
  <c r="D1" i="6"/>
  <c r="P6" i="6"/>
  <c r="P5" i="6"/>
  <c r="I1" i="6"/>
  <c r="C3" i="6"/>
  <c r="N1" i="6" l="1"/>
  <c r="L1" i="6"/>
  <c r="K1" i="6"/>
  <c r="J1" i="6"/>
  <c r="N5" i="6"/>
  <c r="N2" i="6"/>
  <c r="N6" i="6"/>
  <c r="N3" i="6"/>
  <c r="N4" i="6"/>
  <c r="O1" i="6" l="1"/>
  <c r="P1" i="6" s="1"/>
  <c r="O2" i="6"/>
  <c r="P2" i="6" s="1"/>
  <c r="Q2" i="6" s="1"/>
  <c r="O3" i="6"/>
  <c r="O4" i="6"/>
  <c r="O6" i="6"/>
  <c r="O5" i="6"/>
  <c r="B40" i="6" l="1"/>
  <c r="I8" i="2" s="1"/>
  <c r="Q1" i="6"/>
  <c r="I10" i="2" l="1"/>
  <c r="I34" i="2"/>
  <c r="I9" i="2"/>
  <c r="I6" i="2"/>
  <c r="I11" i="2" l="1"/>
  <c r="I13" i="2" s="1"/>
  <c r="I22" i="2" s="1"/>
  <c r="I28" i="2" s="1"/>
</calcChain>
</file>

<file path=xl/sharedStrings.xml><?xml version="1.0" encoding="utf-8"?>
<sst xmlns="http://schemas.openxmlformats.org/spreadsheetml/2006/main" count="216" uniqueCount="193">
  <si>
    <t>Contact : https://www.hectelion.com  ·  https://calendly.com/aristide-ruot-hectelion-dcc/30min</t>
  </si>
  <si>
    <t>#</t>
  </si>
  <si>
    <t>TRL (1-9)</t>
  </si>
  <si>
    <t>IRL (1-9)</t>
  </si>
  <si>
    <t>WACC</t>
  </si>
  <si>
    <t>Description</t>
  </si>
  <si>
    <t>TRL 1</t>
  </si>
  <si>
    <t>+20 à +25</t>
  </si>
  <si>
    <t>TRL 2</t>
  </si>
  <si>
    <t>+18 à +22</t>
  </si>
  <si>
    <t>TRL 3</t>
  </si>
  <si>
    <t>+15 à +18</t>
  </si>
  <si>
    <t>TRL 4</t>
  </si>
  <si>
    <t>+11 à +14</t>
  </si>
  <si>
    <t>TRL 5</t>
  </si>
  <si>
    <t>+8 à +11</t>
  </si>
  <si>
    <t>TRL 6</t>
  </si>
  <si>
    <t>+5 à +7</t>
  </si>
  <si>
    <t>TRL 7</t>
  </si>
  <si>
    <t>+4 à +5</t>
  </si>
  <si>
    <t>TRL 8</t>
  </si>
  <si>
    <t>+2 à +3</t>
  </si>
  <si>
    <t>TRL 9</t>
  </si>
  <si>
    <t>0 à +1</t>
  </si>
  <si>
    <t>IRL 1</t>
  </si>
  <si>
    <t>IRL 2</t>
  </si>
  <si>
    <t>IRL 3</t>
  </si>
  <si>
    <t>IRL 4</t>
  </si>
  <si>
    <t>IRL 5</t>
  </si>
  <si>
    <t>IRL 6</t>
  </si>
  <si>
    <t>IRL 7</t>
  </si>
  <si>
    <t>IRL 8</t>
  </si>
  <si>
    <t>IRL 9</t>
  </si>
  <si>
    <t>+12 points</t>
  </si>
  <si>
    <t>60 MCHF</t>
  </si>
  <si>
    <t>+5 points</t>
  </si>
  <si>
    <t>EBITDA</t>
  </si>
  <si>
    <t>4 M EUR</t>
  </si>
  <si>
    <t>Structure (E/V ; D/V)</t>
  </si>
  <si>
    <t>TRL1</t>
  </si>
  <si>
    <t>TRL2</t>
  </si>
  <si>
    <t>TRL3</t>
  </si>
  <si>
    <t>TRL4</t>
  </si>
  <si>
    <t>TRL5</t>
  </si>
  <si>
    <t>TRL6</t>
  </si>
  <si>
    <t>SRL_sys</t>
  </si>
  <si>
    <t>nComp</t>
  </si>
  <si>
    <t>SRL Calculator  -&gt;  Risk Premium  -&gt;  WACC</t>
  </si>
  <si>
    <t>Hectelion SA - French-Swiss Business Valuation</t>
  </si>
  <si>
    <t>Purpose of this tool</t>
  </si>
  <si>
    <t>This tool converts the maturity of a system into a composite SRL index (Sauser matrix method), then into a risk premium and cost of capital (WACC), following the Hectelion methodology.</t>
  </si>
  <si>
    <t>How to use</t>
  </si>
  <si>
    <t>1. "Calculator" tab, "Building blocks" table: name each technology building block and enter its TRL (1 to 9) in the amber cell. Leave unused rows blank.</t>
  </si>
  <si>
    <t>2. "Integrations" table: for each link between two building blocks, enter the numbers of the two connected blocks and the IRL of the link (1 to 9). The tool reconstructs the TRL/IRL matrix in the background.</t>
  </si>
  <si>
    <t>3. The composite SRL, maturity band (Sauser), Hectelion premium (capped) and WACC are calculated automatically.</t>
  </si>
  <si>
    <t>4. Damodaran option: adjust the survival probability to apply the failure risk to cash flows rather than to the discount rate.</t>
  </si>
  <si>
    <t>5. "Scales" tab: reference TRL, IRL and SRL bands. "Case" tabs: two worked examples.</t>
  </si>
  <si>
    <t>Disclaimer</t>
  </si>
  <si>
    <t>This calculator is a pedagogical and indicative tool made available by Hectelion SA. The risk premium ranges, SRL correspondence grid and cost-of-capital assumptions it contains are specific to the Hectelion methodology and represent simple orders of magnitude. They cannot be applied mechanically and must be adjusted for the sector, geography, regulatory framework and market cycle of each case. This tool does not constitute investment advice, nor financial, accounting, legal or tax advice, nor a recommendation, nor a valuation within the meaning of IVSC standards. No investment, financing or transaction decision should be based solely on this file. Hectelion SA makes no warranty as to the accuracy, completeness or suitability of the results to any particular situation and accepts no liability for any use that may be made of it. Hectelion SA is not FINMA-licensed and does not act on transactions involving listed companies. Copyright Hectelion SA. All rights reserved.</t>
  </si>
  <si>
    <t>Contact: https://www.hectelion.com  /  https://calendly.com/aristide-ruot-hectelion-dcc/30min</t>
  </si>
  <si>
    <t>SRL Calculator -&gt; Premium -&gt; WACC</t>
  </si>
  <si>
    <t>Enter data only in amber cells</t>
  </si>
  <si>
    <t>Steps 1-2 — Technology building blocks and their TRL</t>
  </si>
  <si>
    <t>Building block name</t>
  </si>
  <si>
    <t>Sensor</t>
  </si>
  <si>
    <t>Algorithm</t>
  </si>
  <si>
    <t>Step 3 — Integrations between building blocks and their IRL</t>
  </si>
  <si>
    <t>Block A (no.)</t>
  </si>
  <si>
    <t>Block B (no.)</t>
  </si>
  <si>
    <t>Results</t>
  </si>
  <si>
    <t>System SRL</t>
  </si>
  <si>
    <t>Populated blocks</t>
  </si>
  <si>
    <t>Maturity band (Sauser)</t>
  </si>
  <si>
    <t>Lower premium (pts)</t>
  </si>
  <si>
    <t>Upper premium (pts)</t>
  </si>
  <si>
    <t>Selected premium (pts) — adjustable</t>
  </si>
  <si>
    <t>Premium cap (pts)</t>
  </si>
  <si>
    <t>Applied premium (pts)</t>
  </si>
  <si>
    <t>Cost of capital (WACC)</t>
  </si>
  <si>
    <t>Risk-free rate</t>
  </si>
  <si>
    <t>Sector beta</t>
  </si>
  <si>
    <t>Market risk premium (ERP)</t>
  </si>
  <si>
    <t>Size premium</t>
  </si>
  <si>
    <t>Base — cost of equity</t>
  </si>
  <si>
    <t>Cost of equity (Ke = base + premium)</t>
  </si>
  <si>
    <t>Equity weight (E/V)</t>
  </si>
  <si>
    <t>Debt weight (D/V)</t>
  </si>
  <si>
    <t>Cost of debt (pre-tax)</t>
  </si>
  <si>
    <t>Tax rate</t>
  </si>
  <si>
    <t>Cost of debt (after tax)</t>
  </si>
  <si>
    <t>Damodaran option — applying failure risk to cash flows</t>
  </si>
  <si>
    <t>Value if success (discounted at WACC)</t>
  </si>
  <si>
    <t>Survival probability p</t>
  </si>
  <si>
    <t>Indicative p (by band)</t>
  </si>
  <si>
    <t>Failure value</t>
  </si>
  <si>
    <t>Expected value (adjusted for failure risk)</t>
  </si>
  <si>
    <t>The SRL premium is capped (row 12); residual failure risk is applied here to cash flows via p, rather than stacking it all into the discount rate.</t>
  </si>
  <si>
    <t>Reference Scales</t>
  </si>
  <si>
    <t>TRL Scale — Technology Readiness Level (ISO 16290:2013)</t>
  </si>
  <si>
    <t>Level</t>
  </si>
  <si>
    <t>Indicative premium (pts)</t>
  </si>
  <si>
    <t>Observation of basic scientific principles.</t>
  </si>
  <si>
    <t>Formulation of the technology concept.</t>
  </si>
  <si>
    <t>Experimental proof of concept in laboratory.</t>
  </si>
  <si>
    <t>Laboratory validation of a component or sub-system.</t>
  </si>
  <si>
    <t>Validation in a relevant environment.</t>
  </si>
  <si>
    <t>Demonstration of a prototype in a relevant environment.</t>
  </si>
  <si>
    <t>Demonstration of a prototype system in an operational environment.</t>
  </si>
  <si>
    <t>Complete and qualified system.</t>
  </si>
  <si>
    <t>System proven under actual operational conditions.</t>
  </si>
  <si>
    <t>IRL Scale — Integration Readiness Level (Gove, Sauser, Ramirez-Marquez, 2007)</t>
  </si>
  <si>
    <t>An interface between the two technologies is identified.</t>
  </si>
  <si>
    <t>The two technologies can interact and exchange information.</t>
  </si>
  <si>
    <t>Compatibility established: data ordered and usable.</t>
  </si>
  <si>
    <t>Assured quality integration, reliable and detailed.</t>
  </si>
  <si>
    <t>Controlled integration: established, managed and stopped at will.</t>
  </si>
  <si>
    <t>Information accepted, translated and structured end-to-end.</t>
  </si>
  <si>
    <t>Integration verified and validated under representative conditions.</t>
  </si>
  <si>
    <t>Complete integration qualified through system testing.</t>
  </si>
  <si>
    <t>Integration proven in real mission.</t>
  </si>
  <si>
    <t>SRL Bands — System Readiness Level (Sauser) and Hectelion premium</t>
  </si>
  <si>
    <t>Band</t>
  </si>
  <si>
    <t>Maturity (Sauser)</t>
  </si>
  <si>
    <t>Financing stage</t>
  </si>
  <si>
    <t>Indicative TRL</t>
  </si>
  <si>
    <t>Hectelion premium</t>
  </si>
  <si>
    <t>0.10 – 0.39</t>
  </si>
  <si>
    <t>Concept refinement</t>
  </si>
  <si>
    <t>Research, pre-seed</t>
  </si>
  <si>
    <t>TRL 1 to 3</t>
  </si>
  <si>
    <t>+15 to +25 points</t>
  </si>
  <si>
    <t>0.40 – 0.59</t>
  </si>
  <si>
    <t>Technology development</t>
  </si>
  <si>
    <t>Seed, Series A</t>
  </si>
  <si>
    <t>TRL 4 to 5</t>
  </si>
  <si>
    <t>+8 to +14 points</t>
  </si>
  <si>
    <t>0.60 – 0.79</t>
  </si>
  <si>
    <t>System development and demonstration</t>
  </si>
  <si>
    <t>Series B</t>
  </si>
  <si>
    <t>TRL 6 to 7</t>
  </si>
  <si>
    <t>+4 to +7 points</t>
  </si>
  <si>
    <t>0.80 – 0.89</t>
  </si>
  <si>
    <t>Production and deployment</t>
  </si>
  <si>
    <t>Pre-industrialisation</t>
  </si>
  <si>
    <t>+2 to +3 points</t>
  </si>
  <si>
    <t>0.90 – 1.00</t>
  </si>
  <si>
    <t>Operations and support</t>
  </si>
  <si>
    <t>Industrially proven</t>
  </si>
  <si>
    <t>0 to +1 point</t>
  </si>
  <si>
    <t>Indicative premiums by level; the calculator's operating premium is derived from the composite SRL (band), then capped.</t>
  </si>
  <si>
    <t>Case 1 — Medtech CH</t>
  </si>
  <si>
    <t>Illustrative — assumptions consistent with the publication</t>
  </si>
  <si>
    <t>Context</t>
  </si>
  <si>
    <t>Diagnostic device, lab-validated components, early clinical integration</t>
  </si>
  <si>
    <t>Assumptions</t>
  </si>
  <si>
    <t>Estimated SRL</t>
  </si>
  <si>
    <t>≈ 0.40</t>
  </si>
  <si>
    <t>Funding</t>
  </si>
  <si>
    <t>100% equity (pre-revenue)</t>
  </si>
  <si>
    <t>Base cost of equity</t>
  </si>
  <si>
    <t>Risk premium (SRL 0.40)</t>
  </si>
  <si>
    <t>Selected discount rate</t>
  </si>
  <si>
    <t>≈ 21%</t>
  </si>
  <si>
    <t>Valuation</t>
  </si>
  <si>
    <t>Expected exit value (5 years)</t>
  </si>
  <si>
    <t>Present value at 21%  =  60 / 1.21^5</t>
  </si>
  <si>
    <t>23.1 MCHF</t>
  </si>
  <si>
    <t>After pilot milestone -&gt; SRL ≈ 0.60</t>
  </si>
  <si>
    <t>Compressed premium</t>
  </si>
  <si>
    <t>New rate</t>
  </si>
  <si>
    <t>≈ 14%</t>
  </si>
  <si>
    <t>Present value at 14%  =  60 / 1.14^5</t>
  </si>
  <si>
    <t>31.2 MCHF</t>
  </si>
  <si>
    <t>Value creation (one SRL step)</t>
  </si>
  <si>
    <t>+8.1 MCHF  (+35%)</t>
  </si>
  <si>
    <t>Case 2 — Industrial SME FR</t>
  </si>
  <si>
    <t>Production line with proprietary process, demonstrated but not yet industrialised</t>
  </si>
  <si>
    <t>≈ 0.70</t>
  </si>
  <si>
    <t>Cost of equity</t>
  </si>
  <si>
    <t>60% ; 40%</t>
  </si>
  <si>
    <t>Base WACC</t>
  </si>
  <si>
    <t>Industrial maturity premium (+3 pts)</t>
  </si>
  <si>
    <t>WACC -&gt; 11.5%</t>
  </si>
  <si>
    <t>Valuation (SRL 0.70)</t>
  </si>
  <si>
    <t>FCF (60% EBITDA)</t>
  </si>
  <si>
    <t>2.4 M EUR</t>
  </si>
  <si>
    <t>EV = 2.4×1.02 / (0.115−0.02)</t>
  </si>
  <si>
    <t>25.8 M EUR  (6.4x EBITDA)</t>
  </si>
  <si>
    <t>After industrialisation -&gt; SRL ≈ 0.90</t>
  </si>
  <si>
    <t>EV = 2.448 / (0.09−0.02)</t>
  </si>
  <si>
    <t>35.0 M EUR  (8.7x EBITDA)</t>
  </si>
  <si>
    <t>Value creation</t>
  </si>
  <si>
    <t>+9.2 M EUR  (+36% ; +2.3x 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</si>
</sst>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10" x14ac:knownFonts="1">
    <font>
      <sz val="11"/>
      <color theme="1"/>
      <name val="Aptos"/>
      <family val="2"/>
      <scheme val="minor"/>
    </font>
    <font>
      <b/>
      <sz val="16"/>
      <color rgb="FF182E4E"/>
      <name val="Cardo"/>
      <family val="1"/>
    </font>
    <font>
      <sz val="11"/>
      <color theme="1"/>
      <name val="Cardo"/>
      <family val="1"/>
    </font>
    <font>
      <i/>
      <sz val="11"/>
      <color rgb="FF555555"/>
      <name val="Cardo"/>
      <family val="1"/>
    </font>
    <font>
      <b/>
      <sz val="11"/>
      <color rgb="FF182E4E"/>
      <name val="Cardo"/>
      <family val="1"/>
    </font>
    <font>
      <b/>
      <sz val="11"/>
      <color rgb="FFFFFFFF"/>
      <name val="Cardo"/>
      <family val="1"/>
    </font>
    <font>
      <b/>
      <sz val="11"/>
      <name val="Cardo"/>
      <family val="1"/>
    </font>
    <font>
      <sz val="11"/>
      <color theme="3"/>
      <name val="Cardo"/>
      <family val="1"/>
    </font>
    <font>
      <b/>
      <sz val="11"/>
      <color theme="3"/>
      <name val="Cardo"/>
      <family val="1"/>
    </font>
    <font>
      <b/>
      <sz val="14"/>
      <color theme="3"/>
      <name val="Cardo"/>
      <family val="1"/>
    </font>
  </fonts>
  <fills count="6">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
      <patternFill patternType="solid">
        <fgColor theme="3" tint="0.89999084444715716"/>
        <bgColor indexed="64"/>
      </patternFill>
    </fill>
  </fills>
  <borders count="5">
    <border>
      <left/>
      <right/>
      <top/>
      <bottom/>
      <diagonal/>
    </border>
    <border>
      <left style="thin">
        <color rgb="FFD6DCE5"/>
      </left>
      <right style="thin">
        <color rgb="FFD6DCE5"/>
      </right>
      <top style="thin">
        <color rgb="FFD6DCE5"/>
      </top>
      <bottom style="thin">
        <color rgb="FFD6DCE5"/>
      </bottom>
      <diagonal/>
    </border>
    <border>
      <left/>
      <right/>
      <top style="thin">
        <color rgb="FFD6DCE5"/>
      </top>
      <bottom style="thin">
        <color rgb="FFD6DCE5"/>
      </bottom>
      <diagonal/>
    </border>
    <border>
      <left/>
      <right style="thin">
        <color rgb="FFD6DCE5"/>
      </right>
      <top style="thin">
        <color rgb="FFD6DCE5"/>
      </top>
      <bottom style="thin">
        <color rgb="FFD6DCE5"/>
      </bottom>
      <diagonal/>
    </border>
    <border>
      <left style="thin">
        <color rgb="FFD6DCE5"/>
      </left>
      <right/>
      <top style="thin">
        <color rgb="FFD6DCE5"/>
      </top>
      <bottom style="thin">
        <color rgb="FFD6DCE5"/>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3"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0" xfId="0" applyFont="1" applyAlignment="1">
      <alignment vertical="top" wrapText="1"/>
    </xf>
    <xf numFmtId="0" fontId="7" fillId="2" borderId="0" xfId="0" applyFont="1" applyFill="1" applyAlignment="1">
      <alignment vertical="top" wrapText="1"/>
    </xf>
    <xf numFmtId="0" fontId="8" fillId="0" borderId="1" xfId="0" applyFont="1" applyBorder="1" applyAlignment="1">
      <alignment horizontal="left" vertical="center"/>
    </xf>
    <xf numFmtId="0" fontId="7" fillId="0" borderId="1" xfId="0" applyFont="1" applyBorder="1" applyAlignment="1">
      <alignment horizontal="center" vertical="center" wrapText="1"/>
    </xf>
    <xf numFmtId="1" fontId="7" fillId="4" borderId="1" xfId="0" applyNumberFormat="1" applyFont="1" applyFill="1" applyBorder="1" applyAlignment="1">
      <alignment horizontal="center" vertical="center"/>
    </xf>
    <xf numFmtId="10" fontId="7"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7" fillId="4" borderId="1" xfId="0" applyNumberFormat="1" applyFont="1" applyFill="1" applyBorder="1" applyAlignment="1">
      <alignment horizontal="center" vertical="center"/>
    </xf>
    <xf numFmtId="9" fontId="7" fillId="4"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8" fillId="0" borderId="1"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10" fontId="7" fillId="5" borderId="1" xfId="0" applyNumberFormat="1" applyFont="1" applyFill="1" applyBorder="1" applyAlignment="1">
      <alignment horizontal="center" vertical="center"/>
    </xf>
    <xf numFmtId="166" fontId="7" fillId="5" borderId="1"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 fontId="7" fillId="5" borderId="1" xfId="0" applyNumberFormat="1" applyFont="1" applyFill="1" applyBorder="1" applyAlignment="1">
      <alignment horizontal="center" vertical="center"/>
    </xf>
    <xf numFmtId="165" fontId="9" fillId="5" borderId="1" xfId="0"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167" fontId="9" fillId="5" borderId="1" xfId="0"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2" fillId="0" borderId="2" xfId="0" applyFont="1" applyBorder="1"/>
    <xf numFmtId="0" fontId="2" fillId="0" borderId="3" xfId="0" applyFont="1" applyBorder="1"/>
    <xf numFmtId="0" fontId="3" fillId="0" borderId="0" xfId="0" applyFont="1" applyAlignment="1">
      <alignment vertical="top" wrapText="1"/>
    </xf>
    <xf numFmtId="0" fontId="2" fillId="0" borderId="0" xfId="0" applyFont="1"/>
    <xf numFmtId="0" fontId="3" fillId="0" borderId="0" xfId="0" applyFont="1"/>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0" borderId="3" xfId="0" applyFont="1" applyBorder="1"/>
    <xf numFmtId="9" fontId="8" fillId="0" borderId="1" xfId="0" applyNumberFormat="1" applyFont="1" applyBorder="1" applyAlignment="1">
      <alignment horizontal="center" vertical="center"/>
    </xf>
    <xf numFmtId="10" fontId="8" fillId="0" borderId="1"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8246933-AB90-41B7-9F3B-4B27F5A9C0FF}">
  <we:reference id="29673e3c-d826-4f00-92ee-162334a52b1a" version="1.0.0.8" store="EXCatalog" storeType="EXCatalog"/>
  <we:alternateReferences>
    <we:reference id="WA200009404" version="1.0.0.8" store="en-US" storeType="OMEX"/>
  </we:alternateReferences>
  <we:properties>
    <we:property name="claude.fileId" value="&quot;ff03cc57-972d-4dd8-a273-ec6426906d13&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B18"/>
  <sheetViews>
    <sheetView showGridLines="0" tabSelected="1" view="pageBreakPreview" zoomScale="115" zoomScaleNormal="100" zoomScaleSheetLayoutView="115" workbookViewId="0"/>
  </sheetViews>
  <sheetFormatPr defaultRowHeight="15.6" x14ac:dyDescent="0.4"/>
  <cols>
    <col min="1" max="1" width="2.69921875" style="2" customWidth="1"/>
    <col min="2" max="2" width="111.8984375" style="2" customWidth="1"/>
    <col min="3" max="16384" width="8.796875" style="2"/>
  </cols>
  <sheetData>
    <row r="2" spans="2:2" ht="22.8" x14ac:dyDescent="0.55000000000000004">
      <c r="B2" s="1" t="s">
        <v>47</v>
      </c>
    </row>
    <row r="3" spans="2:2" x14ac:dyDescent="0.4">
      <c r="B3" s="3" t="s">
        <v>48</v>
      </c>
    </row>
    <row r="5" spans="2:2" x14ac:dyDescent="0.4">
      <c r="B5" s="4" t="s">
        <v>49</v>
      </c>
    </row>
    <row r="6" spans="2:2" ht="31.2" x14ac:dyDescent="0.4">
      <c r="B6" s="7" t="s">
        <v>50</v>
      </c>
    </row>
    <row r="8" spans="2:2" x14ac:dyDescent="0.4">
      <c r="B8" s="4" t="s">
        <v>51</v>
      </c>
    </row>
    <row r="9" spans="2:2" ht="31.2" x14ac:dyDescent="0.4">
      <c r="B9" s="7" t="s">
        <v>52</v>
      </c>
    </row>
    <row r="10" spans="2:2" ht="31.2" x14ac:dyDescent="0.4">
      <c r="B10" s="7" t="s">
        <v>53</v>
      </c>
    </row>
    <row r="11" spans="2:2" x14ac:dyDescent="0.4">
      <c r="B11" s="7" t="s">
        <v>54</v>
      </c>
    </row>
    <row r="12" spans="2:2" x14ac:dyDescent="0.4">
      <c r="B12" s="7" t="s">
        <v>55</v>
      </c>
    </row>
    <row r="13" spans="2:2" x14ac:dyDescent="0.4">
      <c r="B13" s="7" t="s">
        <v>56</v>
      </c>
    </row>
    <row r="15" spans="2:2" x14ac:dyDescent="0.4">
      <c r="B15" s="4" t="s">
        <v>57</v>
      </c>
    </row>
    <row r="16" spans="2:2" ht="205.05" customHeight="1" x14ac:dyDescent="0.4">
      <c r="B16" s="8" t="s">
        <v>58</v>
      </c>
    </row>
    <row r="17" spans="2:2" x14ac:dyDescent="0.4">
      <c r="B17" s="2" t="s">
        <v>59</v>
      </c>
    </row>
    <row r="18" spans="2:2" x14ac:dyDescent="0.4">
      <c r="B18" s="3" t="s">
        <v>0</v>
      </c>
    </row>
  </sheetData>
  <pageMargins left="0.75" right="0.75" top="1" bottom="1" header="0.5" footer="0.5"/>
  <pageSetup paperSize="9" scale="6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2:I39"/>
  <sheetViews>
    <sheetView showGridLines="0" view="pageBreakPreview" zoomScale="115" zoomScaleNormal="100" zoomScaleSheetLayoutView="115" workbookViewId="0"/>
  </sheetViews>
  <sheetFormatPr defaultRowHeight="15.6" x14ac:dyDescent="0.4"/>
  <cols>
    <col min="1" max="1" width="2.69921875" style="2" customWidth="1"/>
    <col min="2" max="2" width="5.8984375" style="2" customWidth="1"/>
    <col min="3" max="3" width="23.8984375" style="2" customWidth="1"/>
    <col min="4" max="4" width="11.8984375" style="2" customWidth="1"/>
    <col min="5" max="5" width="9.8984375" style="2" customWidth="1"/>
    <col min="6" max="7" width="1.8984375" style="2" customWidth="1"/>
    <col min="8" max="8" width="39.8984375" style="2" customWidth="1"/>
    <col min="9" max="9" width="50.69921875" style="2" customWidth="1"/>
    <col min="10" max="16384" width="8.796875" style="2"/>
  </cols>
  <sheetData>
    <row r="2" spans="2:9" ht="22.8" x14ac:dyDescent="0.55000000000000004">
      <c r="B2" s="1" t="s">
        <v>60</v>
      </c>
    </row>
    <row r="3" spans="2:9" x14ac:dyDescent="0.4">
      <c r="B3" s="3" t="s">
        <v>61</v>
      </c>
    </row>
    <row r="5" spans="2:9" x14ac:dyDescent="0.4">
      <c r="B5" s="33" t="s">
        <v>62</v>
      </c>
      <c r="C5" s="34"/>
      <c r="D5" s="35"/>
      <c r="H5" s="33" t="s">
        <v>69</v>
      </c>
      <c r="I5" s="35"/>
    </row>
    <row r="6" spans="2:9" ht="19.2" x14ac:dyDescent="0.4">
      <c r="B6" s="5" t="s">
        <v>1</v>
      </c>
      <c r="C6" s="5" t="s">
        <v>63</v>
      </c>
      <c r="D6" s="5" t="s">
        <v>2</v>
      </c>
      <c r="H6" s="9" t="s">
        <v>70</v>
      </c>
      <c r="I6" s="27">
        <f>Engine!B40</f>
        <v>0.60493827160493829</v>
      </c>
    </row>
    <row r="7" spans="2:9" x14ac:dyDescent="0.4">
      <c r="B7" s="17">
        <v>1</v>
      </c>
      <c r="C7" s="19" t="s">
        <v>64</v>
      </c>
      <c r="D7" s="18">
        <v>9</v>
      </c>
      <c r="H7" s="9" t="s">
        <v>71</v>
      </c>
      <c r="I7" s="28">
        <f>Engine!B41</f>
        <v>2</v>
      </c>
    </row>
    <row r="8" spans="2:9" ht="19.95" customHeight="1" x14ac:dyDescent="0.4">
      <c r="B8" s="17">
        <v>2</v>
      </c>
      <c r="C8" s="19" t="s">
        <v>65</v>
      </c>
      <c r="D8" s="18">
        <v>5</v>
      </c>
      <c r="H8" s="9" t="s">
        <v>72</v>
      </c>
      <c r="I8" s="10" t="str">
        <f>IF(Engine!B40="","",IF(Engine!B40&gt;=0.9,"Operations and support",IF(Engine!B40&gt;=0.8,"Production and deployment",IF(Engine!B40&gt;=0.6,"System development and demonstration",IF(Engine!B40&gt;=0.4,"Technology development",IF(Engine!B40&gt;=0.1,"Concept refinement","Out of scale"))))))</f>
        <v>System development and demonstration</v>
      </c>
    </row>
    <row r="9" spans="2:9" x14ac:dyDescent="0.4">
      <c r="B9" s="17">
        <v>3</v>
      </c>
      <c r="C9" s="19"/>
      <c r="D9" s="18"/>
      <c r="H9" s="9" t="s">
        <v>73</v>
      </c>
      <c r="I9" s="28">
        <f>IF(Engine!B40="","",IF(Engine!B40&gt;=0.9,0,IF(Engine!B40&gt;=0.8,2,IF(Engine!B40&gt;=0.6,4,IF(Engine!B40&gt;=0.4,8,IF(Engine!B40&gt;=0.1,15,""))))))</f>
        <v>4</v>
      </c>
    </row>
    <row r="10" spans="2:9" x14ac:dyDescent="0.4">
      <c r="B10" s="17">
        <v>4</v>
      </c>
      <c r="C10" s="19"/>
      <c r="D10" s="18"/>
      <c r="H10" s="9" t="s">
        <v>74</v>
      </c>
      <c r="I10" s="28">
        <f>IF(Engine!B40="","",IF(Engine!B40&gt;=0.9,1,IF(Engine!B40&gt;=0.8,3,IF(Engine!B40&gt;=0.6,7,IF(Engine!B40&gt;=0.4,14,IF(Engine!B40&gt;=0.1,25,""))))))</f>
        <v>7</v>
      </c>
    </row>
    <row r="11" spans="2:9" x14ac:dyDescent="0.4">
      <c r="B11" s="17">
        <v>5</v>
      </c>
      <c r="C11" s="19"/>
      <c r="D11" s="18"/>
      <c r="H11" s="9" t="s">
        <v>75</v>
      </c>
      <c r="I11" s="32">
        <f>IF(I9="","",ROUND((I9+I10)/2,1))</f>
        <v>5.5</v>
      </c>
    </row>
    <row r="12" spans="2:9" x14ac:dyDescent="0.4">
      <c r="B12" s="17">
        <v>6</v>
      </c>
      <c r="C12" s="19"/>
      <c r="D12" s="18"/>
      <c r="H12" s="9" t="s">
        <v>76</v>
      </c>
      <c r="I12" s="11">
        <v>15</v>
      </c>
    </row>
    <row r="13" spans="2:9" ht="19.2" x14ac:dyDescent="0.4">
      <c r="H13" s="9" t="s">
        <v>77</v>
      </c>
      <c r="I13" s="29">
        <f>IF(I11="","",MIN(I11,I12))</f>
        <v>5.5</v>
      </c>
    </row>
    <row r="14" spans="2:9" x14ac:dyDescent="0.4">
      <c r="B14" s="33" t="s">
        <v>66</v>
      </c>
      <c r="C14" s="34"/>
      <c r="D14" s="34"/>
      <c r="E14" s="35"/>
    </row>
    <row r="15" spans="2:9" ht="31.2" x14ac:dyDescent="0.4">
      <c r="B15" s="5" t="s">
        <v>1</v>
      </c>
      <c r="C15" s="5" t="s">
        <v>67</v>
      </c>
      <c r="D15" s="5" t="s">
        <v>68</v>
      </c>
      <c r="E15" s="5" t="s">
        <v>3</v>
      </c>
    </row>
    <row r="16" spans="2:9" x14ac:dyDescent="0.4">
      <c r="B16" s="17">
        <v>1</v>
      </c>
      <c r="C16" s="18">
        <v>1</v>
      </c>
      <c r="D16" s="18">
        <v>2</v>
      </c>
      <c r="E16" s="18">
        <v>5</v>
      </c>
      <c r="H16" s="33" t="s">
        <v>78</v>
      </c>
      <c r="I16" s="35"/>
    </row>
    <row r="17" spans="2:9" x14ac:dyDescent="0.4">
      <c r="B17" s="17">
        <v>2</v>
      </c>
      <c r="C17" s="18"/>
      <c r="D17" s="18"/>
      <c r="E17" s="18"/>
      <c r="H17" s="9" t="s">
        <v>79</v>
      </c>
      <c r="I17" s="12">
        <v>0.01</v>
      </c>
    </row>
    <row r="18" spans="2:9" x14ac:dyDescent="0.4">
      <c r="B18" s="17">
        <v>3</v>
      </c>
      <c r="C18" s="18"/>
      <c r="D18" s="18"/>
      <c r="E18" s="18"/>
      <c r="H18" s="9" t="s">
        <v>80</v>
      </c>
      <c r="I18" s="13">
        <v>1.1000000000000001</v>
      </c>
    </row>
    <row r="19" spans="2:9" x14ac:dyDescent="0.4">
      <c r="B19" s="17">
        <v>4</v>
      </c>
      <c r="C19" s="18"/>
      <c r="D19" s="18"/>
      <c r="E19" s="18"/>
      <c r="H19" s="9" t="s">
        <v>81</v>
      </c>
      <c r="I19" s="12">
        <v>5.5E-2</v>
      </c>
    </row>
    <row r="20" spans="2:9" x14ac:dyDescent="0.4">
      <c r="B20" s="17">
        <v>5</v>
      </c>
      <c r="C20" s="18"/>
      <c r="D20" s="18"/>
      <c r="E20" s="18"/>
      <c r="H20" s="9" t="s">
        <v>82</v>
      </c>
      <c r="I20" s="12">
        <v>0.02</v>
      </c>
    </row>
    <row r="21" spans="2:9" x14ac:dyDescent="0.4">
      <c r="B21" s="17">
        <v>6</v>
      </c>
      <c r="C21" s="18"/>
      <c r="D21" s="18"/>
      <c r="E21" s="18"/>
      <c r="H21" s="9" t="s">
        <v>83</v>
      </c>
      <c r="I21" s="24">
        <f>I17+I18*I19+I20</f>
        <v>9.0500000000000011E-2</v>
      </c>
    </row>
    <row r="22" spans="2:9" x14ac:dyDescent="0.4">
      <c r="B22" s="17">
        <v>7</v>
      </c>
      <c r="C22" s="18"/>
      <c r="D22" s="18"/>
      <c r="E22" s="18"/>
      <c r="H22" s="9" t="s">
        <v>84</v>
      </c>
      <c r="I22" s="24">
        <f>IF(I13="",I21,I21+I13/100)</f>
        <v>0.14550000000000002</v>
      </c>
    </row>
    <row r="23" spans="2:9" x14ac:dyDescent="0.4">
      <c r="B23" s="17">
        <v>8</v>
      </c>
      <c r="C23" s="18"/>
      <c r="D23" s="18"/>
      <c r="E23" s="18"/>
      <c r="H23" s="9" t="s">
        <v>85</v>
      </c>
      <c r="I23" s="14">
        <v>0.7</v>
      </c>
    </row>
    <row r="24" spans="2:9" x14ac:dyDescent="0.4">
      <c r="B24" s="17">
        <v>9</v>
      </c>
      <c r="C24" s="18"/>
      <c r="D24" s="18"/>
      <c r="E24" s="18"/>
      <c r="H24" s="9" t="s">
        <v>86</v>
      </c>
      <c r="I24" s="25">
        <f>1-I23</f>
        <v>0.30000000000000004</v>
      </c>
    </row>
    <row r="25" spans="2:9" x14ac:dyDescent="0.4">
      <c r="B25" s="17">
        <v>10</v>
      </c>
      <c r="C25" s="18"/>
      <c r="D25" s="18"/>
      <c r="E25" s="18"/>
      <c r="H25" s="9" t="s">
        <v>87</v>
      </c>
      <c r="I25" s="12">
        <v>0.05</v>
      </c>
    </row>
    <row r="26" spans="2:9" x14ac:dyDescent="0.4">
      <c r="H26" s="9" t="s">
        <v>88</v>
      </c>
      <c r="I26" s="14">
        <v>0.25</v>
      </c>
    </row>
    <row r="27" spans="2:9" x14ac:dyDescent="0.4">
      <c r="H27" s="9" t="s">
        <v>89</v>
      </c>
      <c r="I27" s="24">
        <f>I25*(1-I26)</f>
        <v>3.7500000000000006E-2</v>
      </c>
    </row>
    <row r="28" spans="2:9" ht="19.2" x14ac:dyDescent="0.4">
      <c r="H28" s="9" t="s">
        <v>4</v>
      </c>
      <c r="I28" s="26">
        <f>I23*I22+I24*I27</f>
        <v>0.11310000000000001</v>
      </c>
    </row>
    <row r="31" spans="2:9" x14ac:dyDescent="0.4">
      <c r="H31" s="33" t="s">
        <v>90</v>
      </c>
      <c r="I31" s="35"/>
    </row>
    <row r="32" spans="2:9" x14ac:dyDescent="0.4">
      <c r="H32" s="9" t="s">
        <v>91</v>
      </c>
      <c r="I32" s="15">
        <v>30</v>
      </c>
    </row>
    <row r="33" spans="8:9" x14ac:dyDescent="0.4">
      <c r="H33" s="9" t="s">
        <v>92</v>
      </c>
      <c r="I33" s="16">
        <v>0.5</v>
      </c>
    </row>
    <row r="34" spans="8:9" x14ac:dyDescent="0.4">
      <c r="H34" s="9" t="s">
        <v>93</v>
      </c>
      <c r="I34" s="30">
        <f>IF(Engine!B40="","",IF(Engine!B40&gt;=0.9,0.95,IF(Engine!B40&gt;=0.8,0.85,IF(Engine!B40&gt;=0.6,0.7,IF(Engine!B40&gt;=0.4,0.5,IF(Engine!B40&gt;=0.1,0.3,0.15))))))</f>
        <v>0.7</v>
      </c>
    </row>
    <row r="35" spans="8:9" x14ac:dyDescent="0.4">
      <c r="H35" s="9" t="s">
        <v>94</v>
      </c>
      <c r="I35" s="15">
        <v>0</v>
      </c>
    </row>
    <row r="36" spans="8:9" ht="19.2" x14ac:dyDescent="0.4">
      <c r="H36" s="9" t="s">
        <v>95</v>
      </c>
      <c r="I36" s="31">
        <f>I32*I33+(1-I33)*I35</f>
        <v>15</v>
      </c>
    </row>
    <row r="38" spans="8:9" x14ac:dyDescent="0.4">
      <c r="H38" s="36" t="s">
        <v>96</v>
      </c>
      <c r="I38" s="37"/>
    </row>
    <row r="39" spans="8:9" x14ac:dyDescent="0.4">
      <c r="H39" s="37"/>
      <c r="I39" s="37"/>
    </row>
  </sheetData>
  <mergeCells count="6">
    <mergeCell ref="B5:D5"/>
    <mergeCell ref="H16:I16"/>
    <mergeCell ref="H5:I5"/>
    <mergeCell ref="H31:I31"/>
    <mergeCell ref="H38:I39"/>
    <mergeCell ref="B14:E14"/>
  </mergeCells>
  <dataValidations count="2">
    <dataValidation type="whole" allowBlank="1" sqref="D7:D12 E16:E25" xr:uid="{00000000-0002-0000-0100-000000000000}">
      <formula1>1</formula1>
      <formula2>9</formula2>
    </dataValidation>
    <dataValidation type="list" allowBlank="1" sqref="C16:C25 D16:D25" xr:uid="{00000000-0002-0000-0100-000001000000}">
      <formula1>"1,2,3,4,5,6"</formula1>
    </dataValidation>
  </dataValidations>
  <pageMargins left="0.75" right="0.75" top="1" bottom="1" header="0.5" footer="0.5"/>
  <pageSetup paperSize="9" scale="5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F36"/>
  <sheetViews>
    <sheetView showGridLines="0" view="pageBreakPreview" zoomScale="115" zoomScaleNormal="100" zoomScaleSheetLayoutView="115" workbookViewId="0"/>
  </sheetViews>
  <sheetFormatPr defaultRowHeight="15.6" x14ac:dyDescent="0.4"/>
  <cols>
    <col min="1" max="1" width="2.69921875" style="2" customWidth="1"/>
    <col min="2" max="2" width="13.8984375" style="2" customWidth="1"/>
    <col min="3" max="3" width="63.8984375" style="2" customWidth="1"/>
    <col min="4" max="4" width="23.8984375" style="2" customWidth="1"/>
    <col min="5" max="5" width="21.8984375" style="2" customWidth="1"/>
    <col min="6" max="6" width="19.8984375" style="2" customWidth="1"/>
    <col min="7" max="7" width="23.8984375" style="2" customWidth="1"/>
    <col min="8" max="16384" width="8.796875" style="2"/>
  </cols>
  <sheetData>
    <row r="2" spans="2:4" ht="22.8" x14ac:dyDescent="0.55000000000000004">
      <c r="B2" s="1" t="s">
        <v>97</v>
      </c>
    </row>
    <row r="4" spans="2:4" x14ac:dyDescent="0.4">
      <c r="B4" s="33" t="s">
        <v>98</v>
      </c>
      <c r="C4" s="34"/>
      <c r="D4" s="35"/>
    </row>
    <row r="5" spans="2:4" x14ac:dyDescent="0.4">
      <c r="B5" s="5" t="s">
        <v>99</v>
      </c>
      <c r="C5" s="5" t="s">
        <v>5</v>
      </c>
      <c r="D5" s="5" t="s">
        <v>100</v>
      </c>
    </row>
    <row r="6" spans="2:4" x14ac:dyDescent="0.4">
      <c r="B6" s="20" t="s">
        <v>6</v>
      </c>
      <c r="C6" s="21" t="s">
        <v>101</v>
      </c>
      <c r="D6" s="21" t="s">
        <v>7</v>
      </c>
    </row>
    <row r="7" spans="2:4" x14ac:dyDescent="0.4">
      <c r="B7" s="22" t="s">
        <v>8</v>
      </c>
      <c r="C7" s="23" t="s">
        <v>102</v>
      </c>
      <c r="D7" s="23" t="s">
        <v>9</v>
      </c>
    </row>
    <row r="8" spans="2:4" x14ac:dyDescent="0.4">
      <c r="B8" s="20" t="s">
        <v>10</v>
      </c>
      <c r="C8" s="21" t="s">
        <v>103</v>
      </c>
      <c r="D8" s="21" t="s">
        <v>11</v>
      </c>
    </row>
    <row r="9" spans="2:4" x14ac:dyDescent="0.4">
      <c r="B9" s="22" t="s">
        <v>12</v>
      </c>
      <c r="C9" s="23" t="s">
        <v>104</v>
      </c>
      <c r="D9" s="23" t="s">
        <v>13</v>
      </c>
    </row>
    <row r="10" spans="2:4" x14ac:dyDescent="0.4">
      <c r="B10" s="20" t="s">
        <v>14</v>
      </c>
      <c r="C10" s="21" t="s">
        <v>105</v>
      </c>
      <c r="D10" s="21" t="s">
        <v>15</v>
      </c>
    </row>
    <row r="11" spans="2:4" x14ac:dyDescent="0.4">
      <c r="B11" s="22" t="s">
        <v>16</v>
      </c>
      <c r="C11" s="23" t="s">
        <v>106</v>
      </c>
      <c r="D11" s="23" t="s">
        <v>17</v>
      </c>
    </row>
    <row r="12" spans="2:4" x14ac:dyDescent="0.4">
      <c r="B12" s="20" t="s">
        <v>18</v>
      </c>
      <c r="C12" s="21" t="s">
        <v>107</v>
      </c>
      <c r="D12" s="21" t="s">
        <v>19</v>
      </c>
    </row>
    <row r="13" spans="2:4" x14ac:dyDescent="0.4">
      <c r="B13" s="22" t="s">
        <v>20</v>
      </c>
      <c r="C13" s="23" t="s">
        <v>108</v>
      </c>
      <c r="D13" s="23" t="s">
        <v>21</v>
      </c>
    </row>
    <row r="14" spans="2:4" x14ac:dyDescent="0.4">
      <c r="B14" s="20" t="s">
        <v>22</v>
      </c>
      <c r="C14" s="21" t="s">
        <v>109</v>
      </c>
      <c r="D14" s="21" t="s">
        <v>23</v>
      </c>
    </row>
    <row r="16" spans="2:4" x14ac:dyDescent="0.4">
      <c r="B16" s="33" t="s">
        <v>110</v>
      </c>
      <c r="C16" s="34"/>
      <c r="D16" s="35"/>
    </row>
    <row r="17" spans="2:6" x14ac:dyDescent="0.4">
      <c r="B17" s="5" t="s">
        <v>99</v>
      </c>
      <c r="C17" s="5" t="s">
        <v>5</v>
      </c>
      <c r="D17" s="5" t="s">
        <v>100</v>
      </c>
    </row>
    <row r="18" spans="2:6" x14ac:dyDescent="0.4">
      <c r="B18" s="20" t="s">
        <v>24</v>
      </c>
      <c r="C18" s="21" t="s">
        <v>111</v>
      </c>
      <c r="D18" s="21" t="s">
        <v>7</v>
      </c>
    </row>
    <row r="19" spans="2:6" x14ac:dyDescent="0.4">
      <c r="B19" s="22" t="s">
        <v>25</v>
      </c>
      <c r="C19" s="23" t="s">
        <v>112</v>
      </c>
      <c r="D19" s="23" t="s">
        <v>9</v>
      </c>
    </row>
    <row r="20" spans="2:6" x14ac:dyDescent="0.4">
      <c r="B20" s="20" t="s">
        <v>26</v>
      </c>
      <c r="C20" s="21" t="s">
        <v>113</v>
      </c>
      <c r="D20" s="21" t="s">
        <v>11</v>
      </c>
    </row>
    <row r="21" spans="2:6" x14ac:dyDescent="0.4">
      <c r="B21" s="22" t="s">
        <v>27</v>
      </c>
      <c r="C21" s="23" t="s">
        <v>114</v>
      </c>
      <c r="D21" s="23" t="s">
        <v>13</v>
      </c>
    </row>
    <row r="22" spans="2:6" x14ac:dyDescent="0.4">
      <c r="B22" s="20" t="s">
        <v>28</v>
      </c>
      <c r="C22" s="21" t="s">
        <v>115</v>
      </c>
      <c r="D22" s="21" t="s">
        <v>15</v>
      </c>
    </row>
    <row r="23" spans="2:6" x14ac:dyDescent="0.4">
      <c r="B23" s="22" t="s">
        <v>29</v>
      </c>
      <c r="C23" s="23" t="s">
        <v>116</v>
      </c>
      <c r="D23" s="23" t="s">
        <v>17</v>
      </c>
    </row>
    <row r="24" spans="2:6" x14ac:dyDescent="0.4">
      <c r="B24" s="20" t="s">
        <v>30</v>
      </c>
      <c r="C24" s="21" t="s">
        <v>117</v>
      </c>
      <c r="D24" s="21" t="s">
        <v>19</v>
      </c>
    </row>
    <row r="25" spans="2:6" x14ac:dyDescent="0.4">
      <c r="B25" s="22" t="s">
        <v>31</v>
      </c>
      <c r="C25" s="23" t="s">
        <v>118</v>
      </c>
      <c r="D25" s="23" t="s">
        <v>21</v>
      </c>
    </row>
    <row r="26" spans="2:6" x14ac:dyDescent="0.4">
      <c r="B26" s="20" t="s">
        <v>32</v>
      </c>
      <c r="C26" s="21" t="s">
        <v>119</v>
      </c>
      <c r="D26" s="21" t="s">
        <v>23</v>
      </c>
    </row>
    <row r="28" spans="2:6" ht="15.6" customHeight="1" x14ac:dyDescent="0.4">
      <c r="B28" s="39" t="s">
        <v>120</v>
      </c>
      <c r="C28" s="40"/>
      <c r="D28" s="40"/>
      <c r="E28" s="40"/>
      <c r="F28" s="41"/>
    </row>
    <row r="29" spans="2:6" x14ac:dyDescent="0.4">
      <c r="B29" s="5" t="s">
        <v>121</v>
      </c>
      <c r="C29" s="5" t="s">
        <v>122</v>
      </c>
      <c r="D29" s="5" t="s">
        <v>123</v>
      </c>
      <c r="E29" s="5" t="s">
        <v>124</v>
      </c>
      <c r="F29" s="5" t="s">
        <v>125</v>
      </c>
    </row>
    <row r="30" spans="2:6" x14ac:dyDescent="0.4">
      <c r="B30" s="20" t="s">
        <v>126</v>
      </c>
      <c r="C30" s="21" t="s">
        <v>127</v>
      </c>
      <c r="D30" s="21" t="s">
        <v>128</v>
      </c>
      <c r="E30" s="21" t="s">
        <v>129</v>
      </c>
      <c r="F30" s="21" t="s">
        <v>130</v>
      </c>
    </row>
    <row r="31" spans="2:6" x14ac:dyDescent="0.4">
      <c r="B31" s="22" t="s">
        <v>131</v>
      </c>
      <c r="C31" s="23" t="s">
        <v>132</v>
      </c>
      <c r="D31" s="23" t="s">
        <v>133</v>
      </c>
      <c r="E31" s="23" t="s">
        <v>134</v>
      </c>
      <c r="F31" s="23" t="s">
        <v>135</v>
      </c>
    </row>
    <row r="32" spans="2:6" x14ac:dyDescent="0.4">
      <c r="B32" s="20" t="s">
        <v>136</v>
      </c>
      <c r="C32" s="21" t="s">
        <v>137</v>
      </c>
      <c r="D32" s="21" t="s">
        <v>138</v>
      </c>
      <c r="E32" s="21" t="s">
        <v>139</v>
      </c>
      <c r="F32" s="21" t="s">
        <v>140</v>
      </c>
    </row>
    <row r="33" spans="2:6" x14ac:dyDescent="0.4">
      <c r="B33" s="22" t="s">
        <v>141</v>
      </c>
      <c r="C33" s="23" t="s">
        <v>142</v>
      </c>
      <c r="D33" s="23" t="s">
        <v>143</v>
      </c>
      <c r="E33" s="23" t="s">
        <v>20</v>
      </c>
      <c r="F33" s="23" t="s">
        <v>144</v>
      </c>
    </row>
    <row r="34" spans="2:6" x14ac:dyDescent="0.4">
      <c r="B34" s="20" t="s">
        <v>145</v>
      </c>
      <c r="C34" s="21" t="s">
        <v>146</v>
      </c>
      <c r="D34" s="21" t="s">
        <v>147</v>
      </c>
      <c r="E34" s="21" t="s">
        <v>22</v>
      </c>
      <c r="F34" s="21" t="s">
        <v>148</v>
      </c>
    </row>
    <row r="36" spans="2:6" x14ac:dyDescent="0.4">
      <c r="B36" s="38" t="s">
        <v>149</v>
      </c>
      <c r="C36" s="37"/>
      <c r="D36" s="37"/>
      <c r="E36" s="37"/>
      <c r="F36" s="37"/>
    </row>
  </sheetData>
  <mergeCells count="4">
    <mergeCell ref="B36:F36"/>
    <mergeCell ref="B28:F28"/>
    <mergeCell ref="B16:D16"/>
    <mergeCell ref="B4:D4"/>
  </mergeCells>
  <pageMargins left="0.75" right="0.75" top="1" bottom="1" header="0.5" footer="0.5"/>
  <pageSetup paperSize="9" scale="4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2:C21"/>
  <sheetViews>
    <sheetView showGridLines="0" view="pageBreakPreview" zoomScale="115" zoomScaleNormal="100" zoomScaleSheetLayoutView="115" workbookViewId="0"/>
  </sheetViews>
  <sheetFormatPr defaultRowHeight="15.6" x14ac:dyDescent="0.4"/>
  <cols>
    <col min="1" max="1" width="2.69921875" style="2" customWidth="1"/>
    <col min="2" max="2" width="61.8984375" style="2" customWidth="1"/>
    <col min="3" max="3" width="50.69921875" style="2" customWidth="1"/>
    <col min="4" max="16384" width="8.796875" style="2"/>
  </cols>
  <sheetData>
    <row r="2" spans="2:3" ht="22.8" x14ac:dyDescent="0.55000000000000004">
      <c r="B2" s="1" t="s">
        <v>150</v>
      </c>
    </row>
    <row r="3" spans="2:3" x14ac:dyDescent="0.4">
      <c r="B3" s="3" t="s">
        <v>151</v>
      </c>
    </row>
    <row r="5" spans="2:3" x14ac:dyDescent="0.4">
      <c r="B5" s="33" t="s">
        <v>152</v>
      </c>
      <c r="C5" s="35"/>
    </row>
    <row r="6" spans="2:3" x14ac:dyDescent="0.4">
      <c r="B6" s="21" t="s">
        <v>153</v>
      </c>
      <c r="C6" s="17"/>
    </row>
    <row r="7" spans="2:3" x14ac:dyDescent="0.4">
      <c r="B7" s="42" t="s">
        <v>154</v>
      </c>
      <c r="C7" s="43"/>
    </row>
    <row r="8" spans="2:3" x14ac:dyDescent="0.4">
      <c r="B8" s="21" t="s">
        <v>155</v>
      </c>
      <c r="C8" s="17" t="s">
        <v>156</v>
      </c>
    </row>
    <row r="9" spans="2:3" x14ac:dyDescent="0.4">
      <c r="B9" s="21" t="s">
        <v>121</v>
      </c>
      <c r="C9" s="17" t="s">
        <v>132</v>
      </c>
    </row>
    <row r="10" spans="2:3" x14ac:dyDescent="0.4">
      <c r="B10" s="21" t="s">
        <v>157</v>
      </c>
      <c r="C10" s="17" t="s">
        <v>158</v>
      </c>
    </row>
    <row r="11" spans="2:3" x14ac:dyDescent="0.4">
      <c r="B11" s="21" t="s">
        <v>159</v>
      </c>
      <c r="C11" s="44">
        <v>0.09</v>
      </c>
    </row>
    <row r="12" spans="2:3" x14ac:dyDescent="0.4">
      <c r="B12" s="21" t="s">
        <v>160</v>
      </c>
      <c r="C12" s="17" t="s">
        <v>33</v>
      </c>
    </row>
    <row r="13" spans="2:3" x14ac:dyDescent="0.4">
      <c r="B13" s="21" t="s">
        <v>161</v>
      </c>
      <c r="C13" s="17" t="s">
        <v>162</v>
      </c>
    </row>
    <row r="14" spans="2:3" x14ac:dyDescent="0.4">
      <c r="B14" s="33" t="s">
        <v>163</v>
      </c>
      <c r="C14" s="35"/>
    </row>
    <row r="15" spans="2:3" x14ac:dyDescent="0.4">
      <c r="B15" s="21" t="s">
        <v>164</v>
      </c>
      <c r="C15" s="17" t="s">
        <v>34</v>
      </c>
    </row>
    <row r="16" spans="2:3" x14ac:dyDescent="0.4">
      <c r="B16" s="21" t="s">
        <v>165</v>
      </c>
      <c r="C16" s="17" t="s">
        <v>166</v>
      </c>
    </row>
    <row r="17" spans="2:3" x14ac:dyDescent="0.4">
      <c r="B17" s="33" t="s">
        <v>167</v>
      </c>
      <c r="C17" s="35"/>
    </row>
    <row r="18" spans="2:3" x14ac:dyDescent="0.4">
      <c r="B18" s="21" t="s">
        <v>168</v>
      </c>
      <c r="C18" s="17" t="s">
        <v>35</v>
      </c>
    </row>
    <row r="19" spans="2:3" x14ac:dyDescent="0.4">
      <c r="B19" s="21" t="s">
        <v>169</v>
      </c>
      <c r="C19" s="17" t="s">
        <v>170</v>
      </c>
    </row>
    <row r="20" spans="2:3" x14ac:dyDescent="0.4">
      <c r="B20" s="21" t="s">
        <v>171</v>
      </c>
      <c r="C20" s="17" t="s">
        <v>172</v>
      </c>
    </row>
    <row r="21" spans="2:3" x14ac:dyDescent="0.4">
      <c r="B21" s="21" t="s">
        <v>173</v>
      </c>
      <c r="C21" s="17" t="s">
        <v>174</v>
      </c>
    </row>
  </sheetData>
  <mergeCells count="4">
    <mergeCell ref="B14:C14"/>
    <mergeCell ref="B5:C5"/>
    <mergeCell ref="B17:C17"/>
    <mergeCell ref="B7:C7"/>
  </mergeCells>
  <pageMargins left="0.75" right="0.75" top="1" bottom="1" header="0.5" footer="0.5"/>
  <pageSetup paperSize="9" scale="6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2:C21"/>
  <sheetViews>
    <sheetView showGridLines="0" view="pageBreakPreview" zoomScale="115" zoomScaleNormal="100" zoomScaleSheetLayoutView="115" workbookViewId="0">
      <selection activeCell="F31" sqref="F31"/>
    </sheetView>
  </sheetViews>
  <sheetFormatPr defaultRowHeight="15.6" x14ac:dyDescent="0.4"/>
  <cols>
    <col min="1" max="1" width="2.69921875" style="2" customWidth="1"/>
    <col min="2" max="2" width="61.8984375" style="2" customWidth="1"/>
    <col min="3" max="3" width="50.69921875" style="2" customWidth="1"/>
    <col min="4" max="16384" width="8.796875" style="2"/>
  </cols>
  <sheetData>
    <row r="2" spans="2:3" ht="22.8" x14ac:dyDescent="0.55000000000000004">
      <c r="B2" s="1" t="s">
        <v>175</v>
      </c>
    </row>
    <row r="3" spans="2:3" x14ac:dyDescent="0.4">
      <c r="B3" s="3" t="s">
        <v>151</v>
      </c>
    </row>
    <row r="5" spans="2:3" x14ac:dyDescent="0.4">
      <c r="B5" s="33" t="s">
        <v>152</v>
      </c>
      <c r="C5" s="35"/>
    </row>
    <row r="6" spans="2:3" ht="31.2" x14ac:dyDescent="0.4">
      <c r="B6" s="21" t="s">
        <v>176</v>
      </c>
      <c r="C6" s="6"/>
    </row>
    <row r="7" spans="2:3" x14ac:dyDescent="0.4">
      <c r="B7" s="33" t="s">
        <v>154</v>
      </c>
      <c r="C7" s="35"/>
    </row>
    <row r="8" spans="2:3" x14ac:dyDescent="0.4">
      <c r="B8" s="21" t="s">
        <v>36</v>
      </c>
      <c r="C8" s="17" t="s">
        <v>37</v>
      </c>
    </row>
    <row r="9" spans="2:3" x14ac:dyDescent="0.4">
      <c r="B9" s="21" t="s">
        <v>155</v>
      </c>
      <c r="C9" s="17" t="s">
        <v>177</v>
      </c>
    </row>
    <row r="10" spans="2:3" x14ac:dyDescent="0.4">
      <c r="B10" s="21" t="s">
        <v>178</v>
      </c>
      <c r="C10" s="44">
        <v>0.12</v>
      </c>
    </row>
    <row r="11" spans="2:3" x14ac:dyDescent="0.4">
      <c r="B11" s="21" t="s">
        <v>89</v>
      </c>
      <c r="C11" s="45">
        <v>3.3750000000000002E-2</v>
      </c>
    </row>
    <row r="12" spans="2:3" x14ac:dyDescent="0.4">
      <c r="B12" s="21" t="s">
        <v>38</v>
      </c>
      <c r="C12" s="17" t="s">
        <v>179</v>
      </c>
    </row>
    <row r="13" spans="2:3" x14ac:dyDescent="0.4">
      <c r="B13" s="21" t="s">
        <v>180</v>
      </c>
      <c r="C13" s="45">
        <v>8.5000000000000006E-2</v>
      </c>
    </row>
    <row r="14" spans="2:3" x14ac:dyDescent="0.4">
      <c r="B14" s="21" t="s">
        <v>181</v>
      </c>
      <c r="C14" s="17" t="s">
        <v>182</v>
      </c>
    </row>
    <row r="15" spans="2:3" x14ac:dyDescent="0.4">
      <c r="B15" s="33" t="s">
        <v>183</v>
      </c>
      <c r="C15" s="35"/>
    </row>
    <row r="16" spans="2:3" x14ac:dyDescent="0.4">
      <c r="B16" s="21" t="s">
        <v>184</v>
      </c>
      <c r="C16" s="17" t="s">
        <v>185</v>
      </c>
    </row>
    <row r="17" spans="2:3" x14ac:dyDescent="0.4">
      <c r="B17" s="21" t="s">
        <v>186</v>
      </c>
      <c r="C17" s="17" t="s">
        <v>187</v>
      </c>
    </row>
    <row r="18" spans="2:3" x14ac:dyDescent="0.4">
      <c r="B18" s="33" t="s">
        <v>188</v>
      </c>
      <c r="C18" s="35"/>
    </row>
    <row r="19" spans="2:3" x14ac:dyDescent="0.4">
      <c r="B19" s="21" t="s">
        <v>4</v>
      </c>
      <c r="C19" s="45">
        <v>0.09</v>
      </c>
    </row>
    <row r="20" spans="2:3" x14ac:dyDescent="0.4">
      <c r="B20" s="21" t="s">
        <v>189</v>
      </c>
      <c r="C20" s="17" t="s">
        <v>190</v>
      </c>
    </row>
    <row r="21" spans="2:3" x14ac:dyDescent="0.4">
      <c r="B21" s="21" t="s">
        <v>191</v>
      </c>
      <c r="C21" s="17" t="s">
        <v>192</v>
      </c>
    </row>
  </sheetData>
  <mergeCells count="4">
    <mergeCell ref="B18:C18"/>
    <mergeCell ref="B5:C5"/>
    <mergeCell ref="B15:C15"/>
    <mergeCell ref="B7:C7"/>
  </mergeCells>
  <pageMargins left="0.75" right="0.75" top="1" bottom="1" header="0.5" footer="0.5"/>
  <pageSetup paperSize="9" scale="6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workbookViewId="0"/>
  </sheetViews>
  <sheetFormatPr defaultRowHeight="14.4" x14ac:dyDescent="0.3"/>
  <sheetData>
    <row r="1" spans="1:17" x14ac:dyDescent="0.3">
      <c r="A1" t="s">
        <v>39</v>
      </c>
      <c r="B1">
        <f>IF(Calculator!D7="","",Calculator!D7)</f>
        <v>9</v>
      </c>
      <c r="C1">
        <f t="shared" ref="C1:C6" si="0">IF(B1="",0,1)</f>
        <v>1</v>
      </c>
      <c r="D1">
        <f t="shared" ref="D1:D6" si="1">IF(B1="",0,B1/9)</f>
        <v>1</v>
      </c>
      <c r="F1">
        <f>IF(Calculator!C16="","",Calculator!C16*1)</f>
        <v>1</v>
      </c>
      <c r="G1">
        <f>IF(Calculator!D16="","",Calculator!D16*1)</f>
        <v>2</v>
      </c>
      <c r="H1">
        <f>IF(Calculator!E16="","",Calculator!E16)</f>
        <v>5</v>
      </c>
      <c r="I1">
        <f t="shared" ref="I1:I10" si="2">IF(AND(F1&lt;&gt;"",G1&lt;&gt;"",H1&lt;&gt;""),IF(AND(INDEX($C$1:$C$6,F1)=1,INDEX($C$1:$C$6,G1)=1),1,0),0)</f>
        <v>1</v>
      </c>
      <c r="J1">
        <f t="shared" ref="J1:J10" si="3">IF(I1=1,H1/9,0)</f>
        <v>0.55555555555555558</v>
      </c>
      <c r="K1">
        <f t="shared" ref="K1:K10" si="4">IF(I1=1,INDEX($D$1:$D$6,F1),0)</f>
        <v>1</v>
      </c>
      <c r="L1">
        <f t="shared" ref="L1:L10" si="5">IF(I1=1,INDEX($D$1:$D$6,G1),0)</f>
        <v>0.55555555555555558</v>
      </c>
      <c r="N1">
        <f>SUMPRODUCT($I$1:$I$10*(($F$1:$F$10=1)+($G$1:$G$10=1)))</f>
        <v>1</v>
      </c>
      <c r="O1">
        <f>SUMPRODUCT(($F$1:$F$10=1)*$J$1:$J$10*$L$1:$L$10)+SUMPRODUCT(($G$1:$G$10=1)*$J$1:$J$10*$K$1:$K$10)</f>
        <v>0.30864197530864201</v>
      </c>
      <c r="P1">
        <f t="shared" ref="P1:P6" si="6">IF(B1="",0,(D1+O1)/(1+N1))</f>
        <v>0.65432098765432101</v>
      </c>
      <c r="Q1">
        <f t="shared" ref="Q1:Q6" si="7">IF(B1="","",P1)</f>
        <v>0.65432098765432101</v>
      </c>
    </row>
    <row r="2" spans="1:17" x14ac:dyDescent="0.3">
      <c r="A2" t="s">
        <v>40</v>
      </c>
      <c r="B2">
        <f>IF(Calculator!D8="","",Calculator!D8)</f>
        <v>5</v>
      </c>
      <c r="C2">
        <f t="shared" si="0"/>
        <v>1</v>
      </c>
      <c r="D2">
        <f t="shared" si="1"/>
        <v>0.55555555555555558</v>
      </c>
      <c r="F2" t="str">
        <f>IF(Calculator!C17="","",Calculator!C17*1)</f>
        <v/>
      </c>
      <c r="G2" t="str">
        <f>IF(Calculator!D17="","",Calculator!D17*1)</f>
        <v/>
      </c>
      <c r="H2" t="str">
        <f>IF(Calculator!E17="","",Calculator!E17)</f>
        <v/>
      </c>
      <c r="I2">
        <f t="shared" si="2"/>
        <v>0</v>
      </c>
      <c r="J2">
        <f t="shared" si="3"/>
        <v>0</v>
      </c>
      <c r="K2">
        <f t="shared" si="4"/>
        <v>0</v>
      </c>
      <c r="L2">
        <f t="shared" si="5"/>
        <v>0</v>
      </c>
      <c r="N2">
        <f>SUMPRODUCT($I$1:$I$10*(($F$1:$F$10=2)+($G$1:$G$10=2)))</f>
        <v>1</v>
      </c>
      <c r="O2">
        <f>SUMPRODUCT(($F$1:$F$10=2)*$J$1:$J$10*$L$1:$L$10)+SUMPRODUCT(($G$1:$G$10=2)*$J$1:$J$10*$K$1:$K$10)</f>
        <v>0.55555555555555558</v>
      </c>
      <c r="P2">
        <f t="shared" si="6"/>
        <v>0.55555555555555558</v>
      </c>
      <c r="Q2">
        <f t="shared" si="7"/>
        <v>0.55555555555555558</v>
      </c>
    </row>
    <row r="3" spans="1:17" x14ac:dyDescent="0.3">
      <c r="A3" t="s">
        <v>41</v>
      </c>
      <c r="B3" t="str">
        <f>IF(Calculator!D9="","",Calculator!D9)</f>
        <v/>
      </c>
      <c r="C3">
        <f t="shared" si="0"/>
        <v>0</v>
      </c>
      <c r="D3">
        <f t="shared" si="1"/>
        <v>0</v>
      </c>
      <c r="F3" t="str">
        <f>IF(Calculator!C18="","",Calculator!C18*1)</f>
        <v/>
      </c>
      <c r="G3" t="str">
        <f>IF(Calculator!D18="","",Calculator!D18*1)</f>
        <v/>
      </c>
      <c r="H3" t="str">
        <f>IF(Calculator!E18="","",Calculator!E18)</f>
        <v/>
      </c>
      <c r="I3">
        <f t="shared" si="2"/>
        <v>0</v>
      </c>
      <c r="J3">
        <f t="shared" si="3"/>
        <v>0</v>
      </c>
      <c r="K3">
        <f t="shared" si="4"/>
        <v>0</v>
      </c>
      <c r="L3">
        <f t="shared" si="5"/>
        <v>0</v>
      </c>
      <c r="N3">
        <f>SUMPRODUCT($I$1:$I$10*(($F$1:$F$10=3)+($G$1:$G$10=3)))</f>
        <v>0</v>
      </c>
      <c r="O3">
        <f>SUMPRODUCT(($F$1:$F$10=3)*$J$1:$J$10*$L$1:$L$10)+SUMPRODUCT(($G$1:$G$10=3)*$J$1:$J$10*$K$1:$K$10)</f>
        <v>0</v>
      </c>
      <c r="P3">
        <f t="shared" si="6"/>
        <v>0</v>
      </c>
      <c r="Q3" t="str">
        <f t="shared" si="7"/>
        <v/>
      </c>
    </row>
    <row r="4" spans="1:17" x14ac:dyDescent="0.3">
      <c r="A4" t="s">
        <v>42</v>
      </c>
      <c r="B4" t="str">
        <f>IF(Calculator!D10="","",Calculator!D10)</f>
        <v/>
      </c>
      <c r="C4">
        <f t="shared" si="0"/>
        <v>0</v>
      </c>
      <c r="D4">
        <f t="shared" si="1"/>
        <v>0</v>
      </c>
      <c r="F4" t="str">
        <f>IF(Calculator!C19="","",Calculator!C19*1)</f>
        <v/>
      </c>
      <c r="G4" t="str">
        <f>IF(Calculator!D19="","",Calculator!D19*1)</f>
        <v/>
      </c>
      <c r="H4" t="str">
        <f>IF(Calculator!E19="","",Calculator!E19)</f>
        <v/>
      </c>
      <c r="I4">
        <f t="shared" si="2"/>
        <v>0</v>
      </c>
      <c r="J4">
        <f t="shared" si="3"/>
        <v>0</v>
      </c>
      <c r="K4">
        <f t="shared" si="4"/>
        <v>0</v>
      </c>
      <c r="L4">
        <f t="shared" si="5"/>
        <v>0</v>
      </c>
      <c r="N4">
        <f>SUMPRODUCT($I$1:$I$10*(($F$1:$F$10=4)+($G$1:$G$10=4)))</f>
        <v>0</v>
      </c>
      <c r="O4">
        <f>SUMPRODUCT(($F$1:$F$10=4)*$J$1:$J$10*$L$1:$L$10)+SUMPRODUCT(($G$1:$G$10=4)*$J$1:$J$10*$K$1:$K$10)</f>
        <v>0</v>
      </c>
      <c r="P4">
        <f t="shared" si="6"/>
        <v>0</v>
      </c>
      <c r="Q4" t="str">
        <f t="shared" si="7"/>
        <v/>
      </c>
    </row>
    <row r="5" spans="1:17" x14ac:dyDescent="0.3">
      <c r="A5" t="s">
        <v>43</v>
      </c>
      <c r="B5" t="str">
        <f>IF(Calculator!D11="","",Calculator!D11)</f>
        <v/>
      </c>
      <c r="C5">
        <f t="shared" si="0"/>
        <v>0</v>
      </c>
      <c r="D5">
        <f t="shared" si="1"/>
        <v>0</v>
      </c>
      <c r="F5" t="str">
        <f>IF(Calculator!C20="","",Calculator!C20*1)</f>
        <v/>
      </c>
      <c r="G5" t="str">
        <f>IF(Calculator!D20="","",Calculator!D20*1)</f>
        <v/>
      </c>
      <c r="H5" t="str">
        <f>IF(Calculator!E20="","",Calculator!E20)</f>
        <v/>
      </c>
      <c r="I5">
        <f t="shared" si="2"/>
        <v>0</v>
      </c>
      <c r="J5">
        <f t="shared" si="3"/>
        <v>0</v>
      </c>
      <c r="K5">
        <f t="shared" si="4"/>
        <v>0</v>
      </c>
      <c r="L5">
        <f t="shared" si="5"/>
        <v>0</v>
      </c>
      <c r="N5">
        <f>SUMPRODUCT($I$1:$I$10*(($F$1:$F$10=5)+($G$1:$G$10=5)))</f>
        <v>0</v>
      </c>
      <c r="O5">
        <f>SUMPRODUCT(($F$1:$F$10=5)*$J$1:$J$10*$L$1:$L$10)+SUMPRODUCT(($G$1:$G$10=5)*$J$1:$J$10*$K$1:$K$10)</f>
        <v>0</v>
      </c>
      <c r="P5">
        <f t="shared" si="6"/>
        <v>0</v>
      </c>
      <c r="Q5" t="str">
        <f t="shared" si="7"/>
        <v/>
      </c>
    </row>
    <row r="6" spans="1:17" x14ac:dyDescent="0.3">
      <c r="A6" t="s">
        <v>44</v>
      </c>
      <c r="B6" t="str">
        <f>IF(Calculator!D12="","",Calculator!D12)</f>
        <v/>
      </c>
      <c r="C6">
        <f t="shared" si="0"/>
        <v>0</v>
      </c>
      <c r="D6">
        <f t="shared" si="1"/>
        <v>0</v>
      </c>
      <c r="F6" t="str">
        <f>IF(Calculator!C21="","",Calculator!C21*1)</f>
        <v/>
      </c>
      <c r="G6" t="str">
        <f>IF(Calculator!D21="","",Calculator!D21*1)</f>
        <v/>
      </c>
      <c r="H6" t="str">
        <f>IF(Calculator!E21="","",Calculator!E21)</f>
        <v/>
      </c>
      <c r="I6">
        <f t="shared" si="2"/>
        <v>0</v>
      </c>
      <c r="J6">
        <f t="shared" si="3"/>
        <v>0</v>
      </c>
      <c r="K6">
        <f t="shared" si="4"/>
        <v>0</v>
      </c>
      <c r="L6">
        <f t="shared" si="5"/>
        <v>0</v>
      </c>
      <c r="N6">
        <f>SUMPRODUCT($I$1:$I$10*(($F$1:$F$10=6)+($G$1:$G$10=6)))</f>
        <v>0</v>
      </c>
      <c r="O6">
        <f>SUMPRODUCT(($F$1:$F$10=6)*$J$1:$J$10*$L$1:$L$10)+SUMPRODUCT(($G$1:$G$10=6)*$J$1:$J$10*$K$1:$K$10)</f>
        <v>0</v>
      </c>
      <c r="P6">
        <f t="shared" si="6"/>
        <v>0</v>
      </c>
      <c r="Q6" t="str">
        <f t="shared" si="7"/>
        <v/>
      </c>
    </row>
    <row r="7" spans="1:17" x14ac:dyDescent="0.3">
      <c r="F7" t="str">
        <f>IF(Calculator!C22="","",Calculator!C22*1)</f>
        <v/>
      </c>
      <c r="G7" t="str">
        <f>IF(Calculator!D22="","",Calculator!D22*1)</f>
        <v/>
      </c>
      <c r="H7" t="str">
        <f>IF(Calculator!E22="","",Calculator!E22)</f>
        <v/>
      </c>
      <c r="I7">
        <f t="shared" si="2"/>
        <v>0</v>
      </c>
      <c r="J7">
        <f t="shared" si="3"/>
        <v>0</v>
      </c>
      <c r="K7">
        <f t="shared" si="4"/>
        <v>0</v>
      </c>
      <c r="L7">
        <f t="shared" si="5"/>
        <v>0</v>
      </c>
    </row>
    <row r="8" spans="1:17" x14ac:dyDescent="0.3">
      <c r="F8" t="str">
        <f>IF(Calculator!C23="","",Calculator!C23*1)</f>
        <v/>
      </c>
      <c r="G8" t="str">
        <f>IF(Calculator!D23="","",Calculator!D23*1)</f>
        <v/>
      </c>
      <c r="H8" t="str">
        <f>IF(Calculator!E23="","",Calculator!E23)</f>
        <v/>
      </c>
      <c r="I8">
        <f t="shared" si="2"/>
        <v>0</v>
      </c>
      <c r="J8">
        <f t="shared" si="3"/>
        <v>0</v>
      </c>
      <c r="K8">
        <f t="shared" si="4"/>
        <v>0</v>
      </c>
      <c r="L8">
        <f t="shared" si="5"/>
        <v>0</v>
      </c>
    </row>
    <row r="9" spans="1:17" x14ac:dyDescent="0.3">
      <c r="F9" t="str">
        <f>IF(Calculator!C24="","",Calculator!C24*1)</f>
        <v/>
      </c>
      <c r="G9" t="str">
        <f>IF(Calculator!D24="","",Calculator!D24*1)</f>
        <v/>
      </c>
      <c r="H9" t="str">
        <f>IF(Calculator!E24="","",Calculator!E24)</f>
        <v/>
      </c>
      <c r="I9">
        <f t="shared" si="2"/>
        <v>0</v>
      </c>
      <c r="J9">
        <f t="shared" si="3"/>
        <v>0</v>
      </c>
      <c r="K9">
        <f t="shared" si="4"/>
        <v>0</v>
      </c>
      <c r="L9">
        <f t="shared" si="5"/>
        <v>0</v>
      </c>
    </row>
    <row r="10" spans="1:17" x14ac:dyDescent="0.3">
      <c r="F10" t="str">
        <f>IF(Calculator!C25="","",Calculator!C25*1)</f>
        <v/>
      </c>
      <c r="G10" t="str">
        <f>IF(Calculator!D25="","",Calculator!D25*1)</f>
        <v/>
      </c>
      <c r="H10" t="str">
        <f>IF(Calculator!E25="","",Calculator!E25)</f>
        <v/>
      </c>
      <c r="I10">
        <f t="shared" si="2"/>
        <v>0</v>
      </c>
      <c r="J10">
        <f t="shared" si="3"/>
        <v>0</v>
      </c>
      <c r="K10">
        <f t="shared" si="4"/>
        <v>0</v>
      </c>
      <c r="L10">
        <f t="shared" si="5"/>
        <v>0</v>
      </c>
    </row>
    <row r="40" spans="1:2" x14ac:dyDescent="0.3">
      <c r="A40" t="s">
        <v>45</v>
      </c>
      <c r="B40">
        <f>IF(COUNT(B1:B6)=0,"",SUM(P1:P6)/COUNT(B1:B6))</f>
        <v>0.60493827160493829</v>
      </c>
    </row>
    <row r="41" spans="1:2" x14ac:dyDescent="0.3">
      <c r="A41" t="s">
        <v>46</v>
      </c>
      <c r="B41">
        <f>COUNT(B1:B6)</f>
        <v>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Calculator</vt:lpstr>
      <vt:lpstr>Scales</vt:lpstr>
      <vt:lpstr>Case 1 — Medtech CH</vt:lpstr>
      <vt:lpstr>Case 2 — Ind. SME FR</vt:lpstr>
      <vt:lpstr>Engine</vt:lpstr>
      <vt:lpstr>Calculator!Print_Area</vt:lpstr>
      <vt:lpstr>'Case 1 — Medtech CH'!Print_Area</vt:lpstr>
      <vt:lpstr>'Case 2 — Ind. SME FR'!Print_Area</vt:lpstr>
      <vt:lpstr>Instructions!Print_Area</vt:lpstr>
      <vt:lpstr>Scales!Print_Area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2026-06-20T11:18:59Z</dcterms:created>
  <dcterms:modified xsi:type="dcterms:W3CDTF">2026-06-20T12:40:11Z</dcterms:modified>
</cp:coreProperties>
</file>