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Z:\Hectelion\01_Admin\08_Marketing\11_Publications gratuites\Matériel\49_BSA\"/>
    </mc:Choice>
  </mc:AlternateContent>
  <xr:revisionPtr revIDLastSave="0" documentId="13_ncr:1_{058B84B0-6944-4863-9F5C-1D0E85FE31B2}" xr6:coauthVersionLast="47" xr6:coauthVersionMax="47" xr10:uidLastSave="{00000000-0000-0000-0000-000000000000}"/>
  <bookViews>
    <workbookView xWindow="-38508" yWindow="-2280" windowWidth="38616" windowHeight="21096" xr2:uid="{00000000-000D-0000-FFFF-FFFF00000000}"/>
  </bookViews>
  <sheets>
    <sheet name="Notice" sheetId="1" r:id="rId1"/>
    <sheet name="Comparatif" sheetId="2" r:id="rId2"/>
    <sheet name="Calculateur BS" sheetId="3" r:id="rId3"/>
    <sheet name="Exemple dilution" sheetId="4" r:id="rId4"/>
    <sheet name="Sensibilite volatilite" sheetId="5" r:id="rId5"/>
    <sheet name="Cas 1 levee FR" sheetId="6" r:id="rId6"/>
    <sheet name="Cas 2 LBO CH" sheetId="7" r:id="rId7"/>
  </sheets>
  <definedNames>
    <definedName name="_xlnm.Print_Area" localSheetId="1">Comparatif!$A$1:$G$11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C10" i="6"/>
  <c r="C11" i="5"/>
  <c r="D11" i="5" s="1"/>
  <c r="C10" i="5"/>
  <c r="D10" i="5" s="1"/>
  <c r="C9" i="5"/>
  <c r="D9" i="5" s="1"/>
  <c r="C8" i="5"/>
  <c r="D8" i="5" s="1"/>
  <c r="C7" i="5"/>
  <c r="D7" i="5" s="1"/>
  <c r="C6" i="5"/>
  <c r="D6" i="5" s="1"/>
  <c r="D13" i="4"/>
  <c r="D12" i="4"/>
  <c r="D11" i="4"/>
  <c r="D10" i="4"/>
  <c r="D9" i="4"/>
  <c r="D8" i="4"/>
  <c r="C5" i="4"/>
  <c r="E12" i="4" s="1"/>
  <c r="F12" i="4" s="1"/>
  <c r="D18" i="3"/>
  <c r="C18" i="3"/>
  <c r="D12" i="3"/>
  <c r="D11" i="3"/>
  <c r="C11" i="3"/>
  <c r="C12" i="3" s="1"/>
  <c r="C13" i="3" s="1"/>
  <c r="C19" i="3" s="1"/>
  <c r="E13" i="4" l="1"/>
  <c r="F13" i="4" s="1"/>
  <c r="E8" i="4"/>
  <c r="F8" i="4" s="1"/>
  <c r="E9" i="4"/>
  <c r="F9" i="4" s="1"/>
  <c r="E10" i="4"/>
  <c r="F10" i="4" s="1"/>
  <c r="E11" i="4"/>
  <c r="F11" i="4" s="1"/>
  <c r="C11" i="6"/>
  <c r="C12" i="6" s="1"/>
  <c r="C11" i="7"/>
  <c r="C12" i="7" s="1"/>
</calcChain>
</file>

<file path=xl/sharedStrings.xml><?xml version="1.0" encoding="utf-8"?>
<sst xmlns="http://schemas.openxmlformats.org/spreadsheetml/2006/main" count="133" uniqueCount="95">
  <si>
    <t>Hectelion SA  |  BSA (bons de souscription d'actions)</t>
  </si>
  <si>
    <t>Valoriser et structurer un BSA en levee de fonds et LBO : calculateur Black-Scholes, dilution, cas</t>
  </si>
  <si>
    <t>Objet</t>
  </si>
  <si>
    <t>Ce classeur accompagne la publication Hectelion sur le BSA. Il comprend un comparatif BSA / BSA AIR / BSPCE, un calculateur de valorisation Black-Scholes avec ajustement de dilution, une table de sensibilite a la volatilite et deux cas chiffres.</t>
  </si>
  <si>
    <t>Comment l'utiliser</t>
  </si>
  <si>
    <t>Les cellules de saisie sont surlignees en beige. Modifiez la valeur du sous-jacent, le strike, la maturite, le taux, la volatilite et la dilution : la valeur du BSA se recalcule automatiquement.</t>
  </si>
  <si>
    <t>Le strike</t>
  </si>
  <si>
    <t>Le prix d'exercice se fixe apres une evaluation independante du sous-jacent, puis selon l'objectif (a parite, au-dessus, en dessous). Un strike sous la juste valeur cree un rabais imposable (management package en France, prestation appreciable en argent en Suisse).</t>
  </si>
  <si>
    <t>La volatilite</t>
  </si>
  <si>
    <t>Pour une societe non cotee, la volatilite ne s'observe pas. La table de sensibilite et le Monte-Carlo livrent une fourchette, pas un chiffre unique. C'est cette fourchette qui tient face au fisc et a un contradicteur.</t>
  </si>
  <si>
    <t>Avertissement</t>
  </si>
  <si>
    <t>Document pedagogique et illustratif, ne constituant ni un conseil en investissement, ni fiscal, ni juridique. Les chiffres sont des hypotheses. Hectelion n'est pas agreee FINMA et n'intervient pas sur les societes cotees.</t>
  </si>
  <si>
    <t>Contact</t>
  </si>
  <si>
    <t>Hectelion SA  -  www.hectelion.com  -  Rendez-vous : https://calendly.com/aristide-ruot-hectelion-dcc/30min?month=2</t>
  </si>
  <si>
    <t>Comparatif : BSA, BSA AIR et BSPCE</t>
  </si>
  <si>
    <t>Trois instruments distincts, ne pas confondre</t>
  </si>
  <si>
    <t>Critere</t>
  </si>
  <si>
    <t>BSA classique</t>
  </si>
  <si>
    <t>BSA AIR</t>
  </si>
  <si>
    <t>BSPCE</t>
  </si>
  <si>
    <t>Nature</t>
  </si>
  <si>
    <t>Valeur mobiliere souple</t>
  </si>
  <si>
    <t>Variante d'amorcage (type SAFE)</t>
  </si>
  <si>
    <t>Regime fiscal de faveur encadre</t>
  </si>
  <si>
    <t>Beneficiaire</t>
  </si>
  <si>
    <t>Tout beneficiaire (investisseur, dirigeant, tiers)</t>
  </si>
  <si>
    <t>Investisseur d'amorcage</t>
  </si>
  <si>
    <t>Salaries et dirigeants eligibles</t>
  </si>
  <si>
    <t>Usage</t>
  </si>
  <si>
    <t>Levee de fonds, LBO, financement</t>
  </si>
  <si>
    <t>Pre-amorcage et amorcage</t>
  </si>
  <si>
    <t>Jeunes societes eligibles</t>
  </si>
  <si>
    <t>Emission des actions</t>
  </si>
  <si>
    <t>A l'exercice, au strike fixe</t>
  </si>
  <si>
    <t>Plus tard, a la valo d'un tour futur</t>
  </si>
  <si>
    <t>A l'exercice, au prix fixe</t>
  </si>
  <si>
    <t>Souscription</t>
  </si>
  <si>
    <t>A la juste valeur du bon</t>
  </si>
  <si>
    <t>Versement immediat, actions differees</t>
  </si>
  <si>
    <t>Attribution encadree</t>
  </si>
  <si>
    <t>Fiscalite</t>
  </si>
  <si>
    <t>Droit commun ou management package</t>
  </si>
  <si>
    <t>Selon le tour futur</t>
  </si>
  <si>
    <t>Regime de faveur si conditions remplies</t>
  </si>
  <si>
    <t>Calculateur de valorisation d'un BSA (Black-Scholes)</t>
  </si>
  <si>
    <t>Avec ajustement de dilution (cellules beige = saisie)</t>
  </si>
  <si>
    <t>Parametre</t>
  </si>
  <si>
    <t>Valeur</t>
  </si>
  <si>
    <t>Unite / note</t>
  </si>
  <si>
    <t>Valeur du sous-jacent (S)</t>
  </si>
  <si>
    <t>par action (saisie)</t>
  </si>
  <si>
    <t>Prix d'exercice / strike (K)</t>
  </si>
  <si>
    <t>Maturite (T)</t>
  </si>
  <si>
    <t>annees (saisie)</t>
  </si>
  <si>
    <t>Taux sans risque (r)</t>
  </si>
  <si>
    <t>% (saisie)</t>
  </si>
  <si>
    <t>Taux de distribution (q)</t>
  </si>
  <si>
    <t>Volatilite (sigma)</t>
  </si>
  <si>
    <t>d1</t>
  </si>
  <si>
    <t>d2</t>
  </si>
  <si>
    <t>Valeur BSA (Black-Scholes brute)</t>
  </si>
  <si>
    <t>par bon, avant dilution</t>
  </si>
  <si>
    <t>Ajustement de dilution</t>
  </si>
  <si>
    <t>Actions existantes (m)</t>
  </si>
  <si>
    <t>nombre (saisie)</t>
  </si>
  <si>
    <t>BSA emis (n)</t>
  </si>
  <si>
    <t>Facteur de dilution</t>
  </si>
  <si>
    <t>Valeur BSA ajustee de la dilution</t>
  </si>
  <si>
    <t>par bon, apres dilution</t>
  </si>
  <si>
    <t>Lecture : S=100, K=100, T=4, sigma=40% donnent un BSA d'environ 35,3 (brut) ; l'ajustement de dilution le ramene legerement selon m et n. Voir la feuille "Exemple dilution" pour un cas ou le pool est important.</t>
  </si>
  <si>
    <t>Exemple chiffre : pourquoi un BSA vaut moins qu'une option</t>
  </si>
  <si>
    <t>Memes parametres Black-Scholes, effet de la dilution selon le poids du pool de bons</t>
  </si>
  <si>
    <t>Parametres identiques au Cas 1 : S=100, K=100, T=4 ans, r=3%, sigma=40%. m = 1 000 000 actions existantes.</t>
  </si>
  <si>
    <t>Valeur d'une option classique (sur titres existants, aucune dilution)</t>
  </si>
  <si>
    <t>par bon</t>
  </si>
  <si>
    <t>Poids du pool (n/m)</t>
  </si>
  <si>
    <t>Facteur m/(m+n)</t>
  </si>
  <si>
    <t>Valeur du BSA</t>
  </si>
  <si>
    <t>Ecart vs option</t>
  </si>
  <si>
    <t>Cas concret : un fonds obtient un pool de BSA egal a 20 % du capital (200 000 bons pour 1 000 000 d'actions). L'option equivalente vaudrait 35,29 par bon ; le BSA, dilution integree, vaut 29,41 par bon, soit 16,7 % de moins. Sur les 200 000 bons, ignorer la dilution surevaluerait le pool d'environ 1,18 M (7,06 M contre 5,88 M).</t>
  </si>
  <si>
    <t>Methode : le facteur m/(m+n) est l'expression la plus simple de l'ajustement. La methode de Galai-Schneller le raffine en valorisant le bon sur les capitaux propres augmentes du produit d'exercice, par iteration ; l'ecart avec le facteur simple reste faible pour des pools courants et se creuse pour de tres gros plans.</t>
  </si>
  <si>
    <t>Sensibilite de la valeur du BSA a la volatilite</t>
  </si>
  <si>
    <t>La volatilite d'une non-cotee ne s'observe pas : raisonner en fourchette</t>
  </si>
  <si>
    <t>Parametres fixes : S=100, K=100, T=4 ans, r=3%, q=0</t>
  </si>
  <si>
    <t>Valeur du BSA (Black-Scholes)</t>
  </si>
  <si>
    <t>% de la valeur de l'action</t>
  </si>
  <si>
    <t>Monte-Carlo (sigma tire entre 30% et 50%, central 40%) : moyenne 35,3 ; fourchette P5-P95 environ [30,6 ; 39,9].</t>
  </si>
  <si>
    <t>Cas 1 : BSA ratchet dans une levee de fonds (PME tech FR)</t>
  </si>
  <si>
    <t>Valorisation par les trois methodes (convergence)</t>
  </si>
  <si>
    <t>Strike (K)</t>
  </si>
  <si>
    <t>Valeur BSA (Black-Scholes)</t>
  </si>
  <si>
    <t>Convergence : Black-Scholes 35,3 EUR / arbre binomial CRR 35,3 EUR / Monte-Carlo 35,4 EUR par bon. Fourchette volatilite (30-50%) : [30,6 ; 39,9]. Lot de 10 000 bons : environ 353 000 EUR.</t>
  </si>
  <si>
    <t>Cas 2 : sweet equity en BSA dans un LBO (PME CH)</t>
  </si>
  <si>
    <t>Souscription a la juste valeur pour ecarter la requalification</t>
  </si>
  <si>
    <t>Convergence : Black-Scholes 17,0 CHF / arbre binomial CRR 17,0 CHF / Monte-Carlo 16,9 CHF par bon. Fourchette volatilite (25-45%) : [14,3 ; 19,6]. Les managers souscrivent a 17,0 CHF, la juste valeur documentee.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</si>
</sst>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1" x14ac:knownFonts="1">
    <font>
      <sz val="11"/>
      <color theme="1"/>
      <name val="Aptos"/>
      <family val="2"/>
      <scheme val="minor"/>
    </font>
    <font>
      <b/>
      <sz val="16"/>
      <color rgb="FF182E4E"/>
      <name val="Cardo"/>
      <family val="1"/>
    </font>
    <font>
      <sz val="10.5"/>
      <color rgb="FF444444"/>
      <name val="Cardo"/>
      <family val="1"/>
    </font>
    <font>
      <b/>
      <sz val="11"/>
      <color rgb="FF182E4E"/>
      <name val="Cardo"/>
      <family val="1"/>
    </font>
    <font>
      <sz val="10.5"/>
      <color rgb="FF000000"/>
      <name val="Cardo"/>
      <family val="1"/>
    </font>
    <font>
      <b/>
      <sz val="11"/>
      <color rgb="FFFFFFFF"/>
      <name val="Cardo"/>
      <family val="1"/>
    </font>
    <font>
      <b/>
      <sz val="10.5"/>
      <color rgb="FF182E4E"/>
      <name val="Cardo"/>
      <family val="1"/>
    </font>
    <font>
      <sz val="9.5"/>
      <color rgb="FF555555"/>
      <name val="Cardo"/>
      <family val="1"/>
    </font>
    <font>
      <b/>
      <sz val="10.5"/>
      <color rgb="FF000000"/>
      <name val="Cardo"/>
      <family val="1"/>
    </font>
    <font>
      <b/>
      <sz val="11.5"/>
      <color rgb="FF182E4E"/>
      <name val="Cardo"/>
      <family val="1"/>
    </font>
    <font>
      <sz val="10"/>
      <color rgb="FF182E4E"/>
      <name val="Cardo"/>
      <family val="1"/>
    </font>
  </fonts>
  <fills count="5">
    <fill>
      <patternFill patternType="none"/>
    </fill>
    <fill>
      <patternFill patternType="gray125"/>
    </fill>
    <fill>
      <patternFill patternType="solid">
        <fgColor rgb="FF182E4E"/>
      </patternFill>
    </fill>
    <fill>
      <patternFill patternType="solid">
        <fgColor rgb="FFF4F6F9"/>
      </patternFill>
    </fill>
    <fill>
      <patternFill patternType="solid">
        <fgColor rgb="FFFFF7E6"/>
      </patternFill>
    </fill>
  </fills>
  <borders count="2">
    <border>
      <left/>
      <right/>
      <top/>
      <bottom/>
      <diagonal/>
    </border>
    <border>
      <left style="thin">
        <color rgb="FFD6DCE5"/>
      </left>
      <right style="thin">
        <color rgb="FFD6DCE5"/>
      </right>
      <top style="thin">
        <color rgb="FFD6DCE5"/>
      </top>
      <bottom style="thin">
        <color rgb="FFD6DCE5"/>
      </bottom>
      <diagonal/>
    </border>
  </borders>
  <cellStyleXfs count="1">
    <xf numFmtId="0" fontId="0" fillId="0" borderId="0"/>
  </cellStyleXfs>
  <cellXfs count="38">
    <xf numFmtId="0" fontId="0" fillId="0" borderId="0" xfId="0"/>
    <xf numFmtId="0" fontId="0" fillId="0" borderId="0" xfId="0" applyAlignment="1">
      <alignment vertical="center"/>
    </xf>
    <xf numFmtId="0" fontId="3" fillId="0" borderId="0" xfId="0" applyFont="1" applyAlignment="1">
      <alignment vertical="center" wrapText="1"/>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6" fillId="3" borderId="1" xfId="0" applyFont="1" applyFill="1" applyBorder="1" applyAlignment="1">
      <alignment vertical="center" wrapText="1"/>
    </xf>
    <xf numFmtId="0" fontId="4" fillId="3" borderId="1" xfId="0" applyFont="1" applyFill="1" applyBorder="1" applyAlignment="1">
      <alignment vertical="center" wrapText="1"/>
    </xf>
    <xf numFmtId="0" fontId="4" fillId="0" borderId="1" xfId="0" applyFont="1" applyBorder="1" applyAlignment="1">
      <alignment horizontal="left" vertical="center" wrapText="1"/>
    </xf>
    <xf numFmtId="4" fontId="4" fillId="4" borderId="1" xfId="0" applyNumberFormat="1" applyFont="1" applyFill="1" applyBorder="1" applyAlignment="1">
      <alignment horizontal="right" vertical="center"/>
    </xf>
    <xf numFmtId="0" fontId="7" fillId="0" borderId="1" xfId="0" applyFont="1" applyBorder="1" applyAlignment="1">
      <alignment horizontal="left" vertical="center" wrapText="1"/>
    </xf>
    <xf numFmtId="164" fontId="4" fillId="4" borderId="1"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6" fillId="0" borderId="1" xfId="0" applyFont="1" applyBorder="1" applyAlignment="1">
      <alignment horizontal="left" vertical="center" wrapText="1"/>
    </xf>
    <xf numFmtId="0" fontId="8" fillId="3" borderId="1" xfId="0" applyFont="1" applyFill="1" applyBorder="1" applyAlignment="1">
      <alignment horizontal="right" vertical="center"/>
    </xf>
    <xf numFmtId="0" fontId="9" fillId="0" borderId="0" xfId="0" applyFont="1" applyAlignment="1">
      <alignment vertical="center"/>
    </xf>
    <xf numFmtId="3" fontId="4" fillId="4"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9" fontId="6"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xf>
    <xf numFmtId="166" fontId="4" fillId="0" borderId="1" xfId="0" applyNumberFormat="1" applyFont="1" applyBorder="1" applyAlignment="1">
      <alignment horizontal="right" vertical="center"/>
    </xf>
    <xf numFmtId="4" fontId="8" fillId="0" borderId="1" xfId="0" applyNumberFormat="1" applyFont="1" applyBorder="1" applyAlignment="1">
      <alignment horizontal="right" vertical="center"/>
    </xf>
    <xf numFmtId="165" fontId="4" fillId="0" borderId="1" xfId="0" applyNumberFormat="1" applyFont="1" applyBorder="1" applyAlignment="1">
      <alignment horizontal="right" vertical="center"/>
    </xf>
    <xf numFmtId="9" fontId="6"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right" vertical="center"/>
    </xf>
    <xf numFmtId="166" fontId="4" fillId="3" borderId="1" xfId="0" applyNumberFormat="1" applyFont="1" applyFill="1" applyBorder="1" applyAlignment="1">
      <alignment horizontal="right" vertical="center"/>
    </xf>
    <xf numFmtId="4" fontId="8" fillId="3" borderId="1" xfId="0" applyNumberFormat="1" applyFont="1" applyFill="1" applyBorder="1" applyAlignment="1">
      <alignment horizontal="right" vertical="center"/>
    </xf>
    <xf numFmtId="165" fontId="4" fillId="3" borderId="1" xfId="0" applyNumberFormat="1" applyFont="1" applyFill="1" applyBorder="1" applyAlignment="1">
      <alignment horizontal="right" vertical="center"/>
    </xf>
    <xf numFmtId="0" fontId="2" fillId="0" borderId="0" xfId="0" applyFont="1" applyAlignment="1">
      <alignment vertical="center"/>
    </xf>
    <xf numFmtId="4" fontId="4" fillId="0" borderId="1" xfId="0" applyNumberFormat="1" applyFont="1" applyBorder="1" applyAlignment="1">
      <alignment horizontal="right" vertical="center"/>
    </xf>
    <xf numFmtId="4" fontId="4" fillId="3" borderId="1" xfId="0" applyNumberFormat="1" applyFont="1" applyFill="1" applyBorder="1" applyAlignment="1">
      <alignment horizontal="right" vertical="center"/>
    </xf>
    <xf numFmtId="0" fontId="4" fillId="0" borderId="0" xfId="0" applyFont="1" applyAlignment="1">
      <alignment vertical="center" wrapText="1"/>
    </xf>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G9"/>
  <sheetViews>
    <sheetView showGridLines="0" tabSelected="1" view="pageBreakPreview" workbookViewId="0"/>
  </sheetViews>
  <sheetFormatPr defaultRowHeight="14.4" x14ac:dyDescent="0.3"/>
  <cols>
    <col min="2" max="2" width="21.8984375" customWidth="1"/>
    <col min="3" max="7" width="19.8984375" customWidth="1"/>
  </cols>
  <sheetData>
    <row r="1" spans="2:7" ht="25.95" customHeight="1" x14ac:dyDescent="0.3">
      <c r="B1" s="34" t="s">
        <v>0</v>
      </c>
      <c r="C1" s="33"/>
      <c r="D1" s="33"/>
      <c r="E1" s="33"/>
      <c r="F1" s="1"/>
      <c r="G1" s="1"/>
    </row>
    <row r="2" spans="2:7" x14ac:dyDescent="0.3">
      <c r="B2" s="35" t="s">
        <v>1</v>
      </c>
      <c r="C2" s="33"/>
      <c r="D2" s="33"/>
      <c r="E2" s="33"/>
      <c r="F2" s="1"/>
      <c r="G2" s="1"/>
    </row>
    <row r="3" spans="2:7" x14ac:dyDescent="0.3">
      <c r="B3" s="1"/>
      <c r="C3" s="1"/>
      <c r="D3" s="1"/>
      <c r="E3" s="1"/>
      <c r="F3" s="1"/>
      <c r="G3" s="1"/>
    </row>
    <row r="4" spans="2:7" ht="64.05" customHeight="1" x14ac:dyDescent="0.3">
      <c r="B4" s="2" t="s">
        <v>2</v>
      </c>
      <c r="C4" s="32" t="s">
        <v>3</v>
      </c>
      <c r="D4" s="33"/>
      <c r="E4" s="33"/>
      <c r="F4" s="33"/>
      <c r="G4" s="33"/>
    </row>
    <row r="5" spans="2:7" ht="64.05" customHeight="1" x14ac:dyDescent="0.3">
      <c r="B5" s="2" t="s">
        <v>4</v>
      </c>
      <c r="C5" s="32" t="s">
        <v>5</v>
      </c>
      <c r="D5" s="33"/>
      <c r="E5" s="33"/>
      <c r="F5" s="33"/>
      <c r="G5" s="33"/>
    </row>
    <row r="6" spans="2:7" ht="64.05" customHeight="1" x14ac:dyDescent="0.3">
      <c r="B6" s="2" t="s">
        <v>6</v>
      </c>
      <c r="C6" s="32" t="s">
        <v>7</v>
      </c>
      <c r="D6" s="33"/>
      <c r="E6" s="33"/>
      <c r="F6" s="33"/>
      <c r="G6" s="33"/>
    </row>
    <row r="7" spans="2:7" ht="64.05" customHeight="1" x14ac:dyDescent="0.3">
      <c r="B7" s="2" t="s">
        <v>8</v>
      </c>
      <c r="C7" s="32" t="s">
        <v>9</v>
      </c>
      <c r="D7" s="33"/>
      <c r="E7" s="33"/>
      <c r="F7" s="33"/>
      <c r="G7" s="33"/>
    </row>
    <row r="8" spans="2:7" ht="64.05" customHeight="1" x14ac:dyDescent="0.3">
      <c r="B8" s="2" t="s">
        <v>10</v>
      </c>
      <c r="C8" s="32" t="s">
        <v>11</v>
      </c>
      <c r="D8" s="33"/>
      <c r="E8" s="33"/>
      <c r="F8" s="33"/>
      <c r="G8" s="33"/>
    </row>
    <row r="9" spans="2:7" ht="64.05" customHeight="1" x14ac:dyDescent="0.3">
      <c r="B9" s="2" t="s">
        <v>12</v>
      </c>
      <c r="C9" s="32" t="s">
        <v>13</v>
      </c>
      <c r="D9" s="33"/>
      <c r="E9" s="33"/>
      <c r="F9" s="33"/>
      <c r="G9" s="33"/>
    </row>
  </sheetData>
  <mergeCells count="8">
    <mergeCell ref="C8:G8"/>
    <mergeCell ref="C9:G9"/>
    <mergeCell ref="C4:G4"/>
    <mergeCell ref="B1:E1"/>
    <mergeCell ref="C7:G7"/>
    <mergeCell ref="C6:G6"/>
    <mergeCell ref="C5:G5"/>
    <mergeCell ref="B2:E2"/>
  </mergeCells>
  <pageMargins left="0.75" right="0.75" top="1" bottom="1" header="0.5" footer="0.5"/>
  <pageSetup paperSize="9" scale="5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C1:F10"/>
  <sheetViews>
    <sheetView showGridLines="0" view="pageBreakPreview" workbookViewId="0"/>
  </sheetViews>
  <sheetFormatPr defaultRowHeight="14.4" x14ac:dyDescent="0.3"/>
  <cols>
    <col min="3" max="3" width="21.8984375" customWidth="1"/>
    <col min="4" max="6" width="33.8984375" customWidth="1"/>
  </cols>
  <sheetData>
    <row r="1" spans="3:6" ht="25.95" customHeight="1" x14ac:dyDescent="0.3">
      <c r="C1" s="34" t="s">
        <v>14</v>
      </c>
      <c r="D1" s="33"/>
      <c r="E1" s="33"/>
      <c r="F1" s="33"/>
    </row>
    <row r="2" spans="3:6" x14ac:dyDescent="0.3">
      <c r="C2" s="35" t="s">
        <v>15</v>
      </c>
      <c r="D2" s="33"/>
      <c r="E2" s="33"/>
      <c r="F2" s="33"/>
    </row>
    <row r="3" spans="3:6" x14ac:dyDescent="0.3">
      <c r="C3" s="1"/>
      <c r="D3" s="1"/>
      <c r="E3" s="1"/>
      <c r="F3" s="1"/>
    </row>
    <row r="4" spans="3:6" ht="15.6" x14ac:dyDescent="0.3">
      <c r="C4" s="3" t="s">
        <v>16</v>
      </c>
      <c r="D4" s="3" t="s">
        <v>17</v>
      </c>
      <c r="E4" s="3" t="s">
        <v>18</v>
      </c>
      <c r="F4" s="3" t="s">
        <v>19</v>
      </c>
    </row>
    <row r="5" spans="3:6" ht="34.049999999999997" customHeight="1" x14ac:dyDescent="0.3">
      <c r="C5" s="4" t="s">
        <v>20</v>
      </c>
      <c r="D5" s="5" t="s">
        <v>21</v>
      </c>
      <c r="E5" s="5" t="s">
        <v>22</v>
      </c>
      <c r="F5" s="5" t="s">
        <v>23</v>
      </c>
    </row>
    <row r="6" spans="3:6" ht="34.049999999999997" customHeight="1" x14ac:dyDescent="0.3">
      <c r="C6" s="6" t="s">
        <v>24</v>
      </c>
      <c r="D6" s="7" t="s">
        <v>25</v>
      </c>
      <c r="E6" s="7" t="s">
        <v>26</v>
      </c>
      <c r="F6" s="7" t="s">
        <v>27</v>
      </c>
    </row>
    <row r="7" spans="3:6" ht="34.049999999999997" customHeight="1" x14ac:dyDescent="0.3">
      <c r="C7" s="4" t="s">
        <v>28</v>
      </c>
      <c r="D7" s="5" t="s">
        <v>29</v>
      </c>
      <c r="E7" s="5" t="s">
        <v>30</v>
      </c>
      <c r="F7" s="5" t="s">
        <v>31</v>
      </c>
    </row>
    <row r="8" spans="3:6" ht="34.049999999999997" customHeight="1" x14ac:dyDescent="0.3">
      <c r="C8" s="6" t="s">
        <v>32</v>
      </c>
      <c r="D8" s="7" t="s">
        <v>33</v>
      </c>
      <c r="E8" s="7" t="s">
        <v>34</v>
      </c>
      <c r="F8" s="7" t="s">
        <v>35</v>
      </c>
    </row>
    <row r="9" spans="3:6" ht="34.049999999999997" customHeight="1" x14ac:dyDescent="0.3">
      <c r="C9" s="4" t="s">
        <v>36</v>
      </c>
      <c r="D9" s="5" t="s">
        <v>37</v>
      </c>
      <c r="E9" s="5" t="s">
        <v>38</v>
      </c>
      <c r="F9" s="5" t="s">
        <v>39</v>
      </c>
    </row>
    <row r="10" spans="3:6" ht="34.049999999999997" customHeight="1" x14ac:dyDescent="0.3">
      <c r="C10" s="6" t="s">
        <v>40</v>
      </c>
      <c r="D10" s="7" t="s">
        <v>41</v>
      </c>
      <c r="E10" s="7" t="s">
        <v>42</v>
      </c>
      <c r="F10" s="7" t="s">
        <v>43</v>
      </c>
    </row>
  </sheetData>
  <mergeCells count="2">
    <mergeCell ref="C1:F1"/>
    <mergeCell ref="C2:F2"/>
  </mergeCells>
  <pageMargins left="0.75" right="0.75" top="1" bottom="1" header="0.5" footer="0.5"/>
  <pageSetup paperSize="9" scale="5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E21"/>
  <sheetViews>
    <sheetView showGridLines="0" view="pageBreakPreview" workbookViewId="0"/>
  </sheetViews>
  <sheetFormatPr defaultRowHeight="14.4" x14ac:dyDescent="0.3"/>
  <cols>
    <col min="2" max="2" width="35.8984375" customWidth="1"/>
    <col min="3" max="3" width="17.8984375" customWidth="1"/>
    <col min="4" max="4" width="39.8984375" customWidth="1"/>
  </cols>
  <sheetData>
    <row r="1" spans="2:5" ht="25.95" customHeight="1" x14ac:dyDescent="0.3">
      <c r="B1" s="34" t="s">
        <v>44</v>
      </c>
      <c r="C1" s="33"/>
      <c r="D1" s="33"/>
      <c r="E1" s="33"/>
    </row>
    <row r="2" spans="2:5" x14ac:dyDescent="0.3">
      <c r="B2" s="35" t="s">
        <v>45</v>
      </c>
      <c r="C2" s="33"/>
      <c r="D2" s="33"/>
      <c r="E2" s="33"/>
    </row>
    <row r="3" spans="2:5" x14ac:dyDescent="0.3">
      <c r="B3" s="1"/>
      <c r="C3" s="1"/>
      <c r="D3" s="1"/>
      <c r="E3" s="1"/>
    </row>
    <row r="4" spans="2:5" ht="15.6" x14ac:dyDescent="0.3">
      <c r="B4" s="3" t="s">
        <v>46</v>
      </c>
      <c r="C4" s="3" t="s">
        <v>47</v>
      </c>
      <c r="D4" s="3" t="s">
        <v>48</v>
      </c>
      <c r="E4" s="1"/>
    </row>
    <row r="5" spans="2:5" ht="15.6" x14ac:dyDescent="0.3">
      <c r="B5" s="8" t="s">
        <v>49</v>
      </c>
      <c r="C5" s="9">
        <v>100</v>
      </c>
      <c r="D5" s="10" t="s">
        <v>50</v>
      </c>
      <c r="E5" s="1"/>
    </row>
    <row r="6" spans="2:5" ht="15.6" x14ac:dyDescent="0.3">
      <c r="B6" s="8" t="s">
        <v>51</v>
      </c>
      <c r="C6" s="9">
        <v>100</v>
      </c>
      <c r="D6" s="10" t="s">
        <v>50</v>
      </c>
      <c r="E6" s="1"/>
    </row>
    <row r="7" spans="2:5" ht="15.6" x14ac:dyDescent="0.3">
      <c r="B7" s="8" t="s">
        <v>52</v>
      </c>
      <c r="C7" s="11">
        <v>4</v>
      </c>
      <c r="D7" s="10" t="s">
        <v>53</v>
      </c>
      <c r="E7" s="1"/>
    </row>
    <row r="8" spans="2:5" ht="15.6" x14ac:dyDescent="0.3">
      <c r="B8" s="8" t="s">
        <v>54</v>
      </c>
      <c r="C8" s="12">
        <v>0.03</v>
      </c>
      <c r="D8" s="10" t="s">
        <v>55</v>
      </c>
      <c r="E8" s="1"/>
    </row>
    <row r="9" spans="2:5" ht="15.6" x14ac:dyDescent="0.3">
      <c r="B9" s="8" t="s">
        <v>56</v>
      </c>
      <c r="C9" s="12">
        <v>0</v>
      </c>
      <c r="D9" s="10" t="s">
        <v>55</v>
      </c>
      <c r="E9" s="1"/>
    </row>
    <row r="10" spans="2:5" ht="15.6" x14ac:dyDescent="0.3">
      <c r="B10" s="8" t="s">
        <v>57</v>
      </c>
      <c r="C10" s="12">
        <v>0.4</v>
      </c>
      <c r="D10" s="10" t="s">
        <v>55</v>
      </c>
      <c r="E10" s="1"/>
    </row>
    <row r="11" spans="2:5" ht="15.6" x14ac:dyDescent="0.3">
      <c r="B11" s="8" t="s">
        <v>58</v>
      </c>
      <c r="C11" s="13">
        <f>(LN(C5/C6)+(C8-C9+C10^2/2)*C7)/(C10*SQRT(C7))</f>
        <v>0.55000000000000004</v>
      </c>
      <c r="D11" s="10" t="e">
        <f ca="1">#REF!/(s racine(T))</f>
        <v>#REF!</v>
      </c>
      <c r="E11" s="1"/>
    </row>
    <row r="12" spans="2:5" ht="15.6" x14ac:dyDescent="0.3">
      <c r="B12" s="8" t="s">
        <v>59</v>
      </c>
      <c r="C12" s="13">
        <f>C11-C10*SQRT(C7)</f>
        <v>-0.25</v>
      </c>
      <c r="D12" s="10" t="e">
        <f ca="1">E1 - s racine(T)</f>
        <v>#NAME?</v>
      </c>
      <c r="E12" s="1"/>
    </row>
    <row r="13" spans="2:5" ht="15.6" x14ac:dyDescent="0.3">
      <c r="B13" s="14" t="s">
        <v>60</v>
      </c>
      <c r="C13" s="15">
        <f>C5*EXP(-C9*C7)*_xlfn.NORM.S.DIST(C11,TRUE)-C6*EXP(-C8*C7)*_xlfn.NORM.S.DIST(C12,TRUE)</f>
        <v>35.29247523345196</v>
      </c>
      <c r="D13" s="10" t="s">
        <v>61</v>
      </c>
      <c r="E13" s="1"/>
    </row>
    <row r="14" spans="2:5" x14ac:dyDescent="0.3">
      <c r="B14" s="1"/>
      <c r="C14" s="1"/>
      <c r="D14" s="1"/>
      <c r="E14" s="1"/>
    </row>
    <row r="15" spans="2:5" ht="16.2" x14ac:dyDescent="0.3">
      <c r="B15" s="16" t="s">
        <v>62</v>
      </c>
      <c r="C15" s="1"/>
      <c r="D15" s="1"/>
      <c r="E15" s="1"/>
    </row>
    <row r="16" spans="2:5" ht="15.6" x14ac:dyDescent="0.3">
      <c r="B16" s="8" t="s">
        <v>63</v>
      </c>
      <c r="C16" s="17">
        <v>1000000</v>
      </c>
      <c r="D16" s="10" t="s">
        <v>64</v>
      </c>
      <c r="E16" s="1"/>
    </row>
    <row r="17" spans="2:5" ht="15.6" x14ac:dyDescent="0.3">
      <c r="B17" s="8" t="s">
        <v>65</v>
      </c>
      <c r="C17" s="17">
        <v>10000</v>
      </c>
      <c r="D17" s="10" t="s">
        <v>64</v>
      </c>
      <c r="E17" s="1"/>
    </row>
    <row r="18" spans="2:5" ht="15.6" x14ac:dyDescent="0.3">
      <c r="B18" s="8" t="s">
        <v>66</v>
      </c>
      <c r="C18" s="13">
        <f>C16/(C16+C17)</f>
        <v>0.99009900990099009</v>
      </c>
      <c r="D18" s="10" t="e">
        <f>m / (m + n)</f>
        <v>#NAME?</v>
      </c>
      <c r="E18" s="1"/>
    </row>
    <row r="19" spans="2:5" ht="15.6" x14ac:dyDescent="0.3">
      <c r="B19" s="14" t="s">
        <v>67</v>
      </c>
      <c r="C19" s="15">
        <f>C13*C18</f>
        <v>34.943044785596001</v>
      </c>
      <c r="D19" s="10" t="s">
        <v>68</v>
      </c>
      <c r="E19" s="1"/>
    </row>
    <row r="20" spans="2:5" x14ac:dyDescent="0.3">
      <c r="B20" s="1"/>
      <c r="C20" s="1"/>
      <c r="D20" s="1"/>
      <c r="E20" s="1"/>
    </row>
    <row r="21" spans="2:5" x14ac:dyDescent="0.3">
      <c r="B21" s="36" t="s">
        <v>69</v>
      </c>
      <c r="C21" s="33"/>
      <c r="D21" s="33"/>
      <c r="E21" s="1"/>
    </row>
  </sheetData>
  <mergeCells count="3">
    <mergeCell ref="B1:E1"/>
    <mergeCell ref="B21:D21"/>
    <mergeCell ref="B2:E2"/>
  </mergeCells>
  <pageMargins left="0.75" right="0.75" top="1" bottom="1" header="0.5" footer="0.5"/>
  <pageSetup paperSize="9" scale="7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1:F17"/>
  <sheetViews>
    <sheetView showGridLines="0" view="pageBreakPreview" workbookViewId="0"/>
  </sheetViews>
  <sheetFormatPr defaultRowHeight="14.4" x14ac:dyDescent="0.3"/>
  <cols>
    <col min="2" max="2" width="29.8984375" customWidth="1"/>
    <col min="3" max="3" width="15.8984375" customWidth="1"/>
    <col min="4" max="4" width="17.8984375" customWidth="1"/>
    <col min="5" max="6" width="15.8984375" customWidth="1"/>
  </cols>
  <sheetData>
    <row r="1" spans="2:6" ht="25.95" customHeight="1" x14ac:dyDescent="0.3">
      <c r="B1" s="34" t="s">
        <v>70</v>
      </c>
      <c r="C1" s="33"/>
      <c r="D1" s="33"/>
      <c r="E1" s="33"/>
      <c r="F1" s="1"/>
    </row>
    <row r="2" spans="2:6" x14ac:dyDescent="0.3">
      <c r="B2" s="35" t="s">
        <v>71</v>
      </c>
      <c r="C2" s="33"/>
      <c r="D2" s="33"/>
      <c r="E2" s="33"/>
      <c r="F2" s="1"/>
    </row>
    <row r="3" spans="2:6" x14ac:dyDescent="0.3">
      <c r="B3" s="1"/>
      <c r="C3" s="1"/>
      <c r="D3" s="1"/>
      <c r="E3" s="1"/>
      <c r="F3" s="1"/>
    </row>
    <row r="4" spans="2:6" x14ac:dyDescent="0.3">
      <c r="B4" s="35" t="s">
        <v>72</v>
      </c>
      <c r="C4" s="33"/>
      <c r="D4" s="33"/>
      <c r="E4" s="33"/>
      <c r="F4" s="33"/>
    </row>
    <row r="5" spans="2:6" ht="30" customHeight="1" x14ac:dyDescent="0.3">
      <c r="B5" s="14" t="s">
        <v>73</v>
      </c>
      <c r="C5" s="18">
        <f>100*_xlfn.NORM.S.DIST(((LN(100/100)+(0.03+0.4^2/2)*4)/(0.4*SQRT(4))),TRUE)-100*EXP(-0.03*4)*_xlfn.NORM.S.DIST(((LN(100/100)+(0.03+0.4^2/2)*4)/(0.4*SQRT(4)))-0.4*SQRT(4),TRUE)</f>
        <v>35.29247523345196</v>
      </c>
      <c r="D5" s="10" t="s">
        <v>74</v>
      </c>
      <c r="E5" s="1"/>
      <c r="F5" s="1"/>
    </row>
    <row r="6" spans="2:6" x14ac:dyDescent="0.3">
      <c r="B6" s="1"/>
      <c r="C6" s="1"/>
      <c r="D6" s="1"/>
      <c r="E6" s="1"/>
      <c r="F6" s="1"/>
    </row>
    <row r="7" spans="2:6" ht="15.6" x14ac:dyDescent="0.3">
      <c r="B7" s="3" t="s">
        <v>75</v>
      </c>
      <c r="C7" s="3" t="s">
        <v>65</v>
      </c>
      <c r="D7" s="3" t="s">
        <v>76</v>
      </c>
      <c r="E7" s="3" t="s">
        <v>77</v>
      </c>
      <c r="F7" s="3" t="s">
        <v>78</v>
      </c>
    </row>
    <row r="8" spans="2:6" ht="15.6" x14ac:dyDescent="0.3">
      <c r="B8" s="19">
        <v>0.01</v>
      </c>
      <c r="C8" s="20">
        <v>10000</v>
      </c>
      <c r="D8" s="21">
        <f t="shared" ref="D8:D13" si="0">1000000/(1000000+C8)</f>
        <v>0.99009900990099009</v>
      </c>
      <c r="E8" s="22">
        <f t="shared" ref="E8:E13" si="1">$C$5*D8</f>
        <v>34.943044785596001</v>
      </c>
      <c r="F8" s="23">
        <f t="shared" ref="F8:F13" si="2">E8/$C$5-1</f>
        <v>-9.9009900990099098E-3</v>
      </c>
    </row>
    <row r="9" spans="2:6" ht="15.6" x14ac:dyDescent="0.3">
      <c r="B9" s="24">
        <v>0.05</v>
      </c>
      <c r="C9" s="25">
        <v>50000</v>
      </c>
      <c r="D9" s="26">
        <f t="shared" si="0"/>
        <v>0.95238095238095233</v>
      </c>
      <c r="E9" s="27">
        <f t="shared" si="1"/>
        <v>33.611881174716153</v>
      </c>
      <c r="F9" s="28">
        <f t="shared" si="2"/>
        <v>-4.7619047619047561E-2</v>
      </c>
    </row>
    <row r="10" spans="2:6" ht="15.6" x14ac:dyDescent="0.3">
      <c r="B10" s="19">
        <v>0.1</v>
      </c>
      <c r="C10" s="20">
        <v>100000</v>
      </c>
      <c r="D10" s="21">
        <f t="shared" si="0"/>
        <v>0.90909090909090906</v>
      </c>
      <c r="E10" s="22">
        <f t="shared" si="1"/>
        <v>32.084068394047236</v>
      </c>
      <c r="F10" s="23">
        <f t="shared" si="2"/>
        <v>-9.0909090909090939E-2</v>
      </c>
    </row>
    <row r="11" spans="2:6" ht="15.6" x14ac:dyDescent="0.3">
      <c r="B11" s="24">
        <v>0.15</v>
      </c>
      <c r="C11" s="25">
        <v>150000</v>
      </c>
      <c r="D11" s="26">
        <f t="shared" si="0"/>
        <v>0.86956521739130432</v>
      </c>
      <c r="E11" s="27">
        <f t="shared" si="1"/>
        <v>30.689108898653878</v>
      </c>
      <c r="F11" s="28">
        <f t="shared" si="2"/>
        <v>-0.13043478260869568</v>
      </c>
    </row>
    <row r="12" spans="2:6" ht="15.6" x14ac:dyDescent="0.3">
      <c r="B12" s="19">
        <v>0.2</v>
      </c>
      <c r="C12" s="20">
        <v>200000</v>
      </c>
      <c r="D12" s="21">
        <f t="shared" si="0"/>
        <v>0.83333333333333337</v>
      </c>
      <c r="E12" s="22">
        <f t="shared" si="1"/>
        <v>29.410396027876633</v>
      </c>
      <c r="F12" s="23">
        <f t="shared" si="2"/>
        <v>-0.16666666666666663</v>
      </c>
    </row>
    <row r="13" spans="2:6" ht="15.6" x14ac:dyDescent="0.3">
      <c r="B13" s="24">
        <v>0.25</v>
      </c>
      <c r="C13" s="25">
        <v>250000</v>
      </c>
      <c r="D13" s="26">
        <f t="shared" si="0"/>
        <v>0.8</v>
      </c>
      <c r="E13" s="27">
        <f t="shared" si="1"/>
        <v>28.233980186761571</v>
      </c>
      <c r="F13" s="28">
        <f t="shared" si="2"/>
        <v>-0.19999999999999996</v>
      </c>
    </row>
    <row r="14" spans="2:6" x14ac:dyDescent="0.3">
      <c r="B14" s="1"/>
      <c r="C14" s="1"/>
      <c r="D14" s="1"/>
      <c r="E14" s="1"/>
      <c r="F14" s="1"/>
    </row>
    <row r="15" spans="2:6" ht="46.05" customHeight="1" x14ac:dyDescent="0.3">
      <c r="B15" s="37" t="s">
        <v>79</v>
      </c>
      <c r="C15" s="33"/>
      <c r="D15" s="33"/>
      <c r="E15" s="33"/>
      <c r="F15" s="33"/>
    </row>
    <row r="16" spans="2:6" x14ac:dyDescent="0.3">
      <c r="B16" s="1"/>
      <c r="C16" s="1"/>
      <c r="D16" s="1"/>
      <c r="E16" s="1"/>
      <c r="F16" s="1"/>
    </row>
    <row r="17" spans="2:6" ht="43.95" customHeight="1" x14ac:dyDescent="0.3">
      <c r="B17" s="36" t="s">
        <v>80</v>
      </c>
      <c r="C17" s="33"/>
      <c r="D17" s="33"/>
      <c r="E17" s="33"/>
      <c r="F17" s="33"/>
    </row>
  </sheetData>
  <mergeCells count="5">
    <mergeCell ref="B1:E1"/>
    <mergeCell ref="B4:F4"/>
    <mergeCell ref="B15:F15"/>
    <mergeCell ref="B2:E2"/>
    <mergeCell ref="B17:F17"/>
  </mergeCells>
  <pageMargins left="0.75" right="0.75" top="1" bottom="1" header="0.5" footer="0.5"/>
  <pageSetup paperSize="9" scale="7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1:E13"/>
  <sheetViews>
    <sheetView showGridLines="0" view="pageBreakPreview" workbookViewId="0"/>
  </sheetViews>
  <sheetFormatPr defaultRowHeight="14.4" x14ac:dyDescent="0.3"/>
  <cols>
    <col min="2" max="2" width="19.8984375" customWidth="1"/>
    <col min="3" max="4" width="29.8984375" customWidth="1"/>
  </cols>
  <sheetData>
    <row r="1" spans="2:5" ht="25.95" customHeight="1" x14ac:dyDescent="0.3">
      <c r="B1" s="34" t="s">
        <v>81</v>
      </c>
      <c r="C1" s="33"/>
      <c r="D1" s="33"/>
      <c r="E1" s="33"/>
    </row>
    <row r="2" spans="2:5" x14ac:dyDescent="0.3">
      <c r="B2" s="35" t="s">
        <v>82</v>
      </c>
      <c r="C2" s="33"/>
      <c r="D2" s="33"/>
      <c r="E2" s="33"/>
    </row>
    <row r="3" spans="2:5" x14ac:dyDescent="0.3">
      <c r="B3" s="1"/>
      <c r="C3" s="1"/>
      <c r="D3" s="1"/>
      <c r="E3" s="1"/>
    </row>
    <row r="4" spans="2:5" ht="15.6" x14ac:dyDescent="0.3">
      <c r="B4" s="29" t="s">
        <v>83</v>
      </c>
      <c r="C4" s="1"/>
      <c r="D4" s="1"/>
      <c r="E4" s="1"/>
    </row>
    <row r="5" spans="2:5" ht="15.6" x14ac:dyDescent="0.3">
      <c r="B5" s="3" t="s">
        <v>57</v>
      </c>
      <c r="C5" s="3" t="s">
        <v>84</v>
      </c>
      <c r="D5" s="3" t="s">
        <v>85</v>
      </c>
      <c r="E5" s="1"/>
    </row>
    <row r="6" spans="2:5" ht="15.6" x14ac:dyDescent="0.3">
      <c r="B6" s="19">
        <v>0.25</v>
      </c>
      <c r="C6" s="30">
        <f t="shared" ref="C6:C11" si="0">100*EXP(0*4)*_xlfn.NORM.S.DIST(((LN(100/100)+(0.03-0+B6^2/2)*4)/(B6*SQRT(4))),TRUE)-100*EXP(-0.03*4)*_xlfn.NORM.S.DIST(((LN(100/100)+(0.03-0+B6^2/2)*4)/(B6*SQRT(4)))-B6*SQRT(4),TRUE)</f>
        <v>24.801107386882407</v>
      </c>
      <c r="D6" s="23">
        <f t="shared" ref="D6:D11" si="1">C6/100</f>
        <v>0.24801107386882407</v>
      </c>
      <c r="E6" s="1"/>
    </row>
    <row r="7" spans="2:5" ht="15.6" x14ac:dyDescent="0.3">
      <c r="B7" s="24">
        <v>0.3</v>
      </c>
      <c r="C7" s="31">
        <f t="shared" si="0"/>
        <v>28.332636574667681</v>
      </c>
      <c r="D7" s="28">
        <f t="shared" si="1"/>
        <v>0.2833263657466768</v>
      </c>
      <c r="E7" s="1"/>
    </row>
    <row r="8" spans="2:5" ht="15.6" x14ac:dyDescent="0.3">
      <c r="B8" s="19">
        <v>0.35</v>
      </c>
      <c r="C8" s="30">
        <f t="shared" si="0"/>
        <v>31.835539617186029</v>
      </c>
      <c r="D8" s="23">
        <f t="shared" si="1"/>
        <v>0.31835539617186032</v>
      </c>
      <c r="E8" s="1"/>
    </row>
    <row r="9" spans="2:5" ht="15.6" x14ac:dyDescent="0.3">
      <c r="B9" s="24">
        <v>0.4</v>
      </c>
      <c r="C9" s="31">
        <f t="shared" si="0"/>
        <v>35.29247523345196</v>
      </c>
      <c r="D9" s="28">
        <f t="shared" si="1"/>
        <v>0.35292475233451959</v>
      </c>
      <c r="E9" s="1"/>
    </row>
    <row r="10" spans="2:5" ht="15.6" x14ac:dyDescent="0.3">
      <c r="B10" s="19">
        <v>0.45</v>
      </c>
      <c r="C10" s="30">
        <f t="shared" si="0"/>
        <v>38.690671481897759</v>
      </c>
      <c r="D10" s="23">
        <f t="shared" si="1"/>
        <v>0.38690671481897759</v>
      </c>
      <c r="E10" s="1"/>
    </row>
    <row r="11" spans="2:5" ht="15.6" x14ac:dyDescent="0.3">
      <c r="B11" s="24">
        <v>0.5</v>
      </c>
      <c r="C11" s="31">
        <f t="shared" si="0"/>
        <v>42.019931901533504</v>
      </c>
      <c r="D11" s="28">
        <f t="shared" si="1"/>
        <v>0.42019931901533503</v>
      </c>
      <c r="E11" s="1"/>
    </row>
    <row r="12" spans="2:5" x14ac:dyDescent="0.3">
      <c r="B12" s="1"/>
      <c r="C12" s="1"/>
      <c r="D12" s="1"/>
      <c r="E12" s="1"/>
    </row>
    <row r="13" spans="2:5" x14ac:dyDescent="0.3">
      <c r="B13" s="36" t="s">
        <v>86</v>
      </c>
      <c r="C13" s="33"/>
      <c r="D13" s="33"/>
      <c r="E13" s="1"/>
    </row>
  </sheetData>
  <mergeCells count="3">
    <mergeCell ref="B1:E1"/>
    <mergeCell ref="B13:D13"/>
    <mergeCell ref="B2:E2"/>
  </mergeCells>
  <pageMargins left="0.75" right="0.75" top="1" bottom="1" header="0.5" footer="0.5"/>
  <pageSetup paperSize="9" scale="8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B1:E14"/>
  <sheetViews>
    <sheetView showGridLines="0" view="pageBreakPreview" workbookViewId="0"/>
  </sheetViews>
  <sheetFormatPr defaultRowHeight="14.4" x14ac:dyDescent="0.3"/>
  <cols>
    <col min="2" max="2" width="33.8984375" customWidth="1"/>
    <col min="3" max="3" width="15.8984375" customWidth="1"/>
    <col min="4" max="4" width="33.8984375" customWidth="1"/>
  </cols>
  <sheetData>
    <row r="1" spans="2:5" ht="25.95" customHeight="1" x14ac:dyDescent="0.3">
      <c r="B1" s="34" t="s">
        <v>87</v>
      </c>
      <c r="C1" s="33"/>
      <c r="D1" s="33"/>
      <c r="E1" s="33"/>
    </row>
    <row r="2" spans="2:5" x14ac:dyDescent="0.3">
      <c r="B2" s="35" t="s">
        <v>88</v>
      </c>
      <c r="C2" s="33"/>
      <c r="D2" s="33"/>
      <c r="E2" s="33"/>
    </row>
    <row r="3" spans="2:5" x14ac:dyDescent="0.3">
      <c r="B3" s="1"/>
      <c r="C3" s="1"/>
      <c r="D3" s="1"/>
      <c r="E3" s="1"/>
    </row>
    <row r="4" spans="2:5" ht="15.6" x14ac:dyDescent="0.3">
      <c r="B4" s="3" t="s">
        <v>46</v>
      </c>
      <c r="C4" s="3" t="s">
        <v>47</v>
      </c>
      <c r="D4" s="3" t="s">
        <v>48</v>
      </c>
      <c r="E4" s="1"/>
    </row>
    <row r="5" spans="2:5" ht="15.6" x14ac:dyDescent="0.3">
      <c r="B5" s="8" t="s">
        <v>49</v>
      </c>
      <c r="C5" s="9">
        <v>100</v>
      </c>
      <c r="D5" s="10" t="s">
        <v>50</v>
      </c>
      <c r="E5" s="1"/>
    </row>
    <row r="6" spans="2:5" ht="15.6" x14ac:dyDescent="0.3">
      <c r="B6" s="8" t="s">
        <v>89</v>
      </c>
      <c r="C6" s="9">
        <v>100</v>
      </c>
      <c r="D6" s="10" t="s">
        <v>50</v>
      </c>
      <c r="E6" s="1"/>
    </row>
    <row r="7" spans="2:5" ht="15.6" x14ac:dyDescent="0.3">
      <c r="B7" s="8" t="s">
        <v>52</v>
      </c>
      <c r="C7" s="11">
        <v>4</v>
      </c>
      <c r="D7" s="10" t="s">
        <v>53</v>
      </c>
      <c r="E7" s="1"/>
    </row>
    <row r="8" spans="2:5" ht="15.6" x14ac:dyDescent="0.3">
      <c r="B8" s="8" t="s">
        <v>54</v>
      </c>
      <c r="C8" s="12">
        <v>0.03</v>
      </c>
      <c r="D8" s="10" t="s">
        <v>55</v>
      </c>
      <c r="E8" s="1"/>
    </row>
    <row r="9" spans="2:5" ht="15.6" x14ac:dyDescent="0.3">
      <c r="B9" s="8" t="s">
        <v>57</v>
      </c>
      <c r="C9" s="12">
        <v>0.4</v>
      </c>
      <c r="D9" s="10" t="s">
        <v>55</v>
      </c>
      <c r="E9" s="1"/>
    </row>
    <row r="10" spans="2:5" ht="15.6" x14ac:dyDescent="0.3">
      <c r="B10" s="8" t="s">
        <v>58</v>
      </c>
      <c r="C10" s="13">
        <f>(LN(C5/C6)+(C8+C9^2/2)*C7)/(C9*SQRT(C7))</f>
        <v>0.55000000000000004</v>
      </c>
      <c r="D10" s="10"/>
      <c r="E10" s="1"/>
    </row>
    <row r="11" spans="2:5" ht="15.6" x14ac:dyDescent="0.3">
      <c r="B11" s="8" t="s">
        <v>59</v>
      </c>
      <c r="C11" s="13">
        <f>C10-C9*SQRT(C7)</f>
        <v>-0.25</v>
      </c>
      <c r="D11" s="10"/>
      <c r="E11" s="1"/>
    </row>
    <row r="12" spans="2:5" ht="15.6" x14ac:dyDescent="0.3">
      <c r="B12" s="14" t="s">
        <v>90</v>
      </c>
      <c r="C12" s="15">
        <f>C5*_xlfn.NORM.S.DIST(C10,TRUE)-C6*EXP(-C8*C7)*_xlfn.NORM.S.DIST(C11,TRUE)</f>
        <v>35.29247523345196</v>
      </c>
      <c r="D12" s="10" t="s">
        <v>74</v>
      </c>
      <c r="E12" s="1"/>
    </row>
    <row r="13" spans="2:5" x14ac:dyDescent="0.3">
      <c r="B13" s="1"/>
      <c r="C13" s="1"/>
      <c r="D13" s="1"/>
      <c r="E13" s="1"/>
    </row>
    <row r="14" spans="2:5" x14ac:dyDescent="0.3">
      <c r="B14" s="36" t="s">
        <v>91</v>
      </c>
      <c r="C14" s="33"/>
      <c r="D14" s="33"/>
      <c r="E14" s="1"/>
    </row>
  </sheetData>
  <mergeCells count="3">
    <mergeCell ref="B1:E1"/>
    <mergeCell ref="B14:D14"/>
    <mergeCell ref="B2:E2"/>
  </mergeCells>
  <pageMargins left="0.75" right="0.75" top="1" bottom="1" header="0.5" footer="0.5"/>
  <pageSetup paperSize="9" scale="8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B1:E14"/>
  <sheetViews>
    <sheetView showGridLines="0" view="pageBreakPreview" workbookViewId="0">
      <selection activeCell="B4" sqref="B4"/>
    </sheetView>
  </sheetViews>
  <sheetFormatPr defaultRowHeight="14.4" x14ac:dyDescent="0.3"/>
  <cols>
    <col min="2" max="2" width="33.8984375" customWidth="1"/>
    <col min="3" max="3" width="15.8984375" customWidth="1"/>
    <col min="4" max="4" width="33.8984375" customWidth="1"/>
  </cols>
  <sheetData>
    <row r="1" spans="2:5" ht="25.95" customHeight="1" x14ac:dyDescent="0.3">
      <c r="B1" s="34" t="s">
        <v>92</v>
      </c>
      <c r="C1" s="33"/>
      <c r="D1" s="33"/>
      <c r="E1" s="33"/>
    </row>
    <row r="2" spans="2:5" x14ac:dyDescent="0.3">
      <c r="B2" s="35" t="s">
        <v>93</v>
      </c>
      <c r="C2" s="33"/>
      <c r="D2" s="33"/>
      <c r="E2" s="33"/>
    </row>
    <row r="3" spans="2:5" x14ac:dyDescent="0.3">
      <c r="B3" s="1"/>
      <c r="C3" s="1"/>
      <c r="D3" s="1"/>
      <c r="E3" s="1"/>
    </row>
    <row r="4" spans="2:5" ht="15.6" x14ac:dyDescent="0.3">
      <c r="B4" s="3" t="s">
        <v>46</v>
      </c>
      <c r="C4" s="3" t="s">
        <v>47</v>
      </c>
      <c r="D4" s="3" t="s">
        <v>48</v>
      </c>
      <c r="E4" s="1"/>
    </row>
    <row r="5" spans="2:5" ht="15.6" x14ac:dyDescent="0.3">
      <c r="B5" s="8" t="s">
        <v>49</v>
      </c>
      <c r="C5" s="9">
        <v>50</v>
      </c>
      <c r="D5" s="10" t="s">
        <v>50</v>
      </c>
      <c r="E5" s="1"/>
    </row>
    <row r="6" spans="2:5" ht="15.6" x14ac:dyDescent="0.3">
      <c r="B6" s="8" t="s">
        <v>89</v>
      </c>
      <c r="C6" s="9">
        <v>50</v>
      </c>
      <c r="D6" s="10" t="s">
        <v>50</v>
      </c>
      <c r="E6" s="1"/>
    </row>
    <row r="7" spans="2:5" ht="15.6" x14ac:dyDescent="0.3">
      <c r="B7" s="8" t="s">
        <v>52</v>
      </c>
      <c r="C7" s="11">
        <v>5</v>
      </c>
      <c r="D7" s="10" t="s">
        <v>53</v>
      </c>
      <c r="E7" s="1"/>
    </row>
    <row r="8" spans="2:5" ht="15.6" x14ac:dyDescent="0.3">
      <c r="B8" s="8" t="s">
        <v>54</v>
      </c>
      <c r="C8" s="12">
        <v>0.02</v>
      </c>
      <c r="D8" s="10" t="s">
        <v>55</v>
      </c>
      <c r="E8" s="1"/>
    </row>
    <row r="9" spans="2:5" ht="15.6" x14ac:dyDescent="0.3">
      <c r="B9" s="8" t="s">
        <v>57</v>
      </c>
      <c r="C9" s="12">
        <v>0.35</v>
      </c>
      <c r="D9" s="10" t="s">
        <v>55</v>
      </c>
      <c r="E9" s="1"/>
    </row>
    <row r="10" spans="2:5" ht="15.6" x14ac:dyDescent="0.3">
      <c r="B10" s="8" t="s">
        <v>58</v>
      </c>
      <c r="C10" s="13">
        <f>(LN(C5/C6)+(C8+C9^2/2)*C7)/(C9*SQRT(C7))</f>
        <v>0.51908720906245109</v>
      </c>
      <c r="D10" s="10"/>
      <c r="E10" s="1"/>
    </row>
    <row r="11" spans="2:5" ht="15.6" x14ac:dyDescent="0.3">
      <c r="B11" s="8" t="s">
        <v>59</v>
      </c>
      <c r="C11" s="13">
        <f>C10-C9*SQRT(C7)</f>
        <v>-0.26353658306247529</v>
      </c>
      <c r="D11" s="10"/>
      <c r="E11" s="1"/>
    </row>
    <row r="12" spans="2:5" ht="15.6" x14ac:dyDescent="0.3">
      <c r="B12" s="14" t="s">
        <v>90</v>
      </c>
      <c r="C12" s="15">
        <f>C5*_xlfn.NORM.S.DIST(C10,TRUE)-C6*EXP(-C8*C7)*_xlfn.NORM.S.DIST(C11,TRUE)</f>
        <v>16.988621172472126</v>
      </c>
      <c r="D12" s="10" t="s">
        <v>74</v>
      </c>
      <c r="E12" s="1"/>
    </row>
    <row r="13" spans="2:5" x14ac:dyDescent="0.3">
      <c r="B13" s="1"/>
      <c r="C13" s="1"/>
      <c r="D13" s="1"/>
      <c r="E13" s="1"/>
    </row>
    <row r="14" spans="2:5" x14ac:dyDescent="0.3">
      <c r="B14" s="36" t="s">
        <v>94</v>
      </c>
      <c r="C14" s="33"/>
      <c r="D14" s="33"/>
      <c r="E14" s="1"/>
    </row>
  </sheetData>
  <mergeCells count="3">
    <mergeCell ref="B1:E1"/>
    <mergeCell ref="B14:D14"/>
    <mergeCell ref="B2:E2"/>
  </mergeCells>
  <pageMargins left="0.75" right="0.75" top="1" bottom="1" header="0.5" footer="0.5"/>
  <pageSetup paperSize="9"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Notice</vt:lpstr>
      <vt:lpstr>Comparatif</vt:lpstr>
      <vt:lpstr>Calculateur BS</vt:lpstr>
      <vt:lpstr>Exemple dilution</vt:lpstr>
      <vt:lpstr>Sensibilite volatilite</vt:lpstr>
      <vt:lpstr>Cas 1 levee FR</vt:lpstr>
      <vt:lpstr>Cas 2 LBO CH</vt:lpstr>
      <vt:lpstr>Comparatif!Print_Area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2026-07-10T11:29:03Z</dcterms:created>
  <dcterms:modified xsi:type="dcterms:W3CDTF">2026-07-11T03:48:27Z</dcterms:modified>
</cp:coreProperties>
</file>