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SayanBanerjee\Downloads\"/>
    </mc:Choice>
  </mc:AlternateContent>
  <xr:revisionPtr revIDLastSave="0" documentId="8_{BA0729CD-3B94-4693-917F-A08E4D68DF46}" xr6:coauthVersionLast="47" xr6:coauthVersionMax="47" xr10:uidLastSave="{00000000-0000-0000-0000-000000000000}"/>
  <bookViews>
    <workbookView xWindow="28680" yWindow="-120" windowWidth="29040" windowHeight="15720" tabRatio="500" firstSheet="2" activeTab="2" xr2:uid="{00000000-000D-0000-FFFF-FFFF00000000}"/>
  </bookViews>
  <sheets>
    <sheet name="Cover" sheetId="1" r:id="rId1"/>
    <sheet name="How to Use" sheetId="2" r:id="rId2"/>
    <sheet name="Assumptions" sheetId="3" r:id="rId3"/>
    <sheet name="WACC Calculator" sheetId="4" r:id="rId4"/>
    <sheet name="Revenue &amp; FCF Build" sheetId="5" r:id="rId5"/>
    <sheet name="DCF Valuation" sheetId="6" r:id="rId6"/>
    <sheet name="Sensitivity Analysis" sheetId="7" r:id="rId7"/>
    <sheet name="Dashboard" sheetId="8" r:id="rId8"/>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3" i="8" l="1"/>
  <c r="F13" i="8"/>
  <c r="G16" i="7"/>
  <c r="F16" i="7"/>
  <c r="E16" i="7"/>
  <c r="D16" i="7"/>
  <c r="C16" i="7"/>
  <c r="G6" i="7"/>
  <c r="G17" i="8" s="1"/>
  <c r="F6" i="7"/>
  <c r="F17" i="8" s="1"/>
  <c r="E6" i="7"/>
  <c r="E17" i="8" s="1"/>
  <c r="D6" i="7"/>
  <c r="D17" i="8" s="1"/>
  <c r="C6" i="7"/>
  <c r="C17" i="8" s="1"/>
  <c r="D38" i="6"/>
  <c r="D36" i="6"/>
  <c r="D35" i="6"/>
  <c r="D24" i="6"/>
  <c r="D18" i="6"/>
  <c r="D16" i="6"/>
  <c r="H9" i="6"/>
  <c r="G9" i="6"/>
  <c r="F9" i="6"/>
  <c r="E9" i="6"/>
  <c r="D9" i="6"/>
  <c r="H25" i="5"/>
  <c r="G25" i="5"/>
  <c r="F25" i="5"/>
  <c r="E25" i="5"/>
  <c r="D25" i="5"/>
  <c r="H23" i="5"/>
  <c r="G23" i="5"/>
  <c r="F23" i="5"/>
  <c r="E23" i="5"/>
  <c r="D23" i="5"/>
  <c r="H17" i="5"/>
  <c r="G17" i="5"/>
  <c r="F17" i="5"/>
  <c r="E17" i="5"/>
  <c r="D17" i="5"/>
  <c r="H14" i="5"/>
  <c r="G14" i="5"/>
  <c r="F14" i="5"/>
  <c r="E14" i="5"/>
  <c r="D14" i="5"/>
  <c r="H12" i="5"/>
  <c r="G12" i="5"/>
  <c r="F12" i="5"/>
  <c r="E12" i="5"/>
  <c r="D12" i="5"/>
  <c r="C9" i="5"/>
  <c r="H8" i="5"/>
  <c r="G8" i="5"/>
  <c r="F8" i="5"/>
  <c r="E8" i="5"/>
  <c r="D8" i="5"/>
  <c r="H5" i="5"/>
  <c r="H5" i="6" s="1"/>
  <c r="G5" i="5"/>
  <c r="G5" i="6" s="1"/>
  <c r="F5" i="5"/>
  <c r="E13" i="8" s="1"/>
  <c r="E5" i="5"/>
  <c r="D13" i="8" s="1"/>
  <c r="D5" i="5"/>
  <c r="C13" i="8" s="1"/>
  <c r="C19" i="4"/>
  <c r="C15" i="4"/>
  <c r="C10" i="4"/>
  <c r="H21" i="3"/>
  <c r="G21" i="3"/>
  <c r="F21" i="3"/>
  <c r="E21" i="3"/>
  <c r="D21" i="3"/>
  <c r="D7" i="3"/>
  <c r="B3" i="8" s="1"/>
  <c r="D18" i="1"/>
  <c r="C22" i="4" l="1"/>
  <c r="B11" i="7" s="1"/>
  <c r="B22" i="8" s="1"/>
  <c r="D9" i="5"/>
  <c r="E9" i="5" s="1"/>
  <c r="B21" i="7"/>
  <c r="D5" i="6"/>
  <c r="E5" i="6"/>
  <c r="D10" i="8"/>
  <c r="B19" i="7"/>
  <c r="B7" i="7"/>
  <c r="B18" i="8" s="1"/>
  <c r="D8" i="6"/>
  <c r="F5" i="6"/>
  <c r="B18" i="7" l="1"/>
  <c r="B9" i="7"/>
  <c r="B20" i="8" s="1"/>
  <c r="B20" i="7"/>
  <c r="B17" i="7"/>
  <c r="B10" i="7"/>
  <c r="B21" i="8" s="1"/>
  <c r="B8" i="7"/>
  <c r="B19" i="8" s="1"/>
  <c r="D24" i="5"/>
  <c r="D15" i="5"/>
  <c r="D22" i="5" s="1"/>
  <c r="D13" i="5"/>
  <c r="D26" i="5"/>
  <c r="D16" i="5"/>
  <c r="D18" i="5" s="1"/>
  <c r="E26" i="5"/>
  <c r="E24" i="5"/>
  <c r="E13" i="5"/>
  <c r="E15" i="5"/>
  <c r="E22" i="5" s="1"/>
  <c r="F9" i="5"/>
  <c r="G11" i="6"/>
  <c r="H11" i="6"/>
  <c r="F11" i="6"/>
  <c r="E11" i="6"/>
  <c r="D11" i="6"/>
  <c r="D19" i="5" l="1"/>
  <c r="D29" i="5" s="1"/>
  <c r="D10" i="6"/>
  <c r="D12" i="6" s="1"/>
  <c r="C14" i="8"/>
  <c r="E16" i="5"/>
  <c r="F24" i="5"/>
  <c r="G9" i="5"/>
  <c r="F13" i="5"/>
  <c r="F26" i="5"/>
  <c r="F15" i="5"/>
  <c r="F22" i="5" s="1"/>
  <c r="F16" i="5" l="1"/>
  <c r="F18" i="5"/>
  <c r="F19" i="5" s="1"/>
  <c r="F29" i="5" s="1"/>
  <c r="G13" i="5"/>
  <c r="G26" i="5"/>
  <c r="G15" i="5"/>
  <c r="G22" i="5" s="1"/>
  <c r="H9" i="5"/>
  <c r="G24" i="5"/>
  <c r="E18" i="5"/>
  <c r="E19" i="5" s="1"/>
  <c r="E29" i="5" s="1"/>
  <c r="D14" i="8" l="1"/>
  <c r="E10" i="6"/>
  <c r="E12" i="6" s="1"/>
  <c r="E14" i="8"/>
  <c r="F10" i="6"/>
  <c r="F12" i="6" s="1"/>
  <c r="H13" i="5"/>
  <c r="H15" i="5"/>
  <c r="H22" i="5" s="1"/>
  <c r="H26" i="5"/>
  <c r="H24" i="5"/>
  <c r="G16" i="5"/>
  <c r="H16" i="5" l="1"/>
  <c r="D25" i="6"/>
  <c r="D26" i="6" s="1"/>
  <c r="D27" i="6" s="1"/>
  <c r="G18" i="5"/>
  <c r="G19" i="5" s="1"/>
  <c r="G29" i="5" s="1"/>
  <c r="G10" i="6" l="1"/>
  <c r="G12" i="6" s="1"/>
  <c r="F14" i="8"/>
  <c r="H18" i="5"/>
  <c r="H19" i="5" s="1"/>
  <c r="H29" i="5" s="1"/>
  <c r="G14" i="8" l="1"/>
  <c r="H10" i="6"/>
  <c r="D7" i="7"/>
  <c r="D18" i="8" s="1"/>
  <c r="C19" i="7"/>
  <c r="C10" i="7"/>
  <c r="C21" i="8" s="1"/>
  <c r="E19" i="7"/>
  <c r="G19" i="7"/>
  <c r="D20" i="7"/>
  <c r="D10" i="7"/>
  <c r="D21" i="8" s="1"/>
  <c r="D21" i="7"/>
  <c r="D17" i="7"/>
  <c r="D19" i="7"/>
  <c r="F17" i="7"/>
  <c r="E9" i="7"/>
  <c r="E20" i="8" s="1"/>
  <c r="G18" i="7"/>
  <c r="F7" i="7"/>
  <c r="F18" i="8" s="1"/>
  <c r="F8" i="7"/>
  <c r="F19" i="8" s="1"/>
  <c r="G20" i="7"/>
  <c r="D11" i="7"/>
  <c r="D22" i="8" s="1"/>
  <c r="F10" i="7"/>
  <c r="F21" i="8" s="1"/>
  <c r="G21" i="7"/>
  <c r="F21" i="7"/>
  <c r="E21" i="7"/>
  <c r="E8" i="7"/>
  <c r="E19" i="8" s="1"/>
  <c r="C8" i="7"/>
  <c r="C19" i="8" s="1"/>
  <c r="E18" i="7"/>
  <c r="C9" i="7"/>
  <c r="C20" i="8" s="1"/>
  <c r="E11" i="7"/>
  <c r="E22" i="8" s="1"/>
  <c r="F20" i="7"/>
  <c r="D9" i="7"/>
  <c r="D20" i="8" s="1"/>
  <c r="F11" i="7"/>
  <c r="F22" i="8" s="1"/>
  <c r="C11" i="7"/>
  <c r="C22" i="8" s="1"/>
  <c r="D8" i="7"/>
  <c r="D19" i="8" s="1"/>
  <c r="G7" i="7"/>
  <c r="G18" i="8" s="1"/>
  <c r="G11" i="7"/>
  <c r="G22" i="8" s="1"/>
  <c r="G8" i="7"/>
  <c r="G19" i="8" s="1"/>
  <c r="C17" i="7"/>
  <c r="F18" i="7"/>
  <c r="E20" i="7"/>
  <c r="E17" i="7"/>
  <c r="F9" i="7"/>
  <c r="F20" i="8" s="1"/>
  <c r="C21" i="7"/>
  <c r="G17" i="7"/>
  <c r="D18" i="7"/>
  <c r="E10" i="7"/>
  <c r="E21" i="8" s="1"/>
  <c r="E7" i="7"/>
  <c r="E18" i="8" s="1"/>
  <c r="G9" i="7"/>
  <c r="G20" i="8" s="1"/>
  <c r="C18" i="7"/>
  <c r="C20" i="7"/>
  <c r="F19" i="7"/>
  <c r="G10" i="7"/>
  <c r="G21" i="8" s="1"/>
  <c r="C7" i="7"/>
  <c r="C18" i="8" s="1"/>
  <c r="D19" i="6" l="1"/>
  <c r="D20" i="6" s="1"/>
  <c r="D21" i="6" s="1"/>
  <c r="D29" i="6" s="1"/>
  <c r="D33" i="6" s="1"/>
  <c r="H12" i="6"/>
  <c r="D13" i="6" s="1"/>
  <c r="D32" i="6" l="1"/>
  <c r="D34" i="6"/>
  <c r="D7" i="8" l="1"/>
  <c r="D37" i="6"/>
  <c r="D39" i="6" l="1"/>
  <c r="D9" i="8" s="1"/>
  <c r="D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25" authorId="0" shapeId="0" xr:uid="{E7F0B9D9-D49C-4268-9A86-DC9EAFA7A0DB}">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 ref="E25" authorId="0" shapeId="0" xr:uid="{44F4AB5C-E04D-49CE-8262-F94C3687E4E8}">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 ref="F25" authorId="0" shapeId="0" xr:uid="{FBC394A7-AE88-4472-9EF9-09A6244EA746}">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 ref="G25" authorId="0" shapeId="0" xr:uid="{BFB9E75F-59B2-4525-97DE-497B96DB6BEE}">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 ref="H25" authorId="0" shapeId="0" xr:uid="{544666E3-A659-4BE5-BFB3-A0C63BA3711A}">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14" authorId="0" shapeId="0" xr:uid="{21F90FC9-36E3-4766-9498-31428B2C736B}">
      <text>
        <r>
          <rPr>
            <sz val="10"/>
            <rFont val="Arial"/>
            <family val="2"/>
          </rPr>
          <t>Default 25% blends the flat 21% federal C-corp rate (unchanged for 2026 under TCJA) with a typical state corporate tax burden (state rates range ~2%-11.5%; national average top rate ~6.57%, per Tax Foundation, 2026). Replace with your actual state + federal blended effective rate. Source: Tax Foundation, State Corporate Income Tax Rates and Brackets, 2026.</t>
        </r>
      </text>
    </comment>
  </commentList>
</comments>
</file>

<file path=xl/sharedStrings.xml><?xml version="1.0" encoding="utf-8"?>
<sst xmlns="http://schemas.openxmlformats.org/spreadsheetml/2006/main" count="199" uniqueCount="182">
  <si>
    <t>DCF Valuation Calculator</t>
  </si>
  <si>
    <t>A Discounted Cash Flow model for startups, PE/VC-backed companies, and private businesses</t>
  </si>
  <si>
    <t>Multi-year FCF build  •  WACC calculator  •  Terminal value (Gordon Growth &amp; Exit Multiple)  •  Sensitivity tables  •  Equity bridge</t>
  </si>
  <si>
    <t>Prepared for:</t>
  </si>
  <si>
    <t>[Company Name]</t>
  </si>
  <si>
    <t>Prepared by:</t>
  </si>
  <si>
    <t>[Your Name / Team]</t>
  </si>
  <si>
    <t>Date:</t>
  </si>
  <si>
    <t>Valuation currency:</t>
  </si>
  <si>
    <t>USD</t>
  </si>
  <si>
    <t>How this workbook is organized</t>
  </si>
  <si>
    <t>1. How to Use</t>
  </si>
  <si>
    <t>Step-by-step instructions, definitions, and best practices for this model.</t>
  </si>
  <si>
    <t>2. Assumptions</t>
  </si>
  <si>
    <t>All model inputs: revenue, margins, capex, working capital, WACC drivers, terminal value drivers. Edit only the yellow cells.</t>
  </si>
  <si>
    <t>3. Revenue &amp; FCF Build</t>
  </si>
  <si>
    <t>Builds unlevered free cash flow year by year from your assumptions.</t>
  </si>
  <si>
    <t>4. WACC Calculator</t>
  </si>
  <si>
    <t>Derives your discount rate from cost of equity (CAPM) and cost of debt.</t>
  </si>
  <si>
    <t>5. DCF Valuation</t>
  </si>
  <si>
    <t>Discounts projected FCF and terminal value to present value; bridges to equity value and implied share price.</t>
  </si>
  <si>
    <t>6. Sensitivity Analysis</t>
  </si>
  <si>
    <t>Two-way data tables showing how valuation moves with WACC and growth/exit multiple.</t>
  </si>
  <si>
    <t>7. Dashboard</t>
  </si>
  <si>
    <t>One-page visual summary of the valuation output.</t>
  </si>
  <si>
    <t>Disclaimer: This calculator is provided for informational and illustrative purposes only. It does not constitute financial, tax, legal, or investment advice, and its output is NOT a substitute for an independent valuation opinion. In particular, this workbook does NOT by itself satisfy the IRS Section 409A safe harbor for setting stock option strike prices — that requires a qualified independent appraiser and a report meeting specific IRS requirements (see Treas. Reg. §1.409A-1(b)(5)(iv)). Tax rate, discount rate, and other defaults reflect general 2026 US guidance as of the model's build date and may not reflect your specific facts, entity type, or state; verify all figures with a CPA or valuation professional before relying on them. Qapita assumes no liability for decisions made using this tool.</t>
  </si>
  <si>
    <t>How to Use This DCF Calculator</t>
  </si>
  <si>
    <t>Follow these steps in order. Only edit cells shaded yellow — every other cell is a formula and will update automatically.</t>
  </si>
  <si>
    <t>Step 1 — Enter company &amp; valuation date</t>
  </si>
  <si>
    <t>Go to the Assumptions tab. Fill in the company name, valuation date, forecast start year, and currency. These flow through to every other sheet.</t>
  </si>
  <si>
    <t>Step 2 — Build your revenue forecast</t>
  </si>
  <si>
    <t>On Assumptions, enter last year's actual (or trailing twelve month) revenue and a year-by-year growth rate for the 5-year forecast window. If you don't have granular forecasts, a single steady-state growth rate is fine to start.</t>
  </si>
  <si>
    <t>Step 3 — Set operating margins &amp; reinvestment</t>
  </si>
  <si>
    <t>Enter EBITDA margin, D&amp;A as % of revenue, capex as % of revenue, and the change in net working capital as % of revenue for each year. These drive Free Cash Flow on the Revenue &amp; FCF Build tab.</t>
  </si>
  <si>
    <t>Step 4 — Set your tax rate</t>
  </si>
  <si>
    <t>Enter the effective tax rate used to convert EBIT to NOPAT (unlevered, after-tax operating profit).</t>
  </si>
  <si>
    <t>Step 5 — Build your discount rate (WACC)</t>
  </si>
  <si>
    <t>Go to the WACC Calculator tab. Enter the risk-free rate, equity beta, equity risk premium, cost of debt, tax rate, and target capital structure (% debt vs % equity). The tab calculates Cost of Equity (CAPM) and WACC automatically.</t>
  </si>
  <si>
    <t>Step 6 — Set terminal value assumptions</t>
  </si>
  <si>
    <t>Back on Assumptions, choose a perpetuity growth rate (Gordon Growth Method) and/or an exit EV/EBITDA multiple (Exit Multiple Method). The DCF Valuation tab shows both methods side by side so you can compare or blend them.</t>
  </si>
  <si>
    <t>Step 7 — Review DCF Valuation</t>
  </si>
  <si>
    <t>This tab discounts each year's FCF and the terminal value back to present value at your WACC, sums them to Enterprise Value, then bridges to Equity Value by adding cash and subtracting debt, and to Value per Share by dividing by shares outstanding.</t>
  </si>
  <si>
    <t>Step 8 — Stress-test with Sensitivity Analysis</t>
  </si>
  <si>
    <t>This tab shows how Enterprise Value changes across a range of WACC and terminal growth rate / exit multiple combinations, so you can see how sensitive the valuation is to your assumptions.</t>
  </si>
  <si>
    <t>Step 9 — Share the Dashboard</t>
  </si>
  <si>
    <t>The Dashboard tab pulls together the key outputs Enterprise Value, Equity Value, Value per Share, and the WACC/growth sensitivity grid into a single printable summary.</t>
  </si>
  <si>
    <t>Color legend used throughout this workbook</t>
  </si>
  <si>
    <t>Example</t>
  </si>
  <si>
    <t>Blue text on yellow fill</t>
  </si>
  <si>
    <t>Input cell — change this to your own figures</t>
  </si>
  <si>
    <t>Black text</t>
  </si>
  <si>
    <t>Formula — calculated automatically, do not overwrite</t>
  </si>
  <si>
    <t>Green text</t>
  </si>
  <si>
    <t>Link pulling a value from another sheet</t>
  </si>
  <si>
    <t>Key terms</t>
  </si>
  <si>
    <t>Free Cash Flow (FCF)</t>
  </si>
  <si>
    <t>Cash generated by the business after operating expenses and reinvestment (capex, working capital) — available to all capital providers.</t>
  </si>
  <si>
    <t>WACC</t>
  </si>
  <si>
    <t>Weighted Average Cost of Capital — the blended required return of equity and debt holders; used as the discount rate.</t>
  </si>
  <si>
    <t>Terminal Value</t>
  </si>
  <si>
    <t>The value of all cash flows beyond the explicit forecast period, capturing the business as a going concern in perpetuity.</t>
  </si>
  <si>
    <t>Enterprise Value (EV)</t>
  </si>
  <si>
    <t>The value of the core operating business, before adjusting for cash and debt.</t>
  </si>
  <si>
    <t>Equity Value</t>
  </si>
  <si>
    <t>EV + cash − debt − minority interest; the value attributable to shareholders.</t>
  </si>
  <si>
    <t>Assumptions</t>
  </si>
  <si>
    <t>Edit only the yellow cells. All other sheets pull from here.</t>
  </si>
  <si>
    <t>Company &amp; Valuation Setup</t>
  </si>
  <si>
    <t>Company name</t>
  </si>
  <si>
    <t>Valuation date</t>
  </si>
  <si>
    <t>First forecast year</t>
  </si>
  <si>
    <t>Currency</t>
  </si>
  <si>
    <t>Reporting units</t>
  </si>
  <si>
    <t>Actual $ (not in thousands/millions)</t>
  </si>
  <si>
    <t>Historical / Base Year Financials</t>
  </si>
  <si>
    <t>Base Year (Actual/TTM)</t>
  </si>
  <si>
    <t>Total revenue</t>
  </si>
  <si>
    <t>Total net profit (for reference only)</t>
  </si>
  <si>
    <t>Cash &amp; cash equivalents</t>
  </si>
  <si>
    <t>Total debt</t>
  </si>
  <si>
    <t>Fully diluted shares outstanding</t>
  </si>
  <si>
    <t>5-Year Forecast Drivers</t>
  </si>
  <si>
    <t>Driver</t>
  </si>
  <si>
    <t>Revenue growth rate (% YoY)</t>
  </si>
  <si>
    <t>EBITDA margin (%)</t>
  </si>
  <si>
    <t>D&amp;A (% of revenue)</t>
  </si>
  <si>
    <t>Effective tax rate (%)</t>
  </si>
  <si>
    <t>Capital expenditure (% of revenue)</t>
  </si>
  <si>
    <t>Change in net working capital (% of revenue)</t>
  </si>
  <si>
    <t>Terminal Value Assumptions</t>
  </si>
  <si>
    <t>Method to use in DCF Valuation tab</t>
  </si>
  <si>
    <t>Average of Both</t>
  </si>
  <si>
    <t>Perpetuity (terminal) growth rate</t>
  </si>
  <si>
    <t>Exit EV/EBITDA multiple</t>
  </si>
  <si>
    <t>Notes &amp; Sources</t>
  </si>
  <si>
    <t>Document the source of each hardcoded assumption here (e.g., 'Revenue growth per FY26 board deck'; 'Beta per Damodaran industry data, [URL]'; 'Risk-free rate per 10-Year US Treasury yield, [date]'). This keeps the model auditable for investors, auditors, and 409A reviewers.</t>
  </si>
  <si>
    <t>WACC Calculator</t>
  </si>
  <si>
    <t>Derives the discount rate used in the DCF Valuation tab from Cost of Equity (CAPM) and Cost of Debt.</t>
  </si>
  <si>
    <t>Cost of Equity (CAPM)</t>
  </si>
  <si>
    <t>Risk-free rate</t>
  </si>
  <si>
    <t>10-year government bond yield (e.g., US Treasury). Source and date this.</t>
  </si>
  <si>
    <t>Equity beta (levered)</t>
  </si>
  <si>
    <t>Sensitivity of the stock/sector to the market. Use a comparable public company or industry beta.</t>
  </si>
  <si>
    <t>Equity risk premium (ERP)</t>
  </si>
  <si>
    <t>Extra return investors require for holding equities over risk-free assets.</t>
  </si>
  <si>
    <t>Size / small-company risk premium</t>
  </si>
  <si>
    <t>Additional premium for small/private companies, common in startup DCFs.</t>
  </si>
  <si>
    <t>Cost of equity (Ke)</t>
  </si>
  <si>
    <t>Cost of Debt</t>
  </si>
  <si>
    <t>Pre-tax cost of debt</t>
  </si>
  <si>
    <t>Company's borrowing rate — actual loan rate, or risk-free + credit spread.</t>
  </si>
  <si>
    <t>Effective tax rate</t>
  </si>
  <si>
    <t>After-tax cost of debt</t>
  </si>
  <si>
    <t>Target Capital Structure</t>
  </si>
  <si>
    <t>Target debt / total capital</t>
  </si>
  <si>
    <t>Target equity / total capital</t>
  </si>
  <si>
    <t>Weighted Average Cost of Capital</t>
  </si>
  <si>
    <t>WACC = (E/V × Ke) + (D/V × Kd × (1 − tax rate)), where E/V and D/V are the target weights of equity and debt in the capital structure. This WACC feeds directly into the DCF Valuation and Sensitivity tabs.</t>
  </si>
  <si>
    <t>Revenue &amp; Free Cash Flow Build</t>
  </si>
  <si>
    <t>All figures link from the Assumptions tab (green) or are calculated here (black).</t>
  </si>
  <si>
    <t>Base Year</t>
  </si>
  <si>
    <t>Revenue Build</t>
  </si>
  <si>
    <t>Revenue growth rate (%)</t>
  </si>
  <si>
    <t>Operating Build</t>
  </si>
  <si>
    <t>EBITDA</t>
  </si>
  <si>
    <t>Less: D&amp;A</t>
  </si>
  <si>
    <t>D&amp;A ($)</t>
  </si>
  <si>
    <t>EBIT</t>
  </si>
  <si>
    <t>Less: Taxes on EBIT</t>
  </si>
  <si>
    <t>Tax on EBIT ($)</t>
  </si>
  <si>
    <t>NOPAT (after-tax EBIT)</t>
  </si>
  <si>
    <t>Reinvestment</t>
  </si>
  <si>
    <t>Add back: D&amp;A</t>
  </si>
  <si>
    <t>Less: Capital expenditure (%)</t>
  </si>
  <si>
    <t>Capital expenditure ($)</t>
  </si>
  <si>
    <t>Less: Increase in net working capital (%)</t>
  </si>
  <si>
    <t>Increase in net working capital ($)</t>
  </si>
  <si>
    <t>Unlevered Free Cash Flow</t>
  </si>
  <si>
    <t>Unlevered Free Cash Flow (FCF)</t>
  </si>
  <si>
    <t>Unlevered FCF = NOPAT + D&amp;A − Capex − Increase in Net Working Capital. This is the cash flow available to all providers of capital (debt and equity) before financing effects — the correct cash flow to discount at WACC.</t>
  </si>
  <si>
    <t>DCF Valuation</t>
  </si>
  <si>
    <t>Discounts projected FCF and terminal value to present value, then bridges to equity value per share.</t>
  </si>
  <si>
    <t>Present Value of Forecast Cash Flows</t>
  </si>
  <si>
    <t>WACC (discount rate)</t>
  </si>
  <si>
    <t>Discount period (years)</t>
  </si>
  <si>
    <t>Discount factor</t>
  </si>
  <si>
    <t>Present value of FCF</t>
  </si>
  <si>
    <t>Sum of PV of forecast FCF</t>
  </si>
  <si>
    <t>Method selected (from Assumptions)</t>
  </si>
  <si>
    <t>— Gordon Growth Method —</t>
  </si>
  <si>
    <t>Terminal growth rate (g)</t>
  </si>
  <si>
    <t>Terminal year FCF x (1+g)</t>
  </si>
  <si>
    <t>Terminal value (undiscounted)</t>
  </si>
  <si>
    <t>PV of terminal value (Gordon Growth)</t>
  </si>
  <si>
    <t>— Exit Multiple Method —</t>
  </si>
  <si>
    <t>Terminal year EBITDA</t>
  </si>
  <si>
    <t>PV of terminal value (Exit Multiple)</t>
  </si>
  <si>
    <t>PV of terminal value used in valuation</t>
  </si>
  <si>
    <t>Enterprise Value to Equity Value Bridge</t>
  </si>
  <si>
    <t>Plus: PV of terminal value</t>
  </si>
  <si>
    <t>Plus: Cash &amp; cash equivalents</t>
  </si>
  <si>
    <t>Less: Total debt</t>
  </si>
  <si>
    <t>Implied Value per Share</t>
  </si>
  <si>
    <t>Enterprise Value = Sum of PV(FCF) + PV(Terminal Value). Equity Value = EV + Cash − Debt. Value per Share = Equity Value ÷ Fully Diluted Shares Outstanding. Compare the Gordon Growth and Exit Multiple terminal values above a large gap between them signals your growth/multiple assumptions may be inconsistent.</t>
  </si>
  <si>
    <t>Sensitivity Analysis</t>
  </si>
  <si>
    <t>Enterprise Value across a range of WACC and terminal growth rate assumptions (Gordon Growth Method).</t>
  </si>
  <si>
    <t>Enterprise Value ($) — WACC vs. Terminal Growth Rate</t>
  </si>
  <si>
    <t>WACC ↓  /  Terminal Growth →</t>
  </si>
  <si>
    <t>Highlighted cell = base case (current WACC and terminal growth rate from Assumptions / WACC Calculator)</t>
  </si>
  <si>
    <t>Enterprise Value ($) — WACC vs. Exit EV/EBITDA Multiple</t>
  </si>
  <si>
    <t>WACC ↓  /  Exit Multiple →</t>
  </si>
  <si>
    <t>Highlighted cell = base case (current WACC and exit multiple from Assumptions / WACC Calculator)</t>
  </si>
  <si>
    <t>These grids recompute Enterprise Value directly from the 5-year FCF stream at each WACC/growth or WACC/multiple combination, so they update automatically if you change any assumption. Use them to understand how much of the valuation rests on the terminal value assumption versus the explicit forecast.</t>
  </si>
  <si>
    <t>Valuation Dashboard</t>
  </si>
  <si>
    <t>Key Outputs</t>
  </si>
  <si>
    <t>Enterprise Value</t>
  </si>
  <si>
    <t>5-Year Unlevered Free Cash Flow</t>
  </si>
  <si>
    <t>Year</t>
  </si>
  <si>
    <t>Unlevered FCF</t>
  </si>
  <si>
    <t>Enterprise Value Sensitivity (WACC vs. Terminal Growth)</t>
  </si>
  <si>
    <t>WACC ↓ / Growth →</t>
  </si>
  <si>
    <t>This dashboard is fully linked. Update any assumption on the Assumptions or WACC Calculator tabs and every number here recalculates. Use it as the one-page summary to share with your board, investors, or auditors.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</si>
</sst>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quot;, &quot;yyyy"/>
    <numFmt numFmtId="165" formatCode="\$#,##0;&quot;($&quot;#,##0\);\-"/>
    <numFmt numFmtId="166" formatCode="#,##0;\(#,##0\);\-"/>
    <numFmt numFmtId="167" formatCode="0.0%;\(0.0%\);\-"/>
    <numFmt numFmtId="168" formatCode="0.00\x"/>
    <numFmt numFmtId="169" formatCode="0.00%;\(0.00%\);\-"/>
    <numFmt numFmtId="170" formatCode="0.0"/>
    <numFmt numFmtId="171" formatCode="0.000"/>
    <numFmt numFmtId="172" formatCode="\$#,##0.00;&quot;($&quot;#,##0.00\);\-"/>
  </numFmts>
  <fonts count="28">
    <font>
      <sz val="11"/>
      <color theme="1"/>
      <name val="Calibri"/>
      <family val="2"/>
      <charset val="1"/>
    </font>
    <font>
      <sz val="10"/>
      <name val="Arial"/>
      <family val="2"/>
    </font>
    <font>
      <b/>
      <sz val="18"/>
      <color rgb="FF292876"/>
      <name val="Open Sauce One"/>
    </font>
    <font>
      <sz val="11"/>
      <color theme="1"/>
      <name val="Open Sauce One"/>
    </font>
    <font>
      <i/>
      <sz val="10"/>
      <color rgb="FF555555"/>
      <name val="Open Sauce One"/>
    </font>
    <font>
      <b/>
      <sz val="12"/>
      <color rgb="FF633DA5"/>
      <name val="Open Sauce One"/>
    </font>
    <font>
      <sz val="10"/>
      <color rgb="FF1A1A2E"/>
      <name val="Open Sauce One"/>
    </font>
    <font>
      <b/>
      <sz val="11"/>
      <color rgb="FFFFFFFF"/>
      <name val="Open Sauce One"/>
    </font>
    <font>
      <b/>
      <sz val="10"/>
      <color rgb="FF0000FF"/>
      <name val="Open Sauce One"/>
    </font>
    <font>
      <b/>
      <sz val="10"/>
      <color rgb="FF1A1A2E"/>
      <name val="Open Sauce One"/>
    </font>
    <font>
      <b/>
      <sz val="10"/>
      <color rgb="FF008000"/>
      <name val="Open Sauce One"/>
    </font>
    <font>
      <b/>
      <sz val="10"/>
      <color rgb="FF633DA5"/>
      <name val="Open Sauce One"/>
    </font>
    <font>
      <b/>
      <sz val="28"/>
      <color rgb="FFFFFFFF"/>
      <name val="Open Sauce One"/>
    </font>
    <font>
      <i/>
      <sz val="12"/>
      <color rgb="FFFFCD5D"/>
      <name val="Open Sauce One"/>
    </font>
    <font>
      <sz val="10"/>
      <color rgb="FFFFFFFF"/>
      <name val="Open Sauce One"/>
    </font>
    <font>
      <b/>
      <sz val="11"/>
      <color rgb="FF292876"/>
      <name val="Open Sauce One"/>
    </font>
    <font>
      <sz val="10"/>
      <color rgb="FF0000FF"/>
      <name val="Open Sauce One"/>
    </font>
    <font>
      <i/>
      <sz val="9"/>
      <color rgb="FF666666"/>
      <name val="Open Sauce One"/>
    </font>
    <font>
      <b/>
      <sz val="10"/>
      <color rgb="FFFFFFFF"/>
      <name val="Open Sauce One"/>
    </font>
    <font>
      <i/>
      <sz val="9"/>
      <color rgb="FF777777"/>
      <name val="Open Sauce One"/>
    </font>
    <font>
      <b/>
      <sz val="10"/>
      <color rgb="FF292876"/>
      <name val="Open Sauce One"/>
    </font>
    <font>
      <b/>
      <sz val="12"/>
      <color rgb="FF292876"/>
      <name val="Open Sauce One"/>
    </font>
    <font>
      <sz val="10"/>
      <color rgb="FF008000"/>
      <name val="Open Sauce One"/>
    </font>
    <font>
      <i/>
      <sz val="10"/>
      <color rgb="FF633DA5"/>
      <name val="Open Sauce One"/>
    </font>
    <font>
      <b/>
      <sz val="13"/>
      <color rgb="FF292876"/>
      <name val="Open Sauce One"/>
    </font>
    <font>
      <b/>
      <sz val="9"/>
      <color rgb="FF1A1A2E"/>
      <name val="Open Sauce One"/>
    </font>
    <font>
      <b/>
      <sz val="20"/>
      <color rgb="FFFFFFFF"/>
      <name val="Open Sauce One"/>
    </font>
    <font>
      <i/>
      <sz val="10"/>
      <color rgb="FFFFCD5D"/>
      <name val="Open Sauce One"/>
    </font>
  </fonts>
  <fills count="7">
    <fill>
      <patternFill patternType="none"/>
    </fill>
    <fill>
      <patternFill patternType="gray125"/>
    </fill>
    <fill>
      <patternFill patternType="solid">
        <fgColor rgb="FF292876"/>
        <bgColor rgb="FF003366"/>
      </patternFill>
    </fill>
    <fill>
      <patternFill patternType="solid">
        <fgColor rgb="FF633DA5"/>
        <bgColor rgb="FF555555"/>
      </patternFill>
    </fill>
    <fill>
      <patternFill patternType="solid">
        <fgColor rgb="FFFFCD5D"/>
        <bgColor rgb="FFFFCC00"/>
      </patternFill>
    </fill>
    <fill>
      <patternFill patternType="solid">
        <fgColor rgb="FFF2F2F7"/>
        <bgColor rgb="FFFFFFFF"/>
      </patternFill>
    </fill>
    <fill>
      <patternFill patternType="solid">
        <fgColor rgb="FFFFFFFF"/>
        <bgColor rgb="FFF2F2F7"/>
      </patternFill>
    </fill>
  </fills>
  <borders count="2">
    <border>
      <left/>
      <right/>
      <top/>
      <bottom/>
      <diagonal/>
    </border>
    <border>
      <left style="thin">
        <color rgb="FFD9D9E3"/>
      </left>
      <right style="thin">
        <color rgb="FFD9D9E3"/>
      </right>
      <top style="thin">
        <color rgb="FFD9D9E3"/>
      </top>
      <bottom style="thin">
        <color rgb="FFD9D9E3"/>
      </bottom>
      <diagonal/>
    </border>
  </borders>
  <cellStyleXfs count="1">
    <xf numFmtId="0" fontId="0" fillId="0" borderId="0"/>
  </cellStyleXfs>
  <cellXfs count="78">
    <xf numFmtId="0" fontId="0" fillId="0" borderId="0" xfId="0"/>
    <xf numFmtId="0" fontId="3" fillId="0" borderId="0" xfId="0" applyFont="1"/>
    <xf numFmtId="0" fontId="8" fillId="4" borderId="1" xfId="0" applyFont="1" applyFill="1" applyBorder="1" applyAlignment="1">
      <alignment horizontal="center" vertical="center"/>
    </xf>
    <xf numFmtId="0" fontId="9"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3" fillId="0" borderId="0" xfId="0" applyFont="1" applyAlignment="1">
      <alignment vertical="center"/>
    </xf>
    <xf numFmtId="0" fontId="9"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3" fillId="2" borderId="0" xfId="0" applyFont="1" applyFill="1"/>
    <xf numFmtId="0" fontId="15" fillId="0" borderId="0" xfId="0" applyFont="1" applyAlignment="1">
      <alignment horizontal="left" vertical="center"/>
    </xf>
    <xf numFmtId="0" fontId="16" fillId="4" borderId="1" xfId="0" applyFont="1" applyFill="1" applyBorder="1" applyAlignment="1">
      <alignment horizontal="right" vertical="center"/>
    </xf>
    <xf numFmtId="164" fontId="16" fillId="4" borderId="1" xfId="0" applyNumberFormat="1" applyFont="1" applyFill="1" applyBorder="1" applyAlignment="1">
      <alignment horizontal="right" vertical="center"/>
    </xf>
    <xf numFmtId="0" fontId="11" fillId="0" borderId="0" xfId="0" applyFont="1" applyAlignment="1">
      <alignment horizontal="left" vertical="center"/>
    </xf>
    <xf numFmtId="0" fontId="3" fillId="2" borderId="0" xfId="0" applyFont="1" applyFill="1" applyAlignment="1">
      <alignment vertical="center"/>
    </xf>
    <xf numFmtId="0" fontId="3" fillId="3" borderId="0" xfId="0" applyFont="1" applyFill="1" applyAlignment="1">
      <alignment vertical="center"/>
    </xf>
    <xf numFmtId="0" fontId="6" fillId="0" borderId="0" xfId="0" applyFont="1" applyAlignment="1">
      <alignment horizontal="left" vertical="center"/>
    </xf>
    <xf numFmtId="1" fontId="16" fillId="4" borderId="1" xfId="0" applyNumberFormat="1" applyFont="1" applyFill="1" applyBorder="1" applyAlignment="1">
      <alignment horizontal="right" vertical="center"/>
    </xf>
    <xf numFmtId="0" fontId="9" fillId="0" borderId="0" xfId="0" applyFont="1" applyAlignment="1">
      <alignment horizontal="left" vertical="center"/>
    </xf>
    <xf numFmtId="165" fontId="16" fillId="4" borderId="1" xfId="0" applyNumberFormat="1" applyFont="1" applyFill="1" applyBorder="1" applyAlignment="1">
      <alignment horizontal="right" vertical="center"/>
    </xf>
    <xf numFmtId="166" fontId="16" fillId="4" borderId="1" xfId="0" applyNumberFormat="1" applyFont="1" applyFill="1" applyBorder="1" applyAlignment="1">
      <alignment horizontal="right" vertical="center"/>
    </xf>
    <xf numFmtId="1" fontId="18" fillId="3" borderId="1" xfId="0" applyNumberFormat="1" applyFont="1" applyFill="1" applyBorder="1" applyAlignment="1">
      <alignment horizontal="center" vertical="center"/>
    </xf>
    <xf numFmtId="167" fontId="16" fillId="4" borderId="1" xfId="0" applyNumberFormat="1" applyFont="1" applyFill="1" applyBorder="1" applyAlignment="1">
      <alignment horizontal="right" vertical="center"/>
    </xf>
    <xf numFmtId="168" fontId="16" fillId="4" borderId="1" xfId="0" applyNumberFormat="1" applyFont="1" applyFill="1" applyBorder="1" applyAlignment="1">
      <alignment horizontal="right" vertical="center"/>
    </xf>
    <xf numFmtId="0" fontId="16" fillId="4" borderId="1" xfId="0" applyFont="1" applyFill="1" applyBorder="1" applyAlignment="1">
      <alignment horizontal="left" vertical="center"/>
    </xf>
    <xf numFmtId="0" fontId="19" fillId="0" borderId="0" xfId="0" applyFont="1"/>
    <xf numFmtId="2" fontId="16" fillId="4" borderId="1" xfId="0" applyNumberFormat="1" applyFont="1" applyFill="1" applyBorder="1" applyAlignment="1">
      <alignment horizontal="right" vertical="center"/>
    </xf>
    <xf numFmtId="169" fontId="20" fillId="5" borderId="1" xfId="0" applyNumberFormat="1" applyFont="1" applyFill="1" applyBorder="1" applyAlignment="1">
      <alignment horizontal="right" vertical="center"/>
    </xf>
    <xf numFmtId="167" fontId="6" fillId="0" borderId="1" xfId="0" applyNumberFormat="1" applyFont="1" applyBorder="1" applyAlignment="1">
      <alignment horizontal="right" vertical="center"/>
    </xf>
    <xf numFmtId="169" fontId="21" fillId="0" borderId="1" xfId="0" applyNumberFormat="1" applyFont="1" applyBorder="1" applyAlignment="1">
      <alignment horizontal="right" vertical="center"/>
    </xf>
    <xf numFmtId="0" fontId="11" fillId="0" borderId="0" xfId="0" applyFont="1" applyAlignment="1">
      <alignment horizontal="center" vertical="center"/>
    </xf>
    <xf numFmtId="0" fontId="22" fillId="0" borderId="1" xfId="0" applyFont="1" applyBorder="1" applyAlignment="1">
      <alignment horizontal="right" vertical="center"/>
    </xf>
    <xf numFmtId="167" fontId="22" fillId="0" borderId="1" xfId="0" applyNumberFormat="1" applyFont="1" applyBorder="1" applyAlignment="1">
      <alignment horizontal="right" vertical="center"/>
    </xf>
    <xf numFmtId="165" fontId="10" fillId="0" borderId="1" xfId="0" applyNumberFormat="1" applyFont="1" applyBorder="1" applyAlignment="1">
      <alignment horizontal="right" vertical="center"/>
    </xf>
    <xf numFmtId="165" fontId="9" fillId="0" borderId="1" xfId="0" applyNumberFormat="1" applyFont="1" applyBorder="1" applyAlignment="1">
      <alignment horizontal="right" vertical="center"/>
    </xf>
    <xf numFmtId="165" fontId="6" fillId="0" borderId="1" xfId="0" applyNumberFormat="1" applyFont="1" applyBorder="1" applyAlignment="1">
      <alignment horizontal="right" vertical="center"/>
    </xf>
    <xf numFmtId="165" fontId="15" fillId="5" borderId="1" xfId="0" applyNumberFormat="1" applyFont="1" applyFill="1" applyBorder="1" applyAlignment="1">
      <alignment horizontal="right" vertical="center"/>
    </xf>
    <xf numFmtId="170" fontId="6" fillId="0" borderId="1" xfId="0" applyNumberFormat="1" applyFont="1" applyBorder="1" applyAlignment="1">
      <alignment horizontal="right" vertical="center"/>
    </xf>
    <xf numFmtId="165" fontId="22" fillId="0" borderId="1" xfId="0" applyNumberFormat="1" applyFont="1" applyBorder="1" applyAlignment="1">
      <alignment horizontal="right" vertical="center"/>
    </xf>
    <xf numFmtId="171" fontId="6" fillId="0" borderId="1" xfId="0" applyNumberFormat="1" applyFont="1" applyBorder="1" applyAlignment="1">
      <alignment horizontal="right" vertical="center"/>
    </xf>
    <xf numFmtId="0" fontId="20" fillId="0" borderId="0" xfId="0" applyFont="1" applyAlignment="1">
      <alignment horizontal="left" vertical="center"/>
    </xf>
    <xf numFmtId="165" fontId="20" fillId="5" borderId="1" xfId="0" applyNumberFormat="1" applyFont="1" applyFill="1" applyBorder="1" applyAlignment="1">
      <alignment horizontal="right" vertical="center"/>
    </xf>
    <xf numFmtId="0" fontId="23" fillId="0" borderId="0" xfId="0" applyFont="1" applyAlignment="1">
      <alignment horizontal="left" vertical="center"/>
    </xf>
    <xf numFmtId="168" fontId="22" fillId="0" borderId="1" xfId="0" applyNumberFormat="1" applyFont="1" applyBorder="1" applyAlignment="1">
      <alignment horizontal="right" vertical="center"/>
    </xf>
    <xf numFmtId="165" fontId="21" fillId="0" borderId="1" xfId="0" applyNumberFormat="1" applyFont="1" applyBorder="1" applyAlignment="1">
      <alignment horizontal="right" vertical="center"/>
    </xf>
    <xf numFmtId="166" fontId="22" fillId="0" borderId="1" xfId="0" applyNumberFormat="1" applyFont="1" applyBorder="1" applyAlignment="1">
      <alignment horizontal="right" vertical="center"/>
    </xf>
    <xf numFmtId="0" fontId="21" fillId="0" borderId="0" xfId="0" applyFont="1" applyAlignment="1">
      <alignment horizontal="left" vertical="center"/>
    </xf>
    <xf numFmtId="172" fontId="24" fillId="0" borderId="1" xfId="0" applyNumberFormat="1" applyFont="1" applyBorder="1" applyAlignment="1">
      <alignment horizontal="right" vertical="center"/>
    </xf>
    <xf numFmtId="0" fontId="25" fillId="0" borderId="0" xfId="0" applyFont="1" applyAlignment="1">
      <alignment horizontal="left" vertical="center" wrapText="1"/>
    </xf>
    <xf numFmtId="167" fontId="18" fillId="3" borderId="1" xfId="0" applyNumberFormat="1" applyFont="1" applyFill="1" applyBorder="1" applyAlignment="1">
      <alignment horizontal="center" vertical="center"/>
    </xf>
    <xf numFmtId="169" fontId="18" fillId="3" borderId="1" xfId="0" applyNumberFormat="1" applyFont="1" applyFill="1" applyBorder="1" applyAlignment="1">
      <alignment horizontal="center" vertical="center"/>
    </xf>
    <xf numFmtId="165" fontId="20" fillId="4" borderId="1" xfId="0" applyNumberFormat="1" applyFont="1" applyFill="1" applyBorder="1" applyAlignment="1">
      <alignment horizontal="right" vertical="center"/>
    </xf>
    <xf numFmtId="168" fontId="18" fillId="3" borderId="1" xfId="0" applyNumberFormat="1" applyFont="1" applyFill="1" applyBorder="1" applyAlignment="1">
      <alignment horizontal="center" vertical="center"/>
    </xf>
    <xf numFmtId="0" fontId="25" fillId="0" borderId="0" xfId="0" applyFont="1" applyAlignment="1">
      <alignment horizontal="left" vertical="center"/>
    </xf>
    <xf numFmtId="0" fontId="7" fillId="3" borderId="0" xfId="0" applyFont="1" applyFill="1" applyAlignment="1">
      <alignment horizontal="left" vertical="center"/>
    </xf>
    <xf numFmtId="0" fontId="17"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wrapText="1"/>
    </xf>
    <xf numFmtId="0" fontId="12" fillId="2" borderId="0" xfId="0" applyFont="1" applyFill="1" applyAlignment="1">
      <alignment horizontal="left" vertical="center"/>
    </xf>
    <xf numFmtId="0" fontId="13" fillId="2" borderId="0" xfId="0" applyFont="1" applyFill="1" applyAlignment="1">
      <alignment horizontal="left" vertical="center"/>
    </xf>
    <xf numFmtId="0" fontId="14" fillId="2" borderId="0" xfId="0" applyFont="1" applyFill="1" applyAlignment="1">
      <alignment horizontal="left" vertical="center"/>
    </xf>
    <xf numFmtId="0" fontId="7" fillId="2" borderId="0" xfId="0" applyFont="1" applyFill="1" applyAlignment="1">
      <alignment horizontal="left" vertical="center"/>
    </xf>
    <xf numFmtId="0" fontId="5" fillId="5" borderId="0" xfId="0" applyFont="1" applyFill="1" applyAlignment="1">
      <alignment horizontal="left" vertical="center"/>
    </xf>
    <xf numFmtId="0" fontId="7" fillId="2" borderId="0" xfId="0" applyFont="1" applyFill="1" applyAlignment="1">
      <alignment horizontal="left" vertical="center" indent="1"/>
    </xf>
    <xf numFmtId="0" fontId="17" fillId="0" borderId="0" xfId="0" applyFont="1" applyAlignment="1">
      <alignment horizontal="left" vertical="top" wrapText="1"/>
    </xf>
    <xf numFmtId="0" fontId="7" fillId="3" borderId="0" xfId="0" applyFont="1" applyFill="1" applyAlignment="1">
      <alignment horizontal="left" vertical="center" indent="1"/>
    </xf>
    <xf numFmtId="0" fontId="22" fillId="0" borderId="1" xfId="0" applyFont="1" applyBorder="1" applyAlignment="1">
      <alignment horizontal="left" vertical="center"/>
    </xf>
    <xf numFmtId="169" fontId="10" fillId="0" borderId="1" xfId="0" applyNumberFormat="1" applyFont="1" applyBorder="1" applyAlignment="1">
      <alignment horizontal="right" vertical="center"/>
    </xf>
    <xf numFmtId="165" fontId="20" fillId="5" borderId="1" xfId="0" applyNumberFormat="1" applyFont="1" applyFill="1" applyBorder="1" applyAlignment="1">
      <alignment horizontal="right" vertical="center"/>
    </xf>
    <xf numFmtId="0" fontId="17" fillId="0" borderId="0" xfId="0" applyFont="1" applyAlignment="1">
      <alignment vertical="center"/>
    </xf>
    <xf numFmtId="172" fontId="24" fillId="0" borderId="1" xfId="0" applyNumberFormat="1" applyFont="1" applyBorder="1" applyAlignment="1">
      <alignment horizontal="right" vertical="center"/>
    </xf>
    <xf numFmtId="169" fontId="24" fillId="0" borderId="1" xfId="0" applyNumberFormat="1" applyFont="1" applyBorder="1" applyAlignment="1">
      <alignment horizontal="right" vertical="center"/>
    </xf>
    <xf numFmtId="165" fontId="24" fillId="0" borderId="1" xfId="0" applyNumberFormat="1" applyFont="1" applyBorder="1" applyAlignment="1">
      <alignment horizontal="right" vertical="center"/>
    </xf>
    <xf numFmtId="0" fontId="2" fillId="0" borderId="0" xfId="0" applyFont="1" applyAlignment="1"/>
    <xf numFmtId="0" fontId="4" fillId="0" borderId="0" xfId="0" applyFont="1" applyAlignment="1"/>
    <xf numFmtId="0" fontId="26" fillId="2" borderId="0" xfId="0" applyFont="1" applyFill="1" applyAlignment="1"/>
    <xf numFmtId="0" fontId="27" fillId="2" borderId="0" xfId="0" applyFont="1" applyFill="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B72894"/>
      <rgbColor rgb="FFF2F2F7"/>
      <rgbColor rgb="FFCCFFFF"/>
      <rgbColor rgb="FF660066"/>
      <rgbColor rgb="FFFF8080"/>
      <rgbColor rgb="FF0066CC"/>
      <rgbColor rgb="FFD9D9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D5D"/>
      <rgbColor rgb="FF3366FF"/>
      <rgbColor rgb="FF33CCCC"/>
      <rgbColor rgb="FF99CC00"/>
      <rgbColor rgb="FFFFCC00"/>
      <rgbColor rgb="FFFF9900"/>
      <rgbColor rgb="FFFF6600"/>
      <rgbColor rgb="FF666666"/>
      <rgbColor rgb="FF969696"/>
      <rgbColor rgb="FF003366"/>
      <rgbColor rgb="FF339966"/>
      <rgbColor rgb="FF003300"/>
      <rgbColor rgb="FF555555"/>
      <rgbColor rgb="FF993300"/>
      <rgbColor rgb="FF633DA5"/>
      <rgbColor rgb="FF292876"/>
      <rgbColor rgb="FF1A1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1635456</xdr:colOff>
      <xdr:row>1</xdr:row>
      <xdr:rowOff>54135</xdr:rowOff>
    </xdr:from>
    <xdr:to>
      <xdr:col>6</xdr:col>
      <xdr:colOff>2740134</xdr:colOff>
      <xdr:row>3</xdr:row>
      <xdr:rowOff>8572</xdr:rowOff>
    </xdr:to>
    <xdr:pic>
      <xdr:nvPicPr>
        <xdr:cNvPr id="3" name="Picture 2">
          <a:extLst>
            <a:ext uri="{FF2B5EF4-FFF2-40B4-BE49-F238E27FC236}">
              <a16:creationId xmlns:a16="http://schemas.microsoft.com/office/drawing/2014/main" id="{CFD5793A-0EB1-A956-BB0E-F87433A28C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5232" y="54135"/>
          <a:ext cx="1133253" cy="41426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2876"/>
  </sheetPr>
  <dimension ref="A1:G36"/>
  <sheetViews>
    <sheetView showGridLines="0" topLeftCell="A12" zoomScale="115" zoomScaleNormal="115" workbookViewId="0">
      <selection activeCell="J31" sqref="J31"/>
    </sheetView>
  </sheetViews>
  <sheetFormatPr defaultColWidth="8.5703125" defaultRowHeight="14.1"/>
  <cols>
    <col min="1" max="1" width="4" style="5" customWidth="1"/>
    <col min="2" max="3" width="14" style="5" customWidth="1"/>
    <col min="4" max="4" width="19.42578125" style="5" bestFit="1" customWidth="1"/>
    <col min="5" max="6" width="14" style="5" customWidth="1"/>
    <col min="7" max="7" width="41.140625" style="5" customWidth="1"/>
    <col min="8" max="16384" width="8.5703125" style="5"/>
  </cols>
  <sheetData>
    <row r="1" spans="1:7" ht="18" hidden="1" customHeight="1">
      <c r="A1" s="14"/>
      <c r="B1" s="14"/>
      <c r="C1" s="14"/>
      <c r="D1" s="14"/>
      <c r="E1" s="14"/>
      <c r="F1" s="14"/>
      <c r="G1" s="14"/>
    </row>
    <row r="2" spans="1:7" ht="18" customHeight="1">
      <c r="A2" s="14"/>
      <c r="B2" s="14"/>
      <c r="C2" s="14"/>
      <c r="D2" s="14"/>
      <c r="E2" s="14"/>
      <c r="F2" s="14"/>
      <c r="G2" s="14"/>
    </row>
    <row r="3" spans="1:7" ht="18" customHeight="1">
      <c r="A3" s="14"/>
      <c r="B3" s="59" t="s">
        <v>0</v>
      </c>
      <c r="C3" s="59"/>
      <c r="D3" s="59"/>
      <c r="E3" s="59"/>
      <c r="F3" s="59"/>
      <c r="G3" s="59"/>
    </row>
    <row r="4" spans="1:7" ht="18" customHeight="1">
      <c r="A4" s="14"/>
      <c r="B4" s="59"/>
      <c r="C4" s="59"/>
      <c r="D4" s="59"/>
      <c r="E4" s="59"/>
      <c r="F4" s="59"/>
      <c r="G4" s="59"/>
    </row>
    <row r="5" spans="1:7" ht="18" customHeight="1">
      <c r="A5" s="14"/>
      <c r="B5" s="14"/>
      <c r="C5" s="14"/>
      <c r="D5" s="14"/>
      <c r="E5" s="14"/>
      <c r="F5" s="14"/>
      <c r="G5" s="14"/>
    </row>
    <row r="6" spans="1:7" ht="18" customHeight="1">
      <c r="A6" s="14"/>
      <c r="B6" s="60" t="s">
        <v>1</v>
      </c>
      <c r="C6" s="60"/>
      <c r="D6" s="60"/>
      <c r="E6" s="60"/>
      <c r="F6" s="60"/>
      <c r="G6" s="60"/>
    </row>
    <row r="7" spans="1:7" ht="18" customHeight="1">
      <c r="A7" s="14"/>
      <c r="B7" s="14"/>
      <c r="C7" s="14"/>
      <c r="D7" s="14"/>
      <c r="E7" s="14"/>
      <c r="F7" s="14"/>
      <c r="G7" s="14"/>
    </row>
    <row r="8" spans="1:7" ht="18" customHeight="1">
      <c r="A8" s="14"/>
      <c r="B8" s="61" t="s">
        <v>2</v>
      </c>
      <c r="C8" s="61"/>
      <c r="D8" s="61"/>
      <c r="E8" s="61"/>
      <c r="F8" s="61"/>
      <c r="G8" s="61"/>
    </row>
    <row r="9" spans="1:7" ht="18" customHeight="1">
      <c r="A9" s="14"/>
      <c r="B9" s="14"/>
      <c r="C9" s="14"/>
      <c r="D9" s="14"/>
      <c r="E9" s="14"/>
      <c r="F9" s="14"/>
      <c r="G9" s="14"/>
    </row>
    <row r="10" spans="1:7" ht="18" customHeight="1">
      <c r="A10" s="14"/>
      <c r="B10" s="14"/>
      <c r="C10" s="14"/>
      <c r="D10" s="14"/>
      <c r="E10" s="14"/>
      <c r="F10" s="14"/>
      <c r="G10" s="14"/>
    </row>
    <row r="11" spans="1:7" ht="6" customHeight="1">
      <c r="A11" s="15"/>
      <c r="B11" s="15"/>
      <c r="C11" s="15"/>
      <c r="D11" s="15"/>
      <c r="E11" s="15"/>
      <c r="F11" s="15"/>
      <c r="G11" s="15"/>
    </row>
    <row r="12" spans="1:7" ht="18" customHeight="1"/>
    <row r="13" spans="1:7" ht="18" customHeight="1"/>
    <row r="14" spans="1:7" ht="18" customHeight="1">
      <c r="B14" s="10" t="s">
        <v>3</v>
      </c>
      <c r="D14" s="11" t="s">
        <v>4</v>
      </c>
    </row>
    <row r="15" spans="1:7" ht="18" customHeight="1"/>
    <row r="16" spans="1:7" ht="18" customHeight="1">
      <c r="B16" s="10" t="s">
        <v>5</v>
      </c>
      <c r="D16" s="11" t="s">
        <v>6</v>
      </c>
    </row>
    <row r="17" spans="2:7" ht="18" customHeight="1"/>
    <row r="18" spans="2:7" ht="18" customHeight="1">
      <c r="B18" s="10" t="s">
        <v>7</v>
      </c>
      <c r="D18" s="12">
        <f ca="1">TODAY()</f>
        <v>46226</v>
      </c>
    </row>
    <row r="19" spans="2:7" ht="18" customHeight="1"/>
    <row r="20" spans="2:7" ht="18" customHeight="1">
      <c r="B20" s="10" t="s">
        <v>8</v>
      </c>
      <c r="D20" s="11" t="s">
        <v>9</v>
      </c>
    </row>
    <row r="21" spans="2:7" ht="18" customHeight="1"/>
    <row r="22" spans="2:7" ht="18" customHeight="1"/>
    <row r="23" spans="2:7" ht="21.75" customHeight="1">
      <c r="B23" s="62" t="s">
        <v>10</v>
      </c>
      <c r="C23" s="62"/>
      <c r="D23" s="62"/>
      <c r="E23" s="62"/>
      <c r="F23" s="62"/>
      <c r="G23" s="62"/>
    </row>
    <row r="24" spans="2:7" ht="18" customHeight="1">
      <c r="B24" s="13" t="s">
        <v>11</v>
      </c>
      <c r="D24" s="58" t="s">
        <v>12</v>
      </c>
      <c r="E24" s="58"/>
      <c r="F24" s="58"/>
      <c r="G24" s="58"/>
    </row>
    <row r="25" spans="2:7" ht="29.45" customHeight="1">
      <c r="B25" s="13" t="s">
        <v>13</v>
      </c>
      <c r="D25" s="58" t="s">
        <v>14</v>
      </c>
      <c r="E25" s="58"/>
      <c r="F25" s="58"/>
      <c r="G25" s="58"/>
    </row>
    <row r="26" spans="2:7" ht="18" customHeight="1">
      <c r="B26" s="13" t="s">
        <v>15</v>
      </c>
      <c r="D26" s="58" t="s">
        <v>16</v>
      </c>
      <c r="E26" s="58"/>
      <c r="F26" s="58"/>
      <c r="G26" s="58"/>
    </row>
    <row r="27" spans="2:7" ht="18" customHeight="1">
      <c r="B27" s="13" t="s">
        <v>17</v>
      </c>
      <c r="D27" s="58" t="s">
        <v>18</v>
      </c>
      <c r="E27" s="58"/>
      <c r="F27" s="58"/>
      <c r="G27" s="58"/>
    </row>
    <row r="28" spans="2:7" ht="27.95" customHeight="1">
      <c r="B28" s="13" t="s">
        <v>19</v>
      </c>
      <c r="D28" s="58" t="s">
        <v>20</v>
      </c>
      <c r="E28" s="58"/>
      <c r="F28" s="58"/>
      <c r="G28" s="58"/>
    </row>
    <row r="29" spans="2:7" ht="18" customHeight="1">
      <c r="B29" s="13" t="s">
        <v>21</v>
      </c>
      <c r="D29" s="58" t="s">
        <v>22</v>
      </c>
      <c r="E29" s="58"/>
      <c r="F29" s="58"/>
      <c r="G29" s="58"/>
    </row>
    <row r="30" spans="2:7" ht="18" customHeight="1">
      <c r="B30" s="13" t="s">
        <v>23</v>
      </c>
      <c r="D30" s="58" t="s">
        <v>24</v>
      </c>
      <c r="E30" s="58"/>
      <c r="F30" s="58"/>
      <c r="G30" s="58"/>
    </row>
    <row r="33" spans="2:7" ht="13.5" customHeight="1">
      <c r="B33" s="55" t="s">
        <v>25</v>
      </c>
      <c r="C33" s="55"/>
      <c r="D33" s="55"/>
      <c r="E33" s="55"/>
      <c r="F33" s="55"/>
      <c r="G33" s="55"/>
    </row>
    <row r="34" spans="2:7" ht="13.5" customHeight="1">
      <c r="B34" s="55"/>
      <c r="C34" s="55"/>
      <c r="D34" s="55"/>
      <c r="E34" s="55"/>
      <c r="F34" s="55"/>
      <c r="G34" s="55"/>
    </row>
    <row r="35" spans="2:7" ht="13.5" customHeight="1">
      <c r="B35" s="55"/>
      <c r="C35" s="55"/>
      <c r="D35" s="55"/>
      <c r="E35" s="55"/>
      <c r="F35" s="55"/>
      <c r="G35" s="55"/>
    </row>
    <row r="36" spans="2:7" ht="13.5" customHeight="1">
      <c r="B36" s="55"/>
      <c r="C36" s="55"/>
      <c r="D36" s="55"/>
      <c r="E36" s="55"/>
      <c r="F36" s="55"/>
      <c r="G36" s="55"/>
    </row>
  </sheetData>
  <sheetProtection algorithmName="SHA-512" hashValue="Vfe3/UprspLEcF9xdUoLP+VJ4XISL5I4YFsZwovr5mCG8Gf9u7Rkxh57O5aQCLKA8EN0Jb6HsOZblOLprTiQFg==" saltValue="Lqb24cnETTNd57Qw0NMlDw==" spinCount="100000" sheet="1" objects="1" scenarios="1"/>
  <mergeCells count="12">
    <mergeCell ref="B3:G4"/>
    <mergeCell ref="B6:G6"/>
    <mergeCell ref="B8:G8"/>
    <mergeCell ref="B23:G23"/>
    <mergeCell ref="D29:G29"/>
    <mergeCell ref="D30:G30"/>
    <mergeCell ref="B33:G36"/>
    <mergeCell ref="D24:G24"/>
    <mergeCell ref="D25:G25"/>
    <mergeCell ref="D26:G26"/>
    <mergeCell ref="D27:G27"/>
    <mergeCell ref="D28:G28"/>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33DA5"/>
  </sheetPr>
  <dimension ref="B2:D53"/>
  <sheetViews>
    <sheetView showGridLines="0" topLeftCell="A15" zoomScaleNormal="100" workbookViewId="0">
      <selection activeCell="B34" sqref="B34:D35"/>
    </sheetView>
  </sheetViews>
  <sheetFormatPr defaultColWidth="8.5703125" defaultRowHeight="14.1"/>
  <cols>
    <col min="1" max="1" width="3" style="5" customWidth="1"/>
    <col min="2" max="2" width="21.140625" style="5" customWidth="1"/>
    <col min="3" max="4" width="46" style="5" customWidth="1"/>
    <col min="5" max="5" width="3" style="5" customWidth="1"/>
    <col min="6" max="16384" width="8.5703125" style="5"/>
  </cols>
  <sheetData>
    <row r="2" spans="2:4" ht="30" customHeight="1">
      <c r="B2" s="56" t="s">
        <v>26</v>
      </c>
      <c r="C2" s="56"/>
      <c r="D2" s="56"/>
    </row>
    <row r="3" spans="2:4" ht="18" customHeight="1">
      <c r="B3" s="57" t="s">
        <v>27</v>
      </c>
      <c r="C3" s="57"/>
      <c r="D3" s="57"/>
    </row>
    <row r="4" spans="2:4" ht="8.4499999999999993" customHeight="1"/>
    <row r="5" spans="2:4" ht="19.5" customHeight="1">
      <c r="B5" s="63" t="s">
        <v>28</v>
      </c>
      <c r="C5" s="63"/>
      <c r="D5" s="63"/>
    </row>
    <row r="6" spans="2:4" ht="15.75" customHeight="1">
      <c r="B6" s="58" t="s">
        <v>29</v>
      </c>
      <c r="C6" s="58"/>
      <c r="D6" s="58"/>
    </row>
    <row r="7" spans="2:4" ht="15" customHeight="1">
      <c r="B7" s="58"/>
      <c r="C7" s="58"/>
      <c r="D7" s="58"/>
    </row>
    <row r="8" spans="2:4" hidden="1"/>
    <row r="9" spans="2:4" ht="19.5" customHeight="1">
      <c r="B9" s="63" t="s">
        <v>30</v>
      </c>
      <c r="C9" s="63"/>
      <c r="D9" s="63"/>
    </row>
    <row r="10" spans="2:4" ht="15.75" customHeight="1">
      <c r="B10" s="58" t="s">
        <v>31</v>
      </c>
      <c r="C10" s="58"/>
      <c r="D10" s="58"/>
    </row>
    <row r="11" spans="2:4" ht="15" customHeight="1">
      <c r="B11" s="58"/>
      <c r="C11" s="58"/>
      <c r="D11" s="58"/>
    </row>
    <row r="12" spans="2:4" hidden="1"/>
    <row r="13" spans="2:4" ht="19.5" customHeight="1">
      <c r="B13" s="63" t="s">
        <v>32</v>
      </c>
      <c r="C13" s="63"/>
      <c r="D13" s="63"/>
    </row>
    <row r="14" spans="2:4" ht="15.75" customHeight="1">
      <c r="B14" s="58" t="s">
        <v>33</v>
      </c>
      <c r="C14" s="58"/>
      <c r="D14" s="58"/>
    </row>
    <row r="15" spans="2:4" ht="15.75" customHeight="1">
      <c r="B15" s="58"/>
      <c r="C15" s="58"/>
      <c r="D15" s="58"/>
    </row>
    <row r="16" spans="2:4" ht="0.95" customHeight="1"/>
    <row r="17" spans="2:4" ht="19.5" customHeight="1">
      <c r="B17" s="63" t="s">
        <v>34</v>
      </c>
      <c r="C17" s="63"/>
      <c r="D17" s="63"/>
    </row>
    <row r="18" spans="2:4" ht="15.75" customHeight="1">
      <c r="B18" s="58" t="s">
        <v>35</v>
      </c>
      <c r="C18" s="58"/>
      <c r="D18" s="58"/>
    </row>
    <row r="19" spans="2:4" ht="5.45" customHeight="1">
      <c r="B19" s="58"/>
      <c r="C19" s="58"/>
      <c r="D19" s="58"/>
    </row>
    <row r="20" spans="2:4" hidden="1"/>
    <row r="21" spans="2:4" ht="19.5" customHeight="1">
      <c r="B21" s="63" t="s">
        <v>36</v>
      </c>
      <c r="C21" s="63"/>
      <c r="D21" s="63"/>
    </row>
    <row r="22" spans="2:4" ht="15.75" customHeight="1">
      <c r="B22" s="58" t="s">
        <v>37</v>
      </c>
      <c r="C22" s="58"/>
      <c r="D22" s="58"/>
    </row>
    <row r="23" spans="2:4" ht="24.95" customHeight="1">
      <c r="B23" s="58"/>
      <c r="C23" s="58"/>
      <c r="D23" s="58"/>
    </row>
    <row r="24" spans="2:4" hidden="1"/>
    <row r="25" spans="2:4" ht="19.5" customHeight="1">
      <c r="B25" s="63" t="s">
        <v>38</v>
      </c>
      <c r="C25" s="63"/>
      <c r="D25" s="63"/>
    </row>
    <row r="26" spans="2:4" ht="15.75" customHeight="1">
      <c r="B26" s="58" t="s">
        <v>39</v>
      </c>
      <c r="C26" s="58"/>
      <c r="D26" s="58"/>
    </row>
    <row r="27" spans="2:4" ht="26.45" customHeight="1">
      <c r="B27" s="58"/>
      <c r="C27" s="58"/>
      <c r="D27" s="58"/>
    </row>
    <row r="28" spans="2:4" hidden="1"/>
    <row r="29" spans="2:4" ht="19.5" customHeight="1">
      <c r="B29" s="63" t="s">
        <v>40</v>
      </c>
      <c r="C29" s="63"/>
      <c r="D29" s="63"/>
    </row>
    <row r="30" spans="2:4" ht="15.75" customHeight="1">
      <c r="B30" s="58" t="s">
        <v>41</v>
      </c>
      <c r="C30" s="58"/>
      <c r="D30" s="58"/>
    </row>
    <row r="31" spans="2:4" ht="27.95" customHeight="1">
      <c r="B31" s="58"/>
      <c r="C31" s="58"/>
      <c r="D31" s="58"/>
    </row>
    <row r="32" spans="2:4" hidden="1"/>
    <row r="33" spans="2:4" ht="19.5" customHeight="1">
      <c r="B33" s="63" t="s">
        <v>42</v>
      </c>
      <c r="C33" s="63"/>
      <c r="D33" s="63"/>
    </row>
    <row r="34" spans="2:4" ht="15.75" customHeight="1">
      <c r="B34" s="58" t="s">
        <v>43</v>
      </c>
      <c r="C34" s="58"/>
      <c r="D34" s="58"/>
    </row>
    <row r="35" spans="2:4" ht="15.75" customHeight="1">
      <c r="B35" s="58"/>
      <c r="C35" s="58"/>
      <c r="D35" s="58"/>
    </row>
    <row r="36" spans="2:4" ht="0.6" customHeight="1"/>
    <row r="37" spans="2:4" ht="19.5" customHeight="1">
      <c r="B37" s="63" t="s">
        <v>44</v>
      </c>
      <c r="C37" s="63"/>
      <c r="D37" s="63"/>
    </row>
    <row r="38" spans="2:4" ht="15.75" customHeight="1">
      <c r="B38" s="58" t="s">
        <v>45</v>
      </c>
      <c r="C38" s="58"/>
      <c r="D38" s="58"/>
    </row>
    <row r="39" spans="2:4" ht="15.6" customHeight="1">
      <c r="B39" s="58"/>
      <c r="C39" s="58"/>
      <c r="D39" s="58"/>
    </row>
    <row r="40" spans="2:4" ht="1.5" customHeight="1"/>
    <row r="41" spans="2:4" hidden="1"/>
    <row r="42" spans="2:4" ht="21.75" customHeight="1">
      <c r="B42" s="62" t="s">
        <v>46</v>
      </c>
      <c r="C42" s="62"/>
      <c r="D42" s="62"/>
    </row>
    <row r="43" spans="2:4">
      <c r="B43" s="2" t="s">
        <v>47</v>
      </c>
      <c r="C43" s="6" t="s">
        <v>48</v>
      </c>
      <c r="D43" s="7" t="s">
        <v>49</v>
      </c>
    </row>
    <row r="44" spans="2:4">
      <c r="B44" s="3" t="s">
        <v>47</v>
      </c>
      <c r="C44" s="6" t="s">
        <v>50</v>
      </c>
      <c r="D44" s="7" t="s">
        <v>51</v>
      </c>
    </row>
    <row r="45" spans="2:4">
      <c r="B45" s="4" t="s">
        <v>47</v>
      </c>
      <c r="C45" s="6" t="s">
        <v>52</v>
      </c>
      <c r="D45" s="7" t="s">
        <v>53</v>
      </c>
    </row>
    <row r="48" spans="2:4" ht="21.75" customHeight="1">
      <c r="B48" s="62" t="s">
        <v>54</v>
      </c>
      <c r="C48" s="62"/>
      <c r="D48" s="62"/>
    </row>
    <row r="49" spans="2:4" ht="33.950000000000003" customHeight="1">
      <c r="B49" s="8" t="s">
        <v>55</v>
      </c>
      <c r="C49" s="58" t="s">
        <v>56</v>
      </c>
      <c r="D49" s="58"/>
    </row>
    <row r="50" spans="2:4" ht="21.95" customHeight="1">
      <c r="B50" s="8" t="s">
        <v>57</v>
      </c>
      <c r="C50" s="58" t="s">
        <v>58</v>
      </c>
      <c r="D50" s="58"/>
    </row>
    <row r="51" spans="2:4" ht="27.95" customHeight="1">
      <c r="B51" s="8" t="s">
        <v>59</v>
      </c>
      <c r="C51" s="58" t="s">
        <v>60</v>
      </c>
      <c r="D51" s="58"/>
    </row>
    <row r="52" spans="2:4" ht="18.95" customHeight="1">
      <c r="B52" s="8" t="s">
        <v>61</v>
      </c>
      <c r="C52" s="58" t="s">
        <v>62</v>
      </c>
      <c r="D52" s="58"/>
    </row>
    <row r="53" spans="2:4" ht="20.45" customHeight="1">
      <c r="B53" s="8" t="s">
        <v>63</v>
      </c>
      <c r="C53" s="58" t="s">
        <v>64</v>
      </c>
      <c r="D53" s="58"/>
    </row>
  </sheetData>
  <sheetProtection algorithmName="SHA-512" hashValue="jvfepLidMMtX+6QVsBt43HFxzddRsyWSPt6DNpKUeZF/V0g57ARcxrwvh+bFO/MKw8tEZ156CkaM/ChsZhYP7w==" saltValue="szPb1cr/SEFHCS8H3dbY+g==" spinCount="100000" sheet="1" objects="1" scenarios="1"/>
  <mergeCells count="27">
    <mergeCell ref="B2:D2"/>
    <mergeCell ref="B3:D3"/>
    <mergeCell ref="B5:D5"/>
    <mergeCell ref="B6:D7"/>
    <mergeCell ref="B9:D9"/>
    <mergeCell ref="B10:D11"/>
    <mergeCell ref="B13:D13"/>
    <mergeCell ref="B14:D15"/>
    <mergeCell ref="B17:D17"/>
    <mergeCell ref="B18:D19"/>
    <mergeCell ref="B21:D21"/>
    <mergeCell ref="B22:D23"/>
    <mergeCell ref="B25:D25"/>
    <mergeCell ref="B26:D27"/>
    <mergeCell ref="B29:D29"/>
    <mergeCell ref="B30:D31"/>
    <mergeCell ref="B33:D33"/>
    <mergeCell ref="B34:D35"/>
    <mergeCell ref="B37:D37"/>
    <mergeCell ref="B38:D39"/>
    <mergeCell ref="C52:D52"/>
    <mergeCell ref="C53:D53"/>
    <mergeCell ref="B42:D42"/>
    <mergeCell ref="B48:D48"/>
    <mergeCell ref="C49:D49"/>
    <mergeCell ref="C50:D50"/>
    <mergeCell ref="C51:D5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D5D"/>
  </sheetPr>
  <dimension ref="B2:H37"/>
  <sheetViews>
    <sheetView showGridLines="0" tabSelected="1" zoomScaleNormal="100" workbookViewId="0">
      <pane xSplit="3" ySplit="5" topLeftCell="D12" activePane="bottomRight" state="frozen"/>
      <selection pane="bottomRight" activeCell="E17" sqref="E17"/>
      <selection pane="bottomLeft" activeCell="A6" sqref="A6"/>
      <selection pane="topRight" activeCell="D1" sqref="D1"/>
    </sheetView>
  </sheetViews>
  <sheetFormatPr defaultColWidth="8.5703125" defaultRowHeight="14.1"/>
  <cols>
    <col min="1" max="1" width="3" style="5" customWidth="1"/>
    <col min="2" max="2" width="30" style="5" customWidth="1"/>
    <col min="3" max="3" width="16" style="5" customWidth="1"/>
    <col min="4" max="4" width="14.5703125" style="5" customWidth="1"/>
    <col min="5" max="8" width="13" style="5" customWidth="1"/>
    <col min="9" max="9" width="3" style="5" customWidth="1"/>
    <col min="10" max="16384" width="8.5703125" style="5"/>
  </cols>
  <sheetData>
    <row r="2" spans="2:8" ht="27.75" customHeight="1">
      <c r="B2" s="56" t="s">
        <v>65</v>
      </c>
      <c r="C2" s="56"/>
      <c r="D2" s="56"/>
      <c r="E2" s="56"/>
      <c r="F2" s="56"/>
      <c r="G2" s="56"/>
      <c r="H2" s="56"/>
    </row>
    <row r="3" spans="2:8">
      <c r="B3" s="57" t="s">
        <v>66</v>
      </c>
      <c r="C3" s="57"/>
      <c r="D3" s="57"/>
      <c r="E3" s="57"/>
      <c r="F3" s="57"/>
      <c r="G3" s="57"/>
      <c r="H3" s="57"/>
    </row>
    <row r="5" spans="2:8" ht="21.75" customHeight="1">
      <c r="B5" s="54" t="s">
        <v>67</v>
      </c>
      <c r="C5" s="54"/>
      <c r="D5" s="54"/>
      <c r="E5" s="54"/>
      <c r="F5" s="54"/>
      <c r="G5" s="54"/>
      <c r="H5" s="54"/>
    </row>
    <row r="6" spans="2:8">
      <c r="B6" s="16" t="s">
        <v>68</v>
      </c>
      <c r="D6" s="11"/>
    </row>
    <row r="7" spans="2:8">
      <c r="B7" s="16" t="s">
        <v>69</v>
      </c>
      <c r="D7" s="12">
        <f ca="1">TODAY()</f>
        <v>46226</v>
      </c>
    </row>
    <row r="8" spans="2:8">
      <c r="B8" s="16" t="s">
        <v>70</v>
      </c>
      <c r="D8" s="17">
        <v>2027</v>
      </c>
    </row>
    <row r="9" spans="2:8">
      <c r="B9" s="16" t="s">
        <v>71</v>
      </c>
      <c r="D9" s="11" t="s">
        <v>9</v>
      </c>
    </row>
    <row r="10" spans="2:8">
      <c r="B10" s="16" t="s">
        <v>72</v>
      </c>
      <c r="D10" s="24" t="s">
        <v>73</v>
      </c>
    </row>
    <row r="12" spans="2:8" ht="21.75" customHeight="1">
      <c r="B12" s="54" t="s">
        <v>74</v>
      </c>
      <c r="C12" s="54"/>
      <c r="D12" s="54"/>
      <c r="E12" s="54"/>
      <c r="F12" s="54"/>
      <c r="G12" s="54"/>
      <c r="H12" s="54"/>
    </row>
    <row r="13" spans="2:8">
      <c r="B13" s="18"/>
      <c r="D13" s="13" t="s">
        <v>75</v>
      </c>
    </row>
    <row r="14" spans="2:8">
      <c r="B14" s="16" t="s">
        <v>76</v>
      </c>
      <c r="D14" s="19"/>
    </row>
    <row r="15" spans="2:8">
      <c r="B15" s="16" t="s">
        <v>77</v>
      </c>
      <c r="D15" s="19"/>
    </row>
    <row r="16" spans="2:8">
      <c r="B16" s="16" t="s">
        <v>78</v>
      </c>
      <c r="D16" s="19"/>
    </row>
    <row r="17" spans="2:8">
      <c r="B17" s="16" t="s">
        <v>79</v>
      </c>
      <c r="D17" s="19"/>
    </row>
    <row r="18" spans="2:8">
      <c r="B18" s="16" t="s">
        <v>80</v>
      </c>
      <c r="D18" s="20"/>
    </row>
    <row r="20" spans="2:8" ht="21.75" customHeight="1">
      <c r="B20" s="54" t="s">
        <v>81</v>
      </c>
      <c r="C20" s="54"/>
      <c r="D20" s="54"/>
      <c r="E20" s="54"/>
      <c r="F20" s="54"/>
      <c r="G20" s="54"/>
      <c r="H20" s="54"/>
    </row>
    <row r="21" spans="2:8" ht="19.5" customHeight="1">
      <c r="B21" s="18" t="s">
        <v>82</v>
      </c>
      <c r="D21" s="21">
        <f>$D$8+0</f>
        <v>2027</v>
      </c>
      <c r="E21" s="21">
        <f>$D$8+1</f>
        <v>2028</v>
      </c>
      <c r="F21" s="21">
        <f>$D$8+2</f>
        <v>2029</v>
      </c>
      <c r="G21" s="21">
        <f>$D$8+3</f>
        <v>2030</v>
      </c>
      <c r="H21" s="21">
        <f>$D$8+4</f>
        <v>2031</v>
      </c>
    </row>
    <row r="22" spans="2:8">
      <c r="B22" s="16" t="s">
        <v>83</v>
      </c>
      <c r="D22" s="22">
        <v>0.55000000000000004</v>
      </c>
      <c r="E22" s="22">
        <v>0.42</v>
      </c>
      <c r="F22" s="22">
        <v>0.32</v>
      </c>
      <c r="G22" s="22">
        <v>0.25</v>
      </c>
      <c r="H22" s="22">
        <v>0.2</v>
      </c>
    </row>
    <row r="23" spans="2:8">
      <c r="B23" s="16" t="s">
        <v>84</v>
      </c>
      <c r="D23" s="22">
        <v>-0.05</v>
      </c>
      <c r="E23" s="22">
        <v>0.05</v>
      </c>
      <c r="F23" s="22">
        <v>0.13</v>
      </c>
      <c r="G23" s="22">
        <v>0.19</v>
      </c>
      <c r="H23" s="22">
        <v>0.25</v>
      </c>
    </row>
    <row r="24" spans="2:8">
      <c r="B24" s="16" t="s">
        <v>85</v>
      </c>
      <c r="D24" s="22">
        <v>1.4999999999999999E-2</v>
      </c>
      <c r="E24" s="22">
        <v>1.4999999999999999E-2</v>
      </c>
      <c r="F24" s="22">
        <v>0.02</v>
      </c>
      <c r="G24" s="22">
        <v>0.02</v>
      </c>
      <c r="H24" s="22">
        <v>0.02</v>
      </c>
    </row>
    <row r="25" spans="2:8">
      <c r="B25" s="16" t="s">
        <v>86</v>
      </c>
      <c r="D25" s="22">
        <v>0.25</v>
      </c>
      <c r="E25" s="22">
        <v>0.25</v>
      </c>
      <c r="F25" s="22">
        <v>0.25</v>
      </c>
      <c r="G25" s="22">
        <v>0.25</v>
      </c>
      <c r="H25" s="22">
        <v>0.25</v>
      </c>
    </row>
    <row r="26" spans="2:8">
      <c r="B26" s="16" t="s">
        <v>87</v>
      </c>
      <c r="D26" s="22">
        <v>0.02</v>
      </c>
      <c r="E26" s="22">
        <v>0.02</v>
      </c>
      <c r="F26" s="22">
        <v>0.02</v>
      </c>
      <c r="G26" s="22">
        <v>0.02</v>
      </c>
      <c r="H26" s="22">
        <v>0.02</v>
      </c>
    </row>
    <row r="27" spans="2:8">
      <c r="B27" s="16" t="s">
        <v>88</v>
      </c>
      <c r="D27" s="22">
        <v>0.01</v>
      </c>
      <c r="E27" s="22">
        <v>0.01</v>
      </c>
      <c r="F27" s="22">
        <v>0.01</v>
      </c>
      <c r="G27" s="22">
        <v>0.01</v>
      </c>
      <c r="H27" s="22">
        <v>0.01</v>
      </c>
    </row>
    <row r="29" spans="2:8" ht="21.75" customHeight="1">
      <c r="B29" s="54" t="s">
        <v>89</v>
      </c>
      <c r="C29" s="54"/>
      <c r="D29" s="54"/>
      <c r="E29" s="54"/>
      <c r="F29" s="54"/>
      <c r="G29" s="54"/>
      <c r="H29" s="54"/>
    </row>
    <row r="30" spans="2:8">
      <c r="B30" s="16" t="s">
        <v>90</v>
      </c>
      <c r="D30" s="24" t="s">
        <v>91</v>
      </c>
    </row>
    <row r="31" spans="2:8">
      <c r="B31" s="16" t="s">
        <v>92</v>
      </c>
      <c r="D31" s="22">
        <v>3.5000000000000003E-2</v>
      </c>
    </row>
    <row r="32" spans="2:8">
      <c r="B32" s="16" t="s">
        <v>93</v>
      </c>
      <c r="D32" s="23">
        <v>9</v>
      </c>
    </row>
    <row r="34" spans="2:8" ht="21.75" customHeight="1">
      <c r="B34" s="54" t="s">
        <v>94</v>
      </c>
      <c r="C34" s="54"/>
      <c r="D34" s="54"/>
      <c r="E34" s="54"/>
      <c r="F34" s="54"/>
      <c r="G34" s="54"/>
      <c r="H34" s="54"/>
    </row>
    <row r="35" spans="2:8" ht="13.5" customHeight="1">
      <c r="B35" s="55" t="s">
        <v>95</v>
      </c>
      <c r="C35" s="55"/>
      <c r="D35" s="55"/>
      <c r="E35" s="55"/>
      <c r="F35" s="55"/>
      <c r="G35" s="55"/>
      <c r="H35" s="55"/>
    </row>
    <row r="36" spans="2:8" ht="13.5" customHeight="1">
      <c r="B36" s="55"/>
      <c r="C36" s="55"/>
      <c r="D36" s="55"/>
      <c r="E36" s="55"/>
      <c r="F36" s="55"/>
      <c r="G36" s="55"/>
      <c r="H36" s="55"/>
    </row>
    <row r="37" spans="2:8" ht="13.5" customHeight="1">
      <c r="B37" s="55"/>
      <c r="C37" s="55"/>
      <c r="D37" s="55"/>
      <c r="E37" s="55"/>
      <c r="F37" s="55"/>
      <c r="G37" s="55"/>
      <c r="H37" s="55"/>
    </row>
  </sheetData>
  <mergeCells count="8">
    <mergeCell ref="B29:H29"/>
    <mergeCell ref="B34:H34"/>
    <mergeCell ref="B35:H37"/>
    <mergeCell ref="B2:H2"/>
    <mergeCell ref="B3:H3"/>
    <mergeCell ref="B5:H5"/>
    <mergeCell ref="B12:H12"/>
    <mergeCell ref="B20:H20"/>
  </mergeCells>
  <dataValidations count="1">
    <dataValidation type="list" sqref="D30" xr:uid="{00000000-0002-0000-0200-000000000000}">
      <formula1>"Gordon Growth,Exit Multiple,Average of Both"</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2894"/>
  </sheetPr>
  <dimension ref="B2:E26"/>
  <sheetViews>
    <sheetView showGridLines="0" zoomScaleNormal="100" workbookViewId="0">
      <selection activeCell="B24" sqref="B24:E26"/>
    </sheetView>
  </sheetViews>
  <sheetFormatPr defaultColWidth="8.5703125" defaultRowHeight="14.1"/>
  <cols>
    <col min="1" max="1" width="3" style="1" customWidth="1"/>
    <col min="2" max="2" width="38" style="1" customWidth="1"/>
    <col min="3" max="3" width="16" style="1" customWidth="1"/>
    <col min="4" max="4" width="3" style="1" customWidth="1"/>
    <col min="5" max="5" width="46" style="1" customWidth="1"/>
    <col min="6" max="6" width="3" style="1" customWidth="1"/>
    <col min="7" max="16384" width="8.5703125" style="1"/>
  </cols>
  <sheetData>
    <row r="2" spans="2:5" ht="27.75" customHeight="1">
      <c r="B2" s="74" t="s">
        <v>96</v>
      </c>
      <c r="C2" s="74"/>
      <c r="D2" s="74"/>
      <c r="E2" s="74"/>
    </row>
    <row r="3" spans="2:5">
      <c r="B3" s="75" t="s">
        <v>97</v>
      </c>
      <c r="C3" s="75"/>
      <c r="D3" s="75"/>
      <c r="E3" s="75"/>
    </row>
    <row r="5" spans="2:5" ht="21.75" customHeight="1">
      <c r="B5" s="66" t="s">
        <v>98</v>
      </c>
      <c r="C5" s="66"/>
    </row>
    <row r="6" spans="2:5">
      <c r="B6" s="16" t="s">
        <v>99</v>
      </c>
      <c r="C6" s="22">
        <v>4.2999999999999997E-2</v>
      </c>
      <c r="E6" s="25" t="s">
        <v>100</v>
      </c>
    </row>
    <row r="7" spans="2:5">
      <c r="B7" s="16" t="s">
        <v>101</v>
      </c>
      <c r="C7" s="26">
        <v>1.35</v>
      </c>
      <c r="E7" s="25" t="s">
        <v>102</v>
      </c>
    </row>
    <row r="8" spans="2:5">
      <c r="B8" s="16" t="s">
        <v>103</v>
      </c>
      <c r="C8" s="22">
        <v>5.5E-2</v>
      </c>
      <c r="E8" s="25" t="s">
        <v>104</v>
      </c>
    </row>
    <row r="9" spans="2:5">
      <c r="B9" s="16" t="s">
        <v>105</v>
      </c>
      <c r="C9" s="22">
        <v>3.5000000000000003E-2</v>
      </c>
      <c r="E9" s="25" t="s">
        <v>106</v>
      </c>
    </row>
    <row r="10" spans="2:5">
      <c r="B10" s="18" t="s">
        <v>107</v>
      </c>
      <c r="C10" s="27">
        <f>C6+C7*C8+C9</f>
        <v>0.15225</v>
      </c>
    </row>
    <row r="12" spans="2:5" ht="21.75" customHeight="1">
      <c r="B12" s="66" t="s">
        <v>108</v>
      </c>
      <c r="C12" s="66"/>
    </row>
    <row r="13" spans="2:5">
      <c r="B13" s="16" t="s">
        <v>109</v>
      </c>
      <c r="C13" s="22">
        <v>0.09</v>
      </c>
      <c r="E13" s="25" t="s">
        <v>110</v>
      </c>
    </row>
    <row r="14" spans="2:5">
      <c r="B14" s="16" t="s">
        <v>111</v>
      </c>
      <c r="C14" s="22">
        <v>0.25</v>
      </c>
    </row>
    <row r="15" spans="2:5">
      <c r="B15" s="18" t="s">
        <v>112</v>
      </c>
      <c r="C15" s="27">
        <f>C13*(1-C14)</f>
        <v>6.7500000000000004E-2</v>
      </c>
    </row>
    <row r="17" spans="2:5" ht="21.75" customHeight="1">
      <c r="B17" s="66" t="s">
        <v>113</v>
      </c>
      <c r="C17" s="66"/>
    </row>
    <row r="18" spans="2:5">
      <c r="B18" s="16" t="s">
        <v>114</v>
      </c>
      <c r="C18" s="22">
        <v>0.1</v>
      </c>
    </row>
    <row r="19" spans="2:5">
      <c r="B19" s="16" t="s">
        <v>115</v>
      </c>
      <c r="C19" s="28">
        <f>1-C18</f>
        <v>0.9</v>
      </c>
    </row>
    <row r="21" spans="2:5" ht="21.75" customHeight="1">
      <c r="B21" s="64" t="s">
        <v>57</v>
      </c>
      <c r="C21" s="64"/>
    </row>
    <row r="22" spans="2:5" ht="24" customHeight="1">
      <c r="B22" s="10" t="s">
        <v>116</v>
      </c>
      <c r="C22" s="29">
        <f>C19*C10+C18*C15</f>
        <v>0.14377500000000001</v>
      </c>
    </row>
    <row r="24" spans="2:5" ht="15" customHeight="1">
      <c r="B24" s="65" t="s">
        <v>117</v>
      </c>
      <c r="C24" s="65"/>
      <c r="D24" s="65"/>
      <c r="E24" s="65"/>
    </row>
    <row r="25" spans="2:5">
      <c r="B25" s="65"/>
      <c r="C25" s="65"/>
      <c r="D25" s="65"/>
      <c r="E25" s="65"/>
    </row>
    <row r="26" spans="2:5">
      <c r="B26" s="65"/>
      <c r="C26" s="65"/>
      <c r="D26" s="65"/>
      <c r="E26" s="65"/>
    </row>
  </sheetData>
  <mergeCells count="7">
    <mergeCell ref="B21:C21"/>
    <mergeCell ref="B24:E26"/>
    <mergeCell ref="B2:E2"/>
    <mergeCell ref="B3:E3"/>
    <mergeCell ref="B5:C5"/>
    <mergeCell ref="B12:C12"/>
    <mergeCell ref="B17:C17"/>
  </mergeCells>
  <pageMargins left="0.75" right="0.75" top="1" bottom="1"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33DA5"/>
  </sheetPr>
  <dimension ref="B2:H33"/>
  <sheetViews>
    <sheetView showGridLines="0" zoomScaleNormal="100" workbookViewId="0">
      <pane xSplit="3" ySplit="5" topLeftCell="D6" activePane="bottomRight" state="frozen"/>
      <selection pane="bottomRight" activeCell="D13" sqref="D13"/>
      <selection pane="bottomLeft" activeCell="A6" sqref="A6"/>
      <selection pane="topRight" activeCell="D1" sqref="D1"/>
    </sheetView>
  </sheetViews>
  <sheetFormatPr defaultColWidth="8.5703125" defaultRowHeight="14.1"/>
  <cols>
    <col min="1" max="1" width="3" style="1" customWidth="1"/>
    <col min="2" max="2" width="34" style="1" customWidth="1"/>
    <col min="3" max="8" width="15" style="1" customWidth="1"/>
    <col min="9" max="9" width="3" style="1" customWidth="1"/>
    <col min="10" max="16384" width="8.5703125" style="1"/>
  </cols>
  <sheetData>
    <row r="2" spans="2:8" ht="27.75" customHeight="1">
      <c r="B2" s="74" t="s">
        <v>118</v>
      </c>
      <c r="C2" s="74"/>
      <c r="D2" s="74"/>
      <c r="E2" s="74"/>
      <c r="F2" s="74"/>
      <c r="G2" s="74"/>
      <c r="H2" s="74"/>
    </row>
    <row r="3" spans="2:8">
      <c r="B3" s="75" t="s">
        <v>119</v>
      </c>
      <c r="C3" s="75"/>
      <c r="D3" s="75"/>
      <c r="E3" s="75"/>
      <c r="F3" s="75"/>
      <c r="G3" s="75"/>
      <c r="H3" s="75"/>
    </row>
    <row r="5" spans="2:8" ht="19.5" customHeight="1">
      <c r="B5" s="18"/>
      <c r="C5" s="30" t="s">
        <v>120</v>
      </c>
      <c r="D5" s="21">
        <f>Assumptions!D21</f>
        <v>2027</v>
      </c>
      <c r="E5" s="21">
        <f>Assumptions!E21</f>
        <v>2028</v>
      </c>
      <c r="F5" s="21">
        <f>Assumptions!F21</f>
        <v>2029</v>
      </c>
      <c r="G5" s="21">
        <f>Assumptions!G21</f>
        <v>2030</v>
      </c>
      <c r="H5" s="21">
        <f>Assumptions!H21</f>
        <v>2031</v>
      </c>
    </row>
    <row r="7" spans="2:8" ht="21.75" customHeight="1">
      <c r="B7" s="66" t="s">
        <v>121</v>
      </c>
      <c r="C7" s="66"/>
      <c r="D7" s="66"/>
      <c r="E7" s="66"/>
      <c r="F7" s="66"/>
      <c r="G7" s="66"/>
      <c r="H7" s="66"/>
    </row>
    <row r="8" spans="2:8">
      <c r="B8" s="16" t="s">
        <v>122</v>
      </c>
      <c r="C8" s="31"/>
      <c r="D8" s="32">
        <f>Assumptions!D22</f>
        <v>0.55000000000000004</v>
      </c>
      <c r="E8" s="32">
        <f>Assumptions!E22</f>
        <v>0.42</v>
      </c>
      <c r="F8" s="32">
        <f>Assumptions!F22</f>
        <v>0.32</v>
      </c>
      <c r="G8" s="32">
        <f>Assumptions!G22</f>
        <v>0.25</v>
      </c>
      <c r="H8" s="32">
        <f>Assumptions!H22</f>
        <v>0.2</v>
      </c>
    </row>
    <row r="9" spans="2:8">
      <c r="B9" s="18" t="s">
        <v>76</v>
      </c>
      <c r="C9" s="33">
        <f>Assumptions!D14</f>
        <v>0</v>
      </c>
      <c r="D9" s="34">
        <f>C9*(1+D8)</f>
        <v>0</v>
      </c>
      <c r="E9" s="34">
        <f>D9*(1+E8)</f>
        <v>0</v>
      </c>
      <c r="F9" s="34">
        <f>E9*(1+F8)</f>
        <v>0</v>
      </c>
      <c r="G9" s="34">
        <f>F9*(1+G8)</f>
        <v>0</v>
      </c>
      <c r="H9" s="34">
        <f>G9*(1+H8)</f>
        <v>0</v>
      </c>
    </row>
    <row r="11" spans="2:8" ht="21.75" customHeight="1">
      <c r="B11" s="66" t="s">
        <v>123</v>
      </c>
      <c r="C11" s="66"/>
      <c r="D11" s="66"/>
      <c r="E11" s="66"/>
      <c r="F11" s="66"/>
      <c r="G11" s="66"/>
      <c r="H11" s="66"/>
    </row>
    <row r="12" spans="2:8">
      <c r="B12" s="16" t="s">
        <v>84</v>
      </c>
      <c r="D12" s="32">
        <f>Assumptions!D23</f>
        <v>-0.05</v>
      </c>
      <c r="E12" s="32">
        <f>Assumptions!E23</f>
        <v>0.05</v>
      </c>
      <c r="F12" s="32">
        <f>Assumptions!F23</f>
        <v>0.13</v>
      </c>
      <c r="G12" s="32">
        <f>Assumptions!G23</f>
        <v>0.19</v>
      </c>
      <c r="H12" s="32">
        <f>Assumptions!H23</f>
        <v>0.25</v>
      </c>
    </row>
    <row r="13" spans="2:8">
      <c r="B13" s="16" t="s">
        <v>124</v>
      </c>
      <c r="D13" s="35">
        <f>D9*D12</f>
        <v>0</v>
      </c>
      <c r="E13" s="35">
        <f>E9*E12</f>
        <v>0</v>
      </c>
      <c r="F13" s="35">
        <f>F9*F12</f>
        <v>0</v>
      </c>
      <c r="G13" s="35">
        <f>G9*G12</f>
        <v>0</v>
      </c>
      <c r="H13" s="35">
        <f>H9*H12</f>
        <v>0</v>
      </c>
    </row>
    <row r="14" spans="2:8">
      <c r="B14" s="16" t="s">
        <v>125</v>
      </c>
      <c r="D14" s="32">
        <f>Assumptions!D24</f>
        <v>1.4999999999999999E-2</v>
      </c>
      <c r="E14" s="32">
        <f>Assumptions!E24</f>
        <v>1.4999999999999999E-2</v>
      </c>
      <c r="F14" s="32">
        <f>Assumptions!F24</f>
        <v>0.02</v>
      </c>
      <c r="G14" s="32">
        <f>Assumptions!G24</f>
        <v>0.02</v>
      </c>
      <c r="H14" s="32">
        <f>Assumptions!H24</f>
        <v>0.02</v>
      </c>
    </row>
    <row r="15" spans="2:8">
      <c r="B15" s="16" t="s">
        <v>126</v>
      </c>
      <c r="D15" s="35">
        <f>D9*D14</f>
        <v>0</v>
      </c>
      <c r="E15" s="35">
        <f>E9*E14</f>
        <v>0</v>
      </c>
      <c r="F15" s="35">
        <f>F9*F14</f>
        <v>0</v>
      </c>
      <c r="G15" s="35">
        <f>G9*G14</f>
        <v>0</v>
      </c>
      <c r="H15" s="35">
        <f>H9*H14</f>
        <v>0</v>
      </c>
    </row>
    <row r="16" spans="2:8">
      <c r="B16" s="18" t="s">
        <v>127</v>
      </c>
      <c r="D16" s="34">
        <f>D13-D15</f>
        <v>0</v>
      </c>
      <c r="E16" s="34">
        <f>E13-E15</f>
        <v>0</v>
      </c>
      <c r="F16" s="34">
        <f>F13-F15</f>
        <v>0</v>
      </c>
      <c r="G16" s="34">
        <f>G13-G15</f>
        <v>0</v>
      </c>
      <c r="H16" s="34">
        <f>H13-H15</f>
        <v>0</v>
      </c>
    </row>
    <row r="17" spans="2:8">
      <c r="B17" s="16" t="s">
        <v>128</v>
      </c>
      <c r="D17" s="32">
        <f>Assumptions!D25</f>
        <v>0.25</v>
      </c>
      <c r="E17" s="32">
        <f>Assumptions!E25</f>
        <v>0.25</v>
      </c>
      <c r="F17" s="32">
        <f>Assumptions!F25</f>
        <v>0.25</v>
      </c>
      <c r="G17" s="32">
        <f>Assumptions!G25</f>
        <v>0.25</v>
      </c>
      <c r="H17" s="32">
        <f>Assumptions!H25</f>
        <v>0.25</v>
      </c>
    </row>
    <row r="18" spans="2:8">
      <c r="B18" s="16" t="s">
        <v>129</v>
      </c>
      <c r="D18" s="35">
        <f>MAX(D16,0)*D17</f>
        <v>0</v>
      </c>
      <c r="E18" s="35">
        <f>MAX(E16,0)*E17</f>
        <v>0</v>
      </c>
      <c r="F18" s="35">
        <f>MAX(F16,0)*F17</f>
        <v>0</v>
      </c>
      <c r="G18" s="35">
        <f>MAX(G16,0)*G17</f>
        <v>0</v>
      </c>
      <c r="H18" s="35">
        <f>MAX(H16,0)*H17</f>
        <v>0</v>
      </c>
    </row>
    <row r="19" spans="2:8">
      <c r="B19" s="18" t="s">
        <v>130</v>
      </c>
      <c r="D19" s="34">
        <f>D16-D18</f>
        <v>0</v>
      </c>
      <c r="E19" s="34">
        <f>E16-E18</f>
        <v>0</v>
      </c>
      <c r="F19" s="34">
        <f>F16-F18</f>
        <v>0</v>
      </c>
      <c r="G19" s="34">
        <f>G16-G18</f>
        <v>0</v>
      </c>
      <c r="H19" s="34">
        <f>H16-H18</f>
        <v>0</v>
      </c>
    </row>
    <row r="21" spans="2:8" ht="21.75" customHeight="1">
      <c r="B21" s="66" t="s">
        <v>131</v>
      </c>
      <c r="C21" s="66"/>
      <c r="D21" s="66"/>
      <c r="E21" s="66"/>
      <c r="F21" s="66"/>
      <c r="G21" s="66"/>
      <c r="H21" s="66"/>
    </row>
    <row r="22" spans="2:8">
      <c r="B22" s="16" t="s">
        <v>132</v>
      </c>
      <c r="D22" s="35">
        <f>D15</f>
        <v>0</v>
      </c>
      <c r="E22" s="35">
        <f>E15</f>
        <v>0</v>
      </c>
      <c r="F22" s="35">
        <f>F15</f>
        <v>0</v>
      </c>
      <c r="G22" s="35">
        <f>G15</f>
        <v>0</v>
      </c>
      <c r="H22" s="35">
        <f>H15</f>
        <v>0</v>
      </c>
    </row>
    <row r="23" spans="2:8">
      <c r="B23" s="16" t="s">
        <v>133</v>
      </c>
      <c r="D23" s="32">
        <f>Assumptions!D26</f>
        <v>0.02</v>
      </c>
      <c r="E23" s="32">
        <f>Assumptions!E26</f>
        <v>0.02</v>
      </c>
      <c r="F23" s="32">
        <f>Assumptions!F26</f>
        <v>0.02</v>
      </c>
      <c r="G23" s="32">
        <f>Assumptions!G26</f>
        <v>0.02</v>
      </c>
      <c r="H23" s="32">
        <f>Assumptions!H26</f>
        <v>0.02</v>
      </c>
    </row>
    <row r="24" spans="2:8">
      <c r="B24" s="16" t="s">
        <v>134</v>
      </c>
      <c r="D24" s="35">
        <f>D9*D23</f>
        <v>0</v>
      </c>
      <c r="E24" s="35">
        <f>E9*E23</f>
        <v>0</v>
      </c>
      <c r="F24" s="35">
        <f>F9*F23</f>
        <v>0</v>
      </c>
      <c r="G24" s="35">
        <f>G9*G23</f>
        <v>0</v>
      </c>
      <c r="H24" s="35">
        <f>H9*H23</f>
        <v>0</v>
      </c>
    </row>
    <row r="25" spans="2:8">
      <c r="B25" s="16" t="s">
        <v>135</v>
      </c>
      <c r="D25" s="32">
        <f>Assumptions!D27</f>
        <v>0.01</v>
      </c>
      <c r="E25" s="32">
        <f>Assumptions!E27</f>
        <v>0.01</v>
      </c>
      <c r="F25" s="32">
        <f>Assumptions!F27</f>
        <v>0.01</v>
      </c>
      <c r="G25" s="32">
        <f>Assumptions!G27</f>
        <v>0.01</v>
      </c>
      <c r="H25" s="32">
        <f>Assumptions!H27</f>
        <v>0.01</v>
      </c>
    </row>
    <row r="26" spans="2:8">
      <c r="B26" s="16" t="s">
        <v>136</v>
      </c>
      <c r="D26" s="35">
        <f>D9*D25</f>
        <v>0</v>
      </c>
      <c r="E26" s="35">
        <f>E9*E25</f>
        <v>0</v>
      </c>
      <c r="F26" s="35">
        <f>F9*F25</f>
        <v>0</v>
      </c>
      <c r="G26" s="35">
        <f>G9*G25</f>
        <v>0</v>
      </c>
      <c r="H26" s="35">
        <f>H9*H25</f>
        <v>0</v>
      </c>
    </row>
    <row r="28" spans="2:8" ht="21.75" customHeight="1">
      <c r="B28" s="64" t="s">
        <v>137</v>
      </c>
      <c r="C28" s="64"/>
      <c r="D28" s="64"/>
      <c r="E28" s="64"/>
      <c r="F28" s="64"/>
      <c r="G28" s="64"/>
      <c r="H28" s="64"/>
    </row>
    <row r="29" spans="2:8" ht="21.75" customHeight="1">
      <c r="B29" s="10" t="s">
        <v>138</v>
      </c>
      <c r="D29" s="36">
        <f>D19+D22-D24-D26</f>
        <v>0</v>
      </c>
      <c r="E29" s="36">
        <f>E19+E22-E24-E26</f>
        <v>0</v>
      </c>
      <c r="F29" s="36">
        <f>F19+F22-F24-F26</f>
        <v>0</v>
      </c>
      <c r="G29" s="36">
        <f>G19+G22-G24-G26</f>
        <v>0</v>
      </c>
      <c r="H29" s="36">
        <f>H19+H22-H24-H26</f>
        <v>0</v>
      </c>
    </row>
    <row r="31" spans="2:8" ht="15" customHeight="1">
      <c r="B31" s="65" t="s">
        <v>139</v>
      </c>
      <c r="C31" s="65"/>
      <c r="D31" s="65"/>
      <c r="E31" s="65"/>
      <c r="F31" s="65"/>
      <c r="G31" s="65"/>
      <c r="H31" s="65"/>
    </row>
    <row r="32" spans="2:8">
      <c r="B32" s="65"/>
      <c r="C32" s="65"/>
      <c r="D32" s="65"/>
      <c r="E32" s="65"/>
      <c r="F32" s="65"/>
      <c r="G32" s="65"/>
      <c r="H32" s="65"/>
    </row>
    <row r="33" spans="2:8">
      <c r="B33" s="65"/>
      <c r="C33" s="65"/>
      <c r="D33" s="65"/>
      <c r="E33" s="65"/>
      <c r="F33" s="65"/>
      <c r="G33" s="65"/>
      <c r="H33" s="65"/>
    </row>
  </sheetData>
  <mergeCells count="7">
    <mergeCell ref="B28:H28"/>
    <mergeCell ref="B31:H33"/>
    <mergeCell ref="B2:H2"/>
    <mergeCell ref="B3:H3"/>
    <mergeCell ref="B7:H7"/>
    <mergeCell ref="B11:H11"/>
    <mergeCell ref="B21:H21"/>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92876"/>
  </sheetPr>
  <dimension ref="B2:H43"/>
  <sheetViews>
    <sheetView showGridLines="0" zoomScaleNormal="100" workbookViewId="0">
      <pane xSplit="3" ySplit="5" topLeftCell="D14" activePane="bottomRight" state="frozen"/>
      <selection pane="bottomRight" activeCell="B41" sqref="B41:H43"/>
      <selection pane="bottomLeft" activeCell="A6" sqref="A6"/>
      <selection pane="topRight" activeCell="D1" sqref="D1"/>
    </sheetView>
  </sheetViews>
  <sheetFormatPr defaultColWidth="8.5703125" defaultRowHeight="14.1"/>
  <cols>
    <col min="1" max="1" width="3" style="1" customWidth="1"/>
    <col min="2" max="2" width="34" style="1" customWidth="1"/>
    <col min="3" max="8" width="15" style="1" customWidth="1"/>
    <col min="9" max="9" width="3" style="1" customWidth="1"/>
    <col min="10" max="16384" width="8.5703125" style="1"/>
  </cols>
  <sheetData>
    <row r="2" spans="2:8" ht="27.75" customHeight="1">
      <c r="B2" s="74" t="s">
        <v>140</v>
      </c>
      <c r="C2" s="74"/>
      <c r="D2" s="74"/>
      <c r="E2" s="74"/>
      <c r="F2" s="74"/>
      <c r="G2" s="74"/>
      <c r="H2" s="74"/>
    </row>
    <row r="3" spans="2:8">
      <c r="B3" s="75" t="s">
        <v>141</v>
      </c>
      <c r="C3" s="75"/>
      <c r="D3" s="75"/>
      <c r="E3" s="75"/>
      <c r="F3" s="75"/>
      <c r="G3" s="75"/>
      <c r="H3" s="75"/>
    </row>
    <row r="5" spans="2:8" ht="19.5" customHeight="1">
      <c r="B5" s="18"/>
      <c r="D5" s="21">
        <f>'Revenue &amp; FCF Build'!D5</f>
        <v>2027</v>
      </c>
      <c r="E5" s="21">
        <f>'Revenue &amp; FCF Build'!E5</f>
        <v>2028</v>
      </c>
      <c r="F5" s="21">
        <f>'Revenue &amp; FCF Build'!F5</f>
        <v>2029</v>
      </c>
      <c r="G5" s="21">
        <f>'Revenue &amp; FCF Build'!G5</f>
        <v>2030</v>
      </c>
      <c r="H5" s="21">
        <f>'Revenue &amp; FCF Build'!H5</f>
        <v>2031</v>
      </c>
    </row>
    <row r="7" spans="2:8" ht="21.75" customHeight="1">
      <c r="B7" s="66" t="s">
        <v>142</v>
      </c>
      <c r="C7" s="66"/>
      <c r="D7" s="66"/>
      <c r="E7" s="66"/>
      <c r="F7" s="66"/>
      <c r="G7" s="66"/>
      <c r="H7" s="66"/>
    </row>
    <row r="8" spans="2:8">
      <c r="B8" s="16" t="s">
        <v>143</v>
      </c>
      <c r="D8" s="68">
        <f>'WACC Calculator'!C22</f>
        <v>0.14377500000000001</v>
      </c>
      <c r="E8" s="68"/>
      <c r="F8" s="68"/>
      <c r="G8" s="68"/>
      <c r="H8" s="68"/>
    </row>
    <row r="9" spans="2:8">
      <c r="B9" s="16" t="s">
        <v>144</v>
      </c>
      <c r="D9" s="37">
        <f>1</f>
        <v>1</v>
      </c>
      <c r="E9" s="37">
        <f>2</f>
        <v>2</v>
      </c>
      <c r="F9" s="37">
        <f>3</f>
        <v>3</v>
      </c>
      <c r="G9" s="37">
        <f>4</f>
        <v>4</v>
      </c>
      <c r="H9" s="37">
        <f>5</f>
        <v>5</v>
      </c>
    </row>
    <row r="10" spans="2:8">
      <c r="B10" s="16" t="s">
        <v>137</v>
      </c>
      <c r="D10" s="38">
        <f>'Revenue &amp; FCF Build'!D29</f>
        <v>0</v>
      </c>
      <c r="E10" s="38">
        <f>'Revenue &amp; FCF Build'!E29</f>
        <v>0</v>
      </c>
      <c r="F10" s="38">
        <f>'Revenue &amp; FCF Build'!F29</f>
        <v>0</v>
      </c>
      <c r="G10" s="38">
        <f>'Revenue &amp; FCF Build'!G29</f>
        <v>0</v>
      </c>
      <c r="H10" s="38">
        <f>'Revenue &amp; FCF Build'!H29</f>
        <v>0</v>
      </c>
    </row>
    <row r="11" spans="2:8">
      <c r="B11" s="16" t="s">
        <v>145</v>
      </c>
      <c r="D11" s="39">
        <f>1/(1+$D$8)^D9</f>
        <v>0.87429782955563817</v>
      </c>
      <c r="E11" s="39">
        <f>1/(1+$D$8)^E9</f>
        <v>0.76439669476569971</v>
      </c>
      <c r="F11" s="39">
        <f>1/(1+$D$8)^F9</f>
        <v>0.66831037115315484</v>
      </c>
      <c r="G11" s="39">
        <f>1/(1+$D$8)^G9</f>
        <v>0.5843023069687262</v>
      </c>
      <c r="H11" s="39">
        <f>1/(1+$D$8)^H9</f>
        <v>0.51085423878710956</v>
      </c>
    </row>
    <row r="12" spans="2:8">
      <c r="B12" s="18" t="s">
        <v>146</v>
      </c>
      <c r="D12" s="34">
        <f>D10*D11</f>
        <v>0</v>
      </c>
      <c r="E12" s="34">
        <f>E10*E11</f>
        <v>0</v>
      </c>
      <c r="F12" s="34">
        <f>F10*F11</f>
        <v>0</v>
      </c>
      <c r="G12" s="34">
        <f>G10*G11</f>
        <v>0</v>
      </c>
      <c r="H12" s="34">
        <f>H10*H11</f>
        <v>0</v>
      </c>
    </row>
    <row r="13" spans="2:8">
      <c r="B13" s="40" t="s">
        <v>147</v>
      </c>
      <c r="D13" s="69">
        <f>SUM(D12:H12)</f>
        <v>0</v>
      </c>
      <c r="E13" s="69"/>
      <c r="F13" s="69"/>
      <c r="G13" s="69"/>
      <c r="H13" s="69"/>
    </row>
    <row r="15" spans="2:8" ht="21.75" customHeight="1">
      <c r="B15" s="66" t="s">
        <v>59</v>
      </c>
      <c r="C15" s="66"/>
      <c r="D15" s="66"/>
      <c r="E15" s="66"/>
      <c r="F15" s="66"/>
      <c r="G15" s="66"/>
      <c r="H15" s="66"/>
    </row>
    <row r="16" spans="2:8">
      <c r="B16" s="16" t="s">
        <v>148</v>
      </c>
      <c r="D16" s="67" t="str">
        <f>Assumptions!D30</f>
        <v>Average of Both</v>
      </c>
      <c r="E16" s="67"/>
      <c r="F16" s="67"/>
      <c r="G16" s="67"/>
      <c r="H16" s="67"/>
    </row>
    <row r="17" spans="2:8">
      <c r="B17" s="42" t="s">
        <v>149</v>
      </c>
    </row>
    <row r="18" spans="2:8">
      <c r="B18" s="16" t="s">
        <v>150</v>
      </c>
      <c r="D18" s="32">
        <f>Assumptions!D31</f>
        <v>3.5000000000000003E-2</v>
      </c>
    </row>
    <row r="19" spans="2:8">
      <c r="B19" s="16" t="s">
        <v>151</v>
      </c>
      <c r="D19" s="35">
        <f>H10*(1+D18)</f>
        <v>0</v>
      </c>
    </row>
    <row r="20" spans="2:8">
      <c r="B20" s="16" t="s">
        <v>152</v>
      </c>
      <c r="D20" s="35">
        <f>IFERROR(D19/($D$8-D18),0)</f>
        <v>0</v>
      </c>
    </row>
    <row r="21" spans="2:8">
      <c r="B21" s="18" t="s">
        <v>153</v>
      </c>
      <c r="D21" s="34">
        <f>D20*H11</f>
        <v>0</v>
      </c>
    </row>
    <row r="23" spans="2:8">
      <c r="B23" s="42" t="s">
        <v>154</v>
      </c>
    </row>
    <row r="24" spans="2:8">
      <c r="B24" s="16" t="s">
        <v>93</v>
      </c>
      <c r="D24" s="43">
        <f>Assumptions!D32</f>
        <v>9</v>
      </c>
    </row>
    <row r="25" spans="2:8">
      <c r="B25" s="16" t="s">
        <v>155</v>
      </c>
      <c r="D25" s="38">
        <f>'Revenue &amp; FCF Build'!H13</f>
        <v>0</v>
      </c>
    </row>
    <row r="26" spans="2:8">
      <c r="B26" s="16" t="s">
        <v>152</v>
      </c>
      <c r="D26" s="35">
        <f>D25*D24</f>
        <v>0</v>
      </c>
    </row>
    <row r="27" spans="2:8">
      <c r="B27" s="18" t="s">
        <v>156</v>
      </c>
      <c r="D27" s="34">
        <f>D26*H11</f>
        <v>0</v>
      </c>
    </row>
    <row r="29" spans="2:8">
      <c r="B29" s="40" t="s">
        <v>157</v>
      </c>
      <c r="D29" s="41">
        <f>IF(D16="Gordon Growth",D21,IF(D16="Exit Multiple",D27,AVERAGE(D21,D27)))</f>
        <v>0</v>
      </c>
    </row>
    <row r="31" spans="2:8" ht="21.75" customHeight="1">
      <c r="B31" s="64" t="s">
        <v>158</v>
      </c>
      <c r="C31" s="64"/>
      <c r="D31" s="64"/>
      <c r="E31" s="64"/>
      <c r="F31" s="64"/>
      <c r="G31" s="64"/>
      <c r="H31" s="64"/>
    </row>
    <row r="32" spans="2:8">
      <c r="B32" s="16" t="s">
        <v>147</v>
      </c>
      <c r="D32" s="35">
        <f>D13</f>
        <v>0</v>
      </c>
    </row>
    <row r="33" spans="2:8">
      <c r="B33" s="16" t="s">
        <v>159</v>
      </c>
      <c r="D33" s="35">
        <f>D29</f>
        <v>0</v>
      </c>
    </row>
    <row r="34" spans="2:8" ht="21.75" customHeight="1">
      <c r="B34" s="10" t="s">
        <v>61</v>
      </c>
      <c r="D34" s="44">
        <f>D13+D29</f>
        <v>0</v>
      </c>
    </row>
    <row r="35" spans="2:8">
      <c r="B35" s="16" t="s">
        <v>160</v>
      </c>
      <c r="D35" s="38">
        <f>Assumptions!D16</f>
        <v>0</v>
      </c>
    </row>
    <row r="36" spans="2:8">
      <c r="B36" s="16" t="s">
        <v>161</v>
      </c>
      <c r="D36" s="38">
        <f>-Assumptions!D17</f>
        <v>0</v>
      </c>
    </row>
    <row r="37" spans="2:8" ht="21.75" customHeight="1">
      <c r="B37" s="10" t="s">
        <v>63</v>
      </c>
      <c r="D37" s="44">
        <f>D34+D35+D36</f>
        <v>0</v>
      </c>
    </row>
    <row r="38" spans="2:8">
      <c r="B38" s="16" t="s">
        <v>80</v>
      </c>
      <c r="D38" s="45">
        <f>Assumptions!D18</f>
        <v>0</v>
      </c>
    </row>
    <row r="39" spans="2:8" ht="24" customHeight="1">
      <c r="B39" s="46" t="s">
        <v>162</v>
      </c>
      <c r="D39" s="47">
        <f>IFERROR(D37/D38,0)</f>
        <v>0</v>
      </c>
    </row>
    <row r="41" spans="2:8" ht="15" customHeight="1">
      <c r="B41" s="65" t="s">
        <v>163</v>
      </c>
      <c r="C41" s="65"/>
      <c r="D41" s="65"/>
      <c r="E41" s="65"/>
      <c r="F41" s="65"/>
      <c r="G41" s="65"/>
      <c r="H41" s="65"/>
    </row>
    <row r="42" spans="2:8">
      <c r="B42" s="65"/>
      <c r="C42" s="65"/>
      <c r="D42" s="65"/>
      <c r="E42" s="65"/>
      <c r="F42" s="65"/>
      <c r="G42" s="65"/>
      <c r="H42" s="65"/>
    </row>
    <row r="43" spans="2:8">
      <c r="B43" s="65"/>
      <c r="C43" s="65"/>
      <c r="D43" s="65"/>
      <c r="E43" s="65"/>
      <c r="F43" s="65"/>
      <c r="G43" s="65"/>
      <c r="H43" s="65"/>
    </row>
  </sheetData>
  <mergeCells count="9">
    <mergeCell ref="B15:H15"/>
    <mergeCell ref="D16:H16"/>
    <mergeCell ref="B31:H31"/>
    <mergeCell ref="B41:H43"/>
    <mergeCell ref="B2:H2"/>
    <mergeCell ref="B3:H3"/>
    <mergeCell ref="B7:H7"/>
    <mergeCell ref="D8:H8"/>
    <mergeCell ref="D13:H13"/>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72894"/>
  </sheetPr>
  <dimension ref="B2:G27"/>
  <sheetViews>
    <sheetView showGridLines="0" zoomScaleNormal="100" workbookViewId="0">
      <selection activeCell="K13" sqref="K13"/>
    </sheetView>
  </sheetViews>
  <sheetFormatPr defaultColWidth="8.5703125" defaultRowHeight="14.1"/>
  <cols>
    <col min="1" max="1" width="3" style="5" customWidth="1"/>
    <col min="2" max="2" width="22" style="5" customWidth="1"/>
    <col min="3" max="7" width="14" style="5" customWidth="1"/>
    <col min="8" max="8" width="3" style="5" customWidth="1"/>
    <col min="9" max="16384" width="8.5703125" style="5"/>
  </cols>
  <sheetData>
    <row r="2" spans="2:7" ht="27.75" customHeight="1">
      <c r="B2" s="56" t="s">
        <v>164</v>
      </c>
      <c r="C2" s="56"/>
      <c r="D2" s="56"/>
      <c r="E2" s="56"/>
      <c r="F2" s="56"/>
      <c r="G2" s="56"/>
    </row>
    <row r="3" spans="2:7">
      <c r="B3" s="57" t="s">
        <v>165</v>
      </c>
      <c r="C3" s="57"/>
      <c r="D3" s="57"/>
      <c r="E3" s="57"/>
      <c r="F3" s="57"/>
      <c r="G3" s="57"/>
    </row>
    <row r="5" spans="2:7" ht="21.75" customHeight="1">
      <c r="B5" s="54" t="s">
        <v>166</v>
      </c>
      <c r="C5" s="54"/>
      <c r="D5" s="54"/>
      <c r="E5" s="54"/>
      <c r="F5" s="54"/>
      <c r="G5" s="54"/>
    </row>
    <row r="6" spans="2:7" ht="25.5" customHeight="1">
      <c r="B6" s="48" t="s">
        <v>167</v>
      </c>
      <c r="C6" s="49">
        <f>Assumptions!D31+(-0.01)</f>
        <v>2.5000000000000001E-2</v>
      </c>
      <c r="D6" s="49">
        <f>Assumptions!D31+(-0.005)</f>
        <v>3.0000000000000002E-2</v>
      </c>
      <c r="E6" s="49">
        <f>Assumptions!D31+(0)</f>
        <v>3.5000000000000003E-2</v>
      </c>
      <c r="F6" s="49">
        <f>Assumptions!D31+(0.005)</f>
        <v>0.04</v>
      </c>
      <c r="G6" s="49">
        <f>Assumptions!D31+(0.01)</f>
        <v>4.5000000000000005E-2</v>
      </c>
    </row>
    <row r="7" spans="2:7" ht="18" customHeight="1">
      <c r="B7" s="50">
        <f>'WACC Calculator'!C22+(-0.02)</f>
        <v>0.12377500000000001</v>
      </c>
      <c r="C7" s="35">
        <f>IFERROR('Revenue &amp; FCF Build'!$D$29/(1+$B7)^1+'Revenue &amp; FCF Build'!$E$29/(1+$B7)^2+'Revenue &amp; FCF Build'!$F$29/(1+$B7)^3+'Revenue &amp; FCF Build'!$G$29/(1+$B7)^4+'Revenue &amp; FCF Build'!$H$29/(1+$B7)^5+('Revenue &amp; FCF Build'!$H$29*(1+C$6)/($B7-C$6))/(1+$B7)^5,0)</f>
        <v>0</v>
      </c>
      <c r="D7" s="35">
        <f>IFERROR('Revenue &amp; FCF Build'!$D$29/(1+$B7)^1+'Revenue &amp; FCF Build'!$E$29/(1+$B7)^2+'Revenue &amp; FCF Build'!$F$29/(1+$B7)^3+'Revenue &amp; FCF Build'!$G$29/(1+$B7)^4+'Revenue &amp; FCF Build'!$H$29/(1+$B7)^5+('Revenue &amp; FCF Build'!$H$29*(1+D$6)/($B7-D$6))/(1+$B7)^5,0)</f>
        <v>0</v>
      </c>
      <c r="E7" s="35">
        <f>IFERROR('Revenue &amp; FCF Build'!$D$29/(1+$B7)^1+'Revenue &amp; FCF Build'!$E$29/(1+$B7)^2+'Revenue &amp; FCF Build'!$F$29/(1+$B7)^3+'Revenue &amp; FCF Build'!$G$29/(1+$B7)^4+'Revenue &amp; FCF Build'!$H$29/(1+$B7)^5+('Revenue &amp; FCF Build'!$H$29*(1+E$6)/($B7-E$6))/(1+$B7)^5,0)</f>
        <v>0</v>
      </c>
      <c r="F7" s="35">
        <f>IFERROR('Revenue &amp; FCF Build'!$D$29/(1+$B7)^1+'Revenue &amp; FCF Build'!$E$29/(1+$B7)^2+'Revenue &amp; FCF Build'!$F$29/(1+$B7)^3+'Revenue &amp; FCF Build'!$G$29/(1+$B7)^4+'Revenue &amp; FCF Build'!$H$29/(1+$B7)^5+('Revenue &amp; FCF Build'!$H$29*(1+F$6)/($B7-F$6))/(1+$B7)^5,0)</f>
        <v>0</v>
      </c>
      <c r="G7" s="35">
        <f>IFERROR('Revenue &amp; FCF Build'!$D$29/(1+$B7)^1+'Revenue &amp; FCF Build'!$E$29/(1+$B7)^2+'Revenue &amp; FCF Build'!$F$29/(1+$B7)^3+'Revenue &amp; FCF Build'!$G$29/(1+$B7)^4+'Revenue &amp; FCF Build'!$H$29/(1+$B7)^5+('Revenue &amp; FCF Build'!$H$29*(1+G$6)/($B7-G$6))/(1+$B7)^5,0)</f>
        <v>0</v>
      </c>
    </row>
    <row r="8" spans="2:7" ht="18" customHeight="1">
      <c r="B8" s="50">
        <f>'WACC Calculator'!C22+(-0.01)</f>
        <v>0.13377500000000001</v>
      </c>
      <c r="C8" s="35">
        <f>IFERROR('Revenue &amp; FCF Build'!$D$29/(1+$B8)^1+'Revenue &amp; FCF Build'!$E$29/(1+$B8)^2+'Revenue &amp; FCF Build'!$F$29/(1+$B8)^3+'Revenue &amp; FCF Build'!$G$29/(1+$B8)^4+'Revenue &amp; FCF Build'!$H$29/(1+$B8)^5+('Revenue &amp; FCF Build'!$H$29*(1+C$6)/($B8-C$6))/(1+$B8)^5,0)</f>
        <v>0</v>
      </c>
      <c r="D8" s="35">
        <f>IFERROR('Revenue &amp; FCF Build'!$D$29/(1+$B8)^1+'Revenue &amp; FCF Build'!$E$29/(1+$B8)^2+'Revenue &amp; FCF Build'!$F$29/(1+$B8)^3+'Revenue &amp; FCF Build'!$G$29/(1+$B8)^4+'Revenue &amp; FCF Build'!$H$29/(1+$B8)^5+('Revenue &amp; FCF Build'!$H$29*(1+D$6)/($B8-D$6))/(1+$B8)^5,0)</f>
        <v>0</v>
      </c>
      <c r="E8" s="35">
        <f>IFERROR('Revenue &amp; FCF Build'!$D$29/(1+$B8)^1+'Revenue &amp; FCF Build'!$E$29/(1+$B8)^2+'Revenue &amp; FCF Build'!$F$29/(1+$B8)^3+'Revenue &amp; FCF Build'!$G$29/(1+$B8)^4+'Revenue &amp; FCF Build'!$H$29/(1+$B8)^5+('Revenue &amp; FCF Build'!$H$29*(1+E$6)/($B8-E$6))/(1+$B8)^5,0)</f>
        <v>0</v>
      </c>
      <c r="F8" s="35">
        <f>IFERROR('Revenue &amp; FCF Build'!$D$29/(1+$B8)^1+'Revenue &amp; FCF Build'!$E$29/(1+$B8)^2+'Revenue &amp; FCF Build'!$F$29/(1+$B8)^3+'Revenue &amp; FCF Build'!$G$29/(1+$B8)^4+'Revenue &amp; FCF Build'!$H$29/(1+$B8)^5+('Revenue &amp; FCF Build'!$H$29*(1+F$6)/($B8-F$6))/(1+$B8)^5,0)</f>
        <v>0</v>
      </c>
      <c r="G8" s="35">
        <f>IFERROR('Revenue &amp; FCF Build'!$D$29/(1+$B8)^1+'Revenue &amp; FCF Build'!$E$29/(1+$B8)^2+'Revenue &amp; FCF Build'!$F$29/(1+$B8)^3+'Revenue &amp; FCF Build'!$G$29/(1+$B8)^4+'Revenue &amp; FCF Build'!$H$29/(1+$B8)^5+('Revenue &amp; FCF Build'!$H$29*(1+G$6)/($B8-G$6))/(1+$B8)^5,0)</f>
        <v>0</v>
      </c>
    </row>
    <row r="9" spans="2:7" ht="18" customHeight="1">
      <c r="B9" s="50">
        <f>'WACC Calculator'!C22+(0)</f>
        <v>0.14377500000000001</v>
      </c>
      <c r="C9" s="35">
        <f>IFERROR('Revenue &amp; FCF Build'!$D$29/(1+$B9)^1+'Revenue &amp; FCF Build'!$E$29/(1+$B9)^2+'Revenue &amp; FCF Build'!$F$29/(1+$B9)^3+'Revenue &amp; FCF Build'!$G$29/(1+$B9)^4+'Revenue &amp; FCF Build'!$H$29/(1+$B9)^5+('Revenue &amp; FCF Build'!$H$29*(1+C$6)/($B9-C$6))/(1+$B9)^5,0)</f>
        <v>0</v>
      </c>
      <c r="D9" s="35">
        <f>IFERROR('Revenue &amp; FCF Build'!$D$29/(1+$B9)^1+'Revenue &amp; FCF Build'!$E$29/(1+$B9)^2+'Revenue &amp; FCF Build'!$F$29/(1+$B9)^3+'Revenue &amp; FCF Build'!$G$29/(1+$B9)^4+'Revenue &amp; FCF Build'!$H$29/(1+$B9)^5+('Revenue &amp; FCF Build'!$H$29*(1+D$6)/($B9-D$6))/(1+$B9)^5,0)</f>
        <v>0</v>
      </c>
      <c r="E9" s="51">
        <f>IFERROR('Revenue &amp; FCF Build'!$D$29/(1+$B9)^1+'Revenue &amp; FCF Build'!$E$29/(1+$B9)^2+'Revenue &amp; FCF Build'!$F$29/(1+$B9)^3+'Revenue &amp; FCF Build'!$G$29/(1+$B9)^4+'Revenue &amp; FCF Build'!$H$29/(1+$B9)^5+('Revenue &amp; FCF Build'!$H$29*(1+E$6)/($B9-E$6))/(1+$B9)^5,0)</f>
        <v>0</v>
      </c>
      <c r="F9" s="35">
        <f>IFERROR('Revenue &amp; FCF Build'!$D$29/(1+$B9)^1+'Revenue &amp; FCF Build'!$E$29/(1+$B9)^2+'Revenue &amp; FCF Build'!$F$29/(1+$B9)^3+'Revenue &amp; FCF Build'!$G$29/(1+$B9)^4+'Revenue &amp; FCF Build'!$H$29/(1+$B9)^5+('Revenue &amp; FCF Build'!$H$29*(1+F$6)/($B9-F$6))/(1+$B9)^5,0)</f>
        <v>0</v>
      </c>
      <c r="G9" s="35">
        <f>IFERROR('Revenue &amp; FCF Build'!$D$29/(1+$B9)^1+'Revenue &amp; FCF Build'!$E$29/(1+$B9)^2+'Revenue &amp; FCF Build'!$F$29/(1+$B9)^3+'Revenue &amp; FCF Build'!$G$29/(1+$B9)^4+'Revenue &amp; FCF Build'!$H$29/(1+$B9)^5+('Revenue &amp; FCF Build'!$H$29*(1+G$6)/($B9-G$6))/(1+$B9)^5,0)</f>
        <v>0</v>
      </c>
    </row>
    <row r="10" spans="2:7" ht="18" customHeight="1">
      <c r="B10" s="50">
        <f>'WACC Calculator'!C22+(0.01)</f>
        <v>0.15377500000000002</v>
      </c>
      <c r="C10" s="35">
        <f>IFERROR('Revenue &amp; FCF Build'!$D$29/(1+$B10)^1+'Revenue &amp; FCF Build'!$E$29/(1+$B10)^2+'Revenue &amp; FCF Build'!$F$29/(1+$B10)^3+'Revenue &amp; FCF Build'!$G$29/(1+$B10)^4+'Revenue &amp; FCF Build'!$H$29/(1+$B10)^5+('Revenue &amp; FCF Build'!$H$29*(1+C$6)/($B10-C$6))/(1+$B10)^5,0)</f>
        <v>0</v>
      </c>
      <c r="D10" s="35">
        <f>IFERROR('Revenue &amp; FCF Build'!$D$29/(1+$B10)^1+'Revenue &amp; FCF Build'!$E$29/(1+$B10)^2+'Revenue &amp; FCF Build'!$F$29/(1+$B10)^3+'Revenue &amp; FCF Build'!$G$29/(1+$B10)^4+'Revenue &amp; FCF Build'!$H$29/(1+$B10)^5+('Revenue &amp; FCF Build'!$H$29*(1+D$6)/($B10-D$6))/(1+$B10)^5,0)</f>
        <v>0</v>
      </c>
      <c r="E10" s="35">
        <f>IFERROR('Revenue &amp; FCF Build'!$D$29/(1+$B10)^1+'Revenue &amp; FCF Build'!$E$29/(1+$B10)^2+'Revenue &amp; FCF Build'!$F$29/(1+$B10)^3+'Revenue &amp; FCF Build'!$G$29/(1+$B10)^4+'Revenue &amp; FCF Build'!$H$29/(1+$B10)^5+('Revenue &amp; FCF Build'!$H$29*(1+E$6)/($B10-E$6))/(1+$B10)^5,0)</f>
        <v>0</v>
      </c>
      <c r="F10" s="35">
        <f>IFERROR('Revenue &amp; FCF Build'!$D$29/(1+$B10)^1+'Revenue &amp; FCF Build'!$E$29/(1+$B10)^2+'Revenue &amp; FCF Build'!$F$29/(1+$B10)^3+'Revenue &amp; FCF Build'!$G$29/(1+$B10)^4+'Revenue &amp; FCF Build'!$H$29/(1+$B10)^5+('Revenue &amp; FCF Build'!$H$29*(1+F$6)/($B10-F$6))/(1+$B10)^5,0)</f>
        <v>0</v>
      </c>
      <c r="G10" s="35">
        <f>IFERROR('Revenue &amp; FCF Build'!$D$29/(1+$B10)^1+'Revenue &amp; FCF Build'!$E$29/(1+$B10)^2+'Revenue &amp; FCF Build'!$F$29/(1+$B10)^3+'Revenue &amp; FCF Build'!$G$29/(1+$B10)^4+'Revenue &amp; FCF Build'!$H$29/(1+$B10)^5+('Revenue &amp; FCF Build'!$H$29*(1+G$6)/($B10-G$6))/(1+$B10)^5,0)</f>
        <v>0</v>
      </c>
    </row>
    <row r="11" spans="2:7" ht="18" customHeight="1">
      <c r="B11" s="50">
        <f>'WACC Calculator'!C22+(0.02)</f>
        <v>0.163775</v>
      </c>
      <c r="C11" s="35">
        <f>IFERROR('Revenue &amp; FCF Build'!$D$29/(1+$B11)^1+'Revenue &amp; FCF Build'!$E$29/(1+$B11)^2+'Revenue &amp; FCF Build'!$F$29/(1+$B11)^3+'Revenue &amp; FCF Build'!$G$29/(1+$B11)^4+'Revenue &amp; FCF Build'!$H$29/(1+$B11)^5+('Revenue &amp; FCF Build'!$H$29*(1+C$6)/($B11-C$6))/(1+$B11)^5,0)</f>
        <v>0</v>
      </c>
      <c r="D11" s="35">
        <f>IFERROR('Revenue &amp; FCF Build'!$D$29/(1+$B11)^1+'Revenue &amp; FCF Build'!$E$29/(1+$B11)^2+'Revenue &amp; FCF Build'!$F$29/(1+$B11)^3+'Revenue &amp; FCF Build'!$G$29/(1+$B11)^4+'Revenue &amp; FCF Build'!$H$29/(1+$B11)^5+('Revenue &amp; FCF Build'!$H$29*(1+D$6)/($B11-D$6))/(1+$B11)^5,0)</f>
        <v>0</v>
      </c>
      <c r="E11" s="35">
        <f>IFERROR('Revenue &amp; FCF Build'!$D$29/(1+$B11)^1+'Revenue &amp; FCF Build'!$E$29/(1+$B11)^2+'Revenue &amp; FCF Build'!$F$29/(1+$B11)^3+'Revenue &amp; FCF Build'!$G$29/(1+$B11)^4+'Revenue &amp; FCF Build'!$H$29/(1+$B11)^5+('Revenue &amp; FCF Build'!$H$29*(1+E$6)/($B11-E$6))/(1+$B11)^5,0)</f>
        <v>0</v>
      </c>
      <c r="F11" s="35">
        <f>IFERROR('Revenue &amp; FCF Build'!$D$29/(1+$B11)^1+'Revenue &amp; FCF Build'!$E$29/(1+$B11)^2+'Revenue &amp; FCF Build'!$F$29/(1+$B11)^3+'Revenue &amp; FCF Build'!$G$29/(1+$B11)^4+'Revenue &amp; FCF Build'!$H$29/(1+$B11)^5+('Revenue &amp; FCF Build'!$H$29*(1+F$6)/($B11-F$6))/(1+$B11)^5,0)</f>
        <v>0</v>
      </c>
      <c r="G11" s="35">
        <f>IFERROR('Revenue &amp; FCF Build'!$D$29/(1+$B11)^1+'Revenue &amp; FCF Build'!$E$29/(1+$B11)^2+'Revenue &amp; FCF Build'!$F$29/(1+$B11)^3+'Revenue &amp; FCF Build'!$G$29/(1+$B11)^4+'Revenue &amp; FCF Build'!$H$29/(1+$B11)^5+('Revenue &amp; FCF Build'!$H$29*(1+G$6)/($B11-G$6))/(1+$B11)^5,0)</f>
        <v>0</v>
      </c>
    </row>
    <row r="13" spans="2:7">
      <c r="B13" s="70" t="s">
        <v>168</v>
      </c>
      <c r="C13" s="70"/>
      <c r="D13" s="70"/>
      <c r="E13" s="70"/>
      <c r="F13" s="70"/>
      <c r="G13" s="70"/>
    </row>
    <row r="15" spans="2:7" ht="21.75" customHeight="1">
      <c r="B15" s="54" t="s">
        <v>169</v>
      </c>
      <c r="C15" s="54"/>
      <c r="D15" s="54"/>
      <c r="E15" s="54"/>
      <c r="F15" s="54"/>
      <c r="G15" s="54"/>
    </row>
    <row r="16" spans="2:7" ht="25.5" customHeight="1">
      <c r="B16" s="48" t="s">
        <v>170</v>
      </c>
      <c r="C16" s="52">
        <f>Assumptions!D32+(-2)</f>
        <v>7</v>
      </c>
      <c r="D16" s="52">
        <f>Assumptions!D32+(-1)</f>
        <v>8</v>
      </c>
      <c r="E16" s="52">
        <f>Assumptions!D32+(0)</f>
        <v>9</v>
      </c>
      <c r="F16" s="52">
        <f>Assumptions!D32+(1)</f>
        <v>10</v>
      </c>
      <c r="G16" s="52">
        <f>Assumptions!D32+(2)</f>
        <v>11</v>
      </c>
    </row>
    <row r="17" spans="2:7" ht="18" customHeight="1">
      <c r="B17" s="50">
        <f>'WACC Calculator'!C22+(-0.02)</f>
        <v>0.12377500000000001</v>
      </c>
      <c r="C17" s="35">
        <f>'Revenue &amp; FCF Build'!$D$29/(1+$B17)^1+'Revenue &amp; FCF Build'!$E$29/(1+$B17)^2+'Revenue &amp; FCF Build'!$F$29/(1+$B17)^3+'Revenue &amp; FCF Build'!$G$29/(1+$B17)^4+'Revenue &amp; FCF Build'!$H$29/(1+$B17)^5+('Revenue &amp; FCF Build'!$H$13*C$16)/(1+$B17)^5</f>
        <v>0</v>
      </c>
      <c r="D17" s="35">
        <f>'Revenue &amp; FCF Build'!$D$29/(1+$B17)^1+'Revenue &amp; FCF Build'!$E$29/(1+$B17)^2+'Revenue &amp; FCF Build'!$F$29/(1+$B17)^3+'Revenue &amp; FCF Build'!$G$29/(1+$B17)^4+'Revenue &amp; FCF Build'!$H$29/(1+$B17)^5+('Revenue &amp; FCF Build'!$H$13*D$16)/(1+$B17)^5</f>
        <v>0</v>
      </c>
      <c r="E17" s="35">
        <f>'Revenue &amp; FCF Build'!$D$29/(1+$B17)^1+'Revenue &amp; FCF Build'!$E$29/(1+$B17)^2+'Revenue &amp; FCF Build'!$F$29/(1+$B17)^3+'Revenue &amp; FCF Build'!$G$29/(1+$B17)^4+'Revenue &amp; FCF Build'!$H$29/(1+$B17)^5+('Revenue &amp; FCF Build'!$H$13*E$16)/(1+$B17)^5</f>
        <v>0</v>
      </c>
      <c r="F17" s="35">
        <f>'Revenue &amp; FCF Build'!$D$29/(1+$B17)^1+'Revenue &amp; FCF Build'!$E$29/(1+$B17)^2+'Revenue &amp; FCF Build'!$F$29/(1+$B17)^3+'Revenue &amp; FCF Build'!$G$29/(1+$B17)^4+'Revenue &amp; FCF Build'!$H$29/(1+$B17)^5+('Revenue &amp; FCF Build'!$H$13*F$16)/(1+$B17)^5</f>
        <v>0</v>
      </c>
      <c r="G17" s="35">
        <f>'Revenue &amp; FCF Build'!$D$29/(1+$B17)^1+'Revenue &amp; FCF Build'!$E$29/(1+$B17)^2+'Revenue &amp; FCF Build'!$F$29/(1+$B17)^3+'Revenue &amp; FCF Build'!$G$29/(1+$B17)^4+'Revenue &amp; FCF Build'!$H$29/(1+$B17)^5+('Revenue &amp; FCF Build'!$H$13*G$16)/(1+$B17)^5</f>
        <v>0</v>
      </c>
    </row>
    <row r="18" spans="2:7" ht="18" customHeight="1">
      <c r="B18" s="50">
        <f>'WACC Calculator'!C22+(-0.01)</f>
        <v>0.13377500000000001</v>
      </c>
      <c r="C18" s="35">
        <f>'Revenue &amp; FCF Build'!$D$29/(1+$B18)^1+'Revenue &amp; FCF Build'!$E$29/(1+$B18)^2+'Revenue &amp; FCF Build'!$F$29/(1+$B18)^3+'Revenue &amp; FCF Build'!$G$29/(1+$B18)^4+'Revenue &amp; FCF Build'!$H$29/(1+$B18)^5+('Revenue &amp; FCF Build'!$H$13*C$16)/(1+$B18)^5</f>
        <v>0</v>
      </c>
      <c r="D18" s="35">
        <f>'Revenue &amp; FCF Build'!$D$29/(1+$B18)^1+'Revenue &amp; FCF Build'!$E$29/(1+$B18)^2+'Revenue &amp; FCF Build'!$F$29/(1+$B18)^3+'Revenue &amp; FCF Build'!$G$29/(1+$B18)^4+'Revenue &amp; FCF Build'!$H$29/(1+$B18)^5+('Revenue &amp; FCF Build'!$H$13*D$16)/(1+$B18)^5</f>
        <v>0</v>
      </c>
      <c r="E18" s="35">
        <f>'Revenue &amp; FCF Build'!$D$29/(1+$B18)^1+'Revenue &amp; FCF Build'!$E$29/(1+$B18)^2+'Revenue &amp; FCF Build'!$F$29/(1+$B18)^3+'Revenue &amp; FCF Build'!$G$29/(1+$B18)^4+'Revenue &amp; FCF Build'!$H$29/(1+$B18)^5+('Revenue &amp; FCF Build'!$H$13*E$16)/(1+$B18)^5</f>
        <v>0</v>
      </c>
      <c r="F18" s="35">
        <f>'Revenue &amp; FCF Build'!$D$29/(1+$B18)^1+'Revenue &amp; FCF Build'!$E$29/(1+$B18)^2+'Revenue &amp; FCF Build'!$F$29/(1+$B18)^3+'Revenue &amp; FCF Build'!$G$29/(1+$B18)^4+'Revenue &amp; FCF Build'!$H$29/(1+$B18)^5+('Revenue &amp; FCF Build'!$H$13*F$16)/(1+$B18)^5</f>
        <v>0</v>
      </c>
      <c r="G18" s="35">
        <f>'Revenue &amp; FCF Build'!$D$29/(1+$B18)^1+'Revenue &amp; FCF Build'!$E$29/(1+$B18)^2+'Revenue &amp; FCF Build'!$F$29/(1+$B18)^3+'Revenue &amp; FCF Build'!$G$29/(1+$B18)^4+'Revenue &amp; FCF Build'!$H$29/(1+$B18)^5+('Revenue &amp; FCF Build'!$H$13*G$16)/(1+$B18)^5</f>
        <v>0</v>
      </c>
    </row>
    <row r="19" spans="2:7" ht="18" customHeight="1">
      <c r="B19" s="50">
        <f>'WACC Calculator'!C22+(0)</f>
        <v>0.14377500000000001</v>
      </c>
      <c r="C19" s="35">
        <f>'Revenue &amp; FCF Build'!$D$29/(1+$B19)^1+'Revenue &amp; FCF Build'!$E$29/(1+$B19)^2+'Revenue &amp; FCF Build'!$F$29/(1+$B19)^3+'Revenue &amp; FCF Build'!$G$29/(1+$B19)^4+'Revenue &amp; FCF Build'!$H$29/(1+$B19)^5+('Revenue &amp; FCF Build'!$H$13*C$16)/(1+$B19)^5</f>
        <v>0</v>
      </c>
      <c r="D19" s="35">
        <f>'Revenue &amp; FCF Build'!$D$29/(1+$B19)^1+'Revenue &amp; FCF Build'!$E$29/(1+$B19)^2+'Revenue &amp; FCF Build'!$F$29/(1+$B19)^3+'Revenue &amp; FCF Build'!$G$29/(1+$B19)^4+'Revenue &amp; FCF Build'!$H$29/(1+$B19)^5+('Revenue &amp; FCF Build'!$H$13*D$16)/(1+$B19)^5</f>
        <v>0</v>
      </c>
      <c r="E19" s="51">
        <f>'Revenue &amp; FCF Build'!$D$29/(1+$B19)^1+'Revenue &amp; FCF Build'!$E$29/(1+$B19)^2+'Revenue &amp; FCF Build'!$F$29/(1+$B19)^3+'Revenue &amp; FCF Build'!$G$29/(1+$B19)^4+'Revenue &amp; FCF Build'!$H$29/(1+$B19)^5+('Revenue &amp; FCF Build'!$H$13*E$16)/(1+$B19)^5</f>
        <v>0</v>
      </c>
      <c r="F19" s="35">
        <f>'Revenue &amp; FCF Build'!$D$29/(1+$B19)^1+'Revenue &amp; FCF Build'!$E$29/(1+$B19)^2+'Revenue &amp; FCF Build'!$F$29/(1+$B19)^3+'Revenue &amp; FCF Build'!$G$29/(1+$B19)^4+'Revenue &amp; FCF Build'!$H$29/(1+$B19)^5+('Revenue &amp; FCF Build'!$H$13*F$16)/(1+$B19)^5</f>
        <v>0</v>
      </c>
      <c r="G19" s="35">
        <f>'Revenue &amp; FCF Build'!$D$29/(1+$B19)^1+'Revenue &amp; FCF Build'!$E$29/(1+$B19)^2+'Revenue &amp; FCF Build'!$F$29/(1+$B19)^3+'Revenue &amp; FCF Build'!$G$29/(1+$B19)^4+'Revenue &amp; FCF Build'!$H$29/(1+$B19)^5+('Revenue &amp; FCF Build'!$H$13*G$16)/(1+$B19)^5</f>
        <v>0</v>
      </c>
    </row>
    <row r="20" spans="2:7" ht="18" customHeight="1">
      <c r="B20" s="50">
        <f>'WACC Calculator'!C22+(0.01)</f>
        <v>0.15377500000000002</v>
      </c>
      <c r="C20" s="35">
        <f>'Revenue &amp; FCF Build'!$D$29/(1+$B20)^1+'Revenue &amp; FCF Build'!$E$29/(1+$B20)^2+'Revenue &amp; FCF Build'!$F$29/(1+$B20)^3+'Revenue &amp; FCF Build'!$G$29/(1+$B20)^4+'Revenue &amp; FCF Build'!$H$29/(1+$B20)^5+('Revenue &amp; FCF Build'!$H$13*C$16)/(1+$B20)^5</f>
        <v>0</v>
      </c>
      <c r="D20" s="35">
        <f>'Revenue &amp; FCF Build'!$D$29/(1+$B20)^1+'Revenue &amp; FCF Build'!$E$29/(1+$B20)^2+'Revenue &amp; FCF Build'!$F$29/(1+$B20)^3+'Revenue &amp; FCF Build'!$G$29/(1+$B20)^4+'Revenue &amp; FCF Build'!$H$29/(1+$B20)^5+('Revenue &amp; FCF Build'!$H$13*D$16)/(1+$B20)^5</f>
        <v>0</v>
      </c>
      <c r="E20" s="35">
        <f>'Revenue &amp; FCF Build'!$D$29/(1+$B20)^1+'Revenue &amp; FCF Build'!$E$29/(1+$B20)^2+'Revenue &amp; FCF Build'!$F$29/(1+$B20)^3+'Revenue &amp; FCF Build'!$G$29/(1+$B20)^4+'Revenue &amp; FCF Build'!$H$29/(1+$B20)^5+('Revenue &amp; FCF Build'!$H$13*E$16)/(1+$B20)^5</f>
        <v>0</v>
      </c>
      <c r="F20" s="35">
        <f>'Revenue &amp; FCF Build'!$D$29/(1+$B20)^1+'Revenue &amp; FCF Build'!$E$29/(1+$B20)^2+'Revenue &amp; FCF Build'!$F$29/(1+$B20)^3+'Revenue &amp; FCF Build'!$G$29/(1+$B20)^4+'Revenue &amp; FCF Build'!$H$29/(1+$B20)^5+('Revenue &amp; FCF Build'!$H$13*F$16)/(1+$B20)^5</f>
        <v>0</v>
      </c>
      <c r="G20" s="35">
        <f>'Revenue &amp; FCF Build'!$D$29/(1+$B20)^1+'Revenue &amp; FCF Build'!$E$29/(1+$B20)^2+'Revenue &amp; FCF Build'!$F$29/(1+$B20)^3+'Revenue &amp; FCF Build'!$G$29/(1+$B20)^4+'Revenue &amp; FCF Build'!$H$29/(1+$B20)^5+('Revenue &amp; FCF Build'!$H$13*G$16)/(1+$B20)^5</f>
        <v>0</v>
      </c>
    </row>
    <row r="21" spans="2:7" ht="18" customHeight="1">
      <c r="B21" s="50">
        <f>'WACC Calculator'!C22+(0.02)</f>
        <v>0.163775</v>
      </c>
      <c r="C21" s="35">
        <f>'Revenue &amp; FCF Build'!$D$29/(1+$B21)^1+'Revenue &amp; FCF Build'!$E$29/(1+$B21)^2+'Revenue &amp; FCF Build'!$F$29/(1+$B21)^3+'Revenue &amp; FCF Build'!$G$29/(1+$B21)^4+'Revenue &amp; FCF Build'!$H$29/(1+$B21)^5+('Revenue &amp; FCF Build'!$H$13*C$16)/(1+$B21)^5</f>
        <v>0</v>
      </c>
      <c r="D21" s="35">
        <f>'Revenue &amp; FCF Build'!$D$29/(1+$B21)^1+'Revenue &amp; FCF Build'!$E$29/(1+$B21)^2+'Revenue &amp; FCF Build'!$F$29/(1+$B21)^3+'Revenue &amp; FCF Build'!$G$29/(1+$B21)^4+'Revenue &amp; FCF Build'!$H$29/(1+$B21)^5+('Revenue &amp; FCF Build'!$H$13*D$16)/(1+$B21)^5</f>
        <v>0</v>
      </c>
      <c r="E21" s="35">
        <f>'Revenue &amp; FCF Build'!$D$29/(1+$B21)^1+'Revenue &amp; FCF Build'!$E$29/(1+$B21)^2+'Revenue &amp; FCF Build'!$F$29/(1+$B21)^3+'Revenue &amp; FCF Build'!$G$29/(1+$B21)^4+'Revenue &amp; FCF Build'!$H$29/(1+$B21)^5+('Revenue &amp; FCF Build'!$H$13*E$16)/(1+$B21)^5</f>
        <v>0</v>
      </c>
      <c r="F21" s="35">
        <f>'Revenue &amp; FCF Build'!$D$29/(1+$B21)^1+'Revenue &amp; FCF Build'!$E$29/(1+$B21)^2+'Revenue &amp; FCF Build'!$F$29/(1+$B21)^3+'Revenue &amp; FCF Build'!$G$29/(1+$B21)^4+'Revenue &amp; FCF Build'!$H$29/(1+$B21)^5+('Revenue &amp; FCF Build'!$H$13*F$16)/(1+$B21)^5</f>
        <v>0</v>
      </c>
      <c r="G21" s="35">
        <f>'Revenue &amp; FCF Build'!$D$29/(1+$B21)^1+'Revenue &amp; FCF Build'!$E$29/(1+$B21)^2+'Revenue &amp; FCF Build'!$F$29/(1+$B21)^3+'Revenue &amp; FCF Build'!$G$29/(1+$B21)^4+'Revenue &amp; FCF Build'!$H$29/(1+$B21)^5+('Revenue &amp; FCF Build'!$H$13*G$16)/(1+$B21)^5</f>
        <v>0</v>
      </c>
    </row>
    <row r="23" spans="2:7">
      <c r="B23" s="70" t="s">
        <v>171</v>
      </c>
      <c r="C23" s="70"/>
      <c r="D23" s="70"/>
      <c r="E23" s="70"/>
      <c r="F23" s="70"/>
      <c r="G23" s="70"/>
    </row>
    <row r="25" spans="2:7" ht="15" customHeight="1">
      <c r="B25" s="55" t="s">
        <v>172</v>
      </c>
      <c r="C25" s="55"/>
      <c r="D25" s="55"/>
      <c r="E25" s="55"/>
      <c r="F25" s="55"/>
      <c r="G25" s="55"/>
    </row>
    <row r="26" spans="2:7">
      <c r="B26" s="55"/>
      <c r="C26" s="55"/>
      <c r="D26" s="55"/>
      <c r="E26" s="55"/>
      <c r="F26" s="55"/>
      <c r="G26" s="55"/>
    </row>
    <row r="27" spans="2:7">
      <c r="B27" s="55"/>
      <c r="C27" s="55"/>
      <c r="D27" s="55"/>
      <c r="E27" s="55"/>
      <c r="F27" s="55"/>
      <c r="G27" s="55"/>
    </row>
  </sheetData>
  <mergeCells count="7">
    <mergeCell ref="B23:G23"/>
    <mergeCell ref="B25:G27"/>
    <mergeCell ref="B2:G2"/>
    <mergeCell ref="B3:G3"/>
    <mergeCell ref="B5:G5"/>
    <mergeCell ref="B13:G13"/>
    <mergeCell ref="B15:G15"/>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92876"/>
  </sheetPr>
  <dimension ref="A1:H27"/>
  <sheetViews>
    <sheetView showGridLines="0" zoomScaleNormal="100" workbookViewId="0">
      <selection activeCell="M18" sqref="M18"/>
    </sheetView>
  </sheetViews>
  <sheetFormatPr defaultColWidth="8.5703125" defaultRowHeight="14.1"/>
  <cols>
    <col min="1" max="1" width="3" style="1" customWidth="1"/>
    <col min="2" max="2" width="26" style="1" customWidth="1"/>
    <col min="3" max="7" width="18" style="1" customWidth="1"/>
    <col min="8" max="8" width="3" style="1" customWidth="1"/>
    <col min="9" max="16384" width="8.5703125" style="1"/>
  </cols>
  <sheetData>
    <row r="1" spans="1:8" ht="7.5" customHeight="1">
      <c r="A1" s="9"/>
      <c r="B1" s="9"/>
      <c r="C1" s="9"/>
      <c r="D1" s="9"/>
      <c r="E1" s="9"/>
      <c r="F1" s="9"/>
      <c r="G1" s="9"/>
      <c r="H1" s="9"/>
    </row>
    <row r="2" spans="1:8" ht="31.5" customHeight="1">
      <c r="A2" s="9"/>
      <c r="B2" s="76" t="s">
        <v>173</v>
      </c>
      <c r="C2" s="76"/>
      <c r="D2" s="76"/>
      <c r="E2" s="76"/>
      <c r="F2" s="76"/>
      <c r="G2" s="76"/>
      <c r="H2" s="9"/>
    </row>
    <row r="3" spans="1:8" ht="19.5" customHeight="1">
      <c r="A3" s="9"/>
      <c r="B3" s="77" t="str">
        <f ca="1">"Prepared for "&amp;Assumptions!D6&amp;"  |  Valuation date: "&amp;TEXT(Assumptions!D7,"mmmm d, yyyy")</f>
        <v>Prepared for   |  Valuation date: July 23, 2026</v>
      </c>
      <c r="C3" s="77"/>
      <c r="D3" s="77"/>
      <c r="E3" s="77"/>
      <c r="F3" s="77"/>
      <c r="G3" s="77"/>
      <c r="H3" s="9"/>
    </row>
    <row r="6" spans="1:8" ht="21.75" customHeight="1">
      <c r="B6" s="66" t="s">
        <v>174</v>
      </c>
      <c r="C6" s="66"/>
      <c r="D6" s="66"/>
      <c r="E6" s="66"/>
      <c r="F6" s="66"/>
      <c r="G6" s="66"/>
    </row>
    <row r="7" spans="1:8" ht="21.75" customHeight="1">
      <c r="B7" s="10" t="s">
        <v>175</v>
      </c>
      <c r="D7" s="73">
        <f>'DCF Valuation'!D34</f>
        <v>0</v>
      </c>
      <c r="E7" s="73"/>
    </row>
    <row r="8" spans="1:8" ht="21.75" customHeight="1">
      <c r="B8" s="10" t="s">
        <v>63</v>
      </c>
      <c r="D8" s="73">
        <f>'DCF Valuation'!D37</f>
        <v>0</v>
      </c>
      <c r="E8" s="73"/>
    </row>
    <row r="9" spans="1:8" ht="21.75" customHeight="1">
      <c r="B9" s="10" t="s">
        <v>162</v>
      </c>
      <c r="D9" s="71">
        <f>'DCF Valuation'!D39</f>
        <v>0</v>
      </c>
      <c r="E9" s="71"/>
    </row>
    <row r="10" spans="1:8" ht="21.75" customHeight="1">
      <c r="B10" s="10" t="s">
        <v>143</v>
      </c>
      <c r="D10" s="72">
        <f>'WACC Calculator'!C22</f>
        <v>0.14377500000000001</v>
      </c>
      <c r="E10" s="72"/>
    </row>
    <row r="12" spans="1:8" ht="21.75" customHeight="1">
      <c r="B12" s="66" t="s">
        <v>176</v>
      </c>
      <c r="C12" s="66"/>
      <c r="D12" s="66"/>
      <c r="E12" s="66"/>
      <c r="F12" s="66"/>
      <c r="G12" s="66"/>
    </row>
    <row r="13" spans="1:8">
      <c r="B13" s="16" t="s">
        <v>177</v>
      </c>
      <c r="C13" s="21">
        <f>'Revenue &amp; FCF Build'!D5</f>
        <v>2027</v>
      </c>
      <c r="D13" s="21">
        <f>'Revenue &amp; FCF Build'!E5</f>
        <v>2028</v>
      </c>
      <c r="E13" s="21">
        <f>'Revenue &amp; FCF Build'!F5</f>
        <v>2029</v>
      </c>
      <c r="F13" s="21">
        <f>'Revenue &amp; FCF Build'!G5</f>
        <v>2030</v>
      </c>
      <c r="G13" s="21">
        <f>'Revenue &amp; FCF Build'!H5</f>
        <v>2031</v>
      </c>
    </row>
    <row r="14" spans="1:8">
      <c r="B14" s="16" t="s">
        <v>178</v>
      </c>
      <c r="C14" s="38">
        <f>'Revenue &amp; FCF Build'!D29</f>
        <v>0</v>
      </c>
      <c r="D14" s="38">
        <f>'Revenue &amp; FCF Build'!E29</f>
        <v>0</v>
      </c>
      <c r="E14" s="38">
        <f>'Revenue &amp; FCF Build'!F29</f>
        <v>0</v>
      </c>
      <c r="F14" s="38">
        <f>'Revenue &amp; FCF Build'!G29</f>
        <v>0</v>
      </c>
      <c r="G14" s="38">
        <f>'Revenue &amp; FCF Build'!H29</f>
        <v>0</v>
      </c>
    </row>
    <row r="16" spans="1:8" ht="21.75" customHeight="1">
      <c r="B16" s="66" t="s">
        <v>179</v>
      </c>
      <c r="C16" s="66"/>
      <c r="D16" s="66"/>
      <c r="E16" s="66"/>
      <c r="F16" s="66"/>
      <c r="G16" s="66"/>
    </row>
    <row r="17" spans="2:7">
      <c r="B17" s="53" t="s">
        <v>180</v>
      </c>
      <c r="C17" s="49">
        <f>'Sensitivity Analysis'!C6</f>
        <v>2.5000000000000001E-2</v>
      </c>
      <c r="D17" s="49">
        <f>'Sensitivity Analysis'!D6</f>
        <v>3.0000000000000002E-2</v>
      </c>
      <c r="E17" s="49">
        <f>'Sensitivity Analysis'!E6</f>
        <v>3.5000000000000003E-2</v>
      </c>
      <c r="F17" s="49">
        <f>'Sensitivity Analysis'!F6</f>
        <v>0.04</v>
      </c>
      <c r="G17" s="49">
        <f>'Sensitivity Analysis'!G6</f>
        <v>4.5000000000000005E-2</v>
      </c>
    </row>
    <row r="18" spans="2:7">
      <c r="B18" s="50">
        <f>'Sensitivity Analysis'!B7</f>
        <v>0.12377500000000001</v>
      </c>
      <c r="C18" s="35">
        <f>'Sensitivity Analysis'!C7</f>
        <v>0</v>
      </c>
      <c r="D18" s="35">
        <f>'Sensitivity Analysis'!D7</f>
        <v>0</v>
      </c>
      <c r="E18" s="35">
        <f>'Sensitivity Analysis'!E7</f>
        <v>0</v>
      </c>
      <c r="F18" s="35">
        <f>'Sensitivity Analysis'!F7</f>
        <v>0</v>
      </c>
      <c r="G18" s="35">
        <f>'Sensitivity Analysis'!G7</f>
        <v>0</v>
      </c>
    </row>
    <row r="19" spans="2:7">
      <c r="B19" s="50">
        <f>'Sensitivity Analysis'!B8</f>
        <v>0.13377500000000001</v>
      </c>
      <c r="C19" s="35">
        <f>'Sensitivity Analysis'!C8</f>
        <v>0</v>
      </c>
      <c r="D19" s="35">
        <f>'Sensitivity Analysis'!D8</f>
        <v>0</v>
      </c>
      <c r="E19" s="35">
        <f>'Sensitivity Analysis'!E8</f>
        <v>0</v>
      </c>
      <c r="F19" s="35">
        <f>'Sensitivity Analysis'!F8</f>
        <v>0</v>
      </c>
      <c r="G19" s="35">
        <f>'Sensitivity Analysis'!G8</f>
        <v>0</v>
      </c>
    </row>
    <row r="20" spans="2:7">
      <c r="B20" s="50">
        <f>'Sensitivity Analysis'!B9</f>
        <v>0.14377500000000001</v>
      </c>
      <c r="C20" s="35">
        <f>'Sensitivity Analysis'!C9</f>
        <v>0</v>
      </c>
      <c r="D20" s="35">
        <f>'Sensitivity Analysis'!D9</f>
        <v>0</v>
      </c>
      <c r="E20" s="51">
        <f>'Sensitivity Analysis'!E9</f>
        <v>0</v>
      </c>
      <c r="F20" s="35">
        <f>'Sensitivity Analysis'!F9</f>
        <v>0</v>
      </c>
      <c r="G20" s="35">
        <f>'Sensitivity Analysis'!G9</f>
        <v>0</v>
      </c>
    </row>
    <row r="21" spans="2:7">
      <c r="B21" s="50">
        <f>'Sensitivity Analysis'!B10</f>
        <v>0.15377500000000002</v>
      </c>
      <c r="C21" s="35">
        <f>'Sensitivity Analysis'!C10</f>
        <v>0</v>
      </c>
      <c r="D21" s="35">
        <f>'Sensitivity Analysis'!D10</f>
        <v>0</v>
      </c>
      <c r="E21" s="35">
        <f>'Sensitivity Analysis'!E10</f>
        <v>0</v>
      </c>
      <c r="F21" s="35">
        <f>'Sensitivity Analysis'!F10</f>
        <v>0</v>
      </c>
      <c r="G21" s="35">
        <f>'Sensitivity Analysis'!G10</f>
        <v>0</v>
      </c>
    </row>
    <row r="22" spans="2:7">
      <c r="B22" s="50">
        <f>'Sensitivity Analysis'!B11</f>
        <v>0.163775</v>
      </c>
      <c r="C22" s="35">
        <f>'Sensitivity Analysis'!C11</f>
        <v>0</v>
      </c>
      <c r="D22" s="35">
        <f>'Sensitivity Analysis'!D11</f>
        <v>0</v>
      </c>
      <c r="E22" s="35">
        <f>'Sensitivity Analysis'!E11</f>
        <v>0</v>
      </c>
      <c r="F22" s="35">
        <f>'Sensitivity Analysis'!F11</f>
        <v>0</v>
      </c>
      <c r="G22" s="35">
        <f>'Sensitivity Analysis'!G11</f>
        <v>0</v>
      </c>
    </row>
    <row r="25" spans="2:7" ht="15" customHeight="1">
      <c r="B25" s="65" t="s">
        <v>181</v>
      </c>
      <c r="C25" s="65"/>
      <c r="D25" s="65"/>
      <c r="E25" s="65"/>
      <c r="F25" s="65"/>
      <c r="G25" s="65"/>
    </row>
    <row r="26" spans="2:7">
      <c r="B26" s="65"/>
      <c r="C26" s="65"/>
      <c r="D26" s="65"/>
      <c r="E26" s="65"/>
      <c r="F26" s="65"/>
      <c r="G26" s="65"/>
    </row>
    <row r="27" spans="2:7">
      <c r="B27" s="65"/>
      <c r="C27" s="65"/>
      <c r="D27" s="65"/>
      <c r="E27" s="65"/>
      <c r="F27" s="65"/>
      <c r="G27" s="65"/>
    </row>
  </sheetData>
  <mergeCells count="10">
    <mergeCell ref="B2:G2"/>
    <mergeCell ref="B3:G3"/>
    <mergeCell ref="B6:G6"/>
    <mergeCell ref="D7:E7"/>
    <mergeCell ref="D8:E8"/>
    <mergeCell ref="D9:E9"/>
    <mergeCell ref="D10:E10"/>
    <mergeCell ref="B12:G12"/>
    <mergeCell ref="B16:G16"/>
    <mergeCell ref="B25:G27"/>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_ip_UnifiedCompliancePolicyUIAction xmlns="http://schemas.microsoft.com/sharepoint/v3"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_ip_UnifiedCompliancePolicyProperties xmlns="http://schemas.microsoft.com/sharepoint/v3" xsi:nil="true"/>
    <lcf76f155ced4ddcb4097134ff3c332f xmlns="07e3052f-dd80-493e-b073-5a9267ae376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77EF8-8146-43EF-8823-96C0511EAA07}"/>
</file>

<file path=customXml/itemProps2.xml><?xml version="1.0" encoding="utf-8"?>
<ds:datastoreItem xmlns:ds="http://schemas.openxmlformats.org/officeDocument/2006/customXml" ds:itemID="{62BC0B75-0483-46A7-BC40-A7C69C88784E}"/>
</file>

<file path=customXml/itemProps3.xml><?xml version="1.0" encoding="utf-8"?>
<ds:datastoreItem xmlns:ds="http://schemas.openxmlformats.org/officeDocument/2006/customXml" ds:itemID="{32DA80DD-5066-4E4C-8074-6542258FA9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2026-07-14T05:55:29Z</dcterms:created>
  <dcterms:modified xsi:type="dcterms:W3CDTF">2026-07-23T10:42:39Z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