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C:\Users\SayanBanerjee\Downloads\"/>
    </mc:Choice>
  </mc:AlternateContent>
  <xr:revisionPtr revIDLastSave="0" documentId="8_{D848A3F7-FD8F-41D5-9C04-95574B2C6AE1}" xr6:coauthVersionLast="47" xr6:coauthVersionMax="47" xr10:uidLastSave="{00000000-0000-0000-0000-000000000000}"/>
  <bookViews>
    <workbookView xWindow="19090" yWindow="-110" windowWidth="38620" windowHeight="21100" tabRatio="500" xr2:uid="{00000000-000D-0000-FFFF-FFFF00000000}"/>
  </bookViews>
  <sheets>
    <sheet name="Start Here" sheetId="1" r:id="rId1"/>
    <sheet name="83b Calculator" sheetId="2" r:id="rId2"/>
    <sheet name="Scenario Analysis" sheetId="3" r:id="rId3"/>
    <sheet name="Filing Checklist"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3" i="2" l="1"/>
  <c r="D24" i="2" s="1"/>
  <c r="D25" i="2" s="1"/>
  <c r="C45" i="3"/>
  <c r="C44" i="3"/>
  <c r="M33" i="3"/>
  <c r="L33" i="3"/>
  <c r="K33" i="3"/>
  <c r="J33" i="3"/>
  <c r="I33" i="3"/>
  <c r="H33" i="3"/>
  <c r="G33" i="3"/>
  <c r="F33" i="3"/>
  <c r="E33" i="3"/>
  <c r="D33" i="3"/>
  <c r="C33" i="3"/>
  <c r="M27" i="3"/>
  <c r="L27" i="3"/>
  <c r="K27" i="3"/>
  <c r="J27" i="3"/>
  <c r="I27" i="3"/>
  <c r="H27" i="3"/>
  <c r="G27" i="3"/>
  <c r="F27" i="3"/>
  <c r="E27" i="3"/>
  <c r="D27" i="3"/>
  <c r="C27" i="3"/>
  <c r="M21" i="3"/>
  <c r="L21" i="3"/>
  <c r="K21" i="3"/>
  <c r="J21" i="3"/>
  <c r="I21" i="3"/>
  <c r="H21" i="3"/>
  <c r="G21" i="3"/>
  <c r="F21" i="3"/>
  <c r="E21" i="3"/>
  <c r="D21" i="3"/>
  <c r="C21" i="3"/>
  <c r="C4" i="3"/>
  <c r="L56" i="2"/>
  <c r="K56" i="2"/>
  <c r="J56" i="2"/>
  <c r="I56" i="2"/>
  <c r="F56" i="2"/>
  <c r="D56" i="2"/>
  <c r="K55" i="2"/>
  <c r="F55" i="2"/>
  <c r="D55" i="2"/>
  <c r="I55" i="2" s="1"/>
  <c r="J55" i="2" s="1"/>
  <c r="K54" i="2"/>
  <c r="F54" i="2"/>
  <c r="D54" i="2"/>
  <c r="I54" i="2" s="1"/>
  <c r="J54" i="2" s="1"/>
  <c r="K53" i="2"/>
  <c r="F53" i="2"/>
  <c r="D53" i="2"/>
  <c r="I53" i="2" s="1"/>
  <c r="J53" i="2" s="1"/>
  <c r="K52" i="2"/>
  <c r="F52" i="2"/>
  <c r="D52" i="2"/>
  <c r="I52" i="2" s="1"/>
  <c r="J52" i="2" s="1"/>
  <c r="D44" i="2"/>
  <c r="D30" i="2"/>
  <c r="D28" i="2"/>
  <c r="B26" i="2"/>
  <c r="D20" i="2"/>
  <c r="D19" i="2"/>
  <c r="G56" i="2" l="1"/>
  <c r="H56" i="2" s="1"/>
  <c r="L52" i="2"/>
  <c r="M52" i="2" s="1"/>
  <c r="L53" i="2"/>
  <c r="M53" i="2" s="1"/>
  <c r="L54" i="2"/>
  <c r="L55" i="2"/>
  <c r="M55" i="2" s="1"/>
  <c r="M54" i="2"/>
  <c r="D29" i="2"/>
  <c r="J10" i="3" s="1"/>
  <c r="D31" i="2"/>
  <c r="F57" i="2"/>
  <c r="C46" i="3"/>
  <c r="M56" i="2"/>
  <c r="C47" i="3"/>
  <c r="G53" i="2"/>
  <c r="H53" i="2" s="1"/>
  <c r="G55" i="2"/>
  <c r="H55" i="2" s="1"/>
  <c r="C5" i="3"/>
  <c r="M6" i="3" s="1"/>
  <c r="G54" i="2"/>
  <c r="H54" i="2" s="1"/>
  <c r="G52" i="2"/>
  <c r="H6" i="3" l="1"/>
  <c r="D32" i="2"/>
  <c r="D40" i="2" s="1"/>
  <c r="J6" i="3"/>
  <c r="J7" i="3" s="1"/>
  <c r="I6" i="3"/>
  <c r="I19" i="3" s="1"/>
  <c r="I25" i="3" s="1"/>
  <c r="D45" i="2"/>
  <c r="D46" i="2" s="1"/>
  <c r="G6" i="3"/>
  <c r="G18" i="3" s="1"/>
  <c r="G24" i="3" s="1"/>
  <c r="K6" i="3"/>
  <c r="K19" i="3" s="1"/>
  <c r="K25" i="3" s="1"/>
  <c r="D47" i="2"/>
  <c r="L10" i="3"/>
  <c r="K10" i="3"/>
  <c r="M10" i="3"/>
  <c r="C10" i="3"/>
  <c r="D10" i="3"/>
  <c r="E10" i="3"/>
  <c r="F10" i="3"/>
  <c r="G10" i="3"/>
  <c r="H10" i="3"/>
  <c r="I10" i="3"/>
  <c r="D35" i="2"/>
  <c r="M57" i="2"/>
  <c r="H17" i="3"/>
  <c r="H23" i="3" s="1"/>
  <c r="H7" i="3"/>
  <c r="H18" i="3"/>
  <c r="H24" i="3" s="1"/>
  <c r="H20" i="3"/>
  <c r="H26" i="3" s="1"/>
  <c r="H19" i="3"/>
  <c r="H25" i="3" s="1"/>
  <c r="H11" i="3"/>
  <c r="H12" i="3" s="1"/>
  <c r="H52" i="2"/>
  <c r="G57" i="2"/>
  <c r="J11" i="3"/>
  <c r="J12" i="3" s="1"/>
  <c r="J13" i="3" s="1"/>
  <c r="J19" i="3"/>
  <c r="J25" i="3" s="1"/>
  <c r="J18" i="3"/>
  <c r="J24" i="3" s="1"/>
  <c r="J20" i="3"/>
  <c r="J26" i="3" s="1"/>
  <c r="J17" i="3"/>
  <c r="J23" i="3" s="1"/>
  <c r="M19" i="3"/>
  <c r="M25" i="3" s="1"/>
  <c r="M11" i="3"/>
  <c r="M12" i="3" s="1"/>
  <c r="M17" i="3"/>
  <c r="M23" i="3" s="1"/>
  <c r="M18" i="3"/>
  <c r="M24" i="3" s="1"/>
  <c r="M7" i="3"/>
  <c r="M20" i="3"/>
  <c r="M26" i="3" s="1"/>
  <c r="F6" i="3"/>
  <c r="E6" i="3"/>
  <c r="L6" i="3"/>
  <c r="D6" i="3"/>
  <c r="C6" i="3"/>
  <c r="I20" i="3" l="1"/>
  <c r="I26" i="3" s="1"/>
  <c r="I17" i="3"/>
  <c r="I23" i="3" s="1"/>
  <c r="I18" i="3"/>
  <c r="I24" i="3" s="1"/>
  <c r="I11" i="3"/>
  <c r="I12" i="3" s="1"/>
  <c r="I13" i="3" s="1"/>
  <c r="I31" i="3"/>
  <c r="I7" i="3"/>
  <c r="K7" i="3"/>
  <c r="K17" i="3"/>
  <c r="K23" i="3" s="1"/>
  <c r="K18" i="3"/>
  <c r="K24" i="3" s="1"/>
  <c r="K20" i="3"/>
  <c r="K26" i="3" s="1"/>
  <c r="K11" i="3"/>
  <c r="K12" i="3" s="1"/>
  <c r="G11" i="3"/>
  <c r="G12" i="3" s="1"/>
  <c r="G13" i="3" s="1"/>
  <c r="G19" i="3"/>
  <c r="G25" i="3" s="1"/>
  <c r="G20" i="3"/>
  <c r="G26" i="3" s="1"/>
  <c r="M13" i="3"/>
  <c r="G7" i="3"/>
  <c r="G17" i="3"/>
  <c r="G23" i="3" s="1"/>
  <c r="K13" i="3"/>
  <c r="M31" i="3"/>
  <c r="M30" i="3"/>
  <c r="H30" i="3"/>
  <c r="H32" i="3"/>
  <c r="H13" i="3"/>
  <c r="J32" i="3"/>
  <c r="G30" i="3"/>
  <c r="I29" i="3"/>
  <c r="H29" i="3"/>
  <c r="M32" i="3"/>
  <c r="J31" i="3"/>
  <c r="I30" i="3"/>
  <c r="M29" i="3"/>
  <c r="K30" i="3"/>
  <c r="K29" i="3"/>
  <c r="D11" i="3"/>
  <c r="D12" i="3" s="1"/>
  <c r="D13" i="3" s="1"/>
  <c r="D18" i="3"/>
  <c r="D24" i="3" s="1"/>
  <c r="D19" i="3"/>
  <c r="D25" i="3" s="1"/>
  <c r="D7" i="3"/>
  <c r="D20" i="3"/>
  <c r="D26" i="3" s="1"/>
  <c r="D17" i="3"/>
  <c r="D23" i="3" s="1"/>
  <c r="K31" i="3"/>
  <c r="L19" i="3"/>
  <c r="L25" i="3" s="1"/>
  <c r="L11" i="3"/>
  <c r="L12" i="3" s="1"/>
  <c r="L13" i="3" s="1"/>
  <c r="L17" i="3"/>
  <c r="L23" i="3" s="1"/>
  <c r="L18" i="3"/>
  <c r="L24" i="3" s="1"/>
  <c r="L7" i="3"/>
  <c r="L20" i="3"/>
  <c r="L26" i="3" s="1"/>
  <c r="H57" i="2"/>
  <c r="D34" i="2"/>
  <c r="D36" i="2" s="1"/>
  <c r="E20" i="3"/>
  <c r="E26" i="3" s="1"/>
  <c r="E18" i="3"/>
  <c r="E24" i="3" s="1"/>
  <c r="E17" i="3"/>
  <c r="E23" i="3" s="1"/>
  <c r="E19" i="3"/>
  <c r="E25" i="3" s="1"/>
  <c r="E11" i="3"/>
  <c r="E12" i="3" s="1"/>
  <c r="E13" i="3" s="1"/>
  <c r="E7" i="3"/>
  <c r="J29" i="3"/>
  <c r="C20" i="3"/>
  <c r="C26" i="3" s="1"/>
  <c r="C7" i="3"/>
  <c r="C18" i="3"/>
  <c r="C24" i="3" s="1"/>
  <c r="C17" i="3"/>
  <c r="C23" i="3" s="1"/>
  <c r="C19" i="3"/>
  <c r="C25" i="3" s="1"/>
  <c r="C11" i="3"/>
  <c r="C12" i="3" s="1"/>
  <c r="C13" i="3" s="1"/>
  <c r="F18" i="3"/>
  <c r="F24" i="3" s="1"/>
  <c r="F20" i="3"/>
  <c r="F26" i="3" s="1"/>
  <c r="F17" i="3"/>
  <c r="F23" i="3" s="1"/>
  <c r="F7" i="3"/>
  <c r="F19" i="3"/>
  <c r="F25" i="3" s="1"/>
  <c r="F11" i="3"/>
  <c r="F12" i="3" s="1"/>
  <c r="F13" i="3" s="1"/>
  <c r="J30" i="3"/>
  <c r="H31" i="3"/>
  <c r="I32" i="3" l="1"/>
  <c r="I35" i="3" s="1"/>
  <c r="I38" i="3" s="1"/>
  <c r="I39" i="3" s="1"/>
  <c r="K32" i="3"/>
  <c r="K35" i="3" s="1"/>
  <c r="K38" i="3" s="1"/>
  <c r="K40" i="3" s="1"/>
  <c r="G29" i="3"/>
  <c r="F32" i="3"/>
  <c r="G31" i="3"/>
  <c r="G32" i="3"/>
  <c r="C31" i="3"/>
  <c r="M35" i="3"/>
  <c r="M38" i="3" s="1"/>
  <c r="M39" i="3" s="1"/>
  <c r="E32" i="3"/>
  <c r="H35" i="3"/>
  <c r="H38" i="3" s="1"/>
  <c r="H40" i="3" s="1"/>
  <c r="F30" i="3"/>
  <c r="C32" i="3"/>
  <c r="D29" i="3"/>
  <c r="E30" i="3"/>
  <c r="J35" i="3"/>
  <c r="J38" i="3" s="1"/>
  <c r="J39" i="3" s="1"/>
  <c r="D38" i="2"/>
  <c r="D39" i="2" s="1"/>
  <c r="D41" i="2"/>
  <c r="C30" i="3"/>
  <c r="L32" i="3"/>
  <c r="D30" i="3"/>
  <c r="F31" i="3"/>
  <c r="L30" i="3"/>
  <c r="L29" i="3"/>
  <c r="F29" i="3"/>
  <c r="E31" i="3"/>
  <c r="L31" i="3"/>
  <c r="C29" i="3"/>
  <c r="E29" i="3"/>
  <c r="D31" i="3"/>
  <c r="D32" i="3"/>
  <c r="G35" i="3" l="1"/>
  <c r="G38" i="3" s="1"/>
  <c r="G39" i="3" s="1"/>
  <c r="K39" i="3"/>
  <c r="M40" i="3"/>
  <c r="H39" i="3"/>
  <c r="I40" i="3"/>
  <c r="C35" i="3"/>
  <c r="C38" i="3" s="1"/>
  <c r="C40" i="3" s="1"/>
  <c r="J40" i="3"/>
  <c r="F35" i="3"/>
  <c r="F38" i="3" s="1"/>
  <c r="F39" i="3" s="1"/>
  <c r="E35" i="3"/>
  <c r="E38" i="3" s="1"/>
  <c r="E40" i="3" s="1"/>
  <c r="L35" i="3"/>
  <c r="L38" i="3" s="1"/>
  <c r="L39" i="3" s="1"/>
  <c r="D35" i="3"/>
  <c r="D38" i="3" s="1"/>
  <c r="D40" i="3" s="1"/>
  <c r="G40" i="3" l="1"/>
  <c r="D39" i="3"/>
  <c r="E39" i="3"/>
  <c r="C39" i="3"/>
  <c r="F40" i="3"/>
  <c r="L40" i="3"/>
  <c r="C43" i="3" l="1"/>
</calcChain>
</file>

<file path=xl/sharedStrings.xml><?xml version="1.0" encoding="utf-8"?>
<sst xmlns="http://schemas.openxmlformats.org/spreadsheetml/2006/main" count="224" uniqueCount="206">
  <si>
    <t>83(b) Election Tax Savings Calculator</t>
  </si>
  <si>
    <t>Model the tax impact of filing  vs  not filing an 83(b) election on restricted stock or an early-exercised option grant.</t>
  </si>
  <si>
    <t>HOW TO USE THIS TOOL</t>
  </si>
  <si>
    <t>Step 1</t>
  </si>
  <si>
    <t>Open the '83(b) Calculator' tab. Type your grant details into the shaded yellow cells only. Every other cell is a formula and will update on its own.</t>
  </si>
  <si>
    <t>Step 2</t>
  </si>
  <si>
    <t>Enter your tax rates. Federal ordinary income and long-term capital gains rates are the two that matter most; state rates and the 3.8% NIIT are optional but make the answer far more realistic</t>
  </si>
  <si>
    <t>Step 3</t>
  </si>
  <si>
    <t>Read the three result boxes: total tax if you file, total tax if you don't, and the difference between them.</t>
  </si>
  <si>
    <t>Step 4</t>
  </si>
  <si>
    <t>Open the 'Scenario Analysis' tab to see how the answer changes if your company is worth 2x, 10x or 50x more at exit  and how far the price can fall before filing costs you money.</t>
  </si>
  <si>
    <t>Step 5</t>
  </si>
  <si>
    <t>Open the 'Filing Checklist' tab for the 30-day filing mechanics, what to mail, and the mistakes that most often invalidate an election.</t>
  </si>
  <si>
    <t>READING THE COLOURS</t>
  </si>
  <si>
    <t>Yellow cells, blue text</t>
  </si>
  <si>
    <t>Your inputs. These are the only cells you should change.</t>
  </si>
  <si>
    <t>Black text</t>
  </si>
  <si>
    <t>Calculated in this tab.</t>
  </si>
  <si>
    <t>Green text</t>
  </si>
  <si>
    <t>Pulled from another tab.</t>
  </si>
  <si>
    <t>WHAT AN 83(b) ELECTION DOES</t>
  </si>
  <si>
    <t>The default rule</t>
  </si>
  <si>
    <t>If you receive stock that is subject to vesting, Section 83(a) taxes you as ordinary income each time a tranche vests, on the difference between the fair market value on that date and what you paid. If the company appreciates, each vest is a bigger tax bill than the last.</t>
  </si>
  <si>
    <t>The election</t>
  </si>
  <si>
    <t>Section 83(b) lets you choose to be taxed once, up front, on the full grant as if it were fully vested on day one. If you buy at or near the 409A fair market value, that up-front amount is small or zero. All future appreciation is then a capital gain rather than ordinary income.</t>
  </si>
  <si>
    <t>The trade-off</t>
  </si>
  <si>
    <t>The tax you pay at grant is not refundable. If you leave before vesting, or the company fails, that money is gone and there is generally no offsetting loss deduction. The election is also irrevocable and must be filed within 30 days of the grant or purchase date  there is no extension.</t>
  </si>
  <si>
    <t>The second benefit</t>
  </si>
  <si>
    <t>Filing starts your capital gains holding period, and your QSBS holding period under Section 1202, at the grant date rather than at each vest date. On a fast exit this can be worth more than the rate arbitrage itself.</t>
  </si>
  <si>
    <t>WHAT THIS MODEL ASSUMES</t>
  </si>
  <si>
    <t>Vesting</t>
  </si>
  <si>
    <t>Equal annual tranches over the vesting period you enter. A one-year cliff does not change the totals under this assumption, only the timing within year one.</t>
  </si>
  <si>
    <t>Valuation path</t>
  </si>
  <si>
    <t>Straight-line appreciation from the 409A fair market value at grant to the exit price you enter. Real 409A paths are step functions tied to financing rounds.</t>
  </si>
  <si>
    <t>Holding periods</t>
  </si>
  <si>
    <t>Long-term rates apply where the shares were held more than one year before exit. Tranches vesting within twelve months of exit are taxed at ordinary rates on their post-vest gain.</t>
  </si>
  <si>
    <t>Full vesting</t>
  </si>
  <si>
    <t>Every share vests and is sold at exit. No forfeiture, no early departure, no secondary sale before exit.</t>
  </si>
  <si>
    <t>Not modelled</t>
  </si>
  <si>
    <t>Alternative Minimum Tax on ISO exercises, QSBS exclusion under Section 1202, payroll and self-employment taxes, state-level AMT or add-on taxes, and any discount for illiquidity or preference stack at exit.</t>
  </si>
  <si>
    <t>IMPORTANT</t>
  </si>
  <si>
    <t>Not tax advice</t>
  </si>
  <si>
    <t>This workbook is an illustration built on the inputs you provide. It is not legal, tax or financial advice and no client relationship is created by using it. Your actual liability depends on your grant documents, your company's 409A history, whether your award is an RSA, an ISO or an NSO, your state of residence, and your wider tax position. Speak to a qualified CPA or tax attorney before you file or decline to file.</t>
  </si>
  <si>
    <t>ISO holders</t>
  </si>
  <si>
    <t>If you are early-exercising incentive stock options, the spread at exercise is an AMT preference item. This calculator does not compute AMT. The AMT bill can exceed the regular tax bill modelled here.</t>
  </si>
  <si>
    <t>Built by Qapita  cap table management, ESOP administration, 409A valuations and ASC 718 reporting in one platform.</t>
  </si>
  <si>
    <t>Enter your grant details in the yellow cells. Everything else calculates automatically.</t>
  </si>
  <si>
    <t>STEP 1   ·   YOUR GRANT</t>
  </si>
  <si>
    <t>Total shares granted or purchased</t>
  </si>
  <si>
    <t>The full award, vested and unvested.</t>
  </si>
  <si>
    <t>Price paid per share ($)</t>
  </si>
  <si>
    <t>Purchase price for restricted stock, or the exercise price if early-exercising options.</t>
  </si>
  <si>
    <t>409A fair market value per share at grant ($)</t>
  </si>
  <si>
    <t>The company's most recent 409A valuation on the grant date. This drives your tax at grant.</t>
  </si>
  <si>
    <t>Estimated fair market value per share at exit ($)</t>
  </si>
  <si>
    <t>Your projected price per share at sale or IPO.</t>
  </si>
  <si>
    <t>Vesting period (years)</t>
  </si>
  <si>
    <t>Standard is 4. Assumes equal annual tranches.</t>
  </si>
  <si>
    <t>Years from grant to exit</t>
  </si>
  <si>
    <t>Must be at least as long as the vesting period for the model to hold.</t>
  </si>
  <si>
    <t>Grant or purchase date</t>
  </si>
  <si>
    <t>Used to calculate your 30-day filing deadline below.</t>
  </si>
  <si>
    <t>STEP 2   ·   YOUR TAX RATES</t>
  </si>
  <si>
    <t>Federal marginal ordinary income rate</t>
  </si>
  <si>
    <t>Top federal bracket is 37%. Use the rate that applies to your highest dollar of income.</t>
  </si>
  <si>
    <t>State ordinary income rate</t>
  </si>
  <si>
    <t>Enter 0% if your state has no income tax.</t>
  </si>
  <si>
    <t>Federal long-term capital gains rate</t>
  </si>
  <si>
    <t>Typically 15% or 20% depending on income.</t>
  </si>
  <si>
    <t>State capital gains rate</t>
  </si>
  <si>
    <t>Most states tax capital gains as ordinary income.</t>
  </si>
  <si>
    <t>Apply the 3.8% net investment income tax?</t>
  </si>
  <si>
    <t>Yes</t>
  </si>
  <si>
    <t>Applies to investment income above $200k single / $250k married filing jointly.</t>
  </si>
  <si>
    <t>Combined ordinary income rate (used by the model)</t>
  </si>
  <si>
    <t>Combined long-term capital gains rate (used by the model)</t>
  </si>
  <si>
    <t>YOUR 30-DAY FILING DEADLINE</t>
  </si>
  <si>
    <t>Deadline to postmark your 83(b) election</t>
  </si>
  <si>
    <t>Section 83(b)(2): the election must be filed with the IRS no later than 30 days after the property is transferred. There is no extension and no late relief.</t>
  </si>
  <si>
    <t>Days remaining from today</t>
  </si>
  <si>
    <t>Recalculates every time you open this file.</t>
  </si>
  <si>
    <t>Filing status</t>
  </si>
  <si>
    <t>YOUR RESULTS</t>
  </si>
  <si>
    <t>Bargain element taxed at grant   (409A FMV less price paid)</t>
  </si>
  <si>
    <t>This is the ordinary income you report on your 83(b) election. Buy at FMV and it is zero.</t>
  </si>
  <si>
    <t>Ordinary income tax due at grant</t>
  </si>
  <si>
    <t>Capital gain at exit</t>
  </si>
  <si>
    <t>Your basis becomes the price paid plus any income recognised at grant.</t>
  </si>
  <si>
    <t>Capital gains tax at exit</t>
  </si>
  <si>
    <t>Long-term rates apply because the holding period starts at grant.</t>
  </si>
  <si>
    <t>TOTAL TAX  ·  83(b) FILED</t>
  </si>
  <si>
    <t>Ordinary income tax across all vesting events</t>
  </si>
  <si>
    <t>Pulled from the vesting schedule below.</t>
  </si>
  <si>
    <t>Capital gains tax at exit on post-vest appreciation</t>
  </si>
  <si>
    <t>TOTAL TAX  ·  NO 83(b) ELECTION</t>
  </si>
  <si>
    <t>ESTIMATED TAX SAVINGS FROM FILING 83(b)</t>
  </si>
  <si>
    <t>Savings as a share of gross exit proceeds</t>
  </si>
  <si>
    <t>Effective tax rate on your total gain  ·  83(b) filed</t>
  </si>
  <si>
    <t>Effective tax rate on your total gain  ·  no election</t>
  </si>
  <si>
    <t>STEP 3   ·   WHAT IT COSTS YOU TODAY, AND WHAT IS AT RISK</t>
  </si>
  <si>
    <t>Cash to buy the shares</t>
  </si>
  <si>
    <t>Cash to pay the tax triggered by the election</t>
  </si>
  <si>
    <t>Total cash out of pocket at grant</t>
  </si>
  <si>
    <t>Tax you cannot recover if you forfeit the shares or the company fails</t>
  </si>
  <si>
    <t>Filing is irrevocable. There is generally no loss deduction for tax paid on shares later forfeited.</t>
  </si>
  <si>
    <t>VESTING SCHEDULE   ·   WHAT HAPPENS IF YOU DO NOT FILE</t>
  </si>
  <si>
    <t>Vesting year</t>
  </si>
  <si>
    <t>FMV per share at vest</t>
  </si>
  <si>
    <t>Shares vesting</t>
  </si>
  <si>
    <t>Ordinary income at vest</t>
  </si>
  <si>
    <t>Ordinary income tax</t>
  </si>
  <si>
    <t>Cost basis per share</t>
  </si>
  <si>
    <t>Gain per share at exit</t>
  </si>
  <si>
    <t>Holding period (yrs)</t>
  </si>
  <si>
    <t>Rate applied at exit</t>
  </si>
  <si>
    <t>Tax at exit</t>
  </si>
  <si>
    <t>Year 1</t>
  </si>
  <si>
    <t>Year 2</t>
  </si>
  <si>
    <t>Year 3</t>
  </si>
  <si>
    <t>Year 4</t>
  </si>
  <si>
    <t>Year 5</t>
  </si>
  <si>
    <t>Total</t>
  </si>
  <si>
    <t>Scenario Analysis</t>
  </si>
  <si>
    <t>How the 83(b) answer changes with the exit price. Every other input comes from the calculator tab.</t>
  </si>
  <si>
    <t>EXIT PRICE SCENARIOS</t>
  </si>
  <si>
    <t>Low end of the range modelled  (25% of the 409A at grant)</t>
  </si>
  <si>
    <t>High end of the range modelled  (2x your estimated exit price)</t>
  </si>
  <si>
    <t>Exit FMV per share</t>
  </si>
  <si>
    <t>Multiple of the 409A at grant</t>
  </si>
  <si>
    <t>WITH AN 83(b) ELECTION</t>
  </si>
  <si>
    <t>Tax at grant on the bargain element</t>
  </si>
  <si>
    <t>Total tax  ·  83(b) filed</t>
  </si>
  <si>
    <t>WITHOUT AN 83(b) ELECTION</t>
  </si>
  <si>
    <t>FMV per share at each vest</t>
  </si>
  <si>
    <t xml:space="preserve">      Year 1</t>
  </si>
  <si>
    <t xml:space="preserve">      Year 2</t>
  </si>
  <si>
    <t xml:space="preserve">      Year 3</t>
  </si>
  <si>
    <t xml:space="preserve">      Year 4</t>
  </si>
  <si>
    <t xml:space="preserve">      Year 5</t>
  </si>
  <si>
    <t>Ordinary income tax at each vest</t>
  </si>
  <si>
    <t>Capital gains tax at exit on post-vest gain</t>
  </si>
  <si>
    <t>Total tax  ·  no election</t>
  </si>
  <si>
    <t>THE BOTTOM LINE</t>
  </si>
  <si>
    <t>Tax saved by filing 83(b)</t>
  </si>
  <si>
    <t>Saved as a share of gross exit proceeds</t>
  </si>
  <si>
    <t>Does filing pay off at this price?</t>
  </si>
  <si>
    <t>BREAK-EVEN AND YOUR OWN CASE</t>
  </si>
  <si>
    <t>Cross-check: first column in the grid where filing pays off</t>
  </si>
  <si>
    <t>Break-even exit price per share</t>
  </si>
  <si>
    <t>Your estimated exit price, for comparison</t>
  </si>
  <si>
    <t>Headroom  ·  how far the price can fall before filing stops paying off</t>
  </si>
  <si>
    <t>What this means</t>
  </si>
  <si>
    <t>The grid is a geometric ladder running from a quarter of your 409A at grant up to twice your estimated exit price, so it always brackets both the downside case and your own assumption. Everything here is driven by the 83b Calculator tab: change a share count, a rate or the vesting period there and all eleven columns update. The break-even price below is exact rather than read off the grid: with a capital gains rate below your ordinary rate, filing pays off from the moment the stock is worth more than it was at grant.</t>
  </si>
  <si>
    <t>Filing Checklist &amp; Glossary</t>
  </si>
  <si>
    <t>The mechanics of a valid election, the mistakes that void one, and the terms used in this workbook.</t>
  </si>
  <si>
    <t>HOW TO FILE A VALID 83(b) ELECTION</t>
  </si>
  <si>
    <t>Confirm the clock started</t>
  </si>
  <si>
    <t>The 30 days run from the date the stock was transferred to you  the purchase date for restricted stock, or the exercise date for an early-exercised option. Not the board approval date, not the offer letter date.</t>
  </si>
  <si>
    <t>Draft the election statement</t>
  </si>
  <si>
    <t>There is no official IRS form. The statement must include your name, address and taxpayer identification number, a description of the property, the date of transfer and the taxable year, the nature of the restrictions, the fair market value at transfer determined without regard to lapse restrictions, the amount you paid, and a declaration that copies have been furnished as required.</t>
  </si>
  <si>
    <t>Sign and date it</t>
  </si>
  <si>
    <t>An unsigned election is not a valid election. Sign the original and each copy.</t>
  </si>
  <si>
    <t>Mail it to the right IRS service centre</t>
  </si>
  <si>
    <t>Send it to the centre where you file your personal return. Use USPS certified mail with return receipt, or an IRS-designated private delivery service. The postmark date is what counts.</t>
  </si>
  <si>
    <t>Keep proof</t>
  </si>
  <si>
    <t>Retain the certified mail receipt, the return receipt and a scanned copy of the signed election. The IRS does not acknowledge receipt and does not maintain a lookup for these filings, so your mailing proof is the only evidence you filed.</t>
  </si>
  <si>
    <t>Give a copy to the company</t>
  </si>
  <si>
    <t>Deliver a signed copy to the issuer for its records. Most cap table platforms, Qapita included, will store the election against the grant so it surfaces in due diligence years later.</t>
  </si>
  <si>
    <t>Attach a copy to your return</t>
  </si>
  <si>
    <t>Include a copy with your income tax return for the year of the transfer. E-filing usually means attaching it as a PDF or mailing Form 8453 with the statement.</t>
  </si>
  <si>
    <t>MISTAKES THAT MOST OFTEN GO WRONG</t>
  </si>
  <si>
    <t>!</t>
  </si>
  <si>
    <t>Missing the 30 days</t>
  </si>
  <si>
    <t>This is by far the most common failure and it is absolute. There is no extension, no reasonable-cause relief and no way to file late. Day 31 is too late even by one day.</t>
  </si>
  <si>
    <t>Filing on RSUs</t>
  </si>
  <si>
    <t>An 83(b) election cannot be made on restricted stock units. RSUs are a contractual promise, not a transfer of property, so there is nothing to elect on. It applies to restricted stock and to early-exercised options where actual shares are issued.</t>
  </si>
  <si>
    <t>Using the wrong valuation</t>
  </si>
  <si>
    <t>The value reported must be the fair market value at transfer, determined without regard to restrictions that lapse. A stale 409A or a negotiated 'friends and family' price invites an IRS challenge to the amount you reported.</t>
  </si>
  <si>
    <t>Assuming zero spread means no filing needed</t>
  </si>
  <si>
    <t>Even when the bargain element is zero and no tax is due, you still have to file. Without the election the default rule applies and every vest is a taxable event.</t>
  </si>
  <si>
    <t>Forgetting the state</t>
  </si>
  <si>
    <t>Several states require their own election or conforming filing. Check your state's rules alongside the federal filing.</t>
  </si>
  <si>
    <t>Ignoring AMT on ISOs</t>
  </si>
  <si>
    <t>If you early-exercise incentive stock options, the spread is an AMT preference item at exercise. The election controls the regular tax timing but does not remove the AMT exposure.</t>
  </si>
  <si>
    <t>WHY THE HOLDING-PERIOD CLOCK MATTERS</t>
  </si>
  <si>
    <t>Capital gains</t>
  </si>
  <si>
    <t>With an election, your one-year long-term holding period starts at grant for all shares. Without one, it restarts at each vest date, so tranches that vest inside twelve months of an exit are taxed at short-term rates  which are just your ordinary income rates.</t>
  </si>
  <si>
    <t>QSBS under Section 1202</t>
  </si>
  <si>
    <t>The five-year qualified small business stock clock also starts at grant when you file. On a company that exits in year five or six, this can be the difference between a full federal exclusion on the gain and no exclusion at all. This workbook does not model the QSBS exclusion, so treat the savings figure as conservative if your shares qualify.</t>
  </si>
  <si>
    <t>GLOSSARY</t>
  </si>
  <si>
    <t>83(b) election</t>
  </si>
  <si>
    <t>A choice under Section 83(b) of the Internal Revenue Code to be taxed on restricted property at transfer rather than as it vests.</t>
  </si>
  <si>
    <t>409A valuation</t>
  </si>
  <si>
    <t>An independent appraisal of the fair market value of a private company's common stock, used to set exercise prices and to establish the value reported on an election.</t>
  </si>
  <si>
    <t>Bargain element</t>
  </si>
  <si>
    <t>The difference between fair market value at transfer and the price you paid. This is the ordinary income recognised when you file.</t>
  </si>
  <si>
    <t>Cost basis</t>
  </si>
  <si>
    <t>What the shares are treated as having cost you for capital gains purposes  the price paid plus any amount already taxed as ordinary income.</t>
  </si>
  <si>
    <t>NIIT</t>
  </si>
  <si>
    <t>The 3.8% net investment income tax on investment income above the statutory thresholds. It stacks on top of the capital gains rate.</t>
  </si>
  <si>
    <t>Restricted stock (RSA)</t>
  </si>
  <si>
    <t>Shares issued outright but subject to a repurchase right that lapses over a vesting schedule. Eligible for an 83(b) election.</t>
  </si>
  <si>
    <t>Early exercise</t>
  </si>
  <si>
    <t>Exercising an option before it has vested, receiving restricted shares. Also eligible for an 83(b) election.</t>
  </si>
  <si>
    <t>Substantial risk of forfeiture</t>
  </si>
  <si>
    <t>The condition  usually continued service  that makes the property forfeitable and triggers the default Section 83(a)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</si>
</sst>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quot;($&quot;#,##0.0000\);\-"/>
    <numFmt numFmtId="166" formatCode="dd\-mmm\-yyyy"/>
    <numFmt numFmtId="167" formatCode="0.0%;\(0.0%\);\-"/>
    <numFmt numFmtId="168" formatCode="\$#,##0;&quot;($&quot;#,##0\);\-"/>
    <numFmt numFmtId="169" formatCode="0.0"/>
    <numFmt numFmtId="170" formatCode="0.0\x"/>
  </numFmts>
  <fonts count="22">
    <font>
      <sz val="11"/>
      <color theme="1"/>
      <name val="Calibri"/>
      <family val="2"/>
      <charset val="1"/>
    </font>
    <font>
      <sz val="11"/>
      <color rgb="FF9C5700"/>
      <name val="Calibri"/>
      <family val="2"/>
      <scheme val="minor"/>
    </font>
    <font>
      <b/>
      <sz val="20"/>
      <color rgb="FFFFFFFF"/>
      <name val="Open Sauce One"/>
    </font>
    <font>
      <sz val="11"/>
      <color theme="1"/>
      <name val="Open Sauce One"/>
    </font>
    <font>
      <sz val="11"/>
      <color rgb="FFFFFFFF"/>
      <name val="Open Sauce One"/>
    </font>
    <font>
      <b/>
      <sz val="12"/>
      <color rgb="FFFFFFFF"/>
      <name val="Open Sauce One"/>
    </font>
    <font>
      <b/>
      <sz val="11"/>
      <color rgb="FF1A1B4B"/>
      <name val="Open Sauce One"/>
    </font>
    <font>
      <sz val="11"/>
      <color rgb="FF222222"/>
      <name val="Open Sauce One"/>
    </font>
    <font>
      <b/>
      <sz val="10"/>
      <color rgb="FFFFFFFF"/>
      <name val="Open Sauce One"/>
    </font>
    <font>
      <sz val="11"/>
      <color rgb="FF9C5700"/>
      <name val="Open Sauce One"/>
    </font>
    <font>
      <i/>
      <sz val="9"/>
      <color rgb="FF6B6B80"/>
      <name val="Open Sauce One"/>
    </font>
    <font>
      <sz val="11"/>
      <color rgb="FF000000"/>
      <name val="Open Sauce One"/>
    </font>
    <font>
      <b/>
      <sz val="11"/>
      <color rgb="FFE6007E"/>
      <name val="Open Sauce One"/>
    </font>
    <font>
      <b/>
      <sz val="10"/>
      <color rgb="FFE6007E"/>
      <name val="Open Sauce One"/>
    </font>
    <font>
      <b/>
      <sz val="14"/>
      <color rgb="FF1A1B4B"/>
      <name val="Open Sauce One"/>
    </font>
    <font>
      <b/>
      <sz val="11"/>
      <color rgb="FFFFFFFF"/>
      <name val="Open Sauce One"/>
    </font>
    <font>
      <sz val="11"/>
      <color rgb="FF008000"/>
      <name val="Open Sauce One"/>
    </font>
    <font>
      <i/>
      <sz val="11"/>
      <color rgb="FF222222"/>
      <name val="Open Sauce One"/>
    </font>
    <font>
      <i/>
      <sz val="10"/>
      <color rgb="FF6B6B80"/>
      <name val="Open Sauce One"/>
    </font>
    <font>
      <b/>
      <sz val="10"/>
      <color rgb="FF6B6B80"/>
      <name val="Open Sauce One"/>
    </font>
    <font>
      <b/>
      <sz val="12"/>
      <color rgb="FFE6007E"/>
      <name val="Open Sauce One"/>
    </font>
    <font>
      <i/>
      <sz val="10"/>
      <color rgb="FF222222"/>
      <name val="Open Sauce One"/>
    </font>
  </fonts>
  <fills count="9">
    <fill>
      <patternFill patternType="none"/>
    </fill>
    <fill>
      <patternFill patternType="gray125"/>
    </fill>
    <fill>
      <patternFill patternType="solid">
        <fgColor rgb="FF1A1B4B"/>
        <bgColor rgb="FF222222"/>
      </patternFill>
    </fill>
    <fill>
      <patternFill patternType="solid">
        <fgColor rgb="FF5B3FBF"/>
        <bgColor rgb="FF6B6B80"/>
      </patternFill>
    </fill>
    <fill>
      <patternFill patternType="solid">
        <fgColor rgb="FFE6007E"/>
        <bgColor rgb="FFFF00FF"/>
      </patternFill>
    </fill>
    <fill>
      <patternFill patternType="solid">
        <fgColor rgb="FFFFF7DC"/>
        <bgColor rgb="FFF4F2FB"/>
      </patternFill>
    </fill>
    <fill>
      <patternFill patternType="solid">
        <fgColor rgb="FFF4F2FB"/>
        <bgColor rgb="FFFFFFFF"/>
      </patternFill>
    </fill>
    <fill>
      <patternFill patternType="solid">
        <fgColor rgb="FFFFC846"/>
        <bgColor rgb="FFFFCC99"/>
      </patternFill>
    </fill>
    <fill>
      <patternFill patternType="solid">
        <fgColor rgb="FFFFEB9C"/>
      </patternFill>
    </fill>
  </fills>
  <borders count="2">
    <border>
      <left/>
      <right/>
      <top/>
      <bottom/>
      <diagonal/>
    </border>
    <border>
      <left style="thin">
        <color rgb="FFD5D2E6"/>
      </left>
      <right style="thin">
        <color rgb="FFD5D2E6"/>
      </right>
      <top style="thin">
        <color rgb="FFD5D2E6"/>
      </top>
      <bottom style="thin">
        <color rgb="FFD5D2E6"/>
      </bottom>
      <diagonal/>
    </border>
  </borders>
  <cellStyleXfs count="2">
    <xf numFmtId="0" fontId="0" fillId="0" borderId="0"/>
    <xf numFmtId="0" fontId="1" fillId="8" borderId="0" applyNumberFormat="0" applyBorder="0" applyAlignment="0" applyProtection="0"/>
  </cellStyleXfs>
  <cellXfs count="60">
    <xf numFmtId="0" fontId="0" fillId="0" borderId="0" xfId="0"/>
    <xf numFmtId="0" fontId="3" fillId="0" borderId="0" xfId="0" applyFont="1"/>
    <xf numFmtId="0" fontId="6" fillId="0" borderId="0" xfId="0" applyFont="1" applyAlignment="1">
      <alignment vertical="top" indent="1"/>
    </xf>
    <xf numFmtId="0" fontId="7" fillId="0" borderId="0" xfId="0" applyFont="1" applyAlignment="1">
      <alignment vertical="top" wrapText="1"/>
    </xf>
    <xf numFmtId="0" fontId="3" fillId="0" borderId="0" xfId="0" applyFont="1" applyAlignment="1">
      <alignment vertical="top"/>
    </xf>
    <xf numFmtId="0" fontId="6" fillId="0" borderId="0" xfId="0" applyFont="1" applyAlignment="1">
      <alignment horizontal="center" vertical="center"/>
    </xf>
    <xf numFmtId="0" fontId="7" fillId="0" borderId="0" xfId="0" applyFont="1" applyAlignment="1">
      <alignment vertical="center" indent="1"/>
    </xf>
    <xf numFmtId="164" fontId="9" fillId="8" borderId="1" xfId="1" applyNumberFormat="1" applyFont="1" applyBorder="1" applyAlignment="1">
      <alignment horizontal="center" vertical="center"/>
    </xf>
    <xf numFmtId="165" fontId="9" fillId="8" borderId="1" xfId="1" applyNumberFormat="1" applyFont="1" applyBorder="1" applyAlignment="1">
      <alignment horizontal="center" vertical="center"/>
    </xf>
    <xf numFmtId="166" fontId="9" fillId="8" borderId="1" xfId="1" applyNumberFormat="1" applyFont="1" applyBorder="1" applyAlignment="1">
      <alignment horizontal="center" vertical="center"/>
    </xf>
    <xf numFmtId="167" fontId="9" fillId="8" borderId="1" xfId="1" applyNumberFormat="1" applyFont="1" applyBorder="1" applyAlignment="1">
      <alignment horizontal="center" vertical="center"/>
    </xf>
    <xf numFmtId="49" fontId="9" fillId="8" borderId="1" xfId="1" applyNumberFormat="1" applyFont="1" applyBorder="1" applyAlignment="1">
      <alignment horizontal="center" vertical="center"/>
    </xf>
    <xf numFmtId="167" fontId="11" fillId="0" borderId="1" xfId="0" applyNumberFormat="1" applyFont="1" applyBorder="1" applyAlignment="1">
      <alignment horizontal="center" vertical="center"/>
    </xf>
    <xf numFmtId="166"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2" fillId="0" borderId="1" xfId="0" applyFont="1" applyBorder="1" applyAlignment="1">
      <alignment horizontal="center" vertical="center"/>
    </xf>
    <xf numFmtId="168" fontId="11" fillId="0" borderId="1" xfId="0" applyNumberFormat="1" applyFont="1" applyBorder="1" applyAlignment="1">
      <alignment horizontal="center" vertical="center"/>
    </xf>
    <xf numFmtId="0" fontId="14" fillId="6" borderId="0" xfId="0" applyFont="1" applyFill="1" applyAlignment="1">
      <alignment vertical="center" indent="1"/>
    </xf>
    <xf numFmtId="168" fontId="14" fillId="6" borderId="1" xfId="0" applyNumberFormat="1" applyFont="1" applyFill="1" applyBorder="1" applyAlignment="1">
      <alignment horizontal="center" vertical="center"/>
    </xf>
    <xf numFmtId="0" fontId="14" fillId="7" borderId="0" xfId="0" applyFont="1" applyFill="1" applyAlignment="1">
      <alignment vertical="center" indent="1"/>
    </xf>
    <xf numFmtId="168" fontId="14" fillId="7"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11" fillId="0" borderId="1" xfId="0" applyFont="1" applyBorder="1" applyAlignment="1">
      <alignment vertical="center" indent="1"/>
    </xf>
    <xf numFmtId="165" fontId="11" fillId="0" borderId="1" xfId="0" applyNumberFormat="1" applyFont="1" applyBorder="1" applyAlignment="1">
      <alignment horizontal="center" vertical="center"/>
    </xf>
    <xf numFmtId="169" fontId="11" fillId="0" borderId="1" xfId="0" applyNumberFormat="1" applyFont="1" applyBorder="1" applyAlignment="1">
      <alignment horizontal="center" vertical="center"/>
    </xf>
    <xf numFmtId="0" fontId="11" fillId="6" borderId="1" xfId="0" applyFont="1" applyFill="1" applyBorder="1" applyAlignment="1">
      <alignment vertical="center" indent="1"/>
    </xf>
    <xf numFmtId="165" fontId="11" fillId="6" borderId="1" xfId="0" applyNumberFormat="1" applyFont="1" applyFill="1" applyBorder="1" applyAlignment="1">
      <alignment horizontal="center" vertical="center"/>
    </xf>
    <xf numFmtId="164" fontId="11" fillId="6" borderId="1" xfId="0" applyNumberFormat="1" applyFont="1" applyFill="1" applyBorder="1" applyAlignment="1">
      <alignment horizontal="center" vertical="center"/>
    </xf>
    <xf numFmtId="168" fontId="11" fillId="6" borderId="1" xfId="0" applyNumberFormat="1" applyFont="1" applyFill="1" applyBorder="1" applyAlignment="1">
      <alignment horizontal="center" vertical="center"/>
    </xf>
    <xf numFmtId="169" fontId="11" fillId="6"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xf numFmtId="0" fontId="15" fillId="2" borderId="0" xfId="0" applyFont="1" applyFill="1" applyAlignment="1">
      <alignment vertical="center" indent="1"/>
    </xf>
    <xf numFmtId="0" fontId="3" fillId="2" borderId="1" xfId="0" applyFont="1" applyFill="1" applyBorder="1"/>
    <xf numFmtId="164" fontId="15" fillId="2" borderId="1" xfId="0" applyNumberFormat="1" applyFont="1" applyFill="1" applyBorder="1" applyAlignment="1">
      <alignment horizontal="center" vertical="center"/>
    </xf>
    <xf numFmtId="168" fontId="15" fillId="2" borderId="1" xfId="0" applyNumberFormat="1" applyFont="1" applyFill="1" applyBorder="1" applyAlignment="1">
      <alignment horizontal="center" vertical="center"/>
    </xf>
    <xf numFmtId="165" fontId="16" fillId="6" borderId="1" xfId="0" applyNumberFormat="1" applyFont="1" applyFill="1" applyBorder="1" applyAlignment="1">
      <alignment horizontal="center" vertical="center"/>
    </xf>
    <xf numFmtId="0" fontId="6" fillId="0" borderId="0" xfId="0" applyFont="1" applyAlignment="1">
      <alignment vertical="center" indent="1"/>
    </xf>
    <xf numFmtId="165" fontId="6" fillId="6" borderId="1" xfId="0" applyNumberFormat="1" applyFont="1" applyFill="1" applyBorder="1" applyAlignment="1">
      <alignment horizontal="center" vertical="center"/>
    </xf>
    <xf numFmtId="0" fontId="17" fillId="0" borderId="0" xfId="0" applyFont="1" applyAlignment="1">
      <alignment vertical="center" indent="1"/>
    </xf>
    <xf numFmtId="170" fontId="18" fillId="0" borderId="1" xfId="0" applyNumberFormat="1" applyFont="1" applyBorder="1" applyAlignment="1">
      <alignment horizontal="center" vertical="center"/>
    </xf>
    <xf numFmtId="0" fontId="6" fillId="6" borderId="0" xfId="0" applyFont="1" applyFill="1" applyAlignment="1">
      <alignment vertical="center" indent="1"/>
    </xf>
    <xf numFmtId="168" fontId="6" fillId="6" borderId="1" xfId="0" applyNumberFormat="1" applyFont="1" applyFill="1" applyBorder="1" applyAlignment="1">
      <alignment horizontal="center" vertical="center"/>
    </xf>
    <xf numFmtId="0" fontId="6" fillId="7" borderId="0" xfId="0" applyFont="1" applyFill="1" applyAlignment="1">
      <alignment vertical="center" indent="1"/>
    </xf>
    <xf numFmtId="168" fontId="6" fillId="7" borderId="1" xfId="0" applyNumberFormat="1" applyFont="1" applyFill="1" applyBorder="1" applyAlignment="1">
      <alignment horizontal="center" vertical="center"/>
    </xf>
    <xf numFmtId="49" fontId="19" fillId="0" borderId="1" xfId="0" applyNumberFormat="1" applyFont="1" applyBorder="1" applyAlignment="1">
      <alignment horizontal="center" vertical="center"/>
    </xf>
    <xf numFmtId="165" fontId="20" fillId="5" borderId="1" xfId="0" applyNumberFormat="1" applyFont="1" applyFill="1" applyBorder="1" applyAlignment="1">
      <alignment horizontal="center" vertical="center"/>
    </xf>
    <xf numFmtId="165" fontId="16" fillId="0" borderId="1" xfId="0" applyNumberFormat="1" applyFont="1" applyBorder="1" applyAlignment="1">
      <alignment horizontal="center" vertical="center"/>
    </xf>
    <xf numFmtId="170" fontId="11" fillId="0" borderId="1" xfId="0" applyNumberFormat="1" applyFont="1" applyBorder="1" applyAlignment="1">
      <alignment horizontal="center" vertical="center"/>
    </xf>
    <xf numFmtId="0" fontId="3" fillId="0" borderId="0" xfId="0" applyFont="1" applyAlignment="1">
      <alignment vertical="top" wrapText="1"/>
    </xf>
    <xf numFmtId="0" fontId="6" fillId="0" borderId="0" xfId="0" applyFont="1" applyAlignment="1">
      <alignment vertical="center" wrapText="1"/>
    </xf>
    <xf numFmtId="0" fontId="12" fillId="0" borderId="0" xfId="0" applyFont="1" applyAlignment="1">
      <alignment horizontal="center" vertical="center"/>
    </xf>
    <xf numFmtId="0" fontId="5" fillId="3" borderId="0" xfId="0" applyFont="1" applyFill="1" applyAlignment="1">
      <alignment vertical="center" indent="1"/>
    </xf>
    <xf numFmtId="0" fontId="8" fillId="4" borderId="0" xfId="0" applyFont="1" applyFill="1" applyAlignment="1">
      <alignment vertical="center" indent="1"/>
    </xf>
    <xf numFmtId="0" fontId="2" fillId="2" borderId="0" xfId="0" applyFont="1" applyFill="1" applyAlignment="1">
      <alignment horizontal="left" vertical="center" indent="1"/>
    </xf>
    <xf numFmtId="0" fontId="4" fillId="3" borderId="0" xfId="0" applyFont="1" applyFill="1" applyAlignment="1">
      <alignment horizontal="left" vertical="center" indent="1"/>
    </xf>
    <xf numFmtId="0" fontId="10" fillId="0" borderId="0" xfId="0" applyFont="1" applyAlignment="1">
      <alignment vertical="center"/>
    </xf>
    <xf numFmtId="0" fontId="10" fillId="0" borderId="0" xfId="0" applyFont="1" applyAlignment="1">
      <alignment vertical="top" wrapText="1"/>
    </xf>
    <xf numFmtId="0" fontId="13" fillId="0" borderId="0" xfId="0" applyFont="1" applyAlignment="1">
      <alignment vertical="center" wrapText="1" indent="1"/>
    </xf>
    <xf numFmtId="0" fontId="21" fillId="0" borderId="0" xfId="0" applyFont="1" applyAlignment="1">
      <alignment vertical="center"/>
    </xf>
    <xf numFmtId="0" fontId="10" fillId="0" borderId="0" xfId="0" applyFont="1" applyAlignment="1"/>
  </cellXfs>
  <cellStyles count="2">
    <cellStyle name="Neutral" xfId="1" builtinId="28"/>
    <cellStyle name="Normal" xfId="0" builtinId="0"/>
  </cellStyles>
  <dxfs count="0"/>
  <tableStyles count="0" defaultTableStyle="TableStyleMedium2" defaultPivotStyle="PivotStyleLight16"/>
  <colors>
    <indexedColors>
      <rgbColor rgb="FF000000"/>
      <rgbColor rgb="FFFFFFFF"/>
      <rgbColor rgb="FFE6007E"/>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C0504D"/>
      <rgbColor rgb="FFFFF7DC"/>
      <rgbColor rgb="FFF4F2FB"/>
      <rgbColor rgb="FF660066"/>
      <rgbColor rgb="FFFF8080"/>
      <rgbColor rgb="FF0066CC"/>
      <rgbColor rgb="FFD5D2E6"/>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F81BD"/>
      <rgbColor rgb="FF33CCCC"/>
      <rgbColor rgb="FF99CC00"/>
      <rgbColor rgb="FFFFC846"/>
      <rgbColor rgb="FFFF9900"/>
      <rgbColor rgb="FFFF6600"/>
      <rgbColor rgb="FF6B6B80"/>
      <rgbColor rgb="FF969696"/>
      <rgbColor rgb="FF1A1B4B"/>
      <rgbColor rgb="FF339966"/>
      <rgbColor rgb="FF003300"/>
      <rgbColor rgb="FF333300"/>
      <rgbColor rgb="FF993300"/>
      <rgbColor rgb="FF993366"/>
      <rgbColor rgb="FF5B3FBF"/>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IN" sz="1800" b="1" strike="noStrike" spc="-1">
                <a:solidFill>
                  <a:srgbClr val="000000"/>
                </a:solidFill>
                <a:latin typeface="Calibri"/>
              </a:rPr>
              <a:t>Total tax at exit: 83(b) filed vs no election</a:t>
            </a:r>
          </a:p>
        </c:rich>
      </c:tx>
      <c:overlay val="0"/>
      <c:spPr>
        <a:noFill/>
        <a:ln w="0">
          <a:noFill/>
        </a:ln>
      </c:spPr>
    </c:title>
    <c:autoTitleDeleted val="0"/>
    <c:plotArea>
      <c:layout/>
      <c:barChart>
        <c:barDir val="col"/>
        <c:grouping val="clustered"/>
        <c:varyColors val="0"/>
        <c:ser>
          <c:idx val="0"/>
          <c:order val="0"/>
          <c:tx>
            <c:strRef>
              <c:f>'Scenario Analysis'!$B$13</c:f>
              <c:strCache>
                <c:ptCount val="1"/>
                <c:pt idx="0">
                  <c:v>Total tax  ·  83(b) filed</c:v>
                </c:pt>
              </c:strCache>
            </c:strRef>
          </c:tx>
          <c:spPr>
            <a:solidFill>
              <a:srgbClr val="4F81BD"/>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'Scenario Analysis'!$C$6:$M$6</c:f>
              <c:numCache>
                <c:formatCode>\$#,##0.0000;"($"#,##0.0000\);\-</c:formatCode>
                <c:ptCount val="11"/>
                <c:pt idx="0">
                  <c:v>2.5000000000000001E-5</c:v>
                </c:pt>
                <c:pt idx="1">
                  <c:v>3.0778610333622911E-5</c:v>
                </c:pt>
                <c:pt idx="2">
                  <c:v>3.7892914162759952E-5</c:v>
                </c:pt>
                <c:pt idx="3">
                  <c:v>4.6651649576840374E-5</c:v>
                </c:pt>
                <c:pt idx="4">
                  <c:v>5.7434917749851761E-5</c:v>
                </c:pt>
                <c:pt idx="5">
                  <c:v>7.0710678118654754E-5</c:v>
                </c:pt>
                <c:pt idx="6">
                  <c:v>8.7055056329612415E-5</c:v>
                </c:pt>
                <c:pt idx="7">
                  <c:v>1.0717734625362929E-4</c:v>
                </c:pt>
                <c:pt idx="8">
                  <c:v>1.3195079107728943E-4</c:v>
                </c:pt>
                <c:pt idx="9">
                  <c:v>1.6245047927124708E-4</c:v>
                </c:pt>
                <c:pt idx="10">
                  <c:v>2.0000000000000001E-4</c:v>
                </c:pt>
              </c:numCache>
            </c:numRef>
          </c:cat>
          <c:val>
            <c:numRef>
              <c:f>'Scenario Analysis'!$C$13:$M$13</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4CF5-4C4C-AA37-D7AF04814C34}"/>
            </c:ext>
          </c:extLst>
        </c:ser>
        <c:ser>
          <c:idx val="1"/>
          <c:order val="1"/>
          <c:tx>
            <c:strRef>
              <c:f>'Scenario Analysis'!$B$35</c:f>
              <c:strCache>
                <c:ptCount val="1"/>
                <c:pt idx="0">
                  <c:v>Total tax  ·  no election</c:v>
                </c:pt>
              </c:strCache>
            </c:strRef>
          </c:tx>
          <c:spPr>
            <a:solidFill>
              <a:srgbClr val="C0504D"/>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'Scenario Analysis'!$C$6:$M$6</c:f>
              <c:numCache>
                <c:formatCode>\$#,##0.0000;"($"#,##0.0000\);\-</c:formatCode>
                <c:ptCount val="11"/>
                <c:pt idx="0">
                  <c:v>2.5000000000000001E-5</c:v>
                </c:pt>
                <c:pt idx="1">
                  <c:v>3.0778610333622911E-5</c:v>
                </c:pt>
                <c:pt idx="2">
                  <c:v>3.7892914162759952E-5</c:v>
                </c:pt>
                <c:pt idx="3">
                  <c:v>4.6651649576840374E-5</c:v>
                </c:pt>
                <c:pt idx="4">
                  <c:v>5.7434917749851761E-5</c:v>
                </c:pt>
                <c:pt idx="5">
                  <c:v>7.0710678118654754E-5</c:v>
                </c:pt>
                <c:pt idx="6">
                  <c:v>8.7055056329612415E-5</c:v>
                </c:pt>
                <c:pt idx="7">
                  <c:v>1.0717734625362929E-4</c:v>
                </c:pt>
                <c:pt idx="8">
                  <c:v>1.3195079107728943E-4</c:v>
                </c:pt>
                <c:pt idx="9">
                  <c:v>1.6245047927124708E-4</c:v>
                </c:pt>
                <c:pt idx="10">
                  <c:v>2.0000000000000001E-4</c:v>
                </c:pt>
              </c:numCache>
            </c:numRef>
          </c:cat>
          <c:val>
            <c:numRef>
              <c:f>'Scenario Analysis'!$C$35:$M$35</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4CF5-4C4C-AA37-D7AF04814C34}"/>
            </c:ext>
          </c:extLst>
        </c:ser>
        <c:dLbls>
          <c:showLegendKey val="0"/>
          <c:showVal val="0"/>
          <c:showCatName val="0"/>
          <c:showSerName val="0"/>
          <c:showPercent val="0"/>
          <c:showBubbleSize val="0"/>
        </c:dLbls>
        <c:gapWidth val="150"/>
        <c:axId val="17714932"/>
        <c:axId val="35696499"/>
      </c:barChart>
      <c:catAx>
        <c:axId val="17714932"/>
        <c:scaling>
          <c:orientation val="minMax"/>
        </c:scaling>
        <c:delete val="0"/>
        <c:axPos val="b"/>
        <c:title>
          <c:tx>
            <c:rich>
              <a:bodyPr rot="0"/>
              <a:lstStyle/>
              <a:p>
                <a:pPr>
                  <a:defRPr sz="1000" b="1" strike="noStrike" spc="-1">
                    <a:solidFill>
                      <a:srgbClr val="000000"/>
                    </a:solidFill>
                    <a:latin typeface="Calibri"/>
                  </a:defRPr>
                </a:pPr>
                <a:r>
                  <a:rPr lang="en-IN" sz="1000" b="1" strike="noStrike" spc="-1">
                    <a:solidFill>
                      <a:srgbClr val="000000"/>
                    </a:solidFill>
                    <a:latin typeface="Calibri"/>
                  </a:rPr>
                  <a:t>Exit FMV per share</a:t>
                </a:r>
              </a:p>
            </c:rich>
          </c:tx>
          <c:overlay val="0"/>
          <c:spPr>
            <a:noFill/>
            <a:ln w="0">
              <a:noFill/>
            </a:ln>
          </c:spPr>
        </c:title>
        <c:numFmt formatCode="\$#,##0.0000;&quot;($&quot;#,##0.00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5696499"/>
        <c:crosses val="autoZero"/>
        <c:auto val="1"/>
        <c:lblAlgn val="ctr"/>
        <c:lblOffset val="100"/>
        <c:noMultiLvlLbl val="0"/>
      </c:catAx>
      <c:valAx>
        <c:axId val="35696499"/>
        <c:scaling>
          <c:orientation val="minMax"/>
        </c:scaling>
        <c:delete val="0"/>
        <c:axPos val="l"/>
        <c:majorGridlines>
          <c:spPr>
            <a:ln w="9360">
              <a:solidFill>
                <a:srgbClr val="878787"/>
              </a:solidFill>
              <a:round/>
            </a:ln>
          </c:spPr>
        </c:majorGridlines>
        <c:title>
          <c:tx>
            <c:rich>
              <a:bodyPr rot="-5400000"/>
              <a:lstStyle/>
              <a:p>
                <a:pPr>
                  <a:defRPr sz="1000" b="1" strike="noStrike" spc="-1">
                    <a:solidFill>
                      <a:srgbClr val="000000"/>
                    </a:solidFill>
                    <a:latin typeface="Calibri"/>
                  </a:defRPr>
                </a:pPr>
                <a:r>
                  <a:rPr lang="en-IN" sz="1000" b="1" strike="noStrike" spc="-1">
                    <a:solidFill>
                      <a:srgbClr val="000000"/>
                    </a:solidFill>
                    <a:latin typeface="Calibri"/>
                  </a:rPr>
                  <a:t>Total tax ($)</a:t>
                </a:r>
              </a:p>
            </c:rich>
          </c:tx>
          <c:overlay val="0"/>
          <c:spPr>
            <a:noFill/>
            <a:ln w="0">
              <a:noFill/>
            </a:ln>
          </c:spPr>
        </c:title>
        <c:numFmt formatCode="\$#,##0;&quot;($&quot;#,##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7714932"/>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7391400</xdr:colOff>
      <xdr:row>1</xdr:row>
      <xdr:rowOff>76201</xdr:rowOff>
    </xdr:from>
    <xdr:to>
      <xdr:col>3</xdr:col>
      <xdr:colOff>4427</xdr:colOff>
      <xdr:row>1</xdr:row>
      <xdr:rowOff>628650</xdr:rowOff>
    </xdr:to>
    <xdr:pic>
      <xdr:nvPicPr>
        <xdr:cNvPr id="3" name="Picture 2">
          <a:extLst>
            <a:ext uri="{FF2B5EF4-FFF2-40B4-BE49-F238E27FC236}">
              <a16:creationId xmlns:a16="http://schemas.microsoft.com/office/drawing/2014/main" id="{D2D8D656-2FF7-AF78-6983-49940D16A4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6450" y="254001"/>
          <a:ext cx="1547477" cy="552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590551</xdr:colOff>
      <xdr:row>0</xdr:row>
      <xdr:rowOff>69850</xdr:rowOff>
    </xdr:from>
    <xdr:ext cx="1494118" cy="533400"/>
    <xdr:pic>
      <xdr:nvPicPr>
        <xdr:cNvPr id="4" name="Picture 3">
          <a:extLst>
            <a:ext uri="{FF2B5EF4-FFF2-40B4-BE49-F238E27FC236}">
              <a16:creationId xmlns:a16="http://schemas.microsoft.com/office/drawing/2014/main" id="{C27C7012-8103-4836-97C3-78BEF3F051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07951" y="254000"/>
          <a:ext cx="1494118" cy="533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7</xdr:col>
      <xdr:colOff>815760</xdr:colOff>
      <xdr:row>69</xdr:row>
      <xdr:rowOff>109030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11</xdr:col>
      <xdr:colOff>266700</xdr:colOff>
      <xdr:row>0</xdr:row>
      <xdr:rowOff>76200</xdr:rowOff>
    </xdr:from>
    <xdr:ext cx="1494118" cy="533400"/>
    <xdr:pic>
      <xdr:nvPicPr>
        <xdr:cNvPr id="3" name="Picture 2">
          <a:extLst>
            <a:ext uri="{FF2B5EF4-FFF2-40B4-BE49-F238E27FC236}">
              <a16:creationId xmlns:a16="http://schemas.microsoft.com/office/drawing/2014/main" id="{E09A3E69-81DC-40AC-9DE4-214A008377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61800" y="76200"/>
          <a:ext cx="1494118" cy="5334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7689850</xdr:colOff>
      <xdr:row>0</xdr:row>
      <xdr:rowOff>69850</xdr:rowOff>
    </xdr:from>
    <xdr:ext cx="1494118" cy="533400"/>
    <xdr:pic>
      <xdr:nvPicPr>
        <xdr:cNvPr id="2" name="Picture 1">
          <a:extLst>
            <a:ext uri="{FF2B5EF4-FFF2-40B4-BE49-F238E27FC236}">
              <a16:creationId xmlns:a16="http://schemas.microsoft.com/office/drawing/2014/main" id="{EAD5C900-E77C-44E5-B9F2-90F3088712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93400" y="247650"/>
          <a:ext cx="1494118" cy="533400"/>
        </a:xfrm>
        <a:prstGeom prst="rect">
          <a:avLst/>
        </a:prstGeom>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35"/>
  <sheetViews>
    <sheetView showGridLines="0" tabSelected="1" zoomScaleNormal="100" workbookViewId="0">
      <selection activeCell="D25" sqref="D25"/>
    </sheetView>
  </sheetViews>
  <sheetFormatPr defaultColWidth="8.5703125" defaultRowHeight="14.1"/>
  <cols>
    <col min="1" max="1" width="3" style="1" customWidth="1"/>
    <col min="2" max="2" width="30" style="1" customWidth="1"/>
    <col min="3" max="3" width="129.42578125" style="1" customWidth="1"/>
    <col min="4" max="16384" width="8.5703125" style="1"/>
  </cols>
  <sheetData>
    <row r="2" spans="2:3" ht="57.6" customHeight="1">
      <c r="B2" s="53" t="s">
        <v>0</v>
      </c>
      <c r="C2" s="53"/>
    </row>
    <row r="3" spans="2:3" ht="21.75" customHeight="1">
      <c r="B3" s="54" t="s">
        <v>1</v>
      </c>
      <c r="C3" s="54"/>
    </row>
    <row r="5" spans="2:3" ht="7.5" customHeight="1"/>
    <row r="6" spans="2:3" ht="24" customHeight="1">
      <c r="B6" s="51" t="s">
        <v>2</v>
      </c>
      <c r="C6" s="51"/>
    </row>
    <row r="7" spans="2:3" s="4" customFormat="1" ht="27.95">
      <c r="B7" s="5" t="s">
        <v>3</v>
      </c>
      <c r="C7" s="3" t="s">
        <v>4</v>
      </c>
    </row>
    <row r="8" spans="2:3" s="4" customFormat="1" ht="30.95" customHeight="1">
      <c r="B8" s="5" t="s">
        <v>5</v>
      </c>
      <c r="C8" s="3" t="s">
        <v>6</v>
      </c>
    </row>
    <row r="9" spans="2:3" s="4" customFormat="1" ht="27.95">
      <c r="B9" s="5" t="s">
        <v>7</v>
      </c>
      <c r="C9" s="3" t="s">
        <v>8</v>
      </c>
    </row>
    <row r="10" spans="2:3" s="4" customFormat="1" ht="27.95">
      <c r="B10" s="5" t="s">
        <v>9</v>
      </c>
      <c r="C10" s="3" t="s">
        <v>10</v>
      </c>
    </row>
    <row r="11" spans="2:3" s="4" customFormat="1" ht="30.95" customHeight="1">
      <c r="B11" s="5" t="s">
        <v>11</v>
      </c>
      <c r="C11" s="3" t="s">
        <v>12</v>
      </c>
    </row>
    <row r="12" spans="2:3" ht="7.5" customHeight="1"/>
    <row r="13" spans="2:3" ht="24" customHeight="1">
      <c r="B13" s="51" t="s">
        <v>13</v>
      </c>
      <c r="C13" s="51"/>
    </row>
    <row r="14" spans="2:3" ht="15" customHeight="1">
      <c r="B14" s="2" t="s">
        <v>14</v>
      </c>
      <c r="C14" s="3" t="s">
        <v>15</v>
      </c>
    </row>
    <row r="15" spans="2:3" ht="15" customHeight="1">
      <c r="B15" s="2" t="s">
        <v>16</v>
      </c>
      <c r="C15" s="3" t="s">
        <v>17</v>
      </c>
    </row>
    <row r="16" spans="2:3" ht="15" customHeight="1">
      <c r="B16" s="2" t="s">
        <v>18</v>
      </c>
      <c r="C16" s="3" t="s">
        <v>19</v>
      </c>
    </row>
    <row r="17" spans="2:3" ht="7.5" customHeight="1"/>
    <row r="18" spans="2:3" ht="24" customHeight="1">
      <c r="B18" s="51" t="s">
        <v>20</v>
      </c>
      <c r="C18" s="51"/>
    </row>
    <row r="19" spans="2:3" ht="45.6" customHeight="1">
      <c r="B19" s="2" t="s">
        <v>21</v>
      </c>
      <c r="C19" s="3" t="s">
        <v>22</v>
      </c>
    </row>
    <row r="20" spans="2:3" ht="46.5" customHeight="1">
      <c r="B20" s="2" t="s">
        <v>23</v>
      </c>
      <c r="C20" s="3" t="s">
        <v>24</v>
      </c>
    </row>
    <row r="21" spans="2:3" ht="47.1" customHeight="1">
      <c r="B21" s="2" t="s">
        <v>25</v>
      </c>
      <c r="C21" s="3" t="s">
        <v>26</v>
      </c>
    </row>
    <row r="22" spans="2:3" ht="42">
      <c r="B22" s="2" t="s">
        <v>27</v>
      </c>
      <c r="C22" s="3" t="s">
        <v>28</v>
      </c>
    </row>
    <row r="23" spans="2:3" ht="7.5" customHeight="1"/>
    <row r="24" spans="2:3" ht="24" customHeight="1">
      <c r="B24" s="51" t="s">
        <v>29</v>
      </c>
      <c r="C24" s="51"/>
    </row>
    <row r="25" spans="2:3" ht="27.95">
      <c r="B25" s="2" t="s">
        <v>30</v>
      </c>
      <c r="C25" s="3" t="s">
        <v>31</v>
      </c>
    </row>
    <row r="26" spans="2:3" ht="27.95">
      <c r="B26" s="2" t="s">
        <v>32</v>
      </c>
      <c r="C26" s="3" t="s">
        <v>33</v>
      </c>
    </row>
    <row r="27" spans="2:3" ht="27.95">
      <c r="B27" s="2" t="s">
        <v>34</v>
      </c>
      <c r="C27" s="3" t="s">
        <v>35</v>
      </c>
    </row>
    <row r="28" spans="2:3" ht="27.95">
      <c r="B28" s="2" t="s">
        <v>36</v>
      </c>
      <c r="C28" s="3" t="s">
        <v>37</v>
      </c>
    </row>
    <row r="29" spans="2:3" ht="42">
      <c r="B29" s="2" t="s">
        <v>38</v>
      </c>
      <c r="C29" s="3" t="s">
        <v>39</v>
      </c>
    </row>
    <row r="30" spans="2:3" ht="7.5" customHeight="1"/>
    <row r="31" spans="2:3" ht="24" customHeight="1">
      <c r="B31" s="51" t="s">
        <v>40</v>
      </c>
      <c r="C31" s="51"/>
    </row>
    <row r="32" spans="2:3" ht="69.95">
      <c r="B32" s="2" t="s">
        <v>41</v>
      </c>
      <c r="C32" s="3" t="s">
        <v>42</v>
      </c>
    </row>
    <row r="33" spans="2:3" ht="42">
      <c r="B33" s="2" t="s">
        <v>43</v>
      </c>
      <c r="C33" s="3" t="s">
        <v>44</v>
      </c>
    </row>
    <row r="35" spans="2:3" ht="24" customHeight="1">
      <c r="B35" s="52" t="s">
        <v>45</v>
      </c>
      <c r="C35" s="52"/>
    </row>
  </sheetData>
  <sheetProtection algorithmName="SHA-512" hashValue="/OMHLC+OwrLPTyI2W94/K7qvReuAHWeo3gt/+nLsG2CxuXaZJ07aNaY4atucgAXVeRwSVLkHmDjaFZfgeGHgfQ==" saltValue="eFiDYP0bWNGduqO3V2b5UQ==" spinCount="100000" sheet="1" objects="1" scenarios="1"/>
  <mergeCells count="8">
    <mergeCell ref="B24:C24"/>
    <mergeCell ref="B31:C31"/>
    <mergeCell ref="B35:C35"/>
    <mergeCell ref="B2:C2"/>
    <mergeCell ref="B3:C3"/>
    <mergeCell ref="B6:C6"/>
    <mergeCell ref="B13:C13"/>
    <mergeCell ref="B18:C18"/>
  </mergeCells>
  <pageMargins left="0.75" right="0.75" top="1" bottom="1" header="0.511811023622047" footer="0.511811023622047"/>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62"/>
  <sheetViews>
    <sheetView showGridLines="0" zoomScaleNormal="100" workbookViewId="0">
      <pane ySplit="1" topLeftCell="A26" activePane="bottomLeft" state="frozen"/>
      <selection pane="bottomLeft" activeCell="B30" sqref="A1:XFD1048576"/>
    </sheetView>
  </sheetViews>
  <sheetFormatPr defaultColWidth="8.5703125" defaultRowHeight="14.1"/>
  <cols>
    <col min="1" max="1" width="3" style="1" customWidth="1"/>
    <col min="2" max="2" width="46" style="1" customWidth="1"/>
    <col min="3" max="3" width="11.85546875" style="1" customWidth="1"/>
    <col min="4" max="4" width="18" style="1" customWidth="1"/>
    <col min="5" max="5" width="2" style="1" customWidth="1"/>
    <col min="6" max="9" width="17" style="1" customWidth="1"/>
    <col min="10" max="11" width="13" style="1" customWidth="1"/>
    <col min="12" max="13" width="17" style="1" customWidth="1"/>
    <col min="14" max="14" width="3" style="1" customWidth="1"/>
    <col min="15" max="16384" width="8.5703125" style="1"/>
  </cols>
  <sheetData>
    <row r="1" spans="2:13" ht="53.45" customHeight="1">
      <c r="B1" s="53" t="s">
        <v>0</v>
      </c>
      <c r="C1" s="53"/>
      <c r="D1" s="53"/>
      <c r="E1" s="53"/>
      <c r="F1" s="53"/>
      <c r="G1" s="53"/>
      <c r="H1" s="53"/>
      <c r="I1" s="53"/>
      <c r="J1" s="53"/>
      <c r="K1" s="53"/>
      <c r="L1" s="53"/>
      <c r="M1" s="53"/>
    </row>
    <row r="2" spans="2:13" ht="21.75" customHeight="1">
      <c r="B2" s="54" t="s">
        <v>46</v>
      </c>
      <c r="C2" s="54"/>
      <c r="D2" s="54"/>
      <c r="E2" s="54"/>
      <c r="F2" s="54"/>
      <c r="G2" s="54"/>
      <c r="H2" s="54"/>
      <c r="I2" s="54"/>
      <c r="J2" s="54"/>
      <c r="K2" s="54"/>
      <c r="L2" s="54"/>
      <c r="M2" s="54"/>
    </row>
    <row r="3" spans="2:13" ht="21.75" customHeight="1">
      <c r="B3" s="51" t="s">
        <v>47</v>
      </c>
      <c r="C3" s="51"/>
      <c r="D3" s="51"/>
      <c r="E3" s="51"/>
      <c r="F3" s="51"/>
      <c r="G3" s="51"/>
      <c r="H3" s="51"/>
      <c r="I3" s="51"/>
      <c r="J3" s="51"/>
      <c r="K3" s="51"/>
      <c r="L3" s="51"/>
      <c r="M3" s="51"/>
    </row>
    <row r="4" spans="2:13" ht="18" customHeight="1">
      <c r="B4" s="6" t="s">
        <v>48</v>
      </c>
      <c r="D4" s="7">
        <v>0</v>
      </c>
      <c r="F4" s="55" t="s">
        <v>49</v>
      </c>
      <c r="G4" s="55"/>
      <c r="H4" s="55"/>
      <c r="I4" s="55"/>
      <c r="J4" s="55"/>
      <c r="K4" s="55"/>
      <c r="L4" s="55"/>
      <c r="M4" s="55"/>
    </row>
    <row r="5" spans="2:13" ht="18" customHeight="1">
      <c r="B5" s="6" t="s">
        <v>50</v>
      </c>
      <c r="D5" s="8">
        <v>0</v>
      </c>
      <c r="F5" s="55" t="s">
        <v>51</v>
      </c>
      <c r="G5" s="55"/>
      <c r="H5" s="55"/>
      <c r="I5" s="55"/>
      <c r="J5" s="55"/>
      <c r="K5" s="55"/>
      <c r="L5" s="55"/>
      <c r="M5" s="55"/>
    </row>
    <row r="6" spans="2:13" ht="18" customHeight="1">
      <c r="B6" s="6" t="s">
        <v>52</v>
      </c>
      <c r="D6" s="8">
        <v>0</v>
      </c>
      <c r="F6" s="55" t="s">
        <v>53</v>
      </c>
      <c r="G6" s="55"/>
      <c r="H6" s="55"/>
      <c r="I6" s="55"/>
      <c r="J6" s="55"/>
      <c r="K6" s="55"/>
      <c r="L6" s="55"/>
      <c r="M6" s="55"/>
    </row>
    <row r="7" spans="2:13" ht="18" customHeight="1">
      <c r="B7" s="6" t="s">
        <v>54</v>
      </c>
      <c r="D7" s="8">
        <v>0</v>
      </c>
      <c r="F7" s="55" t="s">
        <v>55</v>
      </c>
      <c r="G7" s="55"/>
      <c r="H7" s="55"/>
      <c r="I7" s="55"/>
      <c r="J7" s="55"/>
      <c r="K7" s="55"/>
      <c r="L7" s="55"/>
      <c r="M7" s="55"/>
    </row>
    <row r="8" spans="2:13" ht="18" customHeight="1">
      <c r="B8" s="6" t="s">
        <v>56</v>
      </c>
      <c r="D8" s="7">
        <v>0</v>
      </c>
      <c r="F8" s="55" t="s">
        <v>57</v>
      </c>
      <c r="G8" s="55"/>
      <c r="H8" s="55"/>
      <c r="I8" s="55"/>
      <c r="J8" s="55"/>
      <c r="K8" s="55"/>
      <c r="L8" s="55"/>
      <c r="M8" s="55"/>
    </row>
    <row r="9" spans="2:13" ht="18" customHeight="1">
      <c r="B9" s="6" t="s">
        <v>58</v>
      </c>
      <c r="D9" s="7">
        <v>0</v>
      </c>
      <c r="F9" s="55" t="s">
        <v>59</v>
      </c>
      <c r="G9" s="55"/>
      <c r="H9" s="55"/>
      <c r="I9" s="55"/>
      <c r="J9" s="55"/>
      <c r="K9" s="55"/>
      <c r="L9" s="55"/>
      <c r="M9" s="55"/>
    </row>
    <row r="10" spans="2:13" ht="18" customHeight="1">
      <c r="B10" s="6" t="s">
        <v>60</v>
      </c>
      <c r="D10" s="9">
        <v>0</v>
      </c>
      <c r="F10" s="55" t="s">
        <v>61</v>
      </c>
      <c r="G10" s="55"/>
      <c r="H10" s="55"/>
      <c r="I10" s="55"/>
      <c r="J10" s="55"/>
      <c r="K10" s="55"/>
      <c r="L10" s="55"/>
      <c r="M10" s="55"/>
    </row>
    <row r="12" spans="2:13" ht="21.75" customHeight="1">
      <c r="B12" s="51" t="s">
        <v>62</v>
      </c>
      <c r="C12" s="51"/>
      <c r="D12" s="51"/>
      <c r="E12" s="51"/>
      <c r="F12" s="51"/>
      <c r="G12" s="51"/>
      <c r="H12" s="51"/>
      <c r="I12" s="51"/>
      <c r="J12" s="51"/>
      <c r="K12" s="51"/>
      <c r="L12" s="51"/>
      <c r="M12" s="51"/>
    </row>
    <row r="13" spans="2:13" ht="18" customHeight="1">
      <c r="B13" s="6" t="s">
        <v>63</v>
      </c>
      <c r="D13" s="10">
        <v>0</v>
      </c>
      <c r="F13" s="55" t="s">
        <v>64</v>
      </c>
      <c r="G13" s="55"/>
      <c r="H13" s="55"/>
      <c r="I13" s="55"/>
      <c r="J13" s="55"/>
      <c r="K13" s="55"/>
      <c r="L13" s="55"/>
      <c r="M13" s="55"/>
    </row>
    <row r="14" spans="2:13" ht="18" customHeight="1">
      <c r="B14" s="6" t="s">
        <v>65</v>
      </c>
      <c r="D14" s="10">
        <v>0</v>
      </c>
      <c r="F14" s="55" t="s">
        <v>66</v>
      </c>
      <c r="G14" s="55"/>
      <c r="H14" s="55"/>
      <c r="I14" s="55"/>
      <c r="J14" s="55"/>
      <c r="K14" s="55"/>
      <c r="L14" s="55"/>
      <c r="M14" s="55"/>
    </row>
    <row r="15" spans="2:13" ht="18" customHeight="1">
      <c r="B15" s="6" t="s">
        <v>67</v>
      </c>
      <c r="D15" s="10">
        <v>0</v>
      </c>
      <c r="F15" s="55" t="s">
        <v>68</v>
      </c>
      <c r="G15" s="55"/>
      <c r="H15" s="55"/>
      <c r="I15" s="55"/>
      <c r="J15" s="55"/>
      <c r="K15" s="55"/>
      <c r="L15" s="55"/>
      <c r="M15" s="55"/>
    </row>
    <row r="16" spans="2:13" ht="18" customHeight="1">
      <c r="B16" s="6" t="s">
        <v>69</v>
      </c>
      <c r="D16" s="10">
        <v>0</v>
      </c>
      <c r="F16" s="55" t="s">
        <v>70</v>
      </c>
      <c r="G16" s="55"/>
      <c r="H16" s="55"/>
      <c r="I16" s="55"/>
      <c r="J16" s="55"/>
      <c r="K16" s="55"/>
      <c r="L16" s="55"/>
      <c r="M16" s="55"/>
    </row>
    <row r="17" spans="2:13" ht="18" customHeight="1">
      <c r="B17" s="6" t="s">
        <v>71</v>
      </c>
      <c r="D17" s="11" t="s">
        <v>72</v>
      </c>
      <c r="F17" s="55" t="s">
        <v>73</v>
      </c>
      <c r="G17" s="55"/>
      <c r="H17" s="55"/>
      <c r="I17" s="55"/>
      <c r="J17" s="55"/>
      <c r="K17" s="55"/>
      <c r="L17" s="55"/>
      <c r="M17" s="55"/>
    </row>
    <row r="19" spans="2:13" ht="18" customHeight="1">
      <c r="B19" s="6" t="s">
        <v>74</v>
      </c>
      <c r="D19" s="12">
        <f>D13+D14</f>
        <v>0</v>
      </c>
    </row>
    <row r="20" spans="2:13" ht="18" customHeight="1">
      <c r="B20" s="6" t="s">
        <v>75</v>
      </c>
      <c r="D20" s="12">
        <f>D15+D16+IF(EXACT(UPPER(D17),"YES"),0.038,0)</f>
        <v>3.7999999999999999E-2</v>
      </c>
    </row>
    <row r="22" spans="2:13" ht="21.75" customHeight="1">
      <c r="B22" s="51" t="s">
        <v>76</v>
      </c>
      <c r="C22" s="51"/>
      <c r="D22" s="51"/>
      <c r="E22" s="51"/>
      <c r="F22" s="51"/>
      <c r="G22" s="51"/>
      <c r="H22" s="51"/>
      <c r="I22" s="51"/>
      <c r="J22" s="51"/>
      <c r="K22" s="51"/>
      <c r="L22" s="51"/>
      <c r="M22" s="51"/>
    </row>
    <row r="23" spans="2:13" ht="18" customHeight="1">
      <c r="B23" s="6" t="s">
        <v>77</v>
      </c>
      <c r="D23" s="13">
        <f>D10+30</f>
        <v>30</v>
      </c>
      <c r="F23" s="55" t="s">
        <v>78</v>
      </c>
      <c r="G23" s="55"/>
      <c r="H23" s="55"/>
      <c r="I23" s="55"/>
      <c r="J23" s="55"/>
      <c r="K23" s="55"/>
      <c r="L23" s="55"/>
      <c r="M23" s="55"/>
    </row>
    <row r="24" spans="2:13" ht="18" customHeight="1">
      <c r="B24" s="6" t="s">
        <v>79</v>
      </c>
      <c r="D24" s="14">
        <f ca="1">D23-TODAY()</f>
        <v>-46223</v>
      </c>
      <c r="F24" s="55" t="s">
        <v>80</v>
      </c>
      <c r="G24" s="55"/>
      <c r="H24" s="55"/>
      <c r="I24" s="55"/>
      <c r="J24" s="55"/>
      <c r="K24" s="55"/>
      <c r="L24" s="55"/>
      <c r="M24" s="55"/>
    </row>
    <row r="25" spans="2:13">
      <c r="B25" s="6" t="s">
        <v>81</v>
      </c>
      <c r="D25" s="15" t="str">
        <f ca="1">IF(D24&lt;0,"DEADLINE PASSED",IF(D24&lt;=7,"URGENT - file this week",IF(D24&lt;=14,"Act now",IF(D24&lt;=30,"On track","Grant date is in the future"))))</f>
        <v>DEADLINE PASSED</v>
      </c>
    </row>
    <row r="26" spans="2:13" ht="25.5" customHeight="1">
      <c r="B26" s="57" t="str">
        <f>IF(D9&lt;D8,"CHECK YOUR INPUTS - you have set the exit earlier than full vesting. This model assumes every share vests before the exit, so the years  beyond the exit date are not meaningful. Set years to exit at least equal to the vesting period.",IF(D6&lt;D5,"NOTE - you have entered a purchase price above the 409A fair market value. There is no bargain element, so no tax is due at grant.",IF(D9&lt;=1,"NOTE - with an exit inside one year, no gain qualifies for long-term rates. The election still fixes your income at grant, but the rate benefit disappears.","")))</f>
        <v>NOTE - with an exit inside one year, no gain qualifies for long-term rates. The election still fixes your income at grant, but the rate benefit disappears.</v>
      </c>
      <c r="C26" s="57"/>
      <c r="D26" s="57"/>
      <c r="E26" s="57"/>
      <c r="F26" s="57"/>
      <c r="G26" s="57"/>
      <c r="H26" s="57"/>
      <c r="I26" s="57"/>
      <c r="J26" s="57"/>
      <c r="K26" s="57"/>
      <c r="L26" s="57"/>
      <c r="M26" s="57"/>
    </row>
    <row r="27" spans="2:13" ht="21.75" customHeight="1">
      <c r="B27" s="51" t="s">
        <v>82</v>
      </c>
      <c r="C27" s="51"/>
      <c r="D27" s="51"/>
      <c r="E27" s="51"/>
      <c r="F27" s="51"/>
      <c r="G27" s="51"/>
      <c r="H27" s="51"/>
      <c r="I27" s="51"/>
      <c r="J27" s="51"/>
      <c r="K27" s="51"/>
      <c r="L27" s="51"/>
      <c r="M27" s="51"/>
    </row>
    <row r="28" spans="2:13" ht="18" customHeight="1">
      <c r="B28" s="6" t="s">
        <v>83</v>
      </c>
      <c r="D28" s="16">
        <f>MAX(0,D6-D5)*D4</f>
        <v>0</v>
      </c>
      <c r="F28" s="55" t="s">
        <v>84</v>
      </c>
      <c r="G28" s="55"/>
      <c r="H28" s="55"/>
      <c r="I28" s="55"/>
      <c r="J28" s="55"/>
      <c r="K28" s="55"/>
      <c r="L28" s="55"/>
      <c r="M28" s="55"/>
    </row>
    <row r="29" spans="2:13" ht="18" customHeight="1">
      <c r="B29" s="6" t="s">
        <v>85</v>
      </c>
      <c r="D29" s="16">
        <f>D28*D19</f>
        <v>0</v>
      </c>
    </row>
    <row r="30" spans="2:13" ht="18" customHeight="1">
      <c r="B30" s="6" t="s">
        <v>86</v>
      </c>
      <c r="D30" s="16">
        <f>MAX(0,D7-MAX(D5,D6))*D4</f>
        <v>0</v>
      </c>
      <c r="F30" s="55" t="s">
        <v>87</v>
      </c>
      <c r="G30" s="55"/>
      <c r="H30" s="55"/>
      <c r="I30" s="55"/>
      <c r="J30" s="55"/>
      <c r="K30" s="55"/>
      <c r="L30" s="55"/>
      <c r="M30" s="55"/>
    </row>
    <row r="31" spans="2:13" ht="18" customHeight="1">
      <c r="B31" s="6" t="s">
        <v>88</v>
      </c>
      <c r="D31" s="16">
        <f>D30*IF(D9&gt;1,D20,D19)</f>
        <v>0</v>
      </c>
      <c r="F31" s="55" t="s">
        <v>89</v>
      </c>
      <c r="G31" s="55"/>
      <c r="H31" s="55"/>
      <c r="I31" s="55"/>
      <c r="J31" s="55"/>
      <c r="K31" s="55"/>
      <c r="L31" s="55"/>
      <c r="M31" s="55"/>
    </row>
    <row r="32" spans="2:13" ht="19.5" customHeight="1">
      <c r="B32" s="17" t="s">
        <v>90</v>
      </c>
      <c r="D32" s="18">
        <f>D29+D31</f>
        <v>0</v>
      </c>
    </row>
    <row r="34" spans="2:13" ht="18" customHeight="1">
      <c r="B34" s="6" t="s">
        <v>91</v>
      </c>
      <c r="D34" s="16">
        <f>SUM(H52:H56)</f>
        <v>0</v>
      </c>
      <c r="F34" s="55" t="s">
        <v>92</v>
      </c>
      <c r="G34" s="55"/>
      <c r="H34" s="55"/>
      <c r="I34" s="55"/>
      <c r="J34" s="55"/>
      <c r="K34" s="55"/>
      <c r="L34" s="55"/>
      <c r="M34" s="55"/>
    </row>
    <row r="35" spans="2:13" ht="18" customHeight="1">
      <c r="B35" s="6" t="s">
        <v>93</v>
      </c>
      <c r="D35" s="16">
        <f>SUM(M52:M56)</f>
        <v>0</v>
      </c>
    </row>
    <row r="36" spans="2:13" ht="19.5" customHeight="1">
      <c r="B36" s="17" t="s">
        <v>94</v>
      </c>
      <c r="D36" s="18">
        <f>D34+D35</f>
        <v>0</v>
      </c>
    </row>
    <row r="38" spans="2:13" ht="19.5" customHeight="1">
      <c r="B38" s="19" t="s">
        <v>95</v>
      </c>
      <c r="D38" s="20">
        <f>D36-D32</f>
        <v>0</v>
      </c>
    </row>
    <row r="39" spans="2:13" ht="18" customHeight="1">
      <c r="B39" s="6" t="s">
        <v>96</v>
      </c>
      <c r="D39" s="12">
        <f>IFERROR(D38/(D7*D4),0)</f>
        <v>0</v>
      </c>
    </row>
    <row r="40" spans="2:13" ht="18" customHeight="1">
      <c r="B40" s="6" t="s">
        <v>97</v>
      </c>
      <c r="D40" s="12">
        <f>IFERROR(D32/((D7-D5)*D4),0)</f>
        <v>0</v>
      </c>
    </row>
    <row r="41" spans="2:13" ht="18" customHeight="1">
      <c r="B41" s="6" t="s">
        <v>98</v>
      </c>
      <c r="D41" s="12">
        <f>IFERROR(D36/((D7-D5)*D4),0)</f>
        <v>0</v>
      </c>
    </row>
    <row r="43" spans="2:13" ht="21.75" customHeight="1">
      <c r="B43" s="51" t="s">
        <v>99</v>
      </c>
      <c r="C43" s="51"/>
      <c r="D43" s="51"/>
      <c r="E43" s="51"/>
      <c r="F43" s="51"/>
      <c r="G43" s="51"/>
      <c r="H43" s="51"/>
      <c r="I43" s="51"/>
      <c r="J43" s="51"/>
      <c r="K43" s="51"/>
      <c r="L43" s="51"/>
      <c r="M43" s="51"/>
    </row>
    <row r="44" spans="2:13" ht="18" customHeight="1">
      <c r="B44" s="6" t="s">
        <v>100</v>
      </c>
      <c r="D44" s="16">
        <f>D5*D4</f>
        <v>0</v>
      </c>
    </row>
    <row r="45" spans="2:13" ht="18" customHeight="1">
      <c r="B45" s="6" t="s">
        <v>101</v>
      </c>
      <c r="D45" s="16">
        <f>D29</f>
        <v>0</v>
      </c>
    </row>
    <row r="46" spans="2:13" ht="19.5" customHeight="1">
      <c r="B46" s="17" t="s">
        <v>102</v>
      </c>
      <c r="D46" s="18">
        <f>D44+D45</f>
        <v>0</v>
      </c>
    </row>
    <row r="47" spans="2:13" ht="18" customHeight="1">
      <c r="B47" s="6" t="s">
        <v>103</v>
      </c>
      <c r="D47" s="16">
        <f>D29</f>
        <v>0</v>
      </c>
      <c r="F47" s="55" t="s">
        <v>104</v>
      </c>
      <c r="G47" s="55"/>
      <c r="H47" s="55"/>
      <c r="I47" s="55"/>
      <c r="J47" s="55"/>
      <c r="K47" s="55"/>
      <c r="L47" s="55"/>
      <c r="M47" s="55"/>
    </row>
    <row r="50" spans="2:13" ht="21.75" customHeight="1">
      <c r="B50" s="51" t="s">
        <v>105</v>
      </c>
      <c r="C50" s="51"/>
      <c r="D50" s="51"/>
      <c r="E50" s="51"/>
      <c r="F50" s="51"/>
      <c r="G50" s="51"/>
      <c r="H50" s="51"/>
      <c r="I50" s="51"/>
      <c r="J50" s="51"/>
      <c r="K50" s="51"/>
      <c r="L50" s="51"/>
      <c r="M50" s="51"/>
    </row>
    <row r="51" spans="2:13" ht="31.5" customHeight="1">
      <c r="B51" s="21" t="s">
        <v>106</v>
      </c>
      <c r="D51" s="21" t="s">
        <v>107</v>
      </c>
      <c r="F51" s="21" t="s">
        <v>108</v>
      </c>
      <c r="G51" s="21" t="s">
        <v>109</v>
      </c>
      <c r="H51" s="21" t="s">
        <v>110</v>
      </c>
      <c r="I51" s="21" t="s">
        <v>111</v>
      </c>
      <c r="J51" s="21" t="s">
        <v>112</v>
      </c>
      <c r="K51" s="21" t="s">
        <v>113</v>
      </c>
      <c r="L51" s="21" t="s">
        <v>114</v>
      </c>
      <c r="M51" s="21" t="s">
        <v>115</v>
      </c>
    </row>
    <row r="52" spans="2:13">
      <c r="B52" s="22" t="s">
        <v>116</v>
      </c>
      <c r="D52" s="23">
        <f>IF(1&gt;$D$8,0,$D$6+($D$7-$D$6)*MIN(1,$D$9)/$D$9)</f>
        <v>0</v>
      </c>
      <c r="F52" s="14">
        <f>IF(1&gt;$D$8,0,$D$4/$D$8)</f>
        <v>0</v>
      </c>
      <c r="G52" s="16">
        <f>MAX(0,D52-$D$5)*F52</f>
        <v>0</v>
      </c>
      <c r="H52" s="16">
        <f>G52*$D$19</f>
        <v>0</v>
      </c>
      <c r="I52" s="23">
        <f>IF(1&gt;$D$8,0,MAX($D$5,D52))</f>
        <v>0</v>
      </c>
      <c r="J52" s="23">
        <f>IF(1&gt;$D$8,0,MAX(0,$D$7-I52))</f>
        <v>0</v>
      </c>
      <c r="K52" s="24">
        <f>IF(1&gt;$D$8,0,MAX(0,$D$9-1))</f>
        <v>0</v>
      </c>
      <c r="L52" s="12">
        <f>IF(1&gt;$D$8,0,IF(K52&gt;1,$D$20,$D$19))</f>
        <v>0</v>
      </c>
      <c r="M52" s="16">
        <f>J52*F52*L52</f>
        <v>0</v>
      </c>
    </row>
    <row r="53" spans="2:13">
      <c r="B53" s="25" t="s">
        <v>117</v>
      </c>
      <c r="D53" s="26">
        <f>IF(2&gt;$D$8,0,$D$6+($D$7-$D$6)*MIN(2,$D$9)/$D$9)</f>
        <v>0</v>
      </c>
      <c r="F53" s="27">
        <f>IF(2&gt;$D$8,0,$D$4/$D$8)</f>
        <v>0</v>
      </c>
      <c r="G53" s="28">
        <f>MAX(0,D53-$D$5)*F53</f>
        <v>0</v>
      </c>
      <c r="H53" s="28">
        <f>G53*$D$19</f>
        <v>0</v>
      </c>
      <c r="I53" s="26">
        <f>IF(2&gt;$D$8,0,MAX($D$5,D53))</f>
        <v>0</v>
      </c>
      <c r="J53" s="26">
        <f>IF(2&gt;$D$8,0,MAX(0,$D$7-I53))</f>
        <v>0</v>
      </c>
      <c r="K53" s="29">
        <f>IF(2&gt;$D$8,0,MAX(0,$D$9-2))</f>
        <v>0</v>
      </c>
      <c r="L53" s="30">
        <f>IF(2&gt;$D$8,0,IF(K53&gt;1,$D$20,$D$19))</f>
        <v>0</v>
      </c>
      <c r="M53" s="28">
        <f>J53*F53*L53</f>
        <v>0</v>
      </c>
    </row>
    <row r="54" spans="2:13">
      <c r="B54" s="22" t="s">
        <v>118</v>
      </c>
      <c r="D54" s="23">
        <f>IF(3&gt;$D$8,0,$D$6+($D$7-$D$6)*MIN(3,$D$9)/$D$9)</f>
        <v>0</v>
      </c>
      <c r="F54" s="14">
        <f>IF(3&gt;$D$8,0,$D$4/$D$8)</f>
        <v>0</v>
      </c>
      <c r="G54" s="16">
        <f>MAX(0,D54-$D$5)*F54</f>
        <v>0</v>
      </c>
      <c r="H54" s="16">
        <f>G54*$D$19</f>
        <v>0</v>
      </c>
      <c r="I54" s="23">
        <f>IF(3&gt;$D$8,0,MAX($D$5,D54))</f>
        <v>0</v>
      </c>
      <c r="J54" s="23">
        <f>IF(3&gt;$D$8,0,MAX(0,$D$7-I54))</f>
        <v>0</v>
      </c>
      <c r="K54" s="24">
        <f>IF(3&gt;$D$8,0,MAX(0,$D$9-3))</f>
        <v>0</v>
      </c>
      <c r="L54" s="12">
        <f>IF(3&gt;$D$8,0,IF(K54&gt;1,$D$20,$D$19))</f>
        <v>0</v>
      </c>
      <c r="M54" s="16">
        <f>J54*F54*L54</f>
        <v>0</v>
      </c>
    </row>
    <row r="55" spans="2:13">
      <c r="B55" s="25" t="s">
        <v>119</v>
      </c>
      <c r="D55" s="26">
        <f>IF(4&gt;$D$8,0,$D$6+($D$7-$D$6)*MIN(4,$D$9)/$D$9)</f>
        <v>0</v>
      </c>
      <c r="F55" s="27">
        <f>IF(4&gt;$D$8,0,$D$4/$D$8)</f>
        <v>0</v>
      </c>
      <c r="G55" s="28">
        <f>MAX(0,D55-$D$5)*F55</f>
        <v>0</v>
      </c>
      <c r="H55" s="28">
        <f>G55*$D$19</f>
        <v>0</v>
      </c>
      <c r="I55" s="26">
        <f>IF(4&gt;$D$8,0,MAX($D$5,D55))</f>
        <v>0</v>
      </c>
      <c r="J55" s="26">
        <f>IF(4&gt;$D$8,0,MAX(0,$D$7-I55))</f>
        <v>0</v>
      </c>
      <c r="K55" s="29">
        <f>IF(4&gt;$D$8,0,MAX(0,$D$9-4))</f>
        <v>0</v>
      </c>
      <c r="L55" s="30">
        <f>IF(4&gt;$D$8,0,IF(K55&gt;1,$D$20,$D$19))</f>
        <v>0</v>
      </c>
      <c r="M55" s="28">
        <f>J55*F55*L55</f>
        <v>0</v>
      </c>
    </row>
    <row r="56" spans="2:13">
      <c r="B56" s="22" t="s">
        <v>120</v>
      </c>
      <c r="D56" s="23">
        <f>IF(5&gt;$D$8,0,$D$6+($D$7-$D$6)*MIN(5,$D$9)/$D$9)</f>
        <v>0</v>
      </c>
      <c r="F56" s="14">
        <f>IF(5&gt;$D$8,0,$D$4/$D$8)</f>
        <v>0</v>
      </c>
      <c r="G56" s="16">
        <f>MAX(0,D56-$D$5)*F56</f>
        <v>0</v>
      </c>
      <c r="H56" s="16">
        <f>G56*$D$19</f>
        <v>0</v>
      </c>
      <c r="I56" s="23">
        <f>IF(5&gt;$D$8,0,MAX($D$5,D56))</f>
        <v>0</v>
      </c>
      <c r="J56" s="23">
        <f>IF(5&gt;$D$8,0,MAX(0,$D$7-I56))</f>
        <v>0</v>
      </c>
      <c r="K56" s="24">
        <f>IF(5&gt;$D$8,0,MAX(0,$D$9-5))</f>
        <v>0</v>
      </c>
      <c r="L56" s="12">
        <f>IF(5&gt;$D$8,0,IF(K56&gt;1,$D$20,$D$19))</f>
        <v>0</v>
      </c>
      <c r="M56" s="16">
        <f>J56*F56*L56</f>
        <v>0</v>
      </c>
    </row>
    <row r="57" spans="2:13">
      <c r="B57" s="31" t="s">
        <v>121</v>
      </c>
      <c r="D57" s="32"/>
      <c r="F57" s="33">
        <f>SUM(F52:F56)</f>
        <v>0</v>
      </c>
      <c r="G57" s="34">
        <f>SUM(G52:G56)</f>
        <v>0</v>
      </c>
      <c r="H57" s="34">
        <f>SUM(H52:H56)</f>
        <v>0</v>
      </c>
      <c r="I57" s="32"/>
      <c r="J57" s="32"/>
      <c r="K57" s="32"/>
      <c r="L57" s="32"/>
      <c r="M57" s="34">
        <f>SUM(M52:M56)</f>
        <v>0</v>
      </c>
    </row>
    <row r="59" spans="2:13" ht="27.75" customHeight="1">
      <c r="B59" s="56"/>
      <c r="C59" s="56"/>
      <c r="D59" s="56"/>
      <c r="E59" s="56"/>
      <c r="F59" s="56"/>
      <c r="G59" s="56"/>
      <c r="H59" s="56"/>
      <c r="I59" s="56"/>
      <c r="J59" s="56"/>
      <c r="K59" s="56"/>
      <c r="L59" s="56"/>
      <c r="M59" s="56"/>
    </row>
    <row r="61" spans="2:13" ht="15" customHeight="1">
      <c r="B61" s="56"/>
      <c r="C61" s="56"/>
      <c r="D61" s="56"/>
      <c r="E61" s="56"/>
      <c r="F61" s="56"/>
      <c r="G61" s="56"/>
      <c r="H61" s="56"/>
      <c r="I61" s="56"/>
      <c r="J61" s="56"/>
      <c r="K61" s="56"/>
      <c r="L61" s="56"/>
      <c r="M61" s="56"/>
    </row>
    <row r="62" spans="2:13">
      <c r="B62" s="56"/>
      <c r="C62" s="56"/>
      <c r="D62" s="56"/>
      <c r="E62" s="56"/>
      <c r="F62" s="56"/>
      <c r="G62" s="56"/>
      <c r="H62" s="56"/>
      <c r="I62" s="56"/>
      <c r="J62" s="56"/>
      <c r="K62" s="56"/>
      <c r="L62" s="56"/>
      <c r="M62" s="56"/>
    </row>
  </sheetData>
  <mergeCells count="30">
    <mergeCell ref="B1:M1"/>
    <mergeCell ref="B43:M43"/>
    <mergeCell ref="F47:M47"/>
    <mergeCell ref="B50:M50"/>
    <mergeCell ref="B59:M59"/>
    <mergeCell ref="F17:M17"/>
    <mergeCell ref="B22:M22"/>
    <mergeCell ref="F23:M23"/>
    <mergeCell ref="F24:M24"/>
    <mergeCell ref="B26:M26"/>
    <mergeCell ref="B12:M12"/>
    <mergeCell ref="F13:M13"/>
    <mergeCell ref="F14:M14"/>
    <mergeCell ref="F15:M15"/>
    <mergeCell ref="F16:M16"/>
    <mergeCell ref="F6:M6"/>
    <mergeCell ref="B61:M62"/>
    <mergeCell ref="B27:M27"/>
    <mergeCell ref="F28:M28"/>
    <mergeCell ref="F30:M30"/>
    <mergeCell ref="F31:M31"/>
    <mergeCell ref="F34:M34"/>
    <mergeCell ref="F7:M7"/>
    <mergeCell ref="F8:M8"/>
    <mergeCell ref="F9:M9"/>
    <mergeCell ref="F10:M10"/>
    <mergeCell ref="B2:M2"/>
    <mergeCell ref="B3:M3"/>
    <mergeCell ref="F4:M4"/>
    <mergeCell ref="F5:M5"/>
  </mergeCells>
  <dataValidations count="3">
    <dataValidation type="list" sqref="D8" xr:uid="{00000000-0002-0000-0100-000000000000}">
      <formula1>"1,2,3,4,5"</formula1>
      <formula2>0</formula2>
    </dataValidation>
    <dataValidation type="whole" sqref="D9" xr:uid="{00000000-0002-0000-0100-000001000000}">
      <formula1>1</formula1>
      <formula2>20</formula2>
    </dataValidation>
    <dataValidation type="list" sqref="D17" xr:uid="{00000000-0002-0000-0100-000002000000}">
      <formula1>"Yes,No"</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50"/>
  <sheetViews>
    <sheetView showGridLines="0" zoomScaleNormal="100" workbookViewId="0">
      <pane ySplit="1" topLeftCell="A24" activePane="bottomLeft" state="frozen"/>
      <selection pane="bottomLeft" activeCell="B46" sqref="B46"/>
    </sheetView>
  </sheetViews>
  <sheetFormatPr defaultColWidth="8.5703125" defaultRowHeight="14.1"/>
  <cols>
    <col min="1" max="1" width="3" style="1" customWidth="1"/>
    <col min="2" max="2" width="46" style="1" customWidth="1"/>
    <col min="3" max="13" width="13" style="1" customWidth="1"/>
    <col min="14" max="16384" width="8.5703125" style="1"/>
  </cols>
  <sheetData>
    <row r="1" spans="2:13" ht="56.1" customHeight="1">
      <c r="B1" s="53" t="s">
        <v>122</v>
      </c>
      <c r="C1" s="53"/>
      <c r="D1" s="53"/>
      <c r="E1" s="53"/>
      <c r="F1" s="53"/>
      <c r="G1" s="53"/>
      <c r="H1" s="53"/>
      <c r="I1" s="53"/>
      <c r="J1" s="53"/>
      <c r="K1" s="53"/>
      <c r="L1" s="53"/>
      <c r="M1" s="53"/>
    </row>
    <row r="2" spans="2:13" ht="21.75" customHeight="1">
      <c r="B2" s="54" t="s">
        <v>123</v>
      </c>
      <c r="C2" s="54"/>
      <c r="D2" s="54"/>
      <c r="E2" s="54"/>
      <c r="F2" s="54"/>
      <c r="G2" s="54"/>
      <c r="H2" s="54"/>
      <c r="I2" s="54"/>
      <c r="J2" s="54"/>
      <c r="K2" s="54"/>
      <c r="L2" s="54"/>
      <c r="M2" s="54"/>
    </row>
    <row r="3" spans="2:13" ht="21.75" customHeight="1">
      <c r="B3" s="51" t="s">
        <v>124</v>
      </c>
      <c r="C3" s="51"/>
      <c r="D3" s="51"/>
      <c r="E3" s="51"/>
      <c r="F3" s="51"/>
      <c r="G3" s="51"/>
      <c r="H3" s="51"/>
      <c r="I3" s="51"/>
      <c r="J3" s="51"/>
      <c r="K3" s="51"/>
      <c r="L3" s="51"/>
      <c r="M3" s="51"/>
    </row>
    <row r="4" spans="2:13">
      <c r="B4" s="6" t="s">
        <v>125</v>
      </c>
      <c r="C4" s="35">
        <f>0.25*MAX('83b Calculator'!$D$6,0.0001)</f>
        <v>2.5000000000000001E-5</v>
      </c>
    </row>
    <row r="5" spans="2:13">
      <c r="B5" s="6" t="s">
        <v>126</v>
      </c>
      <c r="C5" s="35">
        <f>MAX(2*'83b Calculator'!$D$7,C4*8)</f>
        <v>2.0000000000000001E-4</v>
      </c>
    </row>
    <row r="6" spans="2:13">
      <c r="B6" s="36" t="s">
        <v>127</v>
      </c>
      <c r="C6" s="37">
        <f>$C$4*POWER($C$5/$C$4,0/10)</f>
        <v>2.5000000000000001E-5</v>
      </c>
      <c r="D6" s="37">
        <f>$C$4*POWER($C$5/$C$4,1/10)</f>
        <v>3.0778610333622911E-5</v>
      </c>
      <c r="E6" s="37">
        <f>$C$4*POWER($C$5/$C$4,2/10)</f>
        <v>3.7892914162759952E-5</v>
      </c>
      <c r="F6" s="37">
        <f>$C$4*POWER($C$5/$C$4,3/10)</f>
        <v>4.6651649576840374E-5</v>
      </c>
      <c r="G6" s="37">
        <f>$C$4*POWER($C$5/$C$4,4/10)</f>
        <v>5.7434917749851761E-5</v>
      </c>
      <c r="H6" s="37">
        <f>$C$4*POWER($C$5/$C$4,5/10)</f>
        <v>7.0710678118654754E-5</v>
      </c>
      <c r="I6" s="37">
        <f>$C$4*POWER($C$5/$C$4,6/10)</f>
        <v>8.7055056329612415E-5</v>
      </c>
      <c r="J6" s="37">
        <f>$C$4*POWER($C$5/$C$4,7/10)</f>
        <v>1.0717734625362929E-4</v>
      </c>
      <c r="K6" s="37">
        <f>$C$4*POWER($C$5/$C$4,8/10)</f>
        <v>1.3195079107728943E-4</v>
      </c>
      <c r="L6" s="37">
        <f>$C$4*POWER($C$5/$C$4,9/10)</f>
        <v>1.6245047927124708E-4</v>
      </c>
      <c r="M6" s="37">
        <f>$C$4*POWER($C$5/$C$4,10/10)</f>
        <v>2.0000000000000001E-4</v>
      </c>
    </row>
    <row r="7" spans="2:13">
      <c r="B7" s="38" t="s">
        <v>128</v>
      </c>
      <c r="C7" s="39">
        <f>IFERROR(C6/'83b Calculator'!$D$6,0)</f>
        <v>0</v>
      </c>
      <c r="D7" s="39">
        <f>IFERROR(D6/'83b Calculator'!$D$6,0)</f>
        <v>0</v>
      </c>
      <c r="E7" s="39">
        <f>IFERROR(E6/'83b Calculator'!$D$6,0)</f>
        <v>0</v>
      </c>
      <c r="F7" s="39">
        <f>IFERROR(F6/'83b Calculator'!$D$6,0)</f>
        <v>0</v>
      </c>
      <c r="G7" s="39">
        <f>IFERROR(G6/'83b Calculator'!$D$6,0)</f>
        <v>0</v>
      </c>
      <c r="H7" s="39">
        <f>IFERROR(H6/'83b Calculator'!$D$6,0)</f>
        <v>0</v>
      </c>
      <c r="I7" s="39">
        <f>IFERROR(I6/'83b Calculator'!$D$6,0)</f>
        <v>0</v>
      </c>
      <c r="J7" s="39">
        <f>IFERROR(J6/'83b Calculator'!$D$6,0)</f>
        <v>0</v>
      </c>
      <c r="K7" s="39">
        <f>IFERROR(K6/'83b Calculator'!$D$6,0)</f>
        <v>0</v>
      </c>
      <c r="L7" s="39">
        <f>IFERROR(L6/'83b Calculator'!$D$6,0)</f>
        <v>0</v>
      </c>
      <c r="M7" s="39">
        <f>IFERROR(M6/'83b Calculator'!$D$6,0)</f>
        <v>0</v>
      </c>
    </row>
    <row r="9" spans="2:13" ht="21.75" customHeight="1">
      <c r="B9" s="51" t="s">
        <v>129</v>
      </c>
      <c r="C9" s="51"/>
      <c r="D9" s="51"/>
      <c r="E9" s="51"/>
      <c r="F9" s="51"/>
      <c r="G9" s="51"/>
      <c r="H9" s="51"/>
      <c r="I9" s="51"/>
      <c r="J9" s="51"/>
      <c r="K9" s="51"/>
      <c r="L9" s="51"/>
      <c r="M9" s="51"/>
    </row>
    <row r="10" spans="2:13">
      <c r="B10" s="6" t="s">
        <v>130</v>
      </c>
      <c r="C10" s="16">
        <f>'83b Calculator'!$D$29</f>
        <v>0</v>
      </c>
      <c r="D10" s="16">
        <f>'83b Calculator'!$D$29</f>
        <v>0</v>
      </c>
      <c r="E10" s="16">
        <f>'83b Calculator'!$D$29</f>
        <v>0</v>
      </c>
      <c r="F10" s="16">
        <f>'83b Calculator'!$D$29</f>
        <v>0</v>
      </c>
      <c r="G10" s="16">
        <f>'83b Calculator'!$D$29</f>
        <v>0</v>
      </c>
      <c r="H10" s="16">
        <f>'83b Calculator'!$D$29</f>
        <v>0</v>
      </c>
      <c r="I10" s="16">
        <f>'83b Calculator'!$D$29</f>
        <v>0</v>
      </c>
      <c r="J10" s="16">
        <f>'83b Calculator'!$D$29</f>
        <v>0</v>
      </c>
      <c r="K10" s="16">
        <f>'83b Calculator'!$D$29</f>
        <v>0</v>
      </c>
      <c r="L10" s="16">
        <f>'83b Calculator'!$D$29</f>
        <v>0</v>
      </c>
      <c r="M10" s="16">
        <f>'83b Calculator'!$D$29</f>
        <v>0</v>
      </c>
    </row>
    <row r="11" spans="2:13">
      <c r="B11" s="6" t="s">
        <v>86</v>
      </c>
      <c r="C11" s="16">
        <f>MAX(0,C$6-MAX('83b Calculator'!$D$5,'83b Calculator'!$D$6))*'83b Calculator'!$D$4</f>
        <v>0</v>
      </c>
      <c r="D11" s="16">
        <f>MAX(0,D$6-MAX('83b Calculator'!$D$5,'83b Calculator'!$D$6))*'83b Calculator'!$D$4</f>
        <v>0</v>
      </c>
      <c r="E11" s="16">
        <f>MAX(0,E$6-MAX('83b Calculator'!$D$5,'83b Calculator'!$D$6))*'83b Calculator'!$D$4</f>
        <v>0</v>
      </c>
      <c r="F11" s="16">
        <f>MAX(0,F$6-MAX('83b Calculator'!$D$5,'83b Calculator'!$D$6))*'83b Calculator'!$D$4</f>
        <v>0</v>
      </c>
      <c r="G11" s="16">
        <f>MAX(0,G$6-MAX('83b Calculator'!$D$5,'83b Calculator'!$D$6))*'83b Calculator'!$D$4</f>
        <v>0</v>
      </c>
      <c r="H11" s="16">
        <f>MAX(0,H$6-MAX('83b Calculator'!$D$5,'83b Calculator'!$D$6))*'83b Calculator'!$D$4</f>
        <v>0</v>
      </c>
      <c r="I11" s="16">
        <f>MAX(0,I$6-MAX('83b Calculator'!$D$5,'83b Calculator'!$D$6))*'83b Calculator'!$D$4</f>
        <v>0</v>
      </c>
      <c r="J11" s="16">
        <f>MAX(0,J$6-MAX('83b Calculator'!$D$5,'83b Calculator'!$D$6))*'83b Calculator'!$D$4</f>
        <v>0</v>
      </c>
      <c r="K11" s="16">
        <f>MAX(0,K$6-MAX('83b Calculator'!$D$5,'83b Calculator'!$D$6))*'83b Calculator'!$D$4</f>
        <v>0</v>
      </c>
      <c r="L11" s="16">
        <f>MAX(0,L$6-MAX('83b Calculator'!$D$5,'83b Calculator'!$D$6))*'83b Calculator'!$D$4</f>
        <v>0</v>
      </c>
      <c r="M11" s="16">
        <f>MAX(0,M$6-MAX('83b Calculator'!$D$5,'83b Calculator'!$D$6))*'83b Calculator'!$D$4</f>
        <v>0</v>
      </c>
    </row>
    <row r="12" spans="2:13">
      <c r="B12" s="6" t="s">
        <v>88</v>
      </c>
      <c r="C12" s="16">
        <f>C11*IF('83b Calculator'!$D$9&gt;1,'83b Calculator'!$D$20,'83b Calculator'!$D$19)</f>
        <v>0</v>
      </c>
      <c r="D12" s="16">
        <f>D11*IF('83b Calculator'!$D$9&gt;1,'83b Calculator'!$D$20,'83b Calculator'!$D$19)</f>
        <v>0</v>
      </c>
      <c r="E12" s="16">
        <f>E11*IF('83b Calculator'!$D$9&gt;1,'83b Calculator'!$D$20,'83b Calculator'!$D$19)</f>
        <v>0</v>
      </c>
      <c r="F12" s="16">
        <f>F11*IF('83b Calculator'!$D$9&gt;1,'83b Calculator'!$D$20,'83b Calculator'!$D$19)</f>
        <v>0</v>
      </c>
      <c r="G12" s="16">
        <f>G11*IF('83b Calculator'!$D$9&gt;1,'83b Calculator'!$D$20,'83b Calculator'!$D$19)</f>
        <v>0</v>
      </c>
      <c r="H12" s="16">
        <f>H11*IF('83b Calculator'!$D$9&gt;1,'83b Calculator'!$D$20,'83b Calculator'!$D$19)</f>
        <v>0</v>
      </c>
      <c r="I12" s="16">
        <f>I11*IF('83b Calculator'!$D$9&gt;1,'83b Calculator'!$D$20,'83b Calculator'!$D$19)</f>
        <v>0</v>
      </c>
      <c r="J12" s="16">
        <f>J11*IF('83b Calculator'!$D$9&gt;1,'83b Calculator'!$D$20,'83b Calculator'!$D$19)</f>
        <v>0</v>
      </c>
      <c r="K12" s="16">
        <f>K11*IF('83b Calculator'!$D$9&gt;1,'83b Calculator'!$D$20,'83b Calculator'!$D$19)</f>
        <v>0</v>
      </c>
      <c r="L12" s="16">
        <f>L11*IF('83b Calculator'!$D$9&gt;1,'83b Calculator'!$D$20,'83b Calculator'!$D$19)</f>
        <v>0</v>
      </c>
      <c r="M12" s="16">
        <f>M11*IF('83b Calculator'!$D$9&gt;1,'83b Calculator'!$D$20,'83b Calculator'!$D$19)</f>
        <v>0</v>
      </c>
    </row>
    <row r="13" spans="2:13">
      <c r="B13" s="40" t="s">
        <v>131</v>
      </c>
      <c r="C13" s="41">
        <f t="shared" ref="C13:M13" si="0">C10+C12</f>
        <v>0</v>
      </c>
      <c r="D13" s="41">
        <f t="shared" si="0"/>
        <v>0</v>
      </c>
      <c r="E13" s="41">
        <f t="shared" si="0"/>
        <v>0</v>
      </c>
      <c r="F13" s="41">
        <f t="shared" si="0"/>
        <v>0</v>
      </c>
      <c r="G13" s="41">
        <f t="shared" si="0"/>
        <v>0</v>
      </c>
      <c r="H13" s="41">
        <f t="shared" si="0"/>
        <v>0</v>
      </c>
      <c r="I13" s="41">
        <f t="shared" si="0"/>
        <v>0</v>
      </c>
      <c r="J13" s="41">
        <f t="shared" si="0"/>
        <v>0</v>
      </c>
      <c r="K13" s="41">
        <f t="shared" si="0"/>
        <v>0</v>
      </c>
      <c r="L13" s="41">
        <f t="shared" si="0"/>
        <v>0</v>
      </c>
      <c r="M13" s="41">
        <f t="shared" si="0"/>
        <v>0</v>
      </c>
    </row>
    <row r="15" spans="2:13" ht="21.75" customHeight="1">
      <c r="B15" s="51" t="s">
        <v>132</v>
      </c>
      <c r="C15" s="51"/>
      <c r="D15" s="51"/>
      <c r="E15" s="51"/>
      <c r="F15" s="51"/>
      <c r="G15" s="51"/>
      <c r="H15" s="51"/>
      <c r="I15" s="51"/>
      <c r="J15" s="51"/>
      <c r="K15" s="51"/>
      <c r="L15" s="51"/>
      <c r="M15" s="51"/>
    </row>
    <row r="16" spans="2:13">
      <c r="B16" s="38" t="s">
        <v>133</v>
      </c>
    </row>
    <row r="17" spans="2:13">
      <c r="B17" s="6" t="s">
        <v>134</v>
      </c>
      <c r="C17" s="23">
        <f>IF(1&gt;'83b Calculator'!$D$8,0,'83b Calculator'!$D$6+(C$6-'83b Calculator'!$D$6)*MIN(1,'83b Calculator'!$D$9)/'83b Calculator'!$D$9)</f>
        <v>0</v>
      </c>
      <c r="D17" s="23">
        <f>IF(1&gt;'83b Calculator'!$D$8,0,'83b Calculator'!$D$6+(D$6-'83b Calculator'!$D$6)*MIN(1,'83b Calculator'!$D$9)/'83b Calculator'!$D$9)</f>
        <v>0</v>
      </c>
      <c r="E17" s="23">
        <f>IF(1&gt;'83b Calculator'!$D$8,0,'83b Calculator'!$D$6+(E$6-'83b Calculator'!$D$6)*MIN(1,'83b Calculator'!$D$9)/'83b Calculator'!$D$9)</f>
        <v>0</v>
      </c>
      <c r="F17" s="23">
        <f>IF(1&gt;'83b Calculator'!$D$8,0,'83b Calculator'!$D$6+(F$6-'83b Calculator'!$D$6)*MIN(1,'83b Calculator'!$D$9)/'83b Calculator'!$D$9)</f>
        <v>0</v>
      </c>
      <c r="G17" s="23">
        <f>IF(1&gt;'83b Calculator'!$D$8,0,'83b Calculator'!$D$6+(G$6-'83b Calculator'!$D$6)*MIN(1,'83b Calculator'!$D$9)/'83b Calculator'!$D$9)</f>
        <v>0</v>
      </c>
      <c r="H17" s="23">
        <f>IF(1&gt;'83b Calculator'!$D$8,0,'83b Calculator'!$D$6+(H$6-'83b Calculator'!$D$6)*MIN(1,'83b Calculator'!$D$9)/'83b Calculator'!$D$9)</f>
        <v>0</v>
      </c>
      <c r="I17" s="23">
        <f>IF(1&gt;'83b Calculator'!$D$8,0,'83b Calculator'!$D$6+(I$6-'83b Calculator'!$D$6)*MIN(1,'83b Calculator'!$D$9)/'83b Calculator'!$D$9)</f>
        <v>0</v>
      </c>
      <c r="J17" s="23">
        <f>IF(1&gt;'83b Calculator'!$D$8,0,'83b Calculator'!$D$6+(J$6-'83b Calculator'!$D$6)*MIN(1,'83b Calculator'!$D$9)/'83b Calculator'!$D$9)</f>
        <v>0</v>
      </c>
      <c r="K17" s="23">
        <f>IF(1&gt;'83b Calculator'!$D$8,0,'83b Calculator'!$D$6+(K$6-'83b Calculator'!$D$6)*MIN(1,'83b Calculator'!$D$9)/'83b Calculator'!$D$9)</f>
        <v>0</v>
      </c>
      <c r="L17" s="23">
        <f>IF(1&gt;'83b Calculator'!$D$8,0,'83b Calculator'!$D$6+(L$6-'83b Calculator'!$D$6)*MIN(1,'83b Calculator'!$D$9)/'83b Calculator'!$D$9)</f>
        <v>0</v>
      </c>
      <c r="M17" s="23">
        <f>IF(1&gt;'83b Calculator'!$D$8,0,'83b Calculator'!$D$6+(M$6-'83b Calculator'!$D$6)*MIN(1,'83b Calculator'!$D$9)/'83b Calculator'!$D$9)</f>
        <v>0</v>
      </c>
    </row>
    <row r="18" spans="2:13">
      <c r="B18" s="6" t="s">
        <v>135</v>
      </c>
      <c r="C18" s="23">
        <f>IF(2&gt;'83b Calculator'!$D$8,0,'83b Calculator'!$D$6+(C$6-'83b Calculator'!$D$6)*MIN(2,'83b Calculator'!$D$9)/'83b Calculator'!$D$9)</f>
        <v>0</v>
      </c>
      <c r="D18" s="23">
        <f>IF(2&gt;'83b Calculator'!$D$8,0,'83b Calculator'!$D$6+(D$6-'83b Calculator'!$D$6)*MIN(2,'83b Calculator'!$D$9)/'83b Calculator'!$D$9)</f>
        <v>0</v>
      </c>
      <c r="E18" s="23">
        <f>IF(2&gt;'83b Calculator'!$D$8,0,'83b Calculator'!$D$6+(E$6-'83b Calculator'!$D$6)*MIN(2,'83b Calculator'!$D$9)/'83b Calculator'!$D$9)</f>
        <v>0</v>
      </c>
      <c r="F18" s="23">
        <f>IF(2&gt;'83b Calculator'!$D$8,0,'83b Calculator'!$D$6+(F$6-'83b Calculator'!$D$6)*MIN(2,'83b Calculator'!$D$9)/'83b Calculator'!$D$9)</f>
        <v>0</v>
      </c>
      <c r="G18" s="23">
        <f>IF(2&gt;'83b Calculator'!$D$8,0,'83b Calculator'!$D$6+(G$6-'83b Calculator'!$D$6)*MIN(2,'83b Calculator'!$D$9)/'83b Calculator'!$D$9)</f>
        <v>0</v>
      </c>
      <c r="H18" s="23">
        <f>IF(2&gt;'83b Calculator'!$D$8,0,'83b Calculator'!$D$6+(H$6-'83b Calculator'!$D$6)*MIN(2,'83b Calculator'!$D$9)/'83b Calculator'!$D$9)</f>
        <v>0</v>
      </c>
      <c r="I18" s="23">
        <f>IF(2&gt;'83b Calculator'!$D$8,0,'83b Calculator'!$D$6+(I$6-'83b Calculator'!$D$6)*MIN(2,'83b Calculator'!$D$9)/'83b Calculator'!$D$9)</f>
        <v>0</v>
      </c>
      <c r="J18" s="23">
        <f>IF(2&gt;'83b Calculator'!$D$8,0,'83b Calculator'!$D$6+(J$6-'83b Calculator'!$D$6)*MIN(2,'83b Calculator'!$D$9)/'83b Calculator'!$D$9)</f>
        <v>0</v>
      </c>
      <c r="K18" s="23">
        <f>IF(2&gt;'83b Calculator'!$D$8,0,'83b Calculator'!$D$6+(K$6-'83b Calculator'!$D$6)*MIN(2,'83b Calculator'!$D$9)/'83b Calculator'!$D$9)</f>
        <v>0</v>
      </c>
      <c r="L18" s="23">
        <f>IF(2&gt;'83b Calculator'!$D$8,0,'83b Calculator'!$D$6+(L$6-'83b Calculator'!$D$6)*MIN(2,'83b Calculator'!$D$9)/'83b Calculator'!$D$9)</f>
        <v>0</v>
      </c>
      <c r="M18" s="23">
        <f>IF(2&gt;'83b Calculator'!$D$8,0,'83b Calculator'!$D$6+(M$6-'83b Calculator'!$D$6)*MIN(2,'83b Calculator'!$D$9)/'83b Calculator'!$D$9)</f>
        <v>0</v>
      </c>
    </row>
    <row r="19" spans="2:13">
      <c r="B19" s="6" t="s">
        <v>136</v>
      </c>
      <c r="C19" s="23">
        <f>IF(3&gt;'83b Calculator'!$D$8,0,'83b Calculator'!$D$6+(C$6-'83b Calculator'!$D$6)*MIN(3,'83b Calculator'!$D$9)/'83b Calculator'!$D$9)</f>
        <v>0</v>
      </c>
      <c r="D19" s="23">
        <f>IF(3&gt;'83b Calculator'!$D$8,0,'83b Calculator'!$D$6+(D$6-'83b Calculator'!$D$6)*MIN(3,'83b Calculator'!$D$9)/'83b Calculator'!$D$9)</f>
        <v>0</v>
      </c>
      <c r="E19" s="23">
        <f>IF(3&gt;'83b Calculator'!$D$8,0,'83b Calculator'!$D$6+(E$6-'83b Calculator'!$D$6)*MIN(3,'83b Calculator'!$D$9)/'83b Calculator'!$D$9)</f>
        <v>0</v>
      </c>
      <c r="F19" s="23">
        <f>IF(3&gt;'83b Calculator'!$D$8,0,'83b Calculator'!$D$6+(F$6-'83b Calculator'!$D$6)*MIN(3,'83b Calculator'!$D$9)/'83b Calculator'!$D$9)</f>
        <v>0</v>
      </c>
      <c r="G19" s="23">
        <f>IF(3&gt;'83b Calculator'!$D$8,0,'83b Calculator'!$D$6+(G$6-'83b Calculator'!$D$6)*MIN(3,'83b Calculator'!$D$9)/'83b Calculator'!$D$9)</f>
        <v>0</v>
      </c>
      <c r="H19" s="23">
        <f>IF(3&gt;'83b Calculator'!$D$8,0,'83b Calculator'!$D$6+(H$6-'83b Calculator'!$D$6)*MIN(3,'83b Calculator'!$D$9)/'83b Calculator'!$D$9)</f>
        <v>0</v>
      </c>
      <c r="I19" s="23">
        <f>IF(3&gt;'83b Calculator'!$D$8,0,'83b Calculator'!$D$6+(I$6-'83b Calculator'!$D$6)*MIN(3,'83b Calculator'!$D$9)/'83b Calculator'!$D$9)</f>
        <v>0</v>
      </c>
      <c r="J19" s="23">
        <f>IF(3&gt;'83b Calculator'!$D$8,0,'83b Calculator'!$D$6+(J$6-'83b Calculator'!$D$6)*MIN(3,'83b Calculator'!$D$9)/'83b Calculator'!$D$9)</f>
        <v>0</v>
      </c>
      <c r="K19" s="23">
        <f>IF(3&gt;'83b Calculator'!$D$8,0,'83b Calculator'!$D$6+(K$6-'83b Calculator'!$D$6)*MIN(3,'83b Calculator'!$D$9)/'83b Calculator'!$D$9)</f>
        <v>0</v>
      </c>
      <c r="L19" s="23">
        <f>IF(3&gt;'83b Calculator'!$D$8,0,'83b Calculator'!$D$6+(L$6-'83b Calculator'!$D$6)*MIN(3,'83b Calculator'!$D$9)/'83b Calculator'!$D$9)</f>
        <v>0</v>
      </c>
      <c r="M19" s="23">
        <f>IF(3&gt;'83b Calculator'!$D$8,0,'83b Calculator'!$D$6+(M$6-'83b Calculator'!$D$6)*MIN(3,'83b Calculator'!$D$9)/'83b Calculator'!$D$9)</f>
        <v>0</v>
      </c>
    </row>
    <row r="20" spans="2:13">
      <c r="B20" s="6" t="s">
        <v>137</v>
      </c>
      <c r="C20" s="23">
        <f>IF(4&gt;'83b Calculator'!$D$8,0,'83b Calculator'!$D$6+(C$6-'83b Calculator'!$D$6)*MIN(4,'83b Calculator'!$D$9)/'83b Calculator'!$D$9)</f>
        <v>0</v>
      </c>
      <c r="D20" s="23">
        <f>IF(4&gt;'83b Calculator'!$D$8,0,'83b Calculator'!$D$6+(D$6-'83b Calculator'!$D$6)*MIN(4,'83b Calculator'!$D$9)/'83b Calculator'!$D$9)</f>
        <v>0</v>
      </c>
      <c r="E20" s="23">
        <f>IF(4&gt;'83b Calculator'!$D$8,0,'83b Calculator'!$D$6+(E$6-'83b Calculator'!$D$6)*MIN(4,'83b Calculator'!$D$9)/'83b Calculator'!$D$9)</f>
        <v>0</v>
      </c>
      <c r="F20" s="23">
        <f>IF(4&gt;'83b Calculator'!$D$8,0,'83b Calculator'!$D$6+(F$6-'83b Calculator'!$D$6)*MIN(4,'83b Calculator'!$D$9)/'83b Calculator'!$D$9)</f>
        <v>0</v>
      </c>
      <c r="G20" s="23">
        <f>IF(4&gt;'83b Calculator'!$D$8,0,'83b Calculator'!$D$6+(G$6-'83b Calculator'!$D$6)*MIN(4,'83b Calculator'!$D$9)/'83b Calculator'!$D$9)</f>
        <v>0</v>
      </c>
      <c r="H20" s="23">
        <f>IF(4&gt;'83b Calculator'!$D$8,0,'83b Calculator'!$D$6+(H$6-'83b Calculator'!$D$6)*MIN(4,'83b Calculator'!$D$9)/'83b Calculator'!$D$9)</f>
        <v>0</v>
      </c>
      <c r="I20" s="23">
        <f>IF(4&gt;'83b Calculator'!$D$8,0,'83b Calculator'!$D$6+(I$6-'83b Calculator'!$D$6)*MIN(4,'83b Calculator'!$D$9)/'83b Calculator'!$D$9)</f>
        <v>0</v>
      </c>
      <c r="J20" s="23">
        <f>IF(4&gt;'83b Calculator'!$D$8,0,'83b Calculator'!$D$6+(J$6-'83b Calculator'!$D$6)*MIN(4,'83b Calculator'!$D$9)/'83b Calculator'!$D$9)</f>
        <v>0</v>
      </c>
      <c r="K20" s="23">
        <f>IF(4&gt;'83b Calculator'!$D$8,0,'83b Calculator'!$D$6+(K$6-'83b Calculator'!$D$6)*MIN(4,'83b Calculator'!$D$9)/'83b Calculator'!$D$9)</f>
        <v>0</v>
      </c>
      <c r="L20" s="23">
        <f>IF(4&gt;'83b Calculator'!$D$8,0,'83b Calculator'!$D$6+(L$6-'83b Calculator'!$D$6)*MIN(4,'83b Calculator'!$D$9)/'83b Calculator'!$D$9)</f>
        <v>0</v>
      </c>
      <c r="M20" s="23">
        <f>IF(4&gt;'83b Calculator'!$D$8,0,'83b Calculator'!$D$6+(M$6-'83b Calculator'!$D$6)*MIN(4,'83b Calculator'!$D$9)/'83b Calculator'!$D$9)</f>
        <v>0</v>
      </c>
    </row>
    <row r="21" spans="2:13">
      <c r="B21" s="6" t="s">
        <v>138</v>
      </c>
      <c r="C21" s="23">
        <f>IF(5&gt;'83b Calculator'!$D$8,0,'83b Calculator'!$D$6+(C$6-'83b Calculator'!$D$6)*MIN(5,'83b Calculator'!$D$9)/'83b Calculator'!$D$9)</f>
        <v>0</v>
      </c>
      <c r="D21" s="23">
        <f>IF(5&gt;'83b Calculator'!$D$8,0,'83b Calculator'!$D$6+(D$6-'83b Calculator'!$D$6)*MIN(5,'83b Calculator'!$D$9)/'83b Calculator'!$D$9)</f>
        <v>0</v>
      </c>
      <c r="E21" s="23">
        <f>IF(5&gt;'83b Calculator'!$D$8,0,'83b Calculator'!$D$6+(E$6-'83b Calculator'!$D$6)*MIN(5,'83b Calculator'!$D$9)/'83b Calculator'!$D$9)</f>
        <v>0</v>
      </c>
      <c r="F21" s="23">
        <f>IF(5&gt;'83b Calculator'!$D$8,0,'83b Calculator'!$D$6+(F$6-'83b Calculator'!$D$6)*MIN(5,'83b Calculator'!$D$9)/'83b Calculator'!$D$9)</f>
        <v>0</v>
      </c>
      <c r="G21" s="23">
        <f>IF(5&gt;'83b Calculator'!$D$8,0,'83b Calculator'!$D$6+(G$6-'83b Calculator'!$D$6)*MIN(5,'83b Calculator'!$D$9)/'83b Calculator'!$D$9)</f>
        <v>0</v>
      </c>
      <c r="H21" s="23">
        <f>IF(5&gt;'83b Calculator'!$D$8,0,'83b Calculator'!$D$6+(H$6-'83b Calculator'!$D$6)*MIN(5,'83b Calculator'!$D$9)/'83b Calculator'!$D$9)</f>
        <v>0</v>
      </c>
      <c r="I21" s="23">
        <f>IF(5&gt;'83b Calculator'!$D$8,0,'83b Calculator'!$D$6+(I$6-'83b Calculator'!$D$6)*MIN(5,'83b Calculator'!$D$9)/'83b Calculator'!$D$9)</f>
        <v>0</v>
      </c>
      <c r="J21" s="23">
        <f>IF(5&gt;'83b Calculator'!$D$8,0,'83b Calculator'!$D$6+(J$6-'83b Calculator'!$D$6)*MIN(5,'83b Calculator'!$D$9)/'83b Calculator'!$D$9)</f>
        <v>0</v>
      </c>
      <c r="K21" s="23">
        <f>IF(5&gt;'83b Calculator'!$D$8,0,'83b Calculator'!$D$6+(K$6-'83b Calculator'!$D$6)*MIN(5,'83b Calculator'!$D$9)/'83b Calculator'!$D$9)</f>
        <v>0</v>
      </c>
      <c r="L21" s="23">
        <f>IF(5&gt;'83b Calculator'!$D$8,0,'83b Calculator'!$D$6+(L$6-'83b Calculator'!$D$6)*MIN(5,'83b Calculator'!$D$9)/'83b Calculator'!$D$9)</f>
        <v>0</v>
      </c>
      <c r="M21" s="23">
        <f>IF(5&gt;'83b Calculator'!$D$8,0,'83b Calculator'!$D$6+(M$6-'83b Calculator'!$D$6)*MIN(5,'83b Calculator'!$D$9)/'83b Calculator'!$D$9)</f>
        <v>0</v>
      </c>
    </row>
    <row r="22" spans="2:13">
      <c r="B22" s="38" t="s">
        <v>139</v>
      </c>
    </row>
    <row r="23" spans="2:13">
      <c r="B23" s="6" t="s">
        <v>134</v>
      </c>
      <c r="C23" s="16">
        <f>IF(1&gt;'83b Calculator'!$D$8,0,MAX(0,C17-'83b Calculator'!$D$5)*('83b Calculator'!$D$4/'83b Calculator'!$D$8)*'83b Calculator'!$D$19)</f>
        <v>0</v>
      </c>
      <c r="D23" s="16">
        <f>IF(1&gt;'83b Calculator'!$D$8,0,MAX(0,D17-'83b Calculator'!$D$5)*('83b Calculator'!$D$4/'83b Calculator'!$D$8)*'83b Calculator'!$D$19)</f>
        <v>0</v>
      </c>
      <c r="E23" s="16">
        <f>IF(1&gt;'83b Calculator'!$D$8,0,MAX(0,E17-'83b Calculator'!$D$5)*('83b Calculator'!$D$4/'83b Calculator'!$D$8)*'83b Calculator'!$D$19)</f>
        <v>0</v>
      </c>
      <c r="F23" s="16">
        <f>IF(1&gt;'83b Calculator'!$D$8,0,MAX(0,F17-'83b Calculator'!$D$5)*('83b Calculator'!$D$4/'83b Calculator'!$D$8)*'83b Calculator'!$D$19)</f>
        <v>0</v>
      </c>
      <c r="G23" s="16">
        <f>IF(1&gt;'83b Calculator'!$D$8,0,MAX(0,G17-'83b Calculator'!$D$5)*('83b Calculator'!$D$4/'83b Calculator'!$D$8)*'83b Calculator'!$D$19)</f>
        <v>0</v>
      </c>
      <c r="H23" s="16">
        <f>IF(1&gt;'83b Calculator'!$D$8,0,MAX(0,H17-'83b Calculator'!$D$5)*('83b Calculator'!$D$4/'83b Calculator'!$D$8)*'83b Calculator'!$D$19)</f>
        <v>0</v>
      </c>
      <c r="I23" s="16">
        <f>IF(1&gt;'83b Calculator'!$D$8,0,MAX(0,I17-'83b Calculator'!$D$5)*('83b Calculator'!$D$4/'83b Calculator'!$D$8)*'83b Calculator'!$D$19)</f>
        <v>0</v>
      </c>
      <c r="J23" s="16">
        <f>IF(1&gt;'83b Calculator'!$D$8,0,MAX(0,J17-'83b Calculator'!$D$5)*('83b Calculator'!$D$4/'83b Calculator'!$D$8)*'83b Calculator'!$D$19)</f>
        <v>0</v>
      </c>
      <c r="K23" s="16">
        <f>IF(1&gt;'83b Calculator'!$D$8,0,MAX(0,K17-'83b Calculator'!$D$5)*('83b Calculator'!$D$4/'83b Calculator'!$D$8)*'83b Calculator'!$D$19)</f>
        <v>0</v>
      </c>
      <c r="L23" s="16">
        <f>IF(1&gt;'83b Calculator'!$D$8,0,MAX(0,L17-'83b Calculator'!$D$5)*('83b Calculator'!$D$4/'83b Calculator'!$D$8)*'83b Calculator'!$D$19)</f>
        <v>0</v>
      </c>
      <c r="M23" s="16">
        <f>IF(1&gt;'83b Calculator'!$D$8,0,MAX(0,M17-'83b Calculator'!$D$5)*('83b Calculator'!$D$4/'83b Calculator'!$D$8)*'83b Calculator'!$D$19)</f>
        <v>0</v>
      </c>
    </row>
    <row r="24" spans="2:13">
      <c r="B24" s="6" t="s">
        <v>135</v>
      </c>
      <c r="C24" s="16">
        <f>IF(2&gt;'83b Calculator'!$D$8,0,MAX(0,C18-'83b Calculator'!$D$5)*('83b Calculator'!$D$4/'83b Calculator'!$D$8)*'83b Calculator'!$D$19)</f>
        <v>0</v>
      </c>
      <c r="D24" s="16">
        <f>IF(2&gt;'83b Calculator'!$D$8,0,MAX(0,D18-'83b Calculator'!$D$5)*('83b Calculator'!$D$4/'83b Calculator'!$D$8)*'83b Calculator'!$D$19)</f>
        <v>0</v>
      </c>
      <c r="E24" s="16">
        <f>IF(2&gt;'83b Calculator'!$D$8,0,MAX(0,E18-'83b Calculator'!$D$5)*('83b Calculator'!$D$4/'83b Calculator'!$D$8)*'83b Calculator'!$D$19)</f>
        <v>0</v>
      </c>
      <c r="F24" s="16">
        <f>IF(2&gt;'83b Calculator'!$D$8,0,MAX(0,F18-'83b Calculator'!$D$5)*('83b Calculator'!$D$4/'83b Calculator'!$D$8)*'83b Calculator'!$D$19)</f>
        <v>0</v>
      </c>
      <c r="G24" s="16">
        <f>IF(2&gt;'83b Calculator'!$D$8,0,MAX(0,G18-'83b Calculator'!$D$5)*('83b Calculator'!$D$4/'83b Calculator'!$D$8)*'83b Calculator'!$D$19)</f>
        <v>0</v>
      </c>
      <c r="H24" s="16">
        <f>IF(2&gt;'83b Calculator'!$D$8,0,MAX(0,H18-'83b Calculator'!$D$5)*('83b Calculator'!$D$4/'83b Calculator'!$D$8)*'83b Calculator'!$D$19)</f>
        <v>0</v>
      </c>
      <c r="I24" s="16">
        <f>IF(2&gt;'83b Calculator'!$D$8,0,MAX(0,I18-'83b Calculator'!$D$5)*('83b Calculator'!$D$4/'83b Calculator'!$D$8)*'83b Calculator'!$D$19)</f>
        <v>0</v>
      </c>
      <c r="J24" s="16">
        <f>IF(2&gt;'83b Calculator'!$D$8,0,MAX(0,J18-'83b Calculator'!$D$5)*('83b Calculator'!$D$4/'83b Calculator'!$D$8)*'83b Calculator'!$D$19)</f>
        <v>0</v>
      </c>
      <c r="K24" s="16">
        <f>IF(2&gt;'83b Calculator'!$D$8,0,MAX(0,K18-'83b Calculator'!$D$5)*('83b Calculator'!$D$4/'83b Calculator'!$D$8)*'83b Calculator'!$D$19)</f>
        <v>0</v>
      </c>
      <c r="L24" s="16">
        <f>IF(2&gt;'83b Calculator'!$D$8,0,MAX(0,L18-'83b Calculator'!$D$5)*('83b Calculator'!$D$4/'83b Calculator'!$D$8)*'83b Calculator'!$D$19)</f>
        <v>0</v>
      </c>
      <c r="M24" s="16">
        <f>IF(2&gt;'83b Calculator'!$D$8,0,MAX(0,M18-'83b Calculator'!$D$5)*('83b Calculator'!$D$4/'83b Calculator'!$D$8)*'83b Calculator'!$D$19)</f>
        <v>0</v>
      </c>
    </row>
    <row r="25" spans="2:13">
      <c r="B25" s="6" t="s">
        <v>136</v>
      </c>
      <c r="C25" s="16">
        <f>IF(3&gt;'83b Calculator'!$D$8,0,MAX(0,C19-'83b Calculator'!$D$5)*('83b Calculator'!$D$4/'83b Calculator'!$D$8)*'83b Calculator'!$D$19)</f>
        <v>0</v>
      </c>
      <c r="D25" s="16">
        <f>IF(3&gt;'83b Calculator'!$D$8,0,MAX(0,D19-'83b Calculator'!$D$5)*('83b Calculator'!$D$4/'83b Calculator'!$D$8)*'83b Calculator'!$D$19)</f>
        <v>0</v>
      </c>
      <c r="E25" s="16">
        <f>IF(3&gt;'83b Calculator'!$D$8,0,MAX(0,E19-'83b Calculator'!$D$5)*('83b Calculator'!$D$4/'83b Calculator'!$D$8)*'83b Calculator'!$D$19)</f>
        <v>0</v>
      </c>
      <c r="F25" s="16">
        <f>IF(3&gt;'83b Calculator'!$D$8,0,MAX(0,F19-'83b Calculator'!$D$5)*('83b Calculator'!$D$4/'83b Calculator'!$D$8)*'83b Calculator'!$D$19)</f>
        <v>0</v>
      </c>
      <c r="G25" s="16">
        <f>IF(3&gt;'83b Calculator'!$D$8,0,MAX(0,G19-'83b Calculator'!$D$5)*('83b Calculator'!$D$4/'83b Calculator'!$D$8)*'83b Calculator'!$D$19)</f>
        <v>0</v>
      </c>
      <c r="H25" s="16">
        <f>IF(3&gt;'83b Calculator'!$D$8,0,MAX(0,H19-'83b Calculator'!$D$5)*('83b Calculator'!$D$4/'83b Calculator'!$D$8)*'83b Calculator'!$D$19)</f>
        <v>0</v>
      </c>
      <c r="I25" s="16">
        <f>IF(3&gt;'83b Calculator'!$D$8,0,MAX(0,I19-'83b Calculator'!$D$5)*('83b Calculator'!$D$4/'83b Calculator'!$D$8)*'83b Calculator'!$D$19)</f>
        <v>0</v>
      </c>
      <c r="J25" s="16">
        <f>IF(3&gt;'83b Calculator'!$D$8,0,MAX(0,J19-'83b Calculator'!$D$5)*('83b Calculator'!$D$4/'83b Calculator'!$D$8)*'83b Calculator'!$D$19)</f>
        <v>0</v>
      </c>
      <c r="K25" s="16">
        <f>IF(3&gt;'83b Calculator'!$D$8,0,MAX(0,K19-'83b Calculator'!$D$5)*('83b Calculator'!$D$4/'83b Calculator'!$D$8)*'83b Calculator'!$D$19)</f>
        <v>0</v>
      </c>
      <c r="L25" s="16">
        <f>IF(3&gt;'83b Calculator'!$D$8,0,MAX(0,L19-'83b Calculator'!$D$5)*('83b Calculator'!$D$4/'83b Calculator'!$D$8)*'83b Calculator'!$D$19)</f>
        <v>0</v>
      </c>
      <c r="M25" s="16">
        <f>IF(3&gt;'83b Calculator'!$D$8,0,MAX(0,M19-'83b Calculator'!$D$5)*('83b Calculator'!$D$4/'83b Calculator'!$D$8)*'83b Calculator'!$D$19)</f>
        <v>0</v>
      </c>
    </row>
    <row r="26" spans="2:13">
      <c r="B26" s="6" t="s">
        <v>137</v>
      </c>
      <c r="C26" s="16">
        <f>IF(4&gt;'83b Calculator'!$D$8,0,MAX(0,C20-'83b Calculator'!$D$5)*('83b Calculator'!$D$4/'83b Calculator'!$D$8)*'83b Calculator'!$D$19)</f>
        <v>0</v>
      </c>
      <c r="D26" s="16">
        <f>IF(4&gt;'83b Calculator'!$D$8,0,MAX(0,D20-'83b Calculator'!$D$5)*('83b Calculator'!$D$4/'83b Calculator'!$D$8)*'83b Calculator'!$D$19)</f>
        <v>0</v>
      </c>
      <c r="E26" s="16">
        <f>IF(4&gt;'83b Calculator'!$D$8,0,MAX(0,E20-'83b Calculator'!$D$5)*('83b Calculator'!$D$4/'83b Calculator'!$D$8)*'83b Calculator'!$D$19)</f>
        <v>0</v>
      </c>
      <c r="F26" s="16">
        <f>IF(4&gt;'83b Calculator'!$D$8,0,MAX(0,F20-'83b Calculator'!$D$5)*('83b Calculator'!$D$4/'83b Calculator'!$D$8)*'83b Calculator'!$D$19)</f>
        <v>0</v>
      </c>
      <c r="G26" s="16">
        <f>IF(4&gt;'83b Calculator'!$D$8,0,MAX(0,G20-'83b Calculator'!$D$5)*('83b Calculator'!$D$4/'83b Calculator'!$D$8)*'83b Calculator'!$D$19)</f>
        <v>0</v>
      </c>
      <c r="H26" s="16">
        <f>IF(4&gt;'83b Calculator'!$D$8,0,MAX(0,H20-'83b Calculator'!$D$5)*('83b Calculator'!$D$4/'83b Calculator'!$D$8)*'83b Calculator'!$D$19)</f>
        <v>0</v>
      </c>
      <c r="I26" s="16">
        <f>IF(4&gt;'83b Calculator'!$D$8,0,MAX(0,I20-'83b Calculator'!$D$5)*('83b Calculator'!$D$4/'83b Calculator'!$D$8)*'83b Calculator'!$D$19)</f>
        <v>0</v>
      </c>
      <c r="J26" s="16">
        <f>IF(4&gt;'83b Calculator'!$D$8,0,MAX(0,J20-'83b Calculator'!$D$5)*('83b Calculator'!$D$4/'83b Calculator'!$D$8)*'83b Calculator'!$D$19)</f>
        <v>0</v>
      </c>
      <c r="K26" s="16">
        <f>IF(4&gt;'83b Calculator'!$D$8,0,MAX(0,K20-'83b Calculator'!$D$5)*('83b Calculator'!$D$4/'83b Calculator'!$D$8)*'83b Calculator'!$D$19)</f>
        <v>0</v>
      </c>
      <c r="L26" s="16">
        <f>IF(4&gt;'83b Calculator'!$D$8,0,MAX(0,L20-'83b Calculator'!$D$5)*('83b Calculator'!$D$4/'83b Calculator'!$D$8)*'83b Calculator'!$D$19)</f>
        <v>0</v>
      </c>
      <c r="M26" s="16">
        <f>IF(4&gt;'83b Calculator'!$D$8,0,MAX(0,M20-'83b Calculator'!$D$5)*('83b Calculator'!$D$4/'83b Calculator'!$D$8)*'83b Calculator'!$D$19)</f>
        <v>0</v>
      </c>
    </row>
    <row r="27" spans="2:13">
      <c r="B27" s="6" t="s">
        <v>138</v>
      </c>
      <c r="C27" s="16">
        <f>IF(5&gt;'83b Calculator'!$D$8,0,MAX(0,C21-'83b Calculator'!$D$5)*('83b Calculator'!$D$4/'83b Calculator'!$D$8)*'83b Calculator'!$D$19)</f>
        <v>0</v>
      </c>
      <c r="D27" s="16">
        <f>IF(5&gt;'83b Calculator'!$D$8,0,MAX(0,D21-'83b Calculator'!$D$5)*('83b Calculator'!$D$4/'83b Calculator'!$D$8)*'83b Calculator'!$D$19)</f>
        <v>0</v>
      </c>
      <c r="E27" s="16">
        <f>IF(5&gt;'83b Calculator'!$D$8,0,MAX(0,E21-'83b Calculator'!$D$5)*('83b Calculator'!$D$4/'83b Calculator'!$D$8)*'83b Calculator'!$D$19)</f>
        <v>0</v>
      </c>
      <c r="F27" s="16">
        <f>IF(5&gt;'83b Calculator'!$D$8,0,MAX(0,F21-'83b Calculator'!$D$5)*('83b Calculator'!$D$4/'83b Calculator'!$D$8)*'83b Calculator'!$D$19)</f>
        <v>0</v>
      </c>
      <c r="G27" s="16">
        <f>IF(5&gt;'83b Calculator'!$D$8,0,MAX(0,G21-'83b Calculator'!$D$5)*('83b Calculator'!$D$4/'83b Calculator'!$D$8)*'83b Calculator'!$D$19)</f>
        <v>0</v>
      </c>
      <c r="H27" s="16">
        <f>IF(5&gt;'83b Calculator'!$D$8,0,MAX(0,H21-'83b Calculator'!$D$5)*('83b Calculator'!$D$4/'83b Calculator'!$D$8)*'83b Calculator'!$D$19)</f>
        <v>0</v>
      </c>
      <c r="I27" s="16">
        <f>IF(5&gt;'83b Calculator'!$D$8,0,MAX(0,I21-'83b Calculator'!$D$5)*('83b Calculator'!$D$4/'83b Calculator'!$D$8)*'83b Calculator'!$D$19)</f>
        <v>0</v>
      </c>
      <c r="J27" s="16">
        <f>IF(5&gt;'83b Calculator'!$D$8,0,MAX(0,J21-'83b Calculator'!$D$5)*('83b Calculator'!$D$4/'83b Calculator'!$D$8)*'83b Calculator'!$D$19)</f>
        <v>0</v>
      </c>
      <c r="K27" s="16">
        <f>IF(5&gt;'83b Calculator'!$D$8,0,MAX(0,K21-'83b Calculator'!$D$5)*('83b Calculator'!$D$4/'83b Calculator'!$D$8)*'83b Calculator'!$D$19)</f>
        <v>0</v>
      </c>
      <c r="L27" s="16">
        <f>IF(5&gt;'83b Calculator'!$D$8,0,MAX(0,L21-'83b Calculator'!$D$5)*('83b Calculator'!$D$4/'83b Calculator'!$D$8)*'83b Calculator'!$D$19)</f>
        <v>0</v>
      </c>
      <c r="M27" s="16">
        <f>IF(5&gt;'83b Calculator'!$D$8,0,MAX(0,M21-'83b Calculator'!$D$5)*('83b Calculator'!$D$4/'83b Calculator'!$D$8)*'83b Calculator'!$D$19)</f>
        <v>0</v>
      </c>
    </row>
    <row r="28" spans="2:13">
      <c r="B28" s="38" t="s">
        <v>140</v>
      </c>
    </row>
    <row r="29" spans="2:13">
      <c r="B29" s="6" t="s">
        <v>134</v>
      </c>
      <c r="C29" s="16">
        <f>IF(1&gt;'83b Calculator'!$D$8,0,MAX(0,C$6-MAX('83b Calculator'!$D$5,C17))*('83b Calculator'!$D$4/'83b Calculator'!$D$8)*IF('83b Calculator'!$D$9-1&gt;1,'83b Calculator'!$D$20,'83b Calculator'!$D$19))</f>
        <v>0</v>
      </c>
      <c r="D29" s="16">
        <f>IF(1&gt;'83b Calculator'!$D$8,0,MAX(0,D$6-MAX('83b Calculator'!$D$5,D17))*('83b Calculator'!$D$4/'83b Calculator'!$D$8)*IF('83b Calculator'!$D$9-1&gt;1,'83b Calculator'!$D$20,'83b Calculator'!$D$19))</f>
        <v>0</v>
      </c>
      <c r="E29" s="16">
        <f>IF(1&gt;'83b Calculator'!$D$8,0,MAX(0,E$6-MAX('83b Calculator'!$D$5,E17))*('83b Calculator'!$D$4/'83b Calculator'!$D$8)*IF('83b Calculator'!$D$9-1&gt;1,'83b Calculator'!$D$20,'83b Calculator'!$D$19))</f>
        <v>0</v>
      </c>
      <c r="F29" s="16">
        <f>IF(1&gt;'83b Calculator'!$D$8,0,MAX(0,F$6-MAX('83b Calculator'!$D$5,F17))*('83b Calculator'!$D$4/'83b Calculator'!$D$8)*IF('83b Calculator'!$D$9-1&gt;1,'83b Calculator'!$D$20,'83b Calculator'!$D$19))</f>
        <v>0</v>
      </c>
      <c r="G29" s="16">
        <f>IF(1&gt;'83b Calculator'!$D$8,0,MAX(0,G$6-MAX('83b Calculator'!$D$5,G17))*('83b Calculator'!$D$4/'83b Calculator'!$D$8)*IF('83b Calculator'!$D$9-1&gt;1,'83b Calculator'!$D$20,'83b Calculator'!$D$19))</f>
        <v>0</v>
      </c>
      <c r="H29" s="16">
        <f>IF(1&gt;'83b Calculator'!$D$8,0,MAX(0,H$6-MAX('83b Calculator'!$D$5,H17))*('83b Calculator'!$D$4/'83b Calculator'!$D$8)*IF('83b Calculator'!$D$9-1&gt;1,'83b Calculator'!$D$20,'83b Calculator'!$D$19))</f>
        <v>0</v>
      </c>
      <c r="I29" s="16">
        <f>IF(1&gt;'83b Calculator'!$D$8,0,MAX(0,I$6-MAX('83b Calculator'!$D$5,I17))*('83b Calculator'!$D$4/'83b Calculator'!$D$8)*IF('83b Calculator'!$D$9-1&gt;1,'83b Calculator'!$D$20,'83b Calculator'!$D$19))</f>
        <v>0</v>
      </c>
      <c r="J29" s="16">
        <f>IF(1&gt;'83b Calculator'!$D$8,0,MAX(0,J$6-MAX('83b Calculator'!$D$5,J17))*('83b Calculator'!$D$4/'83b Calculator'!$D$8)*IF('83b Calculator'!$D$9-1&gt;1,'83b Calculator'!$D$20,'83b Calculator'!$D$19))</f>
        <v>0</v>
      </c>
      <c r="K29" s="16">
        <f>IF(1&gt;'83b Calculator'!$D$8,0,MAX(0,K$6-MAX('83b Calculator'!$D$5,K17))*('83b Calculator'!$D$4/'83b Calculator'!$D$8)*IF('83b Calculator'!$D$9-1&gt;1,'83b Calculator'!$D$20,'83b Calculator'!$D$19))</f>
        <v>0</v>
      </c>
      <c r="L29" s="16">
        <f>IF(1&gt;'83b Calculator'!$D$8,0,MAX(0,L$6-MAX('83b Calculator'!$D$5,L17))*('83b Calculator'!$D$4/'83b Calculator'!$D$8)*IF('83b Calculator'!$D$9-1&gt;1,'83b Calculator'!$D$20,'83b Calculator'!$D$19))</f>
        <v>0</v>
      </c>
      <c r="M29" s="16">
        <f>IF(1&gt;'83b Calculator'!$D$8,0,MAX(0,M$6-MAX('83b Calculator'!$D$5,M17))*('83b Calculator'!$D$4/'83b Calculator'!$D$8)*IF('83b Calculator'!$D$9-1&gt;1,'83b Calculator'!$D$20,'83b Calculator'!$D$19))</f>
        <v>0</v>
      </c>
    </row>
    <row r="30" spans="2:13">
      <c r="B30" s="6" t="s">
        <v>135</v>
      </c>
      <c r="C30" s="16">
        <f>IF(2&gt;'83b Calculator'!$D$8,0,MAX(0,C$6-MAX('83b Calculator'!$D$5,C18))*('83b Calculator'!$D$4/'83b Calculator'!$D$8)*IF('83b Calculator'!$D$9-2&gt;1,'83b Calculator'!$D$20,'83b Calculator'!$D$19))</f>
        <v>0</v>
      </c>
      <c r="D30" s="16">
        <f>IF(2&gt;'83b Calculator'!$D$8,0,MAX(0,D$6-MAX('83b Calculator'!$D$5,D18))*('83b Calculator'!$D$4/'83b Calculator'!$D$8)*IF('83b Calculator'!$D$9-2&gt;1,'83b Calculator'!$D$20,'83b Calculator'!$D$19))</f>
        <v>0</v>
      </c>
      <c r="E30" s="16">
        <f>IF(2&gt;'83b Calculator'!$D$8,0,MAX(0,E$6-MAX('83b Calculator'!$D$5,E18))*('83b Calculator'!$D$4/'83b Calculator'!$D$8)*IF('83b Calculator'!$D$9-2&gt;1,'83b Calculator'!$D$20,'83b Calculator'!$D$19))</f>
        <v>0</v>
      </c>
      <c r="F30" s="16">
        <f>IF(2&gt;'83b Calculator'!$D$8,0,MAX(0,F$6-MAX('83b Calculator'!$D$5,F18))*('83b Calculator'!$D$4/'83b Calculator'!$D$8)*IF('83b Calculator'!$D$9-2&gt;1,'83b Calculator'!$D$20,'83b Calculator'!$D$19))</f>
        <v>0</v>
      </c>
      <c r="G30" s="16">
        <f>IF(2&gt;'83b Calculator'!$D$8,0,MAX(0,G$6-MAX('83b Calculator'!$D$5,G18))*('83b Calculator'!$D$4/'83b Calculator'!$D$8)*IF('83b Calculator'!$D$9-2&gt;1,'83b Calculator'!$D$20,'83b Calculator'!$D$19))</f>
        <v>0</v>
      </c>
      <c r="H30" s="16">
        <f>IF(2&gt;'83b Calculator'!$D$8,0,MAX(0,H$6-MAX('83b Calculator'!$D$5,H18))*('83b Calculator'!$D$4/'83b Calculator'!$D$8)*IF('83b Calculator'!$D$9-2&gt;1,'83b Calculator'!$D$20,'83b Calculator'!$D$19))</f>
        <v>0</v>
      </c>
      <c r="I30" s="16">
        <f>IF(2&gt;'83b Calculator'!$D$8,0,MAX(0,I$6-MAX('83b Calculator'!$D$5,I18))*('83b Calculator'!$D$4/'83b Calculator'!$D$8)*IF('83b Calculator'!$D$9-2&gt;1,'83b Calculator'!$D$20,'83b Calculator'!$D$19))</f>
        <v>0</v>
      </c>
      <c r="J30" s="16">
        <f>IF(2&gt;'83b Calculator'!$D$8,0,MAX(0,J$6-MAX('83b Calculator'!$D$5,J18))*('83b Calculator'!$D$4/'83b Calculator'!$D$8)*IF('83b Calculator'!$D$9-2&gt;1,'83b Calculator'!$D$20,'83b Calculator'!$D$19))</f>
        <v>0</v>
      </c>
      <c r="K30" s="16">
        <f>IF(2&gt;'83b Calculator'!$D$8,0,MAX(0,K$6-MAX('83b Calculator'!$D$5,K18))*('83b Calculator'!$D$4/'83b Calculator'!$D$8)*IF('83b Calculator'!$D$9-2&gt;1,'83b Calculator'!$D$20,'83b Calculator'!$D$19))</f>
        <v>0</v>
      </c>
      <c r="L30" s="16">
        <f>IF(2&gt;'83b Calculator'!$D$8,0,MAX(0,L$6-MAX('83b Calculator'!$D$5,L18))*('83b Calculator'!$D$4/'83b Calculator'!$D$8)*IF('83b Calculator'!$D$9-2&gt;1,'83b Calculator'!$D$20,'83b Calculator'!$D$19))</f>
        <v>0</v>
      </c>
      <c r="M30" s="16">
        <f>IF(2&gt;'83b Calculator'!$D$8,0,MAX(0,M$6-MAX('83b Calculator'!$D$5,M18))*('83b Calculator'!$D$4/'83b Calculator'!$D$8)*IF('83b Calculator'!$D$9-2&gt;1,'83b Calculator'!$D$20,'83b Calculator'!$D$19))</f>
        <v>0</v>
      </c>
    </row>
    <row r="31" spans="2:13">
      <c r="B31" s="6" t="s">
        <v>136</v>
      </c>
      <c r="C31" s="16">
        <f>IF(3&gt;'83b Calculator'!$D$8,0,MAX(0,C$6-MAX('83b Calculator'!$D$5,C19))*('83b Calculator'!$D$4/'83b Calculator'!$D$8)*IF('83b Calculator'!$D$9-3&gt;1,'83b Calculator'!$D$20,'83b Calculator'!$D$19))</f>
        <v>0</v>
      </c>
      <c r="D31" s="16">
        <f>IF(3&gt;'83b Calculator'!$D$8,0,MAX(0,D$6-MAX('83b Calculator'!$D$5,D19))*('83b Calculator'!$D$4/'83b Calculator'!$D$8)*IF('83b Calculator'!$D$9-3&gt;1,'83b Calculator'!$D$20,'83b Calculator'!$D$19))</f>
        <v>0</v>
      </c>
      <c r="E31" s="16">
        <f>IF(3&gt;'83b Calculator'!$D$8,0,MAX(0,E$6-MAX('83b Calculator'!$D$5,E19))*('83b Calculator'!$D$4/'83b Calculator'!$D$8)*IF('83b Calculator'!$D$9-3&gt;1,'83b Calculator'!$D$20,'83b Calculator'!$D$19))</f>
        <v>0</v>
      </c>
      <c r="F31" s="16">
        <f>IF(3&gt;'83b Calculator'!$D$8,0,MAX(0,F$6-MAX('83b Calculator'!$D$5,F19))*('83b Calculator'!$D$4/'83b Calculator'!$D$8)*IF('83b Calculator'!$D$9-3&gt;1,'83b Calculator'!$D$20,'83b Calculator'!$D$19))</f>
        <v>0</v>
      </c>
      <c r="G31" s="16">
        <f>IF(3&gt;'83b Calculator'!$D$8,0,MAX(0,G$6-MAX('83b Calculator'!$D$5,G19))*('83b Calculator'!$D$4/'83b Calculator'!$D$8)*IF('83b Calculator'!$D$9-3&gt;1,'83b Calculator'!$D$20,'83b Calculator'!$D$19))</f>
        <v>0</v>
      </c>
      <c r="H31" s="16">
        <f>IF(3&gt;'83b Calculator'!$D$8,0,MAX(0,H$6-MAX('83b Calculator'!$D$5,H19))*('83b Calculator'!$D$4/'83b Calculator'!$D$8)*IF('83b Calculator'!$D$9-3&gt;1,'83b Calculator'!$D$20,'83b Calculator'!$D$19))</f>
        <v>0</v>
      </c>
      <c r="I31" s="16">
        <f>IF(3&gt;'83b Calculator'!$D$8,0,MAX(0,I$6-MAX('83b Calculator'!$D$5,I19))*('83b Calculator'!$D$4/'83b Calculator'!$D$8)*IF('83b Calculator'!$D$9-3&gt;1,'83b Calculator'!$D$20,'83b Calculator'!$D$19))</f>
        <v>0</v>
      </c>
      <c r="J31" s="16">
        <f>IF(3&gt;'83b Calculator'!$D$8,0,MAX(0,J$6-MAX('83b Calculator'!$D$5,J19))*('83b Calculator'!$D$4/'83b Calculator'!$D$8)*IF('83b Calculator'!$D$9-3&gt;1,'83b Calculator'!$D$20,'83b Calculator'!$D$19))</f>
        <v>0</v>
      </c>
      <c r="K31" s="16">
        <f>IF(3&gt;'83b Calculator'!$D$8,0,MAX(0,K$6-MAX('83b Calculator'!$D$5,K19))*('83b Calculator'!$D$4/'83b Calculator'!$D$8)*IF('83b Calculator'!$D$9-3&gt;1,'83b Calculator'!$D$20,'83b Calculator'!$D$19))</f>
        <v>0</v>
      </c>
      <c r="L31" s="16">
        <f>IF(3&gt;'83b Calculator'!$D$8,0,MAX(0,L$6-MAX('83b Calculator'!$D$5,L19))*('83b Calculator'!$D$4/'83b Calculator'!$D$8)*IF('83b Calculator'!$D$9-3&gt;1,'83b Calculator'!$D$20,'83b Calculator'!$D$19))</f>
        <v>0</v>
      </c>
      <c r="M31" s="16">
        <f>IF(3&gt;'83b Calculator'!$D$8,0,MAX(0,M$6-MAX('83b Calculator'!$D$5,M19))*('83b Calculator'!$D$4/'83b Calculator'!$D$8)*IF('83b Calculator'!$D$9-3&gt;1,'83b Calculator'!$D$20,'83b Calculator'!$D$19))</f>
        <v>0</v>
      </c>
    </row>
    <row r="32" spans="2:13">
      <c r="B32" s="6" t="s">
        <v>137</v>
      </c>
      <c r="C32" s="16">
        <f>IF(4&gt;'83b Calculator'!$D$8,0,MAX(0,C$6-MAX('83b Calculator'!$D$5,C20))*('83b Calculator'!$D$4/'83b Calculator'!$D$8)*IF('83b Calculator'!$D$9-4&gt;1,'83b Calculator'!$D$20,'83b Calculator'!$D$19))</f>
        <v>0</v>
      </c>
      <c r="D32" s="16">
        <f>IF(4&gt;'83b Calculator'!$D$8,0,MAX(0,D$6-MAX('83b Calculator'!$D$5,D20))*('83b Calculator'!$D$4/'83b Calculator'!$D$8)*IF('83b Calculator'!$D$9-4&gt;1,'83b Calculator'!$D$20,'83b Calculator'!$D$19))</f>
        <v>0</v>
      </c>
      <c r="E32" s="16">
        <f>IF(4&gt;'83b Calculator'!$D$8,0,MAX(0,E$6-MAX('83b Calculator'!$D$5,E20))*('83b Calculator'!$D$4/'83b Calculator'!$D$8)*IF('83b Calculator'!$D$9-4&gt;1,'83b Calculator'!$D$20,'83b Calculator'!$D$19))</f>
        <v>0</v>
      </c>
      <c r="F32" s="16">
        <f>IF(4&gt;'83b Calculator'!$D$8,0,MAX(0,F$6-MAX('83b Calculator'!$D$5,F20))*('83b Calculator'!$D$4/'83b Calculator'!$D$8)*IF('83b Calculator'!$D$9-4&gt;1,'83b Calculator'!$D$20,'83b Calculator'!$D$19))</f>
        <v>0</v>
      </c>
      <c r="G32" s="16">
        <f>IF(4&gt;'83b Calculator'!$D$8,0,MAX(0,G$6-MAX('83b Calculator'!$D$5,G20))*('83b Calculator'!$D$4/'83b Calculator'!$D$8)*IF('83b Calculator'!$D$9-4&gt;1,'83b Calculator'!$D$20,'83b Calculator'!$D$19))</f>
        <v>0</v>
      </c>
      <c r="H32" s="16">
        <f>IF(4&gt;'83b Calculator'!$D$8,0,MAX(0,H$6-MAX('83b Calculator'!$D$5,H20))*('83b Calculator'!$D$4/'83b Calculator'!$D$8)*IF('83b Calculator'!$D$9-4&gt;1,'83b Calculator'!$D$20,'83b Calculator'!$D$19))</f>
        <v>0</v>
      </c>
      <c r="I32" s="16">
        <f>IF(4&gt;'83b Calculator'!$D$8,0,MAX(0,I$6-MAX('83b Calculator'!$D$5,I20))*('83b Calculator'!$D$4/'83b Calculator'!$D$8)*IF('83b Calculator'!$D$9-4&gt;1,'83b Calculator'!$D$20,'83b Calculator'!$D$19))</f>
        <v>0</v>
      </c>
      <c r="J32" s="16">
        <f>IF(4&gt;'83b Calculator'!$D$8,0,MAX(0,J$6-MAX('83b Calculator'!$D$5,J20))*('83b Calculator'!$D$4/'83b Calculator'!$D$8)*IF('83b Calculator'!$D$9-4&gt;1,'83b Calculator'!$D$20,'83b Calculator'!$D$19))</f>
        <v>0</v>
      </c>
      <c r="K32" s="16">
        <f>IF(4&gt;'83b Calculator'!$D$8,0,MAX(0,K$6-MAX('83b Calculator'!$D$5,K20))*('83b Calculator'!$D$4/'83b Calculator'!$D$8)*IF('83b Calculator'!$D$9-4&gt;1,'83b Calculator'!$D$20,'83b Calculator'!$D$19))</f>
        <v>0</v>
      </c>
      <c r="L32" s="16">
        <f>IF(4&gt;'83b Calculator'!$D$8,0,MAX(0,L$6-MAX('83b Calculator'!$D$5,L20))*('83b Calculator'!$D$4/'83b Calculator'!$D$8)*IF('83b Calculator'!$D$9-4&gt;1,'83b Calculator'!$D$20,'83b Calculator'!$D$19))</f>
        <v>0</v>
      </c>
      <c r="M32" s="16">
        <f>IF(4&gt;'83b Calculator'!$D$8,0,MAX(0,M$6-MAX('83b Calculator'!$D$5,M20))*('83b Calculator'!$D$4/'83b Calculator'!$D$8)*IF('83b Calculator'!$D$9-4&gt;1,'83b Calculator'!$D$20,'83b Calculator'!$D$19))</f>
        <v>0</v>
      </c>
    </row>
    <row r="33" spans="2:13">
      <c r="B33" s="6" t="s">
        <v>138</v>
      </c>
      <c r="C33" s="16">
        <f>IF(5&gt;'83b Calculator'!$D$8,0,MAX(0,C$6-MAX('83b Calculator'!$D$5,C21))*('83b Calculator'!$D$4/'83b Calculator'!$D$8)*IF('83b Calculator'!$D$9-5&gt;1,'83b Calculator'!$D$20,'83b Calculator'!$D$19))</f>
        <v>0</v>
      </c>
      <c r="D33" s="16">
        <f>IF(5&gt;'83b Calculator'!$D$8,0,MAX(0,D$6-MAX('83b Calculator'!$D$5,D21))*('83b Calculator'!$D$4/'83b Calculator'!$D$8)*IF('83b Calculator'!$D$9-5&gt;1,'83b Calculator'!$D$20,'83b Calculator'!$D$19))</f>
        <v>0</v>
      </c>
      <c r="E33" s="16">
        <f>IF(5&gt;'83b Calculator'!$D$8,0,MAX(0,E$6-MAX('83b Calculator'!$D$5,E21))*('83b Calculator'!$D$4/'83b Calculator'!$D$8)*IF('83b Calculator'!$D$9-5&gt;1,'83b Calculator'!$D$20,'83b Calculator'!$D$19))</f>
        <v>0</v>
      </c>
      <c r="F33" s="16">
        <f>IF(5&gt;'83b Calculator'!$D$8,0,MAX(0,F$6-MAX('83b Calculator'!$D$5,F21))*('83b Calculator'!$D$4/'83b Calculator'!$D$8)*IF('83b Calculator'!$D$9-5&gt;1,'83b Calculator'!$D$20,'83b Calculator'!$D$19))</f>
        <v>0</v>
      </c>
      <c r="G33" s="16">
        <f>IF(5&gt;'83b Calculator'!$D$8,0,MAX(0,G$6-MAX('83b Calculator'!$D$5,G21))*('83b Calculator'!$D$4/'83b Calculator'!$D$8)*IF('83b Calculator'!$D$9-5&gt;1,'83b Calculator'!$D$20,'83b Calculator'!$D$19))</f>
        <v>0</v>
      </c>
      <c r="H33" s="16">
        <f>IF(5&gt;'83b Calculator'!$D$8,0,MAX(0,H$6-MAX('83b Calculator'!$D$5,H21))*('83b Calculator'!$D$4/'83b Calculator'!$D$8)*IF('83b Calculator'!$D$9-5&gt;1,'83b Calculator'!$D$20,'83b Calculator'!$D$19))</f>
        <v>0</v>
      </c>
      <c r="I33" s="16">
        <f>IF(5&gt;'83b Calculator'!$D$8,0,MAX(0,I$6-MAX('83b Calculator'!$D$5,I21))*('83b Calculator'!$D$4/'83b Calculator'!$D$8)*IF('83b Calculator'!$D$9-5&gt;1,'83b Calculator'!$D$20,'83b Calculator'!$D$19))</f>
        <v>0</v>
      </c>
      <c r="J33" s="16">
        <f>IF(5&gt;'83b Calculator'!$D$8,0,MAX(0,J$6-MAX('83b Calculator'!$D$5,J21))*('83b Calculator'!$D$4/'83b Calculator'!$D$8)*IF('83b Calculator'!$D$9-5&gt;1,'83b Calculator'!$D$20,'83b Calculator'!$D$19))</f>
        <v>0</v>
      </c>
      <c r="K33" s="16">
        <f>IF(5&gt;'83b Calculator'!$D$8,0,MAX(0,K$6-MAX('83b Calculator'!$D$5,K21))*('83b Calculator'!$D$4/'83b Calculator'!$D$8)*IF('83b Calculator'!$D$9-5&gt;1,'83b Calculator'!$D$20,'83b Calculator'!$D$19))</f>
        <v>0</v>
      </c>
      <c r="L33" s="16">
        <f>IF(5&gt;'83b Calculator'!$D$8,0,MAX(0,L$6-MAX('83b Calculator'!$D$5,L21))*('83b Calculator'!$D$4/'83b Calculator'!$D$8)*IF('83b Calculator'!$D$9-5&gt;1,'83b Calculator'!$D$20,'83b Calculator'!$D$19))</f>
        <v>0</v>
      </c>
      <c r="M33" s="16">
        <f>IF(5&gt;'83b Calculator'!$D$8,0,MAX(0,M$6-MAX('83b Calculator'!$D$5,M21))*('83b Calculator'!$D$4/'83b Calculator'!$D$8)*IF('83b Calculator'!$D$9-5&gt;1,'83b Calculator'!$D$20,'83b Calculator'!$D$19))</f>
        <v>0</v>
      </c>
    </row>
    <row r="35" spans="2:13">
      <c r="B35" s="40" t="s">
        <v>141</v>
      </c>
      <c r="C35" s="41">
        <f t="shared" ref="C35:M35" si="1">SUM(C23:C27)+SUM(C29:C33)</f>
        <v>0</v>
      </c>
      <c r="D35" s="41">
        <f t="shared" si="1"/>
        <v>0</v>
      </c>
      <c r="E35" s="41">
        <f t="shared" si="1"/>
        <v>0</v>
      </c>
      <c r="F35" s="41">
        <f t="shared" si="1"/>
        <v>0</v>
      </c>
      <c r="G35" s="41">
        <f t="shared" si="1"/>
        <v>0</v>
      </c>
      <c r="H35" s="41">
        <f t="shared" si="1"/>
        <v>0</v>
      </c>
      <c r="I35" s="41">
        <f t="shared" si="1"/>
        <v>0</v>
      </c>
      <c r="J35" s="41">
        <f t="shared" si="1"/>
        <v>0</v>
      </c>
      <c r="K35" s="41">
        <f t="shared" si="1"/>
        <v>0</v>
      </c>
      <c r="L35" s="41">
        <f t="shared" si="1"/>
        <v>0</v>
      </c>
      <c r="M35" s="41">
        <f t="shared" si="1"/>
        <v>0</v>
      </c>
    </row>
    <row r="37" spans="2:13" ht="21.75" customHeight="1">
      <c r="B37" s="51" t="s">
        <v>142</v>
      </c>
      <c r="C37" s="51"/>
      <c r="D37" s="51"/>
      <c r="E37" s="51"/>
      <c r="F37" s="51"/>
      <c r="G37" s="51"/>
      <c r="H37" s="51"/>
      <c r="I37" s="51"/>
      <c r="J37" s="51"/>
      <c r="K37" s="51"/>
      <c r="L37" s="51"/>
      <c r="M37" s="51"/>
    </row>
    <row r="38" spans="2:13">
      <c r="B38" s="42" t="s">
        <v>143</v>
      </c>
      <c r="C38" s="43">
        <f t="shared" ref="C38:M38" si="2">C35-C13</f>
        <v>0</v>
      </c>
      <c r="D38" s="43">
        <f t="shared" si="2"/>
        <v>0</v>
      </c>
      <c r="E38" s="43">
        <f t="shared" si="2"/>
        <v>0</v>
      </c>
      <c r="F38" s="43">
        <f t="shared" si="2"/>
        <v>0</v>
      </c>
      <c r="G38" s="43">
        <f t="shared" si="2"/>
        <v>0</v>
      </c>
      <c r="H38" s="43">
        <f t="shared" si="2"/>
        <v>0</v>
      </c>
      <c r="I38" s="43">
        <f t="shared" si="2"/>
        <v>0</v>
      </c>
      <c r="J38" s="43">
        <f t="shared" si="2"/>
        <v>0</v>
      </c>
      <c r="K38" s="43">
        <f t="shared" si="2"/>
        <v>0</v>
      </c>
      <c r="L38" s="43">
        <f t="shared" si="2"/>
        <v>0</v>
      </c>
      <c r="M38" s="43">
        <f t="shared" si="2"/>
        <v>0</v>
      </c>
    </row>
    <row r="39" spans="2:13">
      <c r="B39" s="6" t="s">
        <v>144</v>
      </c>
      <c r="C39" s="12">
        <f>IFERROR(C38/(C$6*'83b Calculator'!$D$4),0)</f>
        <v>0</v>
      </c>
      <c r="D39" s="12">
        <f>IFERROR(D38/(D$6*'83b Calculator'!$D$4),0)</f>
        <v>0</v>
      </c>
      <c r="E39" s="12">
        <f>IFERROR(E38/(E$6*'83b Calculator'!$D$4),0)</f>
        <v>0</v>
      </c>
      <c r="F39" s="12">
        <f>IFERROR(F38/(F$6*'83b Calculator'!$D$4),0)</f>
        <v>0</v>
      </c>
      <c r="G39" s="12">
        <f>IFERROR(G38/(G$6*'83b Calculator'!$D$4),0)</f>
        <v>0</v>
      </c>
      <c r="H39" s="12">
        <f>IFERROR(H38/(H$6*'83b Calculator'!$D$4),0)</f>
        <v>0</v>
      </c>
      <c r="I39" s="12">
        <f>IFERROR(I38/(I$6*'83b Calculator'!$D$4),0)</f>
        <v>0</v>
      </c>
      <c r="J39" s="12">
        <f>IFERROR(J38/(J$6*'83b Calculator'!$D$4),0)</f>
        <v>0</v>
      </c>
      <c r="K39" s="12">
        <f>IFERROR(K38/(K$6*'83b Calculator'!$D$4),0)</f>
        <v>0</v>
      </c>
      <c r="L39" s="12">
        <f>IFERROR(L38/(L$6*'83b Calculator'!$D$4),0)</f>
        <v>0</v>
      </c>
      <c r="M39" s="12">
        <f>IFERROR(M38/(M$6*'83b Calculator'!$D$4),0)</f>
        <v>0</v>
      </c>
    </row>
    <row r="40" spans="2:13">
      <c r="B40" s="38" t="s">
        <v>145</v>
      </c>
      <c r="C40" s="44" t="str">
        <f t="shared" ref="C40:M40" si="3">IF(C38&gt;0,"Yes","No")</f>
        <v>No</v>
      </c>
      <c r="D40" s="44" t="str">
        <f t="shared" si="3"/>
        <v>No</v>
      </c>
      <c r="E40" s="44" t="str">
        <f t="shared" si="3"/>
        <v>No</v>
      </c>
      <c r="F40" s="44" t="str">
        <f t="shared" si="3"/>
        <v>No</v>
      </c>
      <c r="G40" s="44" t="str">
        <f t="shared" si="3"/>
        <v>No</v>
      </c>
      <c r="H40" s="44" t="str">
        <f t="shared" si="3"/>
        <v>No</v>
      </c>
      <c r="I40" s="44" t="str">
        <f t="shared" si="3"/>
        <v>No</v>
      </c>
      <c r="J40" s="44" t="str">
        <f t="shared" si="3"/>
        <v>No</v>
      </c>
      <c r="K40" s="44" t="str">
        <f t="shared" si="3"/>
        <v>No</v>
      </c>
      <c r="L40" s="44" t="str">
        <f t="shared" si="3"/>
        <v>No</v>
      </c>
      <c r="M40" s="44" t="str">
        <f t="shared" si="3"/>
        <v>No</v>
      </c>
    </row>
    <row r="42" spans="2:13" ht="21.75" customHeight="1">
      <c r="B42" s="51" t="s">
        <v>146</v>
      </c>
      <c r="C42" s="51"/>
      <c r="D42" s="51"/>
      <c r="E42" s="51"/>
      <c r="F42" s="51"/>
      <c r="G42" s="51"/>
      <c r="H42" s="51"/>
      <c r="I42" s="51"/>
      <c r="J42" s="51"/>
      <c r="K42" s="51"/>
      <c r="L42" s="51"/>
      <c r="M42" s="51"/>
    </row>
    <row r="43" spans="2:13">
      <c r="B43" s="38" t="s">
        <v>147</v>
      </c>
      <c r="C43" s="14">
        <f>IFERROR(MATCH("Yes",C40:M40,0),0)</f>
        <v>0</v>
      </c>
    </row>
    <row r="44" spans="2:13" ht="15.6">
      <c r="B44" s="36" t="s">
        <v>148</v>
      </c>
      <c r="C44" s="45">
        <f>MAX('83b Calculator'!$D$5,'83b Calculator'!$D$6)</f>
        <v>0</v>
      </c>
    </row>
    <row r="45" spans="2:13">
      <c r="B45" s="6" t="s">
        <v>149</v>
      </c>
      <c r="C45" s="46">
        <f>'83b Calculator'!$D$7</f>
        <v>0</v>
      </c>
    </row>
    <row r="46" spans="2:13">
      <c r="B46" s="6" t="s">
        <v>150</v>
      </c>
      <c r="C46" s="47">
        <f>IFERROR(C45/C44,0)</f>
        <v>0</v>
      </c>
    </row>
    <row r="47" spans="2:13">
      <c r="B47" s="38" t="s">
        <v>151</v>
      </c>
      <c r="C47" s="58" t="str">
        <f>IF('83b Calculator'!$D$20&gt;='83b Calculator'!$D$19,"Your capital gains rate is not lower than your ordinary rate, so the election offers no rate arbitrage on these inputs. Its remaining value is the holding-period clock.",IF('83b Calculator'!$D$28=0,"You paid at or above the 409A, so there is no bargain element and no tax at grant. Filing has no up-front cost and converts all future appreciation to capital gain.","Break-even sits exactly at the 409A at grant. Any appreciation above it is taxed as capital gain instead of ordinary income, so filing wins. If the stock is worth less than this at vesting, you will have prepaid tax on value that never materialised."))</f>
        <v>Your capital gains rate is not lower than your ordinary rate, so the election offers no rate arbitrage on these inputs. Its remaining value is the holding-period clock.</v>
      </c>
      <c r="D47" s="58"/>
      <c r="E47" s="58"/>
      <c r="F47" s="58"/>
      <c r="G47" s="58"/>
      <c r="H47" s="58"/>
      <c r="I47" s="58"/>
      <c r="J47" s="58"/>
      <c r="K47" s="58"/>
      <c r="L47" s="58"/>
      <c r="M47" s="58"/>
    </row>
    <row r="48" spans="2:13">
      <c r="B48" s="48"/>
    </row>
    <row r="49" spans="2:13">
      <c r="B49" s="59" t="s">
        <v>152</v>
      </c>
      <c r="C49" s="59"/>
      <c r="D49" s="59"/>
      <c r="E49" s="59"/>
      <c r="F49" s="59"/>
      <c r="G49" s="59"/>
      <c r="H49" s="59"/>
      <c r="I49" s="59"/>
      <c r="J49" s="59"/>
      <c r="K49" s="59"/>
      <c r="L49" s="59"/>
      <c r="M49" s="59"/>
    </row>
    <row r="50" spans="2:13">
      <c r="B50" s="59"/>
      <c r="C50" s="59"/>
      <c r="D50" s="59"/>
      <c r="E50" s="59"/>
      <c r="F50" s="59"/>
      <c r="G50" s="59"/>
      <c r="H50" s="59"/>
      <c r="I50" s="59"/>
      <c r="J50" s="59"/>
      <c r="K50" s="59"/>
      <c r="L50" s="59"/>
      <c r="M50" s="59"/>
    </row>
  </sheetData>
  <mergeCells count="9">
    <mergeCell ref="B37:M37"/>
    <mergeCell ref="B42:M42"/>
    <mergeCell ref="C47:M47"/>
    <mergeCell ref="B49:M50"/>
    <mergeCell ref="B1:M1"/>
    <mergeCell ref="B2:M2"/>
    <mergeCell ref="B3:M3"/>
    <mergeCell ref="B9:M9"/>
    <mergeCell ref="B15:M15"/>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38"/>
  <sheetViews>
    <sheetView showGridLines="0" zoomScaleNormal="100" workbookViewId="0">
      <pane ySplit="1" topLeftCell="A10" activePane="bottomLeft" state="frozen"/>
      <selection pane="bottomLeft" activeCell="K10" sqref="K10"/>
    </sheetView>
  </sheetViews>
  <sheetFormatPr defaultColWidth="8.5703125" defaultRowHeight="14.1"/>
  <cols>
    <col min="1" max="1" width="3" style="1" customWidth="1"/>
    <col min="2" max="2" width="6" style="1" customWidth="1"/>
    <col min="3" max="3" width="34" style="1" customWidth="1"/>
    <col min="4" max="4" width="133.5703125" style="1" customWidth="1"/>
    <col min="5" max="16384" width="8.5703125" style="1"/>
  </cols>
  <sheetData>
    <row r="1" spans="2:4" ht="56.45" customHeight="1">
      <c r="B1" s="53" t="s">
        <v>153</v>
      </c>
      <c r="C1" s="53"/>
      <c r="D1" s="53"/>
    </row>
    <row r="2" spans="2:4" ht="21.75" customHeight="1">
      <c r="B2" s="54" t="s">
        <v>154</v>
      </c>
      <c r="C2" s="54"/>
      <c r="D2" s="54"/>
    </row>
    <row r="4" spans="2:4" ht="15.6">
      <c r="B4" s="51" t="s">
        <v>155</v>
      </c>
      <c r="C4" s="51"/>
      <c r="D4" s="51"/>
    </row>
    <row r="5" spans="2:4" ht="27.95">
      <c r="B5" s="50">
        <v>1</v>
      </c>
      <c r="C5" s="49" t="s">
        <v>156</v>
      </c>
      <c r="D5" s="3" t="s">
        <v>157</v>
      </c>
    </row>
    <row r="6" spans="2:4" ht="42">
      <c r="B6" s="50">
        <v>2</v>
      </c>
      <c r="C6" s="49" t="s">
        <v>158</v>
      </c>
      <c r="D6" s="3" t="s">
        <v>159</v>
      </c>
    </row>
    <row r="7" spans="2:4">
      <c r="B7" s="50">
        <v>3</v>
      </c>
      <c r="C7" s="49" t="s">
        <v>160</v>
      </c>
      <c r="D7" s="3" t="s">
        <v>161</v>
      </c>
    </row>
    <row r="8" spans="2:4" ht="27.95">
      <c r="B8" s="50">
        <v>4</v>
      </c>
      <c r="C8" s="49" t="s">
        <v>162</v>
      </c>
      <c r="D8" s="3" t="s">
        <v>163</v>
      </c>
    </row>
    <row r="9" spans="2:4" ht="27.95">
      <c r="B9" s="50">
        <v>5</v>
      </c>
      <c r="C9" s="49" t="s">
        <v>164</v>
      </c>
      <c r="D9" s="3" t="s">
        <v>165</v>
      </c>
    </row>
    <row r="10" spans="2:4" ht="27.95">
      <c r="B10" s="50">
        <v>6</v>
      </c>
      <c r="C10" s="49" t="s">
        <v>166</v>
      </c>
      <c r="D10" s="3" t="s">
        <v>167</v>
      </c>
    </row>
    <row r="11" spans="2:4" ht="27.95">
      <c r="B11" s="50">
        <v>7</v>
      </c>
      <c r="C11" s="49" t="s">
        <v>168</v>
      </c>
      <c r="D11" s="3" t="s">
        <v>169</v>
      </c>
    </row>
    <row r="13" spans="2:4" ht="21.75" customHeight="1">
      <c r="B13" s="51" t="s">
        <v>170</v>
      </c>
      <c r="C13" s="51"/>
      <c r="D13" s="51"/>
    </row>
    <row r="14" spans="2:4" ht="27.95">
      <c r="B14" s="50" t="s">
        <v>171</v>
      </c>
      <c r="C14" s="49" t="s">
        <v>172</v>
      </c>
      <c r="D14" s="3" t="s">
        <v>173</v>
      </c>
    </row>
    <row r="15" spans="2:4" ht="27.95">
      <c r="B15" s="50" t="s">
        <v>171</v>
      </c>
      <c r="C15" s="49" t="s">
        <v>174</v>
      </c>
      <c r="D15" s="3" t="s">
        <v>175</v>
      </c>
    </row>
    <row r="16" spans="2:4" ht="27.95">
      <c r="B16" s="50" t="s">
        <v>171</v>
      </c>
      <c r="C16" s="49" t="s">
        <v>176</v>
      </c>
      <c r="D16" s="3" t="s">
        <v>177</v>
      </c>
    </row>
    <row r="17" spans="2:4" ht="27.95">
      <c r="B17" s="50" t="s">
        <v>171</v>
      </c>
      <c r="C17" s="49" t="s">
        <v>178</v>
      </c>
      <c r="D17" s="3" t="s">
        <v>179</v>
      </c>
    </row>
    <row r="18" spans="2:4">
      <c r="B18" s="50" t="s">
        <v>171</v>
      </c>
      <c r="C18" s="49" t="s">
        <v>180</v>
      </c>
      <c r="D18" s="3" t="s">
        <v>181</v>
      </c>
    </row>
    <row r="19" spans="2:4" ht="27.95">
      <c r="B19" s="50" t="s">
        <v>171</v>
      </c>
      <c r="C19" s="49" t="s">
        <v>182</v>
      </c>
      <c r="D19" s="3" t="s">
        <v>183</v>
      </c>
    </row>
    <row r="20" spans="2:4" ht="7.5" customHeight="1"/>
    <row r="21" spans="2:4" ht="21.75" customHeight="1">
      <c r="B21" s="51" t="s">
        <v>184</v>
      </c>
      <c r="C21" s="51"/>
      <c r="D21" s="51"/>
    </row>
    <row r="22" spans="2:4" ht="39" customHeight="1">
      <c r="C22" s="49" t="s">
        <v>185</v>
      </c>
      <c r="D22" s="3" t="s">
        <v>186</v>
      </c>
    </row>
    <row r="23" spans="2:4" ht="51.75" customHeight="1">
      <c r="C23" s="49" t="s">
        <v>187</v>
      </c>
      <c r="D23" s="3" t="s">
        <v>188</v>
      </c>
    </row>
    <row r="24" spans="2:4" ht="7.5" customHeight="1"/>
    <row r="25" spans="2:4" ht="21.75" customHeight="1">
      <c r="B25" s="51" t="s">
        <v>189</v>
      </c>
      <c r="C25" s="51"/>
      <c r="D25" s="51"/>
    </row>
    <row r="26" spans="2:4" ht="25.5" customHeight="1">
      <c r="C26" s="49" t="s">
        <v>190</v>
      </c>
      <c r="D26" s="3" t="s">
        <v>191</v>
      </c>
    </row>
    <row r="27" spans="2:4" ht="25.5" customHeight="1">
      <c r="C27" s="49" t="s">
        <v>192</v>
      </c>
      <c r="D27" s="3" t="s">
        <v>193</v>
      </c>
    </row>
    <row r="28" spans="2:4" ht="25.5" customHeight="1">
      <c r="C28" s="49" t="s">
        <v>194</v>
      </c>
      <c r="D28" s="3" t="s">
        <v>195</v>
      </c>
    </row>
    <row r="29" spans="2:4" ht="25.5" customHeight="1">
      <c r="C29" s="49" t="s">
        <v>196</v>
      </c>
      <c r="D29" s="3" t="s">
        <v>197</v>
      </c>
    </row>
    <row r="30" spans="2:4" ht="25.5" customHeight="1">
      <c r="C30" s="49" t="s">
        <v>198</v>
      </c>
      <c r="D30" s="3" t="s">
        <v>199</v>
      </c>
    </row>
    <row r="31" spans="2:4" ht="25.5" customHeight="1">
      <c r="C31" s="49" t="s">
        <v>200</v>
      </c>
      <c r="D31" s="3" t="s">
        <v>201</v>
      </c>
    </row>
    <row r="32" spans="2:4" ht="25.5" customHeight="1">
      <c r="C32" s="49" t="s">
        <v>202</v>
      </c>
      <c r="D32" s="3" t="s">
        <v>203</v>
      </c>
    </row>
    <row r="33" spans="3:4" ht="25.5" customHeight="1">
      <c r="C33" s="49" t="s">
        <v>204</v>
      </c>
      <c r="D33" s="3" t="s">
        <v>205</v>
      </c>
    </row>
    <row r="35" spans="3:4" ht="15" customHeight="1"/>
    <row r="38" spans="3:4" ht="24" customHeight="1"/>
  </sheetData>
  <sheetProtection algorithmName="SHA-512" hashValue="4W2Nn4Gg7Bbsc7JvXdLlFA6R/70u/nb22TuklxBml4uJo73UQSFcrr5U5mF6B92OXqFqBlrY5FXqoNLOmOmmaA==" saltValue="urVxSYjyhoa0q1tiYr6HUA==" spinCount="100000" sheet="1" objects="1" scenarios="1"/>
  <mergeCells count="6">
    <mergeCell ref="B25:D25"/>
    <mergeCell ref="B1:D1"/>
    <mergeCell ref="B2:D2"/>
    <mergeCell ref="B4:D4"/>
    <mergeCell ref="B13:D13"/>
    <mergeCell ref="B21:D21"/>
  </mergeCells>
  <pageMargins left="0.75" right="0.75" top="1" bottom="1"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07e3052f-dd80-493e-b073-5a9267ae3764" xsi:nil="true"/>
    <MigrationWizIdPermissionLevels xmlns="07e3052f-dd80-493e-b073-5a9267ae3764" xsi:nil="true"/>
    <_ip_UnifiedCompliancePolicyUIAction xmlns="http://schemas.microsoft.com/sharepoint/v3" xsi:nil="true"/>
    <lcf76f155ced4ddcb4097134ff3c332f1 xmlns="07e3052f-dd80-493e-b073-5a9267ae3764" xsi:nil="true"/>
    <lcf76f155ced4ddcb4097134ff3c332f0 xmlns="07e3052f-dd80-493e-b073-5a9267ae3764" xsi:nil="true"/>
    <MigrationWizIdSecurityGroups xmlns="07e3052f-dd80-493e-b073-5a9267ae3764" xsi:nil="true"/>
    <TaxCatchAll xmlns="0483de9d-17be-4fea-8983-d8f042caf2ff" xsi:nil="true"/>
    <MigrationWizIdVersion xmlns="07e3052f-dd80-493e-b073-5a9267ae3764" xsi:nil="true"/>
    <MigrationWizIdPermissions xmlns="07e3052f-dd80-493e-b073-5a9267ae3764" xsi:nil="true"/>
    <MigrationWizIdDocumentLibraryPermissions xmlns="07e3052f-dd80-493e-b073-5a9267ae3764" xsi:nil="true"/>
    <_ip_UnifiedCompliancePolicyProperties xmlns="http://schemas.microsoft.com/sharepoint/v3" xsi:nil="true"/>
    <lcf76f155ced4ddcb4097134ff3c332f xmlns="07e3052f-dd80-493e-b073-5a9267ae37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31DD586C3C1D4E900F32054B159C17" ma:contentTypeVersion="26" ma:contentTypeDescription="Create a new document." ma:contentTypeScope="" ma:versionID="d6824156a1794f5786e227717aa7136a">
  <xsd:schema xmlns:xsd="http://www.w3.org/2001/XMLSchema" xmlns:xs="http://www.w3.org/2001/XMLSchema" xmlns:p="http://schemas.microsoft.com/office/2006/metadata/properties" xmlns:ns1="http://schemas.microsoft.com/sharepoint/v3" xmlns:ns2="07e3052f-dd80-493e-b073-5a9267ae3764" xmlns:ns3="0483de9d-17be-4fea-8983-d8f042caf2ff" targetNamespace="http://schemas.microsoft.com/office/2006/metadata/properties" ma:root="true" ma:fieldsID="097424cf2a0ce2eb3fa73ead4348c854" ns1:_="" ns2:_="" ns3:_="">
    <xsd:import namespace="http://schemas.microsoft.com/sharepoint/v3"/>
    <xsd:import namespace="07e3052f-dd80-493e-b073-5a9267ae3764"/>
    <xsd:import namespace="0483de9d-17be-4fea-8983-d8f042caf2ff"/>
    <xsd:element name="properties">
      <xsd:complexType>
        <xsd:sequence>
          <xsd:element name="documentManagement">
            <xsd:complexType>
              <xsd:all>
                <xsd:element ref="ns2:MigrationWizId" minOccurs="0"/>
                <xsd:element ref="ns2:MigrationWizIdPermissions" minOccurs="0"/>
                <xsd:element ref="ns2:MigrationWizIdVersion" minOccurs="0"/>
                <xsd:element ref="ns2:MigrationWizIdPermissionLevels" minOccurs="0"/>
                <xsd:element ref="ns2:MigrationWizIdDocumentLibraryPermissions" minOccurs="0"/>
                <xsd:element ref="ns2:MigrationWizIdSecurityGroups" minOccurs="0"/>
                <xsd:element ref="ns2:lcf76f155ced4ddcb4097134ff3c332f0" minOccurs="0"/>
                <xsd:element ref="ns2:lcf76f155ced4ddcb4097134ff3c332f1"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e3052f-dd80-493e-b073-5a9267ae376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igrationWizIdPermissionLevels" ma:index="11" nillable="true" ma:displayName="MigrationWizIdPermissionLevels" ma:internalName="MigrationWizIdPermissionLevels">
      <xsd:simpleType>
        <xsd:restriction base="dms:Text"/>
      </xsd:simpleType>
    </xsd:element>
    <xsd:element name="MigrationWizIdDocumentLibraryPermissions" ma:index="12" nillable="true" ma:displayName="MigrationWizIdDocumentLibraryPermissions" ma:internalName="MigrationWizIdDocumentLibraryPermissions">
      <xsd:simpleType>
        <xsd:restriction base="dms:Text"/>
      </xsd:simpleType>
    </xsd:element>
    <xsd:element name="MigrationWizIdSecurityGroups" ma:index="13" nillable="true" ma:displayName="MigrationWizIdSecurityGroups" ma:internalName="MigrationWizIdSecurityGroups">
      <xsd:simpleType>
        <xsd:restriction base="dms:Text"/>
      </xsd:simpleType>
    </xsd:element>
    <xsd:element name="lcf76f155ced4ddcb4097134ff3c332f0" ma:index="14" nillable="true" ma:displayName="Image Tags_0" ma:hidden="true" ma:internalName="lcf76f155ced4ddcb4097134ff3c332f0" ma:readOnly="false">
      <xsd:simpleType>
        <xsd:restriction base="dms:Note"/>
      </xsd:simpleType>
    </xsd:element>
    <xsd:element name="lcf76f155ced4ddcb4097134ff3c332f1" ma:index="15" nillable="true" ma:displayName="Image Tags_0" ma:hidden="true" ma:internalName="lcf76f155ced4ddcb4097134ff3c332f1" ma:readOnly="false">
      <xsd:simpleType>
        <xsd:restriction base="dms:Not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1de680-0493-46ce-a329-1c3c79de96f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dexed="true" ma:internalName="MediaServiceLocatio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83de9d-17be-4fea-8983-d8f042caf2ff"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eb097ad-acef-429e-b202-e38ca9c68dac}" ma:internalName="TaxCatchAll" ma:showField="CatchAllData" ma:web="0483de9d-17be-4fea-8983-d8f042caf2ff">
      <xsd:complexType>
        <xsd:complexContent>
          <xsd:extension base="dms:MultiChoiceLookup">
            <xsd:sequence>
              <xsd:element name="Value" type="dms:Lookup" maxOccurs="unbounded" minOccurs="0" nillable="true"/>
            </xsd:sequence>
          </xsd:extension>
        </xsd:complexContent>
      </xsd:complex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56741-862F-4A2D-8006-E4C44BD214BC}"/>
</file>

<file path=customXml/itemProps2.xml><?xml version="1.0" encoding="utf-8"?>
<ds:datastoreItem xmlns:ds="http://schemas.openxmlformats.org/officeDocument/2006/customXml" ds:itemID="{8620353E-A3A5-4056-9A8C-1558C49871CA}"/>
</file>

<file path=customXml/itemProps3.xml><?xml version="1.0" encoding="utf-8"?>
<ds:datastoreItem xmlns:ds="http://schemas.openxmlformats.org/officeDocument/2006/customXml" ds:itemID="{01562CCB-4BA7-410E-8ED5-5DE3EDEDFC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1</cp:revision>
  <dcterms:created xsi:type="dcterms:W3CDTF">2026-08-10T06:33:14Z</dcterms:created>
  <dcterms:modified xsi:type="dcterms:W3CDTF">2026-08-19T05:04:23Z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0x0101008031DD586C3C1D4E900F32054B159C17</vt:lpwstr>
  </property>
  <property fmtid="{D5CDD505-2E9C-101B-9397-08002B2CF9AE}" pid="3" name="MediaServiceImageTags">
    <vt:lpwstr/>
  </property>
</Properties>
</file>