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C:\Users\SayanBanerjee\Downloads\"/>
    </mc:Choice>
  </mc:AlternateContent>
  <xr:revisionPtr revIDLastSave="0" documentId="8_{D02A7062-096F-45B0-B93D-5FF35E55F67C}" xr6:coauthVersionLast="47" xr6:coauthVersionMax="47" xr10:uidLastSave="{00000000-0000-0000-0000-000000000000}"/>
  <bookViews>
    <workbookView xWindow="19090" yWindow="-110" windowWidth="38620" windowHeight="21100" tabRatio="500" firstSheet="2" activeTab="2" xr2:uid="{00000000-000D-0000-FFFF-FFFF00000000}"/>
  </bookViews>
  <sheets>
    <sheet name="Start Here" sheetId="1" r:id="rId1"/>
    <sheet name="Burn Calculator" sheetId="2" r:id="rId2"/>
    <sheet name="Benchmarks &amp; Glossary" sheetId="4" r:id="rId3"/>
  </sheets>
  <definedNames>
    <definedName name="_xlnm.Print_Area" localSheetId="1">'Burn Calculator'!$A$1:$I$94</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77" i="2" l="1"/>
  <c r="B78" i="2" s="1"/>
  <c r="B79" i="2" s="1"/>
  <c r="B80" i="2" s="1"/>
  <c r="B81" i="2" s="1"/>
  <c r="B52" i="2"/>
  <c r="B29" i="2"/>
  <c r="B48" i="2" s="1"/>
  <c r="F26" i="2"/>
  <c r="G26" i="2" s="1"/>
  <c r="F25" i="2"/>
  <c r="G25" i="2" s="1"/>
  <c r="F24" i="2"/>
  <c r="I24" i="2" s="1"/>
  <c r="F23" i="2"/>
  <c r="F22" i="2"/>
  <c r="G22" i="2" s="1"/>
  <c r="F21" i="2"/>
  <c r="F20" i="2"/>
  <c r="G20" i="2" s="1"/>
  <c r="F19" i="2"/>
  <c r="G19" i="2" s="1"/>
  <c r="F18" i="2"/>
  <c r="G18" i="2" s="1"/>
  <c r="F17" i="2"/>
  <c r="I17" i="2" s="1"/>
  <c r="F16" i="2"/>
  <c r="G16" i="2" s="1"/>
  <c r="F15" i="2"/>
  <c r="I15" i="2" s="1"/>
  <c r="A15" i="2"/>
  <c r="A16" i="2" s="1"/>
  <c r="A17" i="2" s="1"/>
  <c r="A18" i="2" s="1"/>
  <c r="A19" i="2" s="1"/>
  <c r="A20" i="2" s="1"/>
  <c r="A21" i="2" s="1"/>
  <c r="A22" i="2" s="1"/>
  <c r="A23" i="2" s="1"/>
  <c r="A24" i="2" s="1"/>
  <c r="A25" i="2" s="1"/>
  <c r="A26" i="2" s="1"/>
  <c r="I25" i="2" l="1"/>
  <c r="I18" i="2"/>
  <c r="I26" i="2"/>
  <c r="I19" i="2"/>
  <c r="B37" i="2"/>
  <c r="B56" i="2"/>
  <c r="I22" i="2"/>
  <c r="H24" i="2"/>
  <c r="B36" i="2"/>
  <c r="I20" i="2"/>
  <c r="H21" i="2"/>
  <c r="I21" i="2"/>
  <c r="H25" i="2"/>
  <c r="G23" i="2"/>
  <c r="I23" i="2"/>
  <c r="G24" i="2"/>
  <c r="I16" i="2"/>
  <c r="H17" i="2"/>
  <c r="H20" i="2"/>
  <c r="B35" i="2"/>
  <c r="G17" i="2"/>
  <c r="H18" i="2"/>
  <c r="G15" i="2"/>
  <c r="B47" i="2" s="1"/>
  <c r="H26" i="2"/>
  <c r="H19" i="2"/>
  <c r="H22" i="2"/>
  <c r="H23" i="2"/>
  <c r="C30" i="2"/>
  <c r="G21" i="2"/>
  <c r="B31" i="2"/>
  <c r="B32" i="2"/>
  <c r="C37" i="2" l="1"/>
  <c r="D37" i="2" s="1"/>
  <c r="B49" i="2"/>
  <c r="B57" i="2"/>
  <c r="B38" i="2"/>
  <c r="C35" i="2"/>
  <c r="C36" i="2"/>
  <c r="D36" i="2" s="1"/>
  <c r="B39" i="2" l="1"/>
  <c r="D35" i="2"/>
  <c r="B40" i="2"/>
  <c r="B69" i="2"/>
  <c r="B65" i="2"/>
  <c r="B53" i="2"/>
  <c r="B54" i="2" s="1"/>
  <c r="C55" i="2" s="1"/>
  <c r="B83" i="2" l="1"/>
  <c r="B82" i="2"/>
  <c r="A84" i="2" s="1"/>
  <c r="B68" i="2"/>
  <c r="C74" i="2" s="1"/>
  <c r="B66" i="2"/>
  <c r="B67" i="2" s="1"/>
  <c r="B43" i="2"/>
  <c r="B41" i="2"/>
  <c r="B42" i="2" s="1"/>
  <c r="C58" i="2"/>
  <c r="A44" i="2" l="1"/>
  <c r="B7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14" authorId="0" shapeId="0" xr:uid="{00000000-0006-0000-0100-000001000000}">
      <text>
        <r>
          <rPr>
            <sz val="10"/>
            <rFont val="Arial"/>
            <family val="2"/>
          </rPr>
          <t>Cash in every bank account at month end. Operating accounts plus any money-market or treasury balance you could liquidate within a few days.</t>
        </r>
      </text>
    </comment>
    <comment ref="C14" authorId="0" shapeId="0" xr:uid="{00000000-0006-0000-0100-000003000000}">
      <text>
        <r>
          <rPr>
            <sz val="10"/>
            <rFont val="Arial"/>
            <family val="2"/>
          </rPr>
          <t>New equity, SAFE/convertible proceeds, venture debt drawdowns, grants or tax credits received in that month. Logging these keeps them out of your burn figure.</t>
        </r>
      </text>
    </comment>
    <comment ref="E14" authorId="0" shapeId="0" xr:uid="{00000000-0006-0000-0100-000004000000}">
      <text>
        <r>
          <rPr>
            <sz val="10"/>
            <rFont val="Arial"/>
            <family val="2"/>
          </rPr>
          <t>Total cash out for the month: payroll, contractors, rent, software, marketing, taxes, interest. Optional — leave blank and gross burn is inferred as net burn plus collected revenue.</t>
        </r>
      </text>
    </comment>
  </commentList>
</comments>
</file>

<file path=xl/sharedStrings.xml><?xml version="1.0" encoding="utf-8"?>
<sst xmlns="http://schemas.openxmlformats.org/spreadsheetml/2006/main" count="207" uniqueCount="204">
  <si>
    <t>BURN RATE &amp; RUNWAY CALCULATOR</t>
  </si>
  <si>
    <t>What this tool does</t>
  </si>
  <si>
    <t>Most burn calculators tell you one thing: how many months of cash you have left. This one answers the three questions that actually follow. How long do I have? Is my burn buying anything? And what will the round I need cost me in ownership?</t>
  </si>
  <si>
    <t>What is inside</t>
  </si>
  <si>
    <t>•   Burn Calculator — the blank template. Fill the yellow cells and everything else calculates.</t>
  </si>
  <si>
    <t>•   Example — Series A SaaS — the same model, filled with twelve months of realistic numbers, including a $1.5m bridge in month eight. Use it to sanity-check your own output.</t>
  </si>
  <si>
    <t>•   Benchmarks &amp; Glossary — the definitions and thresholds behind every grade the model gives you, with sources.</t>
  </si>
  <si>
    <t>The three-minute version</t>
  </si>
  <si>
    <t>•   Enter your opening cash balance and Month 1 end date in section 1.</t>
  </si>
  <si>
    <t>•   Enter closing cash for each month in section 2. Three months minimum, six or more preferred.</t>
  </si>
  <si>
    <t>•   Log any capital you raised in the month it landed. This is the step most calculators skip, and it is the one that keeps your burn honest.</t>
  </si>
  <si>
    <t>•   Add revenue collected and total cash out if you have them. These unlock gross burn, the burn multiple and the default-alive test.</t>
  </si>
  <si>
    <t>•   Read section 3 for runway, section 4 for burn quality, section 5 for scenarios, section 6 for dilution.</t>
  </si>
  <si>
    <t>Why the financing column matters</t>
  </si>
  <si>
    <t>If burn is inferred only from the change in your cash balance, then any money you raise reads as negative burn. Close a $1.5m bridge in March and a balance-only calculator will quietly tell you your burn improved and your runway grew. It did not. Column D strips financing inflows out before burn is calculated, which is why the example tab still shows a rising burn trend through the month the bridge landed.</t>
  </si>
  <si>
    <t>Reading the colours</t>
  </si>
  <si>
    <t>•   Yellow cells with blue text — you fill these in.</t>
  </si>
  <si>
    <t>•   Black text — formulas. Overwriting them breaks the interlinks.</t>
  </si>
  <si>
    <t>•   Green text — pulled from another cell in the model.</t>
  </si>
  <si>
    <t>•   Purple bands — section headers. Magenta italics — flags and notes from the model.</t>
  </si>
  <si>
    <r>
      <t>Disclaimer:</t>
    </r>
    <r>
      <rPr>
        <sz val="9"/>
        <color rgb="FFFF0000"/>
        <rFont val="Open Sauce One"/>
      </rPr>
      <t>This tool is for planning and reference purposes only and is not financial, tax, accounting, or legal advice. Model your own assumptions and validate against your actual billing and accounting records.</t>
    </r>
  </si>
  <si>
    <t>HOW TO USE</t>
  </si>
  <si>
    <r>
      <t xml:space="preserve">1.  Fill in only the YELLOW cells. Every black number is a formula, </t>
    </r>
    <r>
      <rPr>
        <b/>
        <sz val="10"/>
        <color rgb="FF1B1B24"/>
        <rFont val="Open Sauce One"/>
      </rPr>
      <t>do not overwrite it.</t>
    </r>
  </si>
  <si>
    <t>2.  Enter closing cash for consecutive months, starting at Month 1. Three months is the minimum; six or more is far more reliable.</t>
  </si>
  <si>
    <t>3.  Log any money raised in the month you received it (column D) so it is stripped out of your burn. Skip this and your runway will look better than it is.</t>
  </si>
  <si>
    <t>1.  COMPANY &amp; OPENING POSITION</t>
  </si>
  <si>
    <t>Company name</t>
  </si>
  <si>
    <t>Opening cash balance  (cash in bank when Month 1 began)</t>
  </si>
  <si>
    <t>Required. Without it, Month 1 burn cannot be calculated.</t>
  </si>
  <si>
    <t>Month 1 end date</t>
  </si>
  <si>
    <t>Use the last calendar day of the month. Later months fill in automatically.</t>
  </si>
  <si>
    <t>2.  MONTHLY CASH HISTORY   —   fill the yellow columns</t>
  </si>
  <si>
    <t>Month end</t>
  </si>
  <si>
    <t>Closing cash
(required)</t>
  </si>
  <si>
    <t>Capital raised
in month</t>
  </si>
  <si>
    <t>Cash revenue
collected</t>
  </si>
  <si>
    <t>Cash operating
outflow</t>
  </si>
  <si>
    <t>Net burn
(calc)</t>
  </si>
  <si>
    <t>Gross burn
(calc)</t>
  </si>
  <si>
    <t>Net burn — 3-mo
trailing avg (calc)</t>
  </si>
  <si>
    <t>Flag (calc)</t>
  </si>
  <si>
    <t>Row 16 above is a sample row showing the expected format — overwrite it with your own numbers. See the 'Example — Series A SaaS' tab for a full 12-month worked model.</t>
  </si>
  <si>
    <t>3.  YOUR RUNWAY</t>
  </si>
  <si>
    <t>Months of data entered</t>
  </si>
  <si>
    <t>Data quality</t>
  </si>
  <si>
    <t>Latest closing cash balance</t>
  </si>
  <si>
    <t>As of month end</t>
  </si>
  <si>
    <t>Burn basis</t>
  </si>
  <si>
    <t>Avg monthly net burn</t>
  </si>
  <si>
    <t>Runway (months)</t>
  </si>
  <si>
    <t>Cash hits zero</t>
  </si>
  <si>
    <t>Last 3 months  (base case — most recent trend)</t>
  </si>
  <si>
    <t>Last 6 months  (smooths one-off months)</t>
  </si>
  <si>
    <t>All months entered  (longest view)</t>
  </si>
  <si>
    <t>Base-case monthly net burn</t>
  </si>
  <si>
    <t>Three-month trailing average; falls back to all months if you have fewer than three.</t>
  </si>
  <si>
    <t>BASE-CASE RUNWAY (months)</t>
  </si>
  <si>
    <t>Runway range across all three bases</t>
  </si>
  <si>
    <t>Cash hits zero around</t>
  </si>
  <si>
    <t>Start your raise no later than</t>
  </si>
  <si>
    <t>A priced round typically takes 3–6 months from first meeting to cash in bank. This assumes six.</t>
  </si>
  <si>
    <t>Runway status</t>
  </si>
  <si>
    <t>4.  QUALITY OF BURN   —   is this a cost problem or a revenue problem?</t>
  </si>
  <si>
    <t>Latest month gross burn  (total cash out)</t>
  </si>
  <si>
    <t>Latest month net burn  (cash out less revenue)</t>
  </si>
  <si>
    <t>Share of your cost base covered by revenue</t>
  </si>
  <si>
    <t>100% means you are cash-flow breakeven. Rising month on month is the single best runway defence.</t>
  </si>
  <si>
    <t>ARR today</t>
  </si>
  <si>
    <t>Optional. Needed for the burn multiple below.</t>
  </si>
  <si>
    <t>ARR twelve months ago</t>
  </si>
  <si>
    <t>Use MRR x 12 if you do not track ARR directly.</t>
  </si>
  <si>
    <t>Net new ARR added in twelve months</t>
  </si>
  <si>
    <t>Annualised net burn  (base case x 12)</t>
  </si>
  <si>
    <t>BURN MULTIPLE  (net burn / net new ARR)</t>
  </si>
  <si>
    <t>Monthly revenue growth rate  (compounded)</t>
  </si>
  <si>
    <t>Months to cash-flow breakeven at that growth rate</t>
  </si>
  <si>
    <t>Assumes your cost base holds flat while revenue compounds. Hiring pushes this out.</t>
  </si>
  <si>
    <t>Default alive or default dead?</t>
  </si>
  <si>
    <t>5.  SCENARIO PLANNER   —   what happens if you hire, cut, or raise</t>
  </si>
  <si>
    <t>Planned extra monthly cash cost  (hires, tools, spend)</t>
  </si>
  <si>
    <t>Fully loaded cost per month once the plan is live.</t>
  </si>
  <si>
    <t>Planned cut to current burn  (%)</t>
  </si>
  <si>
    <t>Enter as a percentage, e.g. 15%. Applied to base-case burn before the extra cost above.</t>
  </si>
  <si>
    <t>New capital already committed</t>
  </si>
  <si>
    <t>Only money you are confident lands. Signed term sheet, not a warm intro.</t>
  </si>
  <si>
    <t>Target runway you want to hold  (months)</t>
  </si>
  <si>
    <t>Most boards target 18-24 months immediately after a round.</t>
  </si>
  <si>
    <t>Adjusted monthly net burn under the plan</t>
  </si>
  <si>
    <t>Runway under the plan (months)</t>
  </si>
  <si>
    <t>Cash hits zero under the plan</t>
  </si>
  <si>
    <t>Capital you must raise to hold the target runway</t>
  </si>
  <si>
    <t>Alternative: cut to burn needed to hold target, no raise</t>
  </si>
  <si>
    <t>Zero means your current cash already covers the target runway at today's burn.</t>
  </si>
  <si>
    <t>Runway added for every $10,000 a month you cut</t>
  </si>
  <si>
    <t>The cheapest month of runway is always the one you do not spend.</t>
  </si>
  <si>
    <t>6.  WHAT THAT RAISE COSTS YOU IN OWNERSHIP</t>
  </si>
  <si>
    <t>Pre-money valuation you expect</t>
  </si>
  <si>
    <t>Your realistic number, not your best case.</t>
  </si>
  <si>
    <t>Amount you plan to raise</t>
  </si>
  <si>
    <t>ESOP top-up investors will ask for  (% of post-money)</t>
  </si>
  <si>
    <t>Almost always demanded at a priced round, and almost always carved out of the pre-money — so it dilutes you, not them.</t>
  </si>
  <si>
    <t>Your ownership today  (%)</t>
  </si>
  <si>
    <t>Founders, or just your own stake — whichever you want to track.</t>
  </si>
  <si>
    <t>Post-money valuation</t>
  </si>
  <si>
    <t>New investors' ownership</t>
  </si>
  <si>
    <t>Total dilution to existing shareholders</t>
  </si>
  <si>
    <t>New money and the ESOP top-up compound; they do not simply add.</t>
  </si>
  <si>
    <t>Your ownership after the round</t>
  </si>
  <si>
    <t>Ownership points you hand over</t>
  </si>
  <si>
    <t>Dilution cost of ONE month of burn</t>
  </si>
  <si>
    <t>One month of burn expressed as a share of the company at your expected post-money.</t>
  </si>
  <si>
    <t>Ownership you keep by cutting burn 20% for six months</t>
  </si>
  <si>
    <t>ASSUMPTIONS, LIMITATIONS &amp; DISCLOSURE</t>
  </si>
  <si>
    <t>•   Burn is derived from the movement in your closing cash balance, with capital raised in column D added back so financing inflows never flatter your burn.</t>
  </si>
  <si>
    <t>•   Net burn = cash out less cash revenue collected. Gross burn = total cash out. Where you leave column F blank, gross burn is inferred as net burn plus collected revenue.</t>
  </si>
  <si>
    <t>•   Runway assumes your recent burn continues unchanged. It is a straight-line estimate, not a forecast — it cannot see seasonality, a churned anchor customer, or an annual prepayment landing.</t>
  </si>
  <si>
    <t>•   The burn multiple follows the standard definition popularised by David Sacks of Craft Ventures: net burn divided by net new ARR over the same period.</t>
  </si>
  <si>
    <t>•   The default alive / default dead test follows Paul Graham's 2015 framing: can existing revenue growth reach breakeven before the cash runs out, with no new money.</t>
  </si>
  <si>
    <t>•   Dilution maths assumes a single priced round with the ESOP top-up carved out of the pre-money, and ignores anti-dilution provisions, participating preferred, and existing convertibles or SAFEs that convert at the round.</t>
  </si>
  <si>
    <t>DISCLOSURE: This calculator is provided by Qapita for informational purposes only. Qapita does not provide legal, tax, accounting or financial advice, and this tool is not a substitute for professional advice, nor should it be the basis of any decision affecting your business. It is provided as is, without warranty of any kind, and use is entirely at your own risk. Outputs are estimates only and depend wholly on the accuracy of the figures you enter. © 2026 Qapita. All rights reserved.</t>
  </si>
  <si>
    <t>BENCHMARKS &amp; GLOSSARY</t>
  </si>
  <si>
    <t>Runway status thresholds used in section 3</t>
  </si>
  <si>
    <t>Runway</t>
  </si>
  <si>
    <t>Status</t>
  </si>
  <si>
    <t>What it means in practice</t>
  </si>
  <si>
    <t>Under 6 months</t>
  </si>
  <si>
    <t>Critical</t>
  </si>
  <si>
    <t>Too late to run a normal process. Options narrow to a bridge from existing investors, venture debt, or a hard cost cut.</t>
  </si>
  <si>
    <t>6 to 12 months</t>
  </si>
  <si>
    <t>Tight</t>
  </si>
  <si>
    <t>A raise has to start now. Below six months of cash, investors price the urgency, not the business.</t>
  </si>
  <si>
    <t>12 to 18 months</t>
  </si>
  <si>
    <t>Healthy</t>
  </si>
  <si>
    <t>Room to hit a milestone first and raise on the strength of it.</t>
  </si>
  <si>
    <t>18 months or more</t>
  </si>
  <si>
    <t>Strong</t>
  </si>
  <si>
    <t>The position most boards target immediately after a round closes.</t>
  </si>
  <si>
    <t>Thresholds reflect a 3-6 month priced-round timeline plus a buffer. Adjust for your own market and stage.</t>
  </si>
  <si>
    <t>Burn multiple  —  net burn divided by net new ARR</t>
  </si>
  <si>
    <t>Multiple</t>
  </si>
  <si>
    <t>Grade</t>
  </si>
  <si>
    <t>Interpretation</t>
  </si>
  <si>
    <t>Under 1.0x</t>
  </si>
  <si>
    <t>Exceptional</t>
  </si>
  <si>
    <t>You add more recurring revenue in a year than you burn. Rare outside of product-led growth.</t>
  </si>
  <si>
    <t>1.0x to 1.5x</t>
  </si>
  <si>
    <t>Great</t>
  </si>
  <si>
    <t>Efficient growth. Fundable in almost any market.</t>
  </si>
  <si>
    <t>1.5x to 2.0x</t>
  </si>
  <si>
    <t>Good</t>
  </si>
  <si>
    <t>Acceptable with a clear story on where efficiency improves next.</t>
  </si>
  <si>
    <t>2.0x to 3.0x</t>
  </si>
  <si>
    <t>Questionable</t>
  </si>
  <si>
    <t>Expect detailed diligence on sales efficiency, payback period and headcount plans.</t>
  </si>
  <si>
    <t>Above 3.0x</t>
  </si>
  <si>
    <t>Poor</t>
  </si>
  <si>
    <t>Each dollar of new ARR costs more than three to buy. Fix the engine before raising on it.</t>
  </si>
  <si>
    <t>Undefined</t>
  </si>
  <si>
    <t>Warning</t>
  </si>
  <si>
    <t>Net new ARR is zero or negative. No multiple can be computed, and that absence is the finding.</t>
  </si>
  <si>
    <t>Source: the burn multiple as defined and popularised by David Sacks, Craft Ventures (2020). Grades are his published bands.</t>
  </si>
  <si>
    <t>Definitions</t>
  </si>
  <si>
    <t>Term</t>
  </si>
  <si>
    <t>Formula in this model</t>
  </si>
  <si>
    <t>Notes</t>
  </si>
  <si>
    <t>Gross burn</t>
  </si>
  <si>
    <t>Total cash operating outflow</t>
  </si>
  <si>
    <t>Column F if you enter it; otherwise net burn plus revenue collected. Ignores revenue entirely — the honest measure of your cost base.</t>
  </si>
  <si>
    <t>Net burn</t>
  </si>
  <si>
    <t>(Prior closing cash − closing cash) + capital raised</t>
  </si>
  <si>
    <t>Adding back capital raised is what stops a bridge from disguising itself as improved burn.</t>
  </si>
  <si>
    <t>Latest closing cash ÷ average monthly net burn</t>
  </si>
  <si>
    <t>Straight-line. Assumes today's burn persists and no new money arrives.</t>
  </si>
  <si>
    <t>Net new ARR</t>
  </si>
  <si>
    <t>ARR today − ARR twelve months ago</t>
  </si>
  <si>
    <t>Net of churn and contraction. Gross new ARR flatters the multiple.</t>
  </si>
  <si>
    <t>Default alive</t>
  </si>
  <si>
    <t>Months to breakeven ≤ months of runway</t>
  </si>
  <si>
    <t>Can current growth reach breakeven before the cash runs out, with no new money? Framing from Paul Graham, 'Default Alive or Default Dead?', 2015.</t>
  </si>
  <si>
    <t>Pre-money + amount raised</t>
  </si>
  <si>
    <t>The denominator for new investor ownership.</t>
  </si>
  <si>
    <t>Total dilution</t>
  </si>
  <si>
    <t>1 − (1 − new investor %) × (1 − ESOP top-up %)</t>
  </si>
  <si>
    <t>New money and the option pool top-up compound. Adding them understates the hit.</t>
  </si>
  <si>
    <t>Where each number comes from</t>
  </si>
  <si>
    <t>Input</t>
  </si>
  <si>
    <t>Where to find it</t>
  </si>
  <si>
    <t>Common mistake</t>
  </si>
  <si>
    <t>Closing cash balance</t>
  </si>
  <si>
    <t>Month-end bank and treasury statements</t>
  </si>
  <si>
    <t>Including a receivable you have invoiced but not collected. Cash means cash.</t>
  </si>
  <si>
    <t>Capital raised in month</t>
  </si>
  <si>
    <t>Your own financing records</t>
  </si>
  <si>
    <t>Leaving it blank. This is the single most common way a runway estimate ends up wrong in the optimistic direction.</t>
  </si>
  <si>
    <t>Cash revenue collected</t>
  </si>
  <si>
    <t>Cash receipts, not billings or recognised revenue</t>
  </si>
  <si>
    <t>Using recognised revenue on an annual prepaid contract, which spreads cash you already banked.</t>
  </si>
  <si>
    <t>Cash operating outflow</t>
  </si>
  <si>
    <t>Total cash out per the bank statement</t>
  </si>
  <si>
    <t>Omitting quarterly or annual items: taxes, insurance, audit fees, annual software renewals.</t>
  </si>
  <si>
    <t>ARR today and twelve months ago</t>
  </si>
  <si>
    <t>Your subscription or billing system</t>
  </si>
  <si>
    <t>Using a spot MRR month that happened to include one-off services revenue.</t>
  </si>
  <si>
    <t>Third-party frameworks are cited for reference and remain the work of their authors. Qapita does not provide legal, tax, accounting or financial advice. © 2026 Qapita.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</si>
</sst>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quot;($&quot;#,##0\);\-"/>
    <numFmt numFmtId="165" formatCode="dd\-mmm\-yy"/>
    <numFmt numFmtId="166" formatCode="mmm\-yyyy"/>
    <numFmt numFmtId="167" formatCode="0.0;\(0.0\);\-"/>
    <numFmt numFmtId="168" formatCode="0.0%;\(0.0%\);\-"/>
    <numFmt numFmtId="169" formatCode="0.00\x"/>
  </numFmts>
  <fonts count="25">
    <font>
      <sz val="11"/>
      <color theme="1"/>
      <name val="Calibri"/>
      <family val="2"/>
      <charset val="1"/>
    </font>
    <font>
      <sz val="10"/>
      <name val="Arial"/>
      <family val="2"/>
    </font>
    <font>
      <b/>
      <sz val="18"/>
      <color rgb="FFFFFFFF"/>
      <name val="Open Sauce One"/>
    </font>
    <font>
      <sz val="11"/>
      <color theme="1"/>
      <name val="Open Sauce One"/>
    </font>
    <font>
      <b/>
      <sz val="12"/>
      <color rgb="FF3D2768"/>
      <name val="Open Sauce One"/>
    </font>
    <font>
      <sz val="10"/>
      <color rgb="FF1B1B24"/>
      <name val="Open Sauce One"/>
    </font>
    <font>
      <b/>
      <sz val="11"/>
      <color rgb="FFFFFFFF"/>
      <name val="Open Sauce One"/>
    </font>
    <font>
      <sz val="9"/>
      <color rgb="FFFF0000"/>
      <name val="Open Sauce One"/>
    </font>
    <font>
      <b/>
      <sz val="9"/>
      <color rgb="FFFF0000"/>
      <name val="Open Sauce One"/>
    </font>
    <font>
      <b/>
      <sz val="9"/>
      <color rgb="FF633DA5"/>
      <name val="Open Sauce One"/>
    </font>
    <font>
      <b/>
      <sz val="10"/>
      <color rgb="FF1B1B24"/>
      <name val="Open Sauce One"/>
    </font>
    <font>
      <b/>
      <sz val="10"/>
      <color rgb="FF0000FF"/>
      <name val="Open Sauce One"/>
    </font>
    <font>
      <i/>
      <sz val="9"/>
      <color rgb="FF5B5F6B"/>
      <name val="Open Sauce One"/>
    </font>
    <font>
      <b/>
      <sz val="9"/>
      <color rgb="FFFFFFFF"/>
      <name val="Open Sauce One"/>
    </font>
    <font>
      <sz val="10"/>
      <color rgb="FF1E7B34"/>
      <name val="Open Sauce One"/>
    </font>
    <font>
      <i/>
      <sz val="9"/>
      <color rgb="FFB72894"/>
      <name val="Open Sauce One"/>
    </font>
    <font>
      <sz val="10"/>
      <color rgb="FF3D2768"/>
      <name val="Open Sauce One"/>
    </font>
    <font>
      <b/>
      <sz val="14"/>
      <color rgb="FF3D2768"/>
      <name val="Open Sauce One"/>
    </font>
    <font>
      <sz val="9"/>
      <color rgb="FF5B5F6B"/>
      <name val="Open Sauce One"/>
    </font>
    <font>
      <sz val="8"/>
      <color rgb="FF5B5F6B"/>
      <name val="Open Sauce One"/>
    </font>
    <font>
      <b/>
      <sz val="16"/>
      <color rgb="FFFFFFFF"/>
      <name val="Open Sauce One"/>
    </font>
    <font>
      <b/>
      <sz val="11"/>
      <color rgb="FF3D2768"/>
      <name val="Open Sauce One"/>
    </font>
    <font>
      <b/>
      <sz val="9"/>
      <color rgb="FF1B1B24"/>
      <name val="Open Sauce One"/>
    </font>
    <font>
      <sz val="9"/>
      <color rgb="FF1B1B24"/>
      <name val="Open Sauce One"/>
    </font>
    <font>
      <i/>
      <sz val="8"/>
      <color rgb="FF5B5F6B"/>
      <name val="Open Sauce One"/>
    </font>
  </fonts>
  <fills count="8">
    <fill>
      <patternFill patternType="none"/>
    </fill>
    <fill>
      <patternFill patternType="gray125"/>
    </fill>
    <fill>
      <patternFill patternType="solid">
        <fgColor rgb="FF3D2768"/>
        <bgColor rgb="FF1B1B24"/>
      </patternFill>
    </fill>
    <fill>
      <patternFill patternType="solid">
        <fgColor rgb="FF633DA5"/>
        <bgColor rgb="FF5B5F6B"/>
      </patternFill>
    </fill>
    <fill>
      <patternFill patternType="solid">
        <fgColor rgb="FFFFCD5D"/>
        <bgColor rgb="FFFFCC00"/>
      </patternFill>
    </fill>
    <fill>
      <patternFill patternType="solid">
        <fgColor rgb="FFF7F6FA"/>
        <bgColor rgb="FFFFFFFF"/>
      </patternFill>
    </fill>
    <fill>
      <patternFill patternType="solid">
        <fgColor rgb="FFEDE7F6"/>
        <bgColor rgb="FFF7F6FA"/>
      </patternFill>
    </fill>
    <fill>
      <patternFill patternType="solid">
        <fgColor theme="0"/>
        <bgColor rgb="FFFFCC00"/>
      </patternFill>
    </fill>
  </fills>
  <borders count="2">
    <border>
      <left/>
      <right/>
      <top/>
      <bottom/>
      <diagonal/>
    </border>
    <border>
      <left style="thin">
        <color rgb="FFD9D4E3"/>
      </left>
      <right style="thin">
        <color rgb="FFD9D4E3"/>
      </right>
      <top style="thin">
        <color rgb="FFD9D4E3"/>
      </top>
      <bottom style="thin">
        <color rgb="FFD9D4E3"/>
      </bottom>
      <diagonal/>
    </border>
  </borders>
  <cellStyleXfs count="1">
    <xf numFmtId="0" fontId="0" fillId="0" borderId="0"/>
  </cellStyleXfs>
  <cellXfs count="62">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vertical="center"/>
    </xf>
    <xf numFmtId="0" fontId="9" fillId="0" borderId="0" xfId="0" applyFont="1" applyAlignment="1">
      <alignment horizontal="left" vertical="center" indent="1"/>
    </xf>
    <xf numFmtId="0" fontId="5" fillId="0" borderId="0" xfId="0" applyFont="1" applyAlignment="1">
      <alignment horizontal="left" vertical="center" indent="1"/>
    </xf>
    <xf numFmtId="0" fontId="11" fillId="4" borderId="1" xfId="0" applyFont="1" applyFill="1" applyBorder="1" applyAlignment="1">
      <alignment horizontal="left"/>
    </xf>
    <xf numFmtId="164" fontId="11" fillId="4" borderId="1" xfId="0" applyNumberFormat="1" applyFont="1" applyFill="1" applyBorder="1" applyAlignment="1">
      <alignment horizontal="right"/>
    </xf>
    <xf numFmtId="165" fontId="11" fillId="4" borderId="1" xfId="0" applyNumberFormat="1" applyFont="1" applyFill="1" applyBorder="1" applyAlignment="1">
      <alignment horizontal="right"/>
    </xf>
    <xf numFmtId="0" fontId="13" fillId="3" borderId="1" xfId="0" applyFont="1" applyFill="1" applyBorder="1" applyAlignment="1">
      <alignment horizontal="center" vertical="center" wrapText="1"/>
    </xf>
    <xf numFmtId="166" fontId="14" fillId="0" borderId="1" xfId="0" applyNumberFormat="1" applyFont="1" applyBorder="1" applyAlignment="1">
      <alignment horizontal="center"/>
    </xf>
    <xf numFmtId="164" fontId="5" fillId="5" borderId="1" xfId="0" applyNumberFormat="1" applyFont="1" applyFill="1" applyBorder="1" applyAlignment="1">
      <alignment horizontal="right"/>
    </xf>
    <xf numFmtId="0" fontId="15" fillId="5" borderId="1" xfId="0" applyFont="1" applyFill="1" applyBorder="1" applyAlignment="1">
      <alignment horizontal="left" indent="1"/>
    </xf>
    <xf numFmtId="164" fontId="5" fillId="0" borderId="1" xfId="0" applyNumberFormat="1" applyFont="1" applyBorder="1" applyAlignment="1">
      <alignment horizontal="right"/>
    </xf>
    <xf numFmtId="0" fontId="15" fillId="0" borderId="1" xfId="0" applyFont="1" applyBorder="1" applyAlignment="1">
      <alignment horizontal="left" indent="1"/>
    </xf>
    <xf numFmtId="1" fontId="10" fillId="0" borderId="0" xfId="0" applyNumberFormat="1" applyFont="1" applyAlignment="1">
      <alignment horizontal="right"/>
    </xf>
    <xf numFmtId="164" fontId="10" fillId="0" borderId="0" xfId="0" applyNumberFormat="1" applyFont="1" applyAlignment="1">
      <alignment horizontal="right"/>
    </xf>
    <xf numFmtId="166" fontId="5" fillId="0" borderId="0" xfId="0" applyNumberFormat="1" applyFont="1" applyAlignment="1">
      <alignment horizontal="right"/>
    </xf>
    <xf numFmtId="0" fontId="5" fillId="6" borderId="1" xfId="0" applyFont="1" applyFill="1" applyBorder="1" applyAlignment="1">
      <alignment indent="1"/>
    </xf>
    <xf numFmtId="164" fontId="10" fillId="6" borderId="1" xfId="0" applyNumberFormat="1" applyFont="1" applyFill="1" applyBorder="1" applyAlignment="1">
      <alignment horizontal="center"/>
    </xf>
    <xf numFmtId="167" fontId="10" fillId="6" borderId="1" xfId="0" applyNumberFormat="1" applyFont="1" applyFill="1" applyBorder="1" applyAlignment="1">
      <alignment horizontal="center"/>
    </xf>
    <xf numFmtId="166" fontId="10" fillId="6" borderId="1" xfId="0" applyNumberFormat="1" applyFont="1" applyFill="1" applyBorder="1" applyAlignment="1">
      <alignment horizontal="center"/>
    </xf>
    <xf numFmtId="0" fontId="5" fillId="0" borderId="1" xfId="0" applyFont="1" applyBorder="1" applyAlignment="1">
      <alignment indent="1"/>
    </xf>
    <xf numFmtId="164" fontId="5" fillId="0" borderId="1" xfId="0" applyNumberFormat="1" applyFont="1" applyBorder="1" applyAlignment="1">
      <alignment horizontal="center"/>
    </xf>
    <xf numFmtId="167" fontId="5" fillId="0" borderId="1" xfId="0" applyNumberFormat="1" applyFont="1" applyBorder="1" applyAlignment="1">
      <alignment horizontal="center"/>
    </xf>
    <xf numFmtId="166" fontId="5" fillId="0" borderId="1" xfId="0" applyNumberFormat="1" applyFont="1" applyBorder="1" applyAlignment="1">
      <alignment horizontal="center"/>
    </xf>
    <xf numFmtId="0" fontId="10" fillId="0" borderId="0" xfId="0" applyFont="1" applyAlignment="1">
      <alignment horizontal="left" vertical="center" indent="1"/>
    </xf>
    <xf numFmtId="167" fontId="17" fillId="7" borderId="0" xfId="0" applyNumberFormat="1" applyFont="1" applyFill="1" applyAlignment="1">
      <alignment horizontal="right"/>
    </xf>
    <xf numFmtId="0" fontId="5" fillId="0" borderId="0" xfId="0" applyFont="1" applyAlignment="1">
      <alignment horizontal="center"/>
    </xf>
    <xf numFmtId="166" fontId="10" fillId="0" borderId="0" xfId="0" applyNumberFormat="1" applyFont="1" applyAlignment="1">
      <alignment horizontal="right"/>
    </xf>
    <xf numFmtId="164" fontId="5" fillId="0" borderId="0" xfId="0" applyNumberFormat="1" applyFont="1" applyAlignment="1">
      <alignment horizontal="right"/>
    </xf>
    <xf numFmtId="168" fontId="10" fillId="0" borderId="0" xfId="0" applyNumberFormat="1" applyFont="1" applyAlignment="1">
      <alignment horizontal="right"/>
    </xf>
    <xf numFmtId="169" fontId="4" fillId="7" borderId="0" xfId="0" applyNumberFormat="1" applyFont="1" applyFill="1" applyAlignment="1">
      <alignment horizontal="right"/>
    </xf>
    <xf numFmtId="168" fontId="5" fillId="0" borderId="0" xfId="0" applyNumberFormat="1" applyFont="1" applyAlignment="1">
      <alignment horizontal="right"/>
    </xf>
    <xf numFmtId="167" fontId="5" fillId="0" borderId="0" xfId="0" applyNumberFormat="1" applyFont="1" applyAlignment="1">
      <alignment horizontal="right"/>
    </xf>
    <xf numFmtId="168" fontId="11" fillId="4" borderId="1" xfId="0" applyNumberFormat="1" applyFont="1" applyFill="1" applyBorder="1" applyAlignment="1">
      <alignment horizontal="right"/>
    </xf>
    <xf numFmtId="1" fontId="11" fillId="4" borderId="1" xfId="0" applyNumberFormat="1" applyFont="1" applyFill="1" applyBorder="1" applyAlignment="1">
      <alignment horizontal="right"/>
    </xf>
    <xf numFmtId="167" fontId="10" fillId="0" borderId="0" xfId="0" applyNumberFormat="1" applyFont="1" applyAlignment="1">
      <alignment horizontal="right"/>
    </xf>
    <xf numFmtId="164" fontId="4" fillId="7" borderId="0" xfId="0" applyNumberFormat="1" applyFont="1" applyFill="1" applyAlignment="1">
      <alignment horizontal="right"/>
    </xf>
    <xf numFmtId="168" fontId="4" fillId="7" borderId="0" xfId="0" applyNumberFormat="1" applyFont="1" applyFill="1" applyAlignment="1">
      <alignment horizontal="right"/>
    </xf>
    <xf numFmtId="10" fontId="5" fillId="0" borderId="0" xfId="0" applyNumberFormat="1" applyFont="1" applyAlignment="1">
      <alignment horizontal="right"/>
    </xf>
    <xf numFmtId="0" fontId="13" fillId="3" borderId="1" xfId="0" applyFont="1" applyFill="1" applyBorder="1" applyAlignment="1">
      <alignment horizontal="left" vertical="center" wrapText="1" indent="1"/>
    </xf>
    <xf numFmtId="0" fontId="22" fillId="0" borderId="1" xfId="0" applyFont="1" applyBorder="1" applyAlignment="1">
      <alignment horizontal="left" vertical="top" wrapText="1" indent="1"/>
    </xf>
    <xf numFmtId="0" fontId="23" fillId="0" borderId="1" xfId="0" applyFont="1" applyBorder="1" applyAlignment="1">
      <alignment horizontal="left" vertical="top" wrapText="1" indent="1"/>
    </xf>
    <xf numFmtId="0" fontId="22" fillId="5" borderId="1" xfId="0" applyFont="1" applyFill="1" applyBorder="1" applyAlignment="1">
      <alignment horizontal="left" vertical="top" wrapText="1" indent="1"/>
    </xf>
    <xf numFmtId="0" fontId="23" fillId="5" borderId="1" xfId="0" applyFont="1" applyFill="1" applyBorder="1" applyAlignment="1">
      <alignment horizontal="left" vertical="top" wrapText="1" indent="1"/>
    </xf>
    <xf numFmtId="0" fontId="21" fillId="0" borderId="0" xfId="0" applyFont="1" applyAlignment="1">
      <alignment vertical="center"/>
    </xf>
    <xf numFmtId="0" fontId="19" fillId="0" borderId="0" xfId="0" applyFont="1" applyAlignment="1">
      <alignment vertical="top" wrapText="1" indent="1"/>
    </xf>
    <xf numFmtId="0" fontId="20" fillId="2" borderId="0" xfId="0" applyFont="1" applyFill="1" applyAlignment="1">
      <alignment vertical="center" indent="1"/>
    </xf>
    <xf numFmtId="0" fontId="24" fillId="0" borderId="0" xfId="0" applyFont="1" applyAlignment="1">
      <alignment vertical="top" wrapText="1" indent="1"/>
    </xf>
    <xf numFmtId="0" fontId="2" fillId="2" borderId="0" xfId="0" applyFont="1" applyFill="1" applyAlignment="1">
      <alignment vertical="center" wrapText="1" indent="1"/>
    </xf>
    <xf numFmtId="0" fontId="4" fillId="0" borderId="0" xfId="0" applyFont="1" applyAlignment="1">
      <alignment vertical="center" wrapText="1" indent="1"/>
    </xf>
    <xf numFmtId="0" fontId="5" fillId="0" borderId="0" xfId="0" applyFont="1" applyAlignment="1">
      <alignment vertical="top" wrapText="1" indent="1"/>
    </xf>
    <xf numFmtId="0" fontId="8" fillId="0" borderId="0" xfId="0" applyFont="1" applyAlignment="1">
      <alignment vertical="top" wrapText="1"/>
    </xf>
    <xf numFmtId="0" fontId="2" fillId="2" borderId="0" xfId="0" applyFont="1" applyFill="1" applyAlignment="1">
      <alignment vertical="center" indent="1"/>
    </xf>
    <xf numFmtId="0" fontId="5" fillId="0" borderId="0" xfId="0" applyFont="1" applyAlignment="1">
      <alignment vertical="center" indent="1"/>
    </xf>
    <xf numFmtId="0" fontId="6" fillId="2" borderId="0" xfId="0" applyFont="1" applyFill="1" applyAlignment="1">
      <alignment horizontal="left" vertical="center" indent="1"/>
    </xf>
    <xf numFmtId="0" fontId="12" fillId="0" borderId="0" xfId="0" applyFont="1" applyAlignment="1">
      <alignment vertical="center" indent="1"/>
    </xf>
    <xf numFmtId="0" fontId="15" fillId="0" borderId="0" xfId="0" applyFont="1" applyAlignment="1">
      <alignment vertical="center" indent="1"/>
    </xf>
    <xf numFmtId="0" fontId="16" fillId="6" borderId="0" xfId="0" applyFont="1" applyFill="1" applyAlignment="1">
      <alignment vertical="center" wrapText="1" indent="1"/>
    </xf>
    <xf numFmtId="0" fontId="10" fillId="0" borderId="0" xfId="0" applyFont="1" applyAlignment="1">
      <alignment horizontal="left" indent="1"/>
    </xf>
    <xf numFmtId="0" fontId="18" fillId="0" borderId="0" xfId="0" applyFont="1" applyAlignment="1">
      <alignment vertical="top" wrapText="1" inden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1E7B34"/>
      <rgbColor rgb="FF000080"/>
      <rgbColor rgb="FF808000"/>
      <rgbColor rgb="FF800080"/>
      <rgbColor rgb="FF008080"/>
      <rgbColor rgb="FFD9D9D9"/>
      <rgbColor rgb="FF878787"/>
      <rgbColor rgb="FF9999FF"/>
      <rgbColor rgb="FFB72894"/>
      <rgbColor rgb="FFF7F6FA"/>
      <rgbColor rgb="FFEDE7F6"/>
      <rgbColor rgb="FF660066"/>
      <rgbColor rgb="FFFF8080"/>
      <rgbColor rgb="FF0066CC"/>
      <rgbColor rgb="FFD9D4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D5D"/>
      <rgbColor rgb="FF3366FF"/>
      <rgbColor rgb="FF33CCCC"/>
      <rgbColor rgb="FF99CC00"/>
      <rgbColor rgb="FFFFCC00"/>
      <rgbColor rgb="FFFF9900"/>
      <rgbColor rgb="FFFF6600"/>
      <rgbColor rgb="FF5B5F6B"/>
      <rgbColor rgb="FF969696"/>
      <rgbColor rgb="FF003366"/>
      <rgbColor rgb="FF339966"/>
      <rgbColor rgb="FF003300"/>
      <rgbColor rgb="FF333300"/>
      <rgbColor rgb="FF993300"/>
      <rgbColor rgb="FF633DA5"/>
      <rgbColor rgb="FF3D2768"/>
      <rgbColor rgb="FF1B1B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IN" sz="1800" b="1" strike="noStrike" spc="-1">
                <a:solidFill>
                  <a:srgbClr val="000000"/>
                </a:solidFill>
                <a:latin typeface="Calibri"/>
              </a:rPr>
              <a:t>Closing cash balance by month</a:t>
            </a:r>
          </a:p>
        </c:rich>
      </c:tx>
      <c:overlay val="0"/>
      <c:spPr>
        <a:noFill/>
        <a:ln w="0">
          <a:noFill/>
        </a:ln>
      </c:spPr>
    </c:title>
    <c:autoTitleDeleted val="0"/>
    <c:plotArea>
      <c:layout/>
      <c:lineChart>
        <c:grouping val="standard"/>
        <c:varyColors val="0"/>
        <c:ser>
          <c:idx val="0"/>
          <c:order val="0"/>
          <c:tx>
            <c:strRef>
              <c:f>'Burn Calculator'!$B$14</c:f>
              <c:strCache>
                <c:ptCount val="1"/>
                <c:pt idx="0">
                  <c:v>Closing cash
(required)</c:v>
                </c:pt>
              </c:strCache>
            </c:strRef>
          </c:tx>
          <c:spPr>
            <a:ln w="28080">
              <a:solidFill>
                <a:srgbClr val="633DA5"/>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'Burn Calculator'!$A$15:$A$26</c:f>
              <c:strCache>
                <c:ptCount val="12"/>
              </c:strCache>
            </c:strRef>
          </c:cat>
          <c:val>
            <c:numRef>
              <c:f>'Burn Calculator'!$B$15:$B$26</c:f>
              <c:numCache>
                <c:formatCode>\$#,##0;"($"#,##0\);\-</c:formatCode>
                <c:ptCount val="12"/>
              </c:numCache>
            </c:numRef>
          </c:val>
          <c:smooth val="0"/>
          <c:extLst>
            <c:ext xmlns:c16="http://schemas.microsoft.com/office/drawing/2014/chart" uri="{C3380CC4-5D6E-409C-BE32-E72D297353CC}">
              <c16:uniqueId val="{00000000-03E0-4FCE-95E2-8FD055835140}"/>
            </c:ext>
          </c:extLst>
        </c:ser>
        <c:dLbls>
          <c:showLegendKey val="0"/>
          <c:showVal val="0"/>
          <c:showCatName val="0"/>
          <c:showSerName val="0"/>
          <c:showPercent val="0"/>
          <c:showBubbleSize val="0"/>
        </c:dLbls>
        <c:hiLowLines>
          <c:spPr>
            <a:ln w="0">
              <a:noFill/>
            </a:ln>
          </c:spPr>
        </c:hiLowLines>
        <c:smooth val="0"/>
        <c:axId val="11084747"/>
        <c:axId val="61020077"/>
      </c:lineChart>
      <c:catAx>
        <c:axId val="11084747"/>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61020077"/>
        <c:crosses val="autoZero"/>
        <c:auto val="1"/>
        <c:lblAlgn val="ctr"/>
        <c:lblOffset val="100"/>
        <c:noMultiLvlLbl val="0"/>
      </c:catAx>
      <c:valAx>
        <c:axId val="61020077"/>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n-IN" sz="1000" b="1" strike="noStrike" spc="-1">
                    <a:solidFill>
                      <a:srgbClr val="000000"/>
                    </a:solidFill>
                    <a:latin typeface="Calibri"/>
                  </a:rPr>
                  <a:t>Closing cash</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11084747"/>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8483398</xdr:colOff>
      <xdr:row>0</xdr:row>
      <xdr:rowOff>54323</xdr:rowOff>
    </xdr:from>
    <xdr:to>
      <xdr:col>1</xdr:col>
      <xdr:colOff>9607826</xdr:colOff>
      <xdr:row>0</xdr:row>
      <xdr:rowOff>459045</xdr:rowOff>
    </xdr:to>
    <xdr:pic>
      <xdr:nvPicPr>
        <xdr:cNvPr id="5" name="Picture 4">
          <a:extLst>
            <a:ext uri="{FF2B5EF4-FFF2-40B4-BE49-F238E27FC236}">
              <a16:creationId xmlns:a16="http://schemas.microsoft.com/office/drawing/2014/main" id="{25128CB1-C704-8E56-904E-31AD12AED6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93224" y="54323"/>
          <a:ext cx="1124428" cy="4047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13</xdr:row>
      <xdr:rowOff>0</xdr:rowOff>
    </xdr:from>
    <xdr:to>
      <xdr:col>18</xdr:col>
      <xdr:colOff>507600</xdr:colOff>
      <xdr:row>24</xdr:row>
      <xdr:rowOff>96120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1060450</xdr:colOff>
      <xdr:row>0</xdr:row>
      <xdr:rowOff>57150</xdr:rowOff>
    </xdr:from>
    <xdr:to>
      <xdr:col>8</xdr:col>
      <xdr:colOff>2184878</xdr:colOff>
      <xdr:row>0</xdr:row>
      <xdr:rowOff>461872</xdr:rowOff>
    </xdr:to>
    <xdr:pic>
      <xdr:nvPicPr>
        <xdr:cNvPr id="3" name="Picture 2">
          <a:extLst>
            <a:ext uri="{FF2B5EF4-FFF2-40B4-BE49-F238E27FC236}">
              <a16:creationId xmlns:a16="http://schemas.microsoft.com/office/drawing/2014/main" id="{A74BDF41-05D6-4B70-A68B-ED1C4CAFBF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55650" y="57150"/>
          <a:ext cx="1124428" cy="4047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5676900</xdr:colOff>
      <xdr:row>0</xdr:row>
      <xdr:rowOff>107950</xdr:rowOff>
    </xdr:from>
    <xdr:to>
      <xdr:col>3</xdr:col>
      <xdr:colOff>478</xdr:colOff>
      <xdr:row>0</xdr:row>
      <xdr:rowOff>512672</xdr:rowOff>
    </xdr:to>
    <xdr:pic>
      <xdr:nvPicPr>
        <xdr:cNvPr id="2" name="Picture 1">
          <a:extLst>
            <a:ext uri="{FF2B5EF4-FFF2-40B4-BE49-F238E27FC236}">
              <a16:creationId xmlns:a16="http://schemas.microsoft.com/office/drawing/2014/main" id="{8F8A7AED-06FA-45EB-8B74-8DAD6B92FD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59950" y="107950"/>
          <a:ext cx="1124428" cy="404722"/>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9"/>
  <sheetViews>
    <sheetView showGridLines="0" zoomScale="115" zoomScaleNormal="115" workbookViewId="0">
      <selection activeCell="B27" sqref="B27:H29"/>
    </sheetView>
  </sheetViews>
  <sheetFormatPr defaultColWidth="8.5703125" defaultRowHeight="14.1"/>
  <cols>
    <col min="1" max="1" width="3" style="2" customWidth="1"/>
    <col min="2" max="2" width="144.42578125" style="3" customWidth="1"/>
    <col min="3" max="16384" width="8.5703125" style="1"/>
  </cols>
  <sheetData>
    <row r="1" spans="1:2" ht="42" customHeight="1">
      <c r="A1" s="50" t="s">
        <v>0</v>
      </c>
      <c r="B1" s="50"/>
    </row>
    <row r="3" spans="1:2" ht="24" customHeight="1">
      <c r="A3" s="51" t="s">
        <v>1</v>
      </c>
      <c r="B3" s="51"/>
    </row>
    <row r="4" spans="1:2" ht="45.75" customHeight="1">
      <c r="A4" s="52" t="s">
        <v>2</v>
      </c>
      <c r="B4" s="52"/>
    </row>
    <row r="5" spans="1:2" ht="7.5" customHeight="1"/>
    <row r="6" spans="1:2" ht="24" customHeight="1">
      <c r="A6" s="51" t="s">
        <v>3</v>
      </c>
      <c r="B6" s="51"/>
    </row>
    <row r="7" spans="1:2" ht="30" customHeight="1">
      <c r="A7" s="52" t="s">
        <v>4</v>
      </c>
      <c r="B7" s="52"/>
    </row>
    <row r="8" spans="1:2" ht="30" customHeight="1">
      <c r="A8" s="52" t="s">
        <v>5</v>
      </c>
      <c r="B8" s="52"/>
    </row>
    <row r="9" spans="1:2" ht="30" customHeight="1">
      <c r="A9" s="52" t="s">
        <v>6</v>
      </c>
      <c r="B9" s="52"/>
    </row>
    <row r="10" spans="1:2" ht="7.5" customHeight="1"/>
    <row r="11" spans="1:2" ht="24" customHeight="1">
      <c r="A11" s="51" t="s">
        <v>7</v>
      </c>
      <c r="B11" s="51"/>
    </row>
    <row r="12" spans="1:2" ht="30" customHeight="1">
      <c r="A12" s="52" t="s">
        <v>8</v>
      </c>
      <c r="B12" s="52"/>
    </row>
    <row r="13" spans="1:2" ht="30" customHeight="1">
      <c r="A13" s="52" t="s">
        <v>9</v>
      </c>
      <c r="B13" s="52"/>
    </row>
    <row r="14" spans="1:2" ht="30" customHeight="1">
      <c r="A14" s="52" t="s">
        <v>10</v>
      </c>
      <c r="B14" s="52"/>
    </row>
    <row r="15" spans="1:2" ht="30" customHeight="1">
      <c r="A15" s="52" t="s">
        <v>11</v>
      </c>
      <c r="B15" s="52"/>
    </row>
    <row r="16" spans="1:2" ht="30" customHeight="1">
      <c r="A16" s="52" t="s">
        <v>12</v>
      </c>
      <c r="B16" s="52"/>
    </row>
    <row r="17" spans="1:8" ht="7.5" customHeight="1"/>
    <row r="18" spans="1:8" ht="24" customHeight="1">
      <c r="A18" s="51" t="s">
        <v>13</v>
      </c>
      <c r="B18" s="51"/>
    </row>
    <row r="19" spans="1:8" ht="45.75" customHeight="1">
      <c r="A19" s="52" t="s">
        <v>14</v>
      </c>
      <c r="B19" s="52"/>
    </row>
    <row r="20" spans="1:8" ht="7.5" customHeight="1"/>
    <row r="21" spans="1:8" ht="24" customHeight="1">
      <c r="A21" s="51" t="s">
        <v>15</v>
      </c>
      <c r="B21" s="51"/>
    </row>
    <row r="22" spans="1:8" ht="30" customHeight="1">
      <c r="A22" s="52" t="s">
        <v>16</v>
      </c>
      <c r="B22" s="52"/>
    </row>
    <row r="23" spans="1:8" ht="30" customHeight="1">
      <c r="A23" s="52" t="s">
        <v>17</v>
      </c>
      <c r="B23" s="52"/>
    </row>
    <row r="24" spans="1:8" ht="30" customHeight="1">
      <c r="A24" s="52" t="s">
        <v>18</v>
      </c>
      <c r="B24" s="52"/>
    </row>
    <row r="25" spans="1:8" ht="30" customHeight="1">
      <c r="A25" s="52" t="s">
        <v>19</v>
      </c>
      <c r="B25" s="52"/>
    </row>
    <row r="26" spans="1:8" ht="7.5" customHeight="1"/>
    <row r="27" spans="1:8">
      <c r="B27" s="53" t="s">
        <v>20</v>
      </c>
      <c r="C27" s="53"/>
      <c r="D27" s="53"/>
      <c r="E27" s="53"/>
      <c r="F27" s="53"/>
      <c r="G27" s="53"/>
      <c r="H27" s="53"/>
    </row>
    <row r="28" spans="1:8">
      <c r="B28" s="53"/>
      <c r="C28" s="53"/>
      <c r="D28" s="53"/>
      <c r="E28" s="53"/>
      <c r="F28" s="53"/>
      <c r="G28" s="53"/>
      <c r="H28" s="53"/>
    </row>
    <row r="29" spans="1:8">
      <c r="B29" s="53"/>
      <c r="C29" s="53"/>
      <c r="D29" s="53"/>
      <c r="E29" s="53"/>
      <c r="F29" s="53"/>
      <c r="G29" s="53"/>
      <c r="H29" s="53"/>
    </row>
  </sheetData>
  <sheetProtection algorithmName="SHA-512" hashValue="6LKE2WusyVmTJRzQDtr0M8NtL7VLQbWV/WyBZ9kukY4Zjvs0L6CNkqhvzm885qeg1frW6rrx4xKFeZxKGz4CqQ==" saltValue="XKMyzp57XNFzY/RsI8Etvg==" spinCount="100000" sheet="1" objects="1" scenarios="1"/>
  <mergeCells count="21">
    <mergeCell ref="B27:H29"/>
    <mergeCell ref="A19:B19"/>
    <mergeCell ref="A21:B21"/>
    <mergeCell ref="A22:B22"/>
    <mergeCell ref="A23:B23"/>
    <mergeCell ref="A24:B24"/>
    <mergeCell ref="A14:B14"/>
    <mergeCell ref="A15:B15"/>
    <mergeCell ref="A16:B16"/>
    <mergeCell ref="A18:B18"/>
    <mergeCell ref="A25:B25"/>
    <mergeCell ref="A8:B8"/>
    <mergeCell ref="A9:B9"/>
    <mergeCell ref="A11:B11"/>
    <mergeCell ref="A12:B12"/>
    <mergeCell ref="A13:B13"/>
    <mergeCell ref="A1:B1"/>
    <mergeCell ref="A3:B3"/>
    <mergeCell ref="A4:B4"/>
    <mergeCell ref="A6:B6"/>
    <mergeCell ref="A7:B7"/>
  </mergeCells>
  <pageMargins left="0.75" right="0.75" top="1" bottom="1" header="0.511811023622047" footer="0.511811023622047"/>
  <pageSetup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93"/>
  <sheetViews>
    <sheetView showGridLines="0" zoomScaleNormal="100" workbookViewId="0">
      <pane xSplit="1" ySplit="14" topLeftCell="B15" activePane="bottomRight" state="frozen"/>
      <selection pane="bottomRight" activeCell="A27" sqref="A27:I27"/>
      <selection pane="bottomLeft" activeCell="A16" sqref="A16"/>
      <selection pane="topRight" activeCell="B1" sqref="B1"/>
    </sheetView>
  </sheetViews>
  <sheetFormatPr defaultColWidth="8.5703125" defaultRowHeight="14.1"/>
  <cols>
    <col min="1" max="1" width="58" style="1" customWidth="1"/>
    <col min="2" max="2" width="19" style="1" customWidth="1"/>
    <col min="3" max="5" width="17" style="1" customWidth="1"/>
    <col min="6" max="7" width="15" style="1" customWidth="1"/>
    <col min="8" max="8" width="17" style="1" customWidth="1"/>
    <col min="9" max="9" width="34" style="1" customWidth="1"/>
    <col min="10" max="16384" width="8.5703125" style="1"/>
  </cols>
  <sheetData>
    <row r="1" spans="1:9" ht="39.75" customHeight="1">
      <c r="A1" s="54" t="s">
        <v>0</v>
      </c>
      <c r="B1" s="54"/>
      <c r="C1" s="54"/>
      <c r="D1" s="54"/>
      <c r="E1" s="54"/>
      <c r="F1" s="54"/>
      <c r="G1" s="54"/>
      <c r="H1" s="54"/>
      <c r="I1" s="54"/>
    </row>
    <row r="3" spans="1:9">
      <c r="A3" s="4" t="s">
        <v>21</v>
      </c>
    </row>
    <row r="4" spans="1:9">
      <c r="A4" s="55" t="s">
        <v>22</v>
      </c>
      <c r="B4" s="55"/>
      <c r="C4" s="55"/>
      <c r="D4" s="55"/>
      <c r="E4" s="55"/>
      <c r="F4" s="55"/>
      <c r="G4" s="55"/>
      <c r="H4" s="55"/>
      <c r="I4" s="55"/>
    </row>
    <row r="5" spans="1:9">
      <c r="A5" s="55" t="s">
        <v>23</v>
      </c>
      <c r="B5" s="55"/>
      <c r="C5" s="55"/>
      <c r="D5" s="55"/>
      <c r="E5" s="55"/>
      <c r="F5" s="55"/>
      <c r="G5" s="55"/>
      <c r="H5" s="55"/>
      <c r="I5" s="55"/>
    </row>
    <row r="6" spans="1:9">
      <c r="A6" s="55" t="s">
        <v>24</v>
      </c>
      <c r="B6" s="55"/>
      <c r="C6" s="55"/>
      <c r="D6" s="55"/>
      <c r="E6" s="55"/>
      <c r="F6" s="55"/>
      <c r="G6" s="55"/>
      <c r="H6" s="55"/>
      <c r="I6" s="55"/>
    </row>
    <row r="8" spans="1:9" ht="24" customHeight="1">
      <c r="A8" s="56" t="s">
        <v>25</v>
      </c>
      <c r="B8" s="56"/>
      <c r="C8" s="56"/>
      <c r="D8" s="56"/>
      <c r="E8" s="56"/>
      <c r="F8" s="56"/>
      <c r="G8" s="56"/>
      <c r="H8" s="56"/>
      <c r="I8" s="56"/>
    </row>
    <row r="9" spans="1:9">
      <c r="A9" s="5" t="s">
        <v>26</v>
      </c>
      <c r="B9" s="6"/>
    </row>
    <row r="10" spans="1:9">
      <c r="A10" s="5" t="s">
        <v>27</v>
      </c>
      <c r="B10" s="7"/>
      <c r="C10" s="57" t="s">
        <v>28</v>
      </c>
      <c r="D10" s="57"/>
      <c r="E10" s="57"/>
      <c r="F10" s="57"/>
      <c r="G10" s="57"/>
      <c r="H10" s="57"/>
      <c r="I10" s="57"/>
    </row>
    <row r="11" spans="1:9">
      <c r="A11" s="5" t="s">
        <v>29</v>
      </c>
      <c r="B11" s="8"/>
      <c r="C11" s="57" t="s">
        <v>30</v>
      </c>
      <c r="D11" s="57"/>
      <c r="E11" s="57"/>
      <c r="F11" s="57"/>
      <c r="G11" s="57"/>
      <c r="H11" s="57"/>
      <c r="I11" s="57"/>
    </row>
    <row r="13" spans="1:9" ht="24" customHeight="1">
      <c r="A13" s="56" t="s">
        <v>31</v>
      </c>
      <c r="B13" s="56"/>
      <c r="C13" s="56"/>
      <c r="D13" s="56"/>
      <c r="E13" s="56"/>
      <c r="F13" s="56"/>
      <c r="G13" s="56"/>
      <c r="H13" s="56"/>
      <c r="I13" s="56"/>
    </row>
    <row r="14" spans="1:9" ht="31.5" customHeight="1">
      <c r="A14" s="9" t="s">
        <v>32</v>
      </c>
      <c r="B14" s="9" t="s">
        <v>33</v>
      </c>
      <c r="C14" s="9" t="s">
        <v>34</v>
      </c>
      <c r="D14" s="9" t="s">
        <v>35</v>
      </c>
      <c r="E14" s="9" t="s">
        <v>36</v>
      </c>
      <c r="F14" s="9" t="s">
        <v>37</v>
      </c>
      <c r="G14" s="9" t="s">
        <v>38</v>
      </c>
      <c r="H14" s="9" t="s">
        <v>39</v>
      </c>
      <c r="I14" s="9" t="s">
        <v>40</v>
      </c>
    </row>
    <row r="15" spans="1:9" ht="16.5" customHeight="1">
      <c r="A15" s="10" t="str">
        <f>IF($B$11="","",$B$11)</f>
        <v/>
      </c>
      <c r="B15" s="7"/>
      <c r="C15" s="7"/>
      <c r="D15" s="7"/>
      <c r="E15" s="7"/>
      <c r="F15" s="11" t="str">
        <f>IF(B15="","",IF($B$10="","",($B$10-B15)+N(C15)))</f>
        <v/>
      </c>
      <c r="G15" s="11" t="str">
        <f t="shared" ref="G15:G26" si="0">IF(F15="","",IF(E15&lt;&gt;"",E15,IF(D15&lt;&gt;"",F15+D15,"")))</f>
        <v/>
      </c>
      <c r="H15" s="11"/>
      <c r="I15" s="12" t="str">
        <f t="shared" ref="I15:I26" si="1">IF(B15="","",IF(F15&lt;0,"Cash-positive month",IF(N(C15)&gt;0,"Raise stripped out of burn","")))</f>
        <v/>
      </c>
    </row>
    <row r="16" spans="1:9" ht="16.5" customHeight="1">
      <c r="A16" s="10" t="str">
        <f t="shared" ref="A16:A26" si="2">IF(A15="","",EOMONTH(A15,1))</f>
        <v/>
      </c>
      <c r="B16" s="7"/>
      <c r="C16" s="7"/>
      <c r="D16" s="7"/>
      <c r="E16" s="7"/>
      <c r="F16" s="13" t="str">
        <f t="shared" ref="F16:F26" si="3">IF(B16="","",IF(B15="","",(B15-B16)+N(C16)))</f>
        <v/>
      </c>
      <c r="G16" s="13" t="str">
        <f t="shared" si="0"/>
        <v/>
      </c>
      <c r="H16" s="13"/>
      <c r="I16" s="14" t="str">
        <f t="shared" si="1"/>
        <v/>
      </c>
    </row>
    <row r="17" spans="1:9" ht="16.5" customHeight="1">
      <c r="A17" s="10" t="str">
        <f t="shared" si="2"/>
        <v/>
      </c>
      <c r="B17" s="7"/>
      <c r="C17" s="7"/>
      <c r="D17" s="7"/>
      <c r="E17" s="7"/>
      <c r="F17" s="11" t="str">
        <f t="shared" si="3"/>
        <v/>
      </c>
      <c r="G17" s="11" t="str">
        <f t="shared" si="0"/>
        <v/>
      </c>
      <c r="H17" s="11" t="str">
        <f t="shared" ref="H17:H26" si="4">IF(COUNT(F15:F17)&lt;3,"",AVERAGE(F15:F17))</f>
        <v/>
      </c>
      <c r="I17" s="12" t="str">
        <f t="shared" si="1"/>
        <v/>
      </c>
    </row>
    <row r="18" spans="1:9" ht="16.5" customHeight="1">
      <c r="A18" s="10" t="str">
        <f t="shared" si="2"/>
        <v/>
      </c>
      <c r="B18" s="7"/>
      <c r="C18" s="7"/>
      <c r="D18" s="7"/>
      <c r="E18" s="7"/>
      <c r="F18" s="13" t="str">
        <f t="shared" si="3"/>
        <v/>
      </c>
      <c r="G18" s="13" t="str">
        <f t="shared" si="0"/>
        <v/>
      </c>
      <c r="H18" s="13" t="str">
        <f t="shared" si="4"/>
        <v/>
      </c>
      <c r="I18" s="14" t="str">
        <f t="shared" si="1"/>
        <v/>
      </c>
    </row>
    <row r="19" spans="1:9" ht="16.5" customHeight="1">
      <c r="A19" s="10" t="str">
        <f t="shared" si="2"/>
        <v/>
      </c>
      <c r="B19" s="7"/>
      <c r="C19" s="7"/>
      <c r="D19" s="7"/>
      <c r="E19" s="7"/>
      <c r="F19" s="11" t="str">
        <f t="shared" si="3"/>
        <v/>
      </c>
      <c r="G19" s="11" t="str">
        <f t="shared" si="0"/>
        <v/>
      </c>
      <c r="H19" s="11" t="str">
        <f t="shared" si="4"/>
        <v/>
      </c>
      <c r="I19" s="12" t="str">
        <f t="shared" si="1"/>
        <v/>
      </c>
    </row>
    <row r="20" spans="1:9" ht="16.5" customHeight="1">
      <c r="A20" s="10" t="str">
        <f t="shared" si="2"/>
        <v/>
      </c>
      <c r="B20" s="7"/>
      <c r="C20" s="7"/>
      <c r="D20" s="7"/>
      <c r="E20" s="7"/>
      <c r="F20" s="13" t="str">
        <f t="shared" si="3"/>
        <v/>
      </c>
      <c r="G20" s="13" t="str">
        <f t="shared" si="0"/>
        <v/>
      </c>
      <c r="H20" s="13" t="str">
        <f t="shared" si="4"/>
        <v/>
      </c>
      <c r="I20" s="14" t="str">
        <f t="shared" si="1"/>
        <v/>
      </c>
    </row>
    <row r="21" spans="1:9" ht="16.5" customHeight="1">
      <c r="A21" s="10" t="str">
        <f t="shared" si="2"/>
        <v/>
      </c>
      <c r="B21" s="7"/>
      <c r="C21" s="7"/>
      <c r="D21" s="7"/>
      <c r="E21" s="7"/>
      <c r="F21" s="11" t="str">
        <f t="shared" si="3"/>
        <v/>
      </c>
      <c r="G21" s="11" t="str">
        <f t="shared" si="0"/>
        <v/>
      </c>
      <c r="H21" s="11" t="str">
        <f t="shared" si="4"/>
        <v/>
      </c>
      <c r="I21" s="12" t="str">
        <f t="shared" si="1"/>
        <v/>
      </c>
    </row>
    <row r="22" spans="1:9" ht="16.5" customHeight="1">
      <c r="A22" s="10" t="str">
        <f t="shared" si="2"/>
        <v/>
      </c>
      <c r="B22" s="7"/>
      <c r="C22" s="7"/>
      <c r="D22" s="7"/>
      <c r="E22" s="7"/>
      <c r="F22" s="13" t="str">
        <f t="shared" si="3"/>
        <v/>
      </c>
      <c r="G22" s="13" t="str">
        <f t="shared" si="0"/>
        <v/>
      </c>
      <c r="H22" s="13" t="str">
        <f t="shared" si="4"/>
        <v/>
      </c>
      <c r="I22" s="14" t="str">
        <f t="shared" si="1"/>
        <v/>
      </c>
    </row>
    <row r="23" spans="1:9" ht="16.5" customHeight="1">
      <c r="A23" s="10" t="str">
        <f t="shared" si="2"/>
        <v/>
      </c>
      <c r="B23" s="7"/>
      <c r="C23" s="7"/>
      <c r="D23" s="7"/>
      <c r="E23" s="7"/>
      <c r="F23" s="11" t="str">
        <f t="shared" si="3"/>
        <v/>
      </c>
      <c r="G23" s="11" t="str">
        <f t="shared" si="0"/>
        <v/>
      </c>
      <c r="H23" s="11" t="str">
        <f t="shared" si="4"/>
        <v/>
      </c>
      <c r="I23" s="12" t="str">
        <f t="shared" si="1"/>
        <v/>
      </c>
    </row>
    <row r="24" spans="1:9" ht="16.5" customHeight="1">
      <c r="A24" s="10" t="str">
        <f t="shared" si="2"/>
        <v/>
      </c>
      <c r="B24" s="7"/>
      <c r="C24" s="7"/>
      <c r="D24" s="7"/>
      <c r="E24" s="7"/>
      <c r="F24" s="13" t="str">
        <f t="shared" si="3"/>
        <v/>
      </c>
      <c r="G24" s="13" t="str">
        <f t="shared" si="0"/>
        <v/>
      </c>
      <c r="H24" s="13" t="str">
        <f t="shared" si="4"/>
        <v/>
      </c>
      <c r="I24" s="14" t="str">
        <f t="shared" si="1"/>
        <v/>
      </c>
    </row>
    <row r="25" spans="1:9" ht="16.5" customHeight="1">
      <c r="A25" s="10" t="str">
        <f t="shared" si="2"/>
        <v/>
      </c>
      <c r="B25" s="7"/>
      <c r="C25" s="7"/>
      <c r="D25" s="7"/>
      <c r="E25" s="7"/>
      <c r="F25" s="11" t="str">
        <f t="shared" si="3"/>
        <v/>
      </c>
      <c r="G25" s="11" t="str">
        <f t="shared" si="0"/>
        <v/>
      </c>
      <c r="H25" s="11" t="str">
        <f t="shared" si="4"/>
        <v/>
      </c>
      <c r="I25" s="12" t="str">
        <f t="shared" si="1"/>
        <v/>
      </c>
    </row>
    <row r="26" spans="1:9" ht="16.5" customHeight="1">
      <c r="A26" s="10" t="str">
        <f t="shared" si="2"/>
        <v/>
      </c>
      <c r="B26" s="7"/>
      <c r="C26" s="7"/>
      <c r="D26" s="7"/>
      <c r="E26" s="7"/>
      <c r="F26" s="13" t="str">
        <f t="shared" si="3"/>
        <v/>
      </c>
      <c r="G26" s="13" t="str">
        <f t="shared" si="0"/>
        <v/>
      </c>
      <c r="H26" s="13" t="str">
        <f t="shared" si="4"/>
        <v/>
      </c>
      <c r="I26" s="14" t="str">
        <f t="shared" si="1"/>
        <v/>
      </c>
    </row>
    <row r="27" spans="1:9">
      <c r="A27" s="58" t="s">
        <v>41</v>
      </c>
      <c r="B27" s="58"/>
      <c r="C27" s="58"/>
      <c r="D27" s="58"/>
      <c r="E27" s="58"/>
      <c r="F27" s="58"/>
      <c r="G27" s="58"/>
      <c r="H27" s="58"/>
      <c r="I27" s="58"/>
    </row>
    <row r="28" spans="1:9" ht="24" customHeight="1">
      <c r="A28" s="56" t="s">
        <v>42</v>
      </c>
      <c r="B28" s="56"/>
      <c r="C28" s="56"/>
      <c r="D28" s="56"/>
      <c r="E28" s="56"/>
      <c r="F28" s="56"/>
      <c r="G28" s="56"/>
      <c r="H28" s="56"/>
      <c r="I28" s="56"/>
    </row>
    <row r="29" spans="1:9">
      <c r="A29" s="5" t="s">
        <v>43</v>
      </c>
      <c r="B29" s="15">
        <f>COUNT(B15:B26)</f>
        <v>0</v>
      </c>
    </row>
    <row r="30" spans="1:9" ht="30" customHeight="1">
      <c r="A30" s="5" t="s">
        <v>44</v>
      </c>
      <c r="C30" s="59" t="str">
        <f>IF($B$29=0,"Enter closing cash for at least three consecutive months to see your runway.",IF($B$29&lt;3,"Only "&amp;$B$29&amp;" month(s) entered. Three is the minimum for a trend; a single month tells you nothing about direction.","Good — "&amp;$B$29&amp;" months entered. Three-month trailing burn is the base case below."))</f>
        <v>Enter closing cash for at least three consecutive months to see your runway.</v>
      </c>
      <c r="D30" s="59"/>
      <c r="E30" s="59"/>
      <c r="F30" s="59"/>
      <c r="G30" s="59"/>
      <c r="H30" s="59"/>
      <c r="I30" s="59"/>
    </row>
    <row r="31" spans="1:9">
      <c r="A31" s="5" t="s">
        <v>45</v>
      </c>
      <c r="B31" s="16" t="str">
        <f>IF($B$29=0,"",INDEX(B15:B26,$B$29))</f>
        <v/>
      </c>
    </row>
    <row r="32" spans="1:9">
      <c r="A32" s="5" t="s">
        <v>46</v>
      </c>
      <c r="B32" s="17" t="str">
        <f>IF($B$29=0,"",INDEX(A15:A26,$B$29))</f>
        <v/>
      </c>
    </row>
    <row r="34" spans="1:9" ht="27.75" customHeight="1">
      <c r="A34" s="9" t="s">
        <v>47</v>
      </c>
      <c r="B34" s="9" t="s">
        <v>48</v>
      </c>
      <c r="C34" s="9" t="s">
        <v>49</v>
      </c>
      <c r="D34" s="9" t="s">
        <v>50</v>
      </c>
    </row>
    <row r="35" spans="1:9">
      <c r="A35" s="18" t="s">
        <v>51</v>
      </c>
      <c r="B35" s="19" t="str">
        <f ca="1">IF($B$29&lt;3,"",IF(COUNT(OFFSET($F$15,$B$29-3,0,3,1))=0,"",AVERAGE(OFFSET($F$15,$B$29-3,0,3,1))))</f>
        <v/>
      </c>
      <c r="C35" s="20" t="str">
        <f ca="1">IF(OR(B35="",B35&lt;=0,$B$31=""),"",$B$31/B35)</f>
        <v/>
      </c>
      <c r="D35" s="21" t="str">
        <f ca="1">IF(OR(C35="",$B$32=""),"",EDATE($B$32,ROUND(C35,0)))</f>
        <v/>
      </c>
    </row>
    <row r="36" spans="1:9">
      <c r="A36" s="22" t="s">
        <v>52</v>
      </c>
      <c r="B36" s="23" t="str">
        <f ca="1">IF($B$29&lt;6,"",IF(COUNT(OFFSET($F$15,$B$29-6,0,6,1))=0,"",AVERAGE(OFFSET($F$15,$B$29-6,0,6,1))))</f>
        <v/>
      </c>
      <c r="C36" s="24" t="str">
        <f ca="1">IF(OR(B36="",B36&lt;=0,$B$31=""),"",$B$31/B36)</f>
        <v/>
      </c>
      <c r="D36" s="25" t="str">
        <f ca="1">IF(OR(C36="",$B$32=""),"",EDATE($B$32,ROUND(C36,0)))</f>
        <v/>
      </c>
    </row>
    <row r="37" spans="1:9">
      <c r="A37" s="22" t="s">
        <v>53</v>
      </c>
      <c r="B37" s="23" t="str">
        <f ca="1">IF($B$29&lt;1,"",IF(COUNT(OFFSET($F$15,0,0,MAX(1,$B$29),1))=0,"",AVERAGE(OFFSET($F$15,0,0,MAX(1,$B$29),1))))</f>
        <v/>
      </c>
      <c r="C37" s="24" t="str">
        <f ca="1">IF(OR(B37="",B37&lt;=0,$B$31=""),"",$B$31/B37)</f>
        <v/>
      </c>
      <c r="D37" s="25" t="str">
        <f ca="1">IF(OR(C37="",$B$32=""),"",EDATE($B$32,ROUND(C37,0)))</f>
        <v/>
      </c>
    </row>
    <row r="38" spans="1:9">
      <c r="A38" s="26" t="s">
        <v>54</v>
      </c>
      <c r="B38" s="16" t="str">
        <f ca="1">IF(B35&lt;&gt;"",B35,IF(B37&lt;&gt;"",B37,""))</f>
        <v/>
      </c>
      <c r="C38" s="57" t="s">
        <v>55</v>
      </c>
      <c r="D38" s="57"/>
      <c r="E38" s="57"/>
      <c r="F38" s="57"/>
      <c r="G38" s="57"/>
      <c r="H38" s="57"/>
      <c r="I38" s="57"/>
    </row>
    <row r="39" spans="1:9" ht="18">
      <c r="A39" s="26" t="s">
        <v>56</v>
      </c>
      <c r="B39" s="27" t="str">
        <f ca="1">IF(C35&lt;&gt;"",C35,IF(C37&lt;&gt;"",C37,""))</f>
        <v/>
      </c>
    </row>
    <row r="40" spans="1:9">
      <c r="A40" s="5" t="s">
        <v>57</v>
      </c>
      <c r="B40" s="28" t="str">
        <f ca="1">IF(COUNT(C35:C37)=0,"",TEXT(MIN(C35:C37),"0.0")&amp;" to "&amp;TEXT(MAX(C35:C37),"0.0")&amp;" months")</f>
        <v/>
      </c>
    </row>
    <row r="41" spans="1:9">
      <c r="A41" s="5" t="s">
        <v>58</v>
      </c>
      <c r="B41" s="29" t="str">
        <f ca="1">IF(OR($B$39="",$B$32=""),"",EDATE($B$32,ROUND($B$39,0)))</f>
        <v/>
      </c>
    </row>
    <row r="42" spans="1:9">
      <c r="A42" s="26" t="s">
        <v>59</v>
      </c>
      <c r="B42" s="29" t="str">
        <f ca="1">IF($B$41="","",EDATE($B$41,-6))</f>
        <v/>
      </c>
      <c r="C42" s="57" t="s">
        <v>60</v>
      </c>
      <c r="D42" s="57"/>
      <c r="E42" s="57"/>
      <c r="F42" s="57"/>
      <c r="G42" s="57"/>
      <c r="H42" s="57"/>
      <c r="I42" s="57"/>
    </row>
    <row r="43" spans="1:9">
      <c r="A43" s="26" t="s">
        <v>61</v>
      </c>
      <c r="B43" s="60" t="str">
        <f ca="1">IF($B$39="","",IF($B$39&lt;6,"CRITICAL — under 6 months",IF($B$39&lt;12,"TIGHT — 6 to 12 months",IF($B$39&lt;18,"HEALTHY — 12 to 18 months","STRONG — 18 months or more"))))</f>
        <v/>
      </c>
      <c r="C43" s="60"/>
      <c r="D43" s="60"/>
    </row>
    <row r="44" spans="1:9" ht="30" customHeight="1">
      <c r="A44" s="59" t="str">
        <f ca="1">IF($B$39="","Your headline summary appears here once you have entered three months of closing cash.","You are burning "&amp;TEXT($B$38,"$#,##0")&amp;" a month and hold "&amp;TEXT($B$31,"$#,##0")&amp;". That is "&amp;TEXT($B$39,"0.0")&amp;" months of runway, so cash runs out around "&amp;TEXT($B$41,"mmmm yyyy")&amp;". Raising takes 3-6 months, which means your round has to be underway by "&amp;TEXT($B$42,"mmmm yyyy")&amp;".")</f>
        <v>Your headline summary appears here once you have entered three months of closing cash.</v>
      </c>
      <c r="B44" s="59"/>
      <c r="C44" s="59"/>
      <c r="D44" s="59"/>
      <c r="E44" s="59"/>
      <c r="F44" s="59"/>
      <c r="G44" s="59"/>
      <c r="H44" s="59"/>
      <c r="I44" s="59"/>
    </row>
    <row r="46" spans="1:9" ht="24" customHeight="1">
      <c r="A46" s="56" t="s">
        <v>62</v>
      </c>
      <c r="B46" s="56"/>
      <c r="C46" s="56"/>
      <c r="D46" s="56"/>
      <c r="E46" s="56"/>
      <c r="F46" s="56"/>
      <c r="G46" s="56"/>
      <c r="H46" s="56"/>
      <c r="I46" s="56"/>
    </row>
    <row r="47" spans="1:9">
      <c r="A47" s="5" t="s">
        <v>63</v>
      </c>
      <c r="B47" s="30" t="str">
        <f>IF($B$29=0,"",INDEX(G15:G26,$B$29))</f>
        <v/>
      </c>
    </row>
    <row r="48" spans="1:9">
      <c r="A48" s="5" t="s">
        <v>64</v>
      </c>
      <c r="B48" s="30" t="str">
        <f>IF($B$29=0,"",INDEX(F15:F26,$B$29))</f>
        <v/>
      </c>
    </row>
    <row r="49" spans="1:9">
      <c r="A49" s="5" t="s">
        <v>65</v>
      </c>
      <c r="B49" s="31" t="str">
        <f>IFERROR(1-$B$48/$B$47,"")</f>
        <v/>
      </c>
      <c r="C49" s="57" t="s">
        <v>66</v>
      </c>
      <c r="D49" s="57"/>
      <c r="E49" s="57"/>
      <c r="F49" s="57"/>
      <c r="G49" s="57"/>
      <c r="H49" s="57"/>
      <c r="I49" s="57"/>
    </row>
    <row r="50" spans="1:9">
      <c r="A50" s="5" t="s">
        <v>67</v>
      </c>
      <c r="B50" s="7"/>
      <c r="C50" s="57" t="s">
        <v>68</v>
      </c>
      <c r="D50" s="57"/>
      <c r="E50" s="57"/>
      <c r="F50" s="57"/>
      <c r="G50" s="57"/>
      <c r="H50" s="57"/>
      <c r="I50" s="57"/>
    </row>
    <row r="51" spans="1:9">
      <c r="A51" s="5" t="s">
        <v>69</v>
      </c>
      <c r="B51" s="7"/>
      <c r="C51" s="57" t="s">
        <v>70</v>
      </c>
      <c r="D51" s="57"/>
      <c r="E51" s="57"/>
      <c r="F51" s="57"/>
      <c r="G51" s="57"/>
      <c r="H51" s="57"/>
      <c r="I51" s="57"/>
    </row>
    <row r="52" spans="1:9">
      <c r="A52" s="5" t="s">
        <v>71</v>
      </c>
      <c r="B52" s="30" t="str">
        <f>IF(OR($B$50="",$B$51=""),"",$B$50-$B$51)</f>
        <v/>
      </c>
    </row>
    <row r="53" spans="1:9">
      <c r="A53" s="5" t="s">
        <v>72</v>
      </c>
      <c r="B53" s="30" t="str">
        <f ca="1">IF($B$38="","",$B$38*12)</f>
        <v/>
      </c>
    </row>
    <row r="54" spans="1:9" ht="15.6">
      <c r="A54" s="26" t="s">
        <v>73</v>
      </c>
      <c r="B54" s="32" t="str">
        <f ca="1">IF(OR($B$52="",$B$52&lt;=0,$B$53=""),"",$B$53/$B$52)</f>
        <v/>
      </c>
    </row>
    <row r="55" spans="1:9" ht="30" customHeight="1">
      <c r="C55" s="59" t="str">
        <f ca="1">IF($B$54="","Enter ARR today and ARR twelve months ago to grade your burn efficiency. If net new ARR is zero or negative, the multiple is undefined - and that itself is the finding.",IF($B$54&lt;1,"Under 1.0x - exceptional. You are adding more recurring revenue than you burn.",IF($B$54&lt;1.5,"1.0-1.5x - great. Comfortably fundable in most markets.",IF($B$54&lt;2,"1.5-2.0x - good. Investors will accept this with a clear efficiency story.",IF($B$54&lt;3,"2.0-3.0x - questionable. Expect hard questions on sales efficiency and headcount.","Above 3.0x - poor. Each dollar of new ARR is costing more than three to buy. Fix efficiency before raising.")))))</f>
        <v>Enter ARR today and ARR twelve months ago to grade your burn efficiency. If net new ARR is zero or negative, the multiple is undefined - and that itself is the finding.</v>
      </c>
      <c r="D55" s="59"/>
      <c r="E55" s="59"/>
      <c r="F55" s="59"/>
      <c r="G55" s="59"/>
      <c r="H55" s="59"/>
      <c r="I55" s="59"/>
    </row>
    <row r="56" spans="1:9">
      <c r="A56" s="5" t="s">
        <v>74</v>
      </c>
      <c r="B56" s="33" t="str">
        <f>IFERROR((INDEX(D15:D26,$B$29)/D15)^(1/($B$29-1))-1,"")</f>
        <v/>
      </c>
    </row>
    <row r="57" spans="1:9">
      <c r="A57" s="5" t="s">
        <v>75</v>
      </c>
      <c r="B57" s="34" t="str">
        <f>IFERROR(IF($B$56&lt;=0,"",LOG($B$47/INDEX(D15:D26,$B$29))/LOG(1+$B$56)),"")</f>
        <v/>
      </c>
      <c r="C57" s="57" t="s">
        <v>76</v>
      </c>
      <c r="D57" s="57"/>
      <c r="E57" s="57"/>
      <c r="F57" s="57"/>
      <c r="G57" s="57"/>
      <c r="H57" s="57"/>
      <c r="I57" s="57"/>
    </row>
    <row r="58" spans="1:9" ht="30" customHeight="1">
      <c r="A58" s="26" t="s">
        <v>77</v>
      </c>
      <c r="C58" s="59" t="str">
        <f ca="1">IF(OR($B$57="",$B$39=""),"Enter monthly revenue in column E to run this test.",IF($B$57&lt;=$B$39,"DEFAULT ALIVE - at current growth you reach breakeven in "&amp;TEXT($B$57,"0.0")&amp;" months, inside your "&amp;TEXT($B$39,"0.0")&amp;" months of runway. You can raise from strength rather than need.","DEFAULT DEAD - breakeven is "&amp;TEXT($B$57,"0.0")&amp;" months away but you only have "&amp;TEXT($B$39,"0.0")&amp;" months of cash. Without a raise or a cost cut, growth alone does not save you."))</f>
        <v>Enter monthly revenue in column E to run this test.</v>
      </c>
      <c r="D58" s="59"/>
      <c r="E58" s="59"/>
      <c r="F58" s="59"/>
      <c r="G58" s="59"/>
      <c r="H58" s="59"/>
      <c r="I58" s="59"/>
    </row>
    <row r="60" spans="1:9" ht="24" customHeight="1">
      <c r="A60" s="56" t="s">
        <v>78</v>
      </c>
      <c r="B60" s="56"/>
      <c r="C60" s="56"/>
      <c r="D60" s="56"/>
      <c r="E60" s="56"/>
      <c r="F60" s="56"/>
      <c r="G60" s="56"/>
      <c r="H60" s="56"/>
      <c r="I60" s="56"/>
    </row>
    <row r="61" spans="1:9">
      <c r="A61" s="5" t="s">
        <v>79</v>
      </c>
      <c r="B61" s="7"/>
      <c r="C61" s="57" t="s">
        <v>80</v>
      </c>
      <c r="D61" s="57"/>
      <c r="E61" s="57"/>
      <c r="F61" s="57"/>
      <c r="G61" s="57"/>
      <c r="H61" s="57"/>
      <c r="I61" s="57"/>
    </row>
    <row r="62" spans="1:9">
      <c r="A62" s="5" t="s">
        <v>81</v>
      </c>
      <c r="B62" s="35"/>
      <c r="C62" s="57" t="s">
        <v>82</v>
      </c>
      <c r="D62" s="57"/>
      <c r="E62" s="57"/>
      <c r="F62" s="57"/>
      <c r="G62" s="57"/>
      <c r="H62" s="57"/>
      <c r="I62" s="57"/>
    </row>
    <row r="63" spans="1:9">
      <c r="A63" s="5" t="s">
        <v>83</v>
      </c>
      <c r="B63" s="7"/>
      <c r="C63" s="57" t="s">
        <v>84</v>
      </c>
      <c r="D63" s="57"/>
      <c r="E63" s="57"/>
      <c r="F63" s="57"/>
      <c r="G63" s="57"/>
      <c r="H63" s="57"/>
      <c r="I63" s="57"/>
    </row>
    <row r="64" spans="1:9">
      <c r="A64" s="5" t="s">
        <v>85</v>
      </c>
      <c r="B64" s="36"/>
      <c r="C64" s="57" t="s">
        <v>86</v>
      </c>
      <c r="D64" s="57"/>
      <c r="E64" s="57"/>
      <c r="F64" s="57"/>
      <c r="G64" s="57"/>
      <c r="H64" s="57"/>
      <c r="I64" s="57"/>
    </row>
    <row r="65" spans="1:9">
      <c r="A65" s="26" t="s">
        <v>87</v>
      </c>
      <c r="B65" s="16" t="str">
        <f ca="1">IF($B$38="","",MAX(0,$B$38*(1-N($B$62))+N($B$61)))</f>
        <v/>
      </c>
    </row>
    <row r="66" spans="1:9">
      <c r="A66" s="26" t="s">
        <v>88</v>
      </c>
      <c r="B66" s="37" t="str">
        <f ca="1">IF(OR($B$65="",$B$65&lt;=0,$B$31=""),"",($B$31+N($B$63))/$B$65)</f>
        <v/>
      </c>
    </row>
    <row r="67" spans="1:9">
      <c r="A67" s="5" t="s">
        <v>89</v>
      </c>
      <c r="B67" s="29" t="str">
        <f ca="1">IF(OR($B$66="",$B$32=""),"",EDATE($B$32,ROUND($B$66,0)))</f>
        <v/>
      </c>
    </row>
    <row r="68" spans="1:9" ht="15.6">
      <c r="A68" s="26" t="s">
        <v>90</v>
      </c>
      <c r="B68" s="38" t="str">
        <f ca="1">IF(OR($B$65="",$B$64=""),"",MAX(0,$B$64*$B$65-$B$31-N($B$63)))</f>
        <v/>
      </c>
    </row>
    <row r="69" spans="1:9">
      <c r="A69" s="5" t="s">
        <v>91</v>
      </c>
      <c r="B69" s="33" t="str">
        <f ca="1">IFERROR(IF($B$38&lt;=0,"",MAX(0,1-(($B$31+N($B$63))/$B$64)/$B$38)),"")</f>
        <v/>
      </c>
      <c r="C69" s="57" t="s">
        <v>92</v>
      </c>
      <c r="D69" s="57"/>
      <c r="E69" s="57"/>
      <c r="F69" s="57"/>
      <c r="G69" s="57"/>
      <c r="H69" s="57"/>
      <c r="I69" s="57"/>
    </row>
    <row r="70" spans="1:9">
      <c r="A70" s="5" t="s">
        <v>93</v>
      </c>
      <c r="B70" s="34" t="str">
        <f ca="1">IF(OR($B$65="",$B$65&lt;=10000),"",($B$31+N($B$63))/($B$65-10000)-$B$66)</f>
        <v/>
      </c>
      <c r="C70" s="57" t="s">
        <v>94</v>
      </c>
      <c r="D70" s="57"/>
      <c r="E70" s="57"/>
      <c r="F70" s="57"/>
      <c r="G70" s="57"/>
      <c r="H70" s="57"/>
      <c r="I70" s="57"/>
    </row>
    <row r="72" spans="1:9" ht="24" customHeight="1">
      <c r="A72" s="56" t="s">
        <v>95</v>
      </c>
      <c r="B72" s="56"/>
      <c r="C72" s="56"/>
      <c r="D72" s="56"/>
      <c r="E72" s="56"/>
      <c r="F72" s="56"/>
      <c r="G72" s="56"/>
      <c r="H72" s="56"/>
      <c r="I72" s="56"/>
    </row>
    <row r="73" spans="1:9">
      <c r="A73" s="5" t="s">
        <v>96</v>
      </c>
      <c r="B73" s="7"/>
      <c r="C73" s="57" t="s">
        <v>97</v>
      </c>
      <c r="D73" s="57"/>
      <c r="E73" s="57"/>
      <c r="F73" s="57"/>
      <c r="G73" s="57"/>
      <c r="H73" s="57"/>
      <c r="I73" s="57"/>
    </row>
    <row r="74" spans="1:9">
      <c r="A74" s="5" t="s">
        <v>98</v>
      </c>
      <c r="B74" s="7"/>
      <c r="C74" s="57" t="str">
        <f ca="1">IF($B$68="","Row 69 above calculates the amount your target runway requires.","Row 69 above says your target runway requires "&amp;TEXT($B$68,"$#,##0")&amp;".")</f>
        <v>Row 69 above calculates the amount your target runway requires.</v>
      </c>
      <c r="D74" s="57"/>
      <c r="E74" s="57"/>
      <c r="F74" s="57"/>
      <c r="G74" s="57"/>
      <c r="H74" s="57"/>
      <c r="I74" s="57"/>
    </row>
    <row r="75" spans="1:9">
      <c r="A75" s="5" t="s">
        <v>99</v>
      </c>
      <c r="B75" s="35"/>
      <c r="C75" s="57" t="s">
        <v>100</v>
      </c>
      <c r="D75" s="57"/>
      <c r="E75" s="57"/>
      <c r="F75" s="57"/>
      <c r="G75" s="57"/>
      <c r="H75" s="57"/>
      <c r="I75" s="57"/>
    </row>
    <row r="76" spans="1:9">
      <c r="A76" s="5" t="s">
        <v>101</v>
      </c>
      <c r="B76" s="35"/>
      <c r="C76" s="57" t="s">
        <v>102</v>
      </c>
      <c r="D76" s="57"/>
      <c r="E76" s="57"/>
      <c r="F76" s="57"/>
      <c r="G76" s="57"/>
      <c r="H76" s="57"/>
      <c r="I76" s="57"/>
    </row>
    <row r="77" spans="1:9">
      <c r="A77" s="5" t="s">
        <v>103</v>
      </c>
      <c r="B77" s="30" t="str">
        <f>IF(OR($B$73="",$B$74=""),"",$B$73+$B$74)</f>
        <v/>
      </c>
    </row>
    <row r="78" spans="1:9">
      <c r="A78" s="5" t="s">
        <v>104</v>
      </c>
      <c r="B78" s="33" t="str">
        <f>IFERROR($B$74/$B$77,"")</f>
        <v/>
      </c>
    </row>
    <row r="79" spans="1:9">
      <c r="A79" s="26" t="s">
        <v>105</v>
      </c>
      <c r="B79" s="31" t="str">
        <f>IFERROR(1-(1-$B$78)*(1-N($B$75)),"")</f>
        <v/>
      </c>
      <c r="C79" s="57" t="s">
        <v>106</v>
      </c>
      <c r="D79" s="57"/>
      <c r="E79" s="57"/>
      <c r="F79" s="57"/>
      <c r="G79" s="57"/>
      <c r="H79" s="57"/>
      <c r="I79" s="57"/>
    </row>
    <row r="80" spans="1:9" ht="15.6">
      <c r="A80" s="26" t="s">
        <v>107</v>
      </c>
      <c r="B80" s="39" t="str">
        <f>IFERROR($B$76*(1-$B$79),"")</f>
        <v/>
      </c>
    </row>
    <row r="81" spans="1:9">
      <c r="A81" s="5" t="s">
        <v>108</v>
      </c>
      <c r="B81" s="33" t="str">
        <f>IFERROR($B$76-$B$80,"")</f>
        <v/>
      </c>
    </row>
    <row r="82" spans="1:9">
      <c r="A82" s="26" t="s">
        <v>109</v>
      </c>
      <c r="B82" s="40" t="str">
        <f ca="1">IFERROR($B$65/$B$77,"")</f>
        <v/>
      </c>
      <c r="C82" s="57" t="s">
        <v>110</v>
      </c>
      <c r="D82" s="57"/>
      <c r="E82" s="57"/>
      <c r="F82" s="57"/>
      <c r="G82" s="57"/>
      <c r="H82" s="57"/>
      <c r="I82" s="57"/>
    </row>
    <row r="83" spans="1:9">
      <c r="A83" s="5" t="s">
        <v>111</v>
      </c>
      <c r="B83" s="40" t="str">
        <f ca="1">IFERROR($B$65*0.2*6/$B$77,"")</f>
        <v/>
      </c>
    </row>
    <row r="84" spans="1:9" ht="30" customHeight="1">
      <c r="A84" s="59" t="str">
        <f ca="1">IF($B$82="","Fill in the four yellow cells above to see what your runway is costing you in ownership.","Every month you burn at this rate costs you "&amp;TEXT($B$82,"0.00%")&amp;" of your company at a "&amp;TEXT($B$77,"$#,##0")&amp;" post-money. Raising "&amp;TEXT($B$74,"$#,##0")&amp;" plus the ESOP top-up takes you from "&amp;TEXT($B$76,"0.0%")&amp;" to "&amp;TEXT($B$80,"0.0%")&amp;". Six months of runway bought by cutting 20% of burn is worth "&amp;TEXT($B$83,"0.00%")&amp;" of the company - which is why burn discipline is a cap table decision, not just a finance one.")</f>
        <v>Fill in the four yellow cells above to see what your runway is costing you in ownership.</v>
      </c>
      <c r="B84" s="59"/>
      <c r="C84" s="59"/>
      <c r="D84" s="59"/>
      <c r="E84" s="59"/>
      <c r="F84" s="59"/>
      <c r="G84" s="59"/>
      <c r="H84" s="59"/>
      <c r="I84" s="59"/>
    </row>
    <row r="86" spans="1:9" ht="24" customHeight="1">
      <c r="A86" s="56" t="s">
        <v>112</v>
      </c>
      <c r="B86" s="56"/>
      <c r="C86" s="56"/>
      <c r="D86" s="56"/>
      <c r="E86" s="56"/>
      <c r="F86" s="56"/>
      <c r="G86" s="56"/>
      <c r="H86" s="56"/>
      <c r="I86" s="56"/>
    </row>
    <row r="87" spans="1:9" ht="25.5" customHeight="1">
      <c r="A87" s="61" t="s">
        <v>113</v>
      </c>
      <c r="B87" s="61"/>
      <c r="C87" s="61"/>
      <c r="D87" s="61"/>
      <c r="E87" s="61"/>
      <c r="F87" s="61"/>
      <c r="G87" s="61"/>
      <c r="H87" s="61"/>
      <c r="I87" s="61"/>
    </row>
    <row r="88" spans="1:9" ht="25.5" customHeight="1">
      <c r="A88" s="61" t="s">
        <v>114</v>
      </c>
      <c r="B88" s="61"/>
      <c r="C88" s="61"/>
      <c r="D88" s="61"/>
      <c r="E88" s="61"/>
      <c r="F88" s="61"/>
      <c r="G88" s="61"/>
      <c r="H88" s="61"/>
      <c r="I88" s="61"/>
    </row>
    <row r="89" spans="1:9" ht="25.5" customHeight="1">
      <c r="A89" s="61" t="s">
        <v>115</v>
      </c>
      <c r="B89" s="61"/>
      <c r="C89" s="61"/>
      <c r="D89" s="61"/>
      <c r="E89" s="61"/>
      <c r="F89" s="61"/>
      <c r="G89" s="61"/>
      <c r="H89" s="61"/>
      <c r="I89" s="61"/>
    </row>
    <row r="90" spans="1:9" ht="25.5" customHeight="1">
      <c r="A90" s="61" t="s">
        <v>116</v>
      </c>
      <c r="B90" s="61"/>
      <c r="C90" s="61"/>
      <c r="D90" s="61"/>
      <c r="E90" s="61"/>
      <c r="F90" s="61"/>
      <c r="G90" s="61"/>
      <c r="H90" s="61"/>
      <c r="I90" s="61"/>
    </row>
    <row r="91" spans="1:9" ht="25.5" customHeight="1">
      <c r="A91" s="61" t="s">
        <v>117</v>
      </c>
      <c r="B91" s="61"/>
      <c r="C91" s="61"/>
      <c r="D91" s="61"/>
      <c r="E91" s="61"/>
      <c r="F91" s="61"/>
      <c r="G91" s="61"/>
      <c r="H91" s="61"/>
      <c r="I91" s="61"/>
    </row>
    <row r="92" spans="1:9" ht="25.5" customHeight="1">
      <c r="A92" s="61" t="s">
        <v>118</v>
      </c>
      <c r="B92" s="61"/>
      <c r="C92" s="61"/>
      <c r="D92" s="61"/>
      <c r="E92" s="61"/>
      <c r="F92" s="61"/>
      <c r="G92" s="61"/>
      <c r="H92" s="61"/>
      <c r="I92" s="61"/>
    </row>
    <row r="93" spans="1:9" ht="51.75" customHeight="1">
      <c r="A93" s="47" t="s">
        <v>119</v>
      </c>
      <c r="B93" s="47"/>
      <c r="C93" s="47"/>
      <c r="D93" s="47"/>
      <c r="E93" s="47"/>
      <c r="F93" s="47"/>
      <c r="G93" s="47"/>
      <c r="H93" s="47"/>
      <c r="I93" s="47"/>
    </row>
  </sheetData>
  <mergeCells count="45">
    <mergeCell ref="C82:I82"/>
    <mergeCell ref="A84:I84"/>
    <mergeCell ref="A86:I86"/>
    <mergeCell ref="A87:I87"/>
    <mergeCell ref="A93:I93"/>
    <mergeCell ref="A88:I88"/>
    <mergeCell ref="A89:I89"/>
    <mergeCell ref="A90:I90"/>
    <mergeCell ref="A91:I91"/>
    <mergeCell ref="A92:I92"/>
    <mergeCell ref="C73:I73"/>
    <mergeCell ref="C74:I74"/>
    <mergeCell ref="C75:I75"/>
    <mergeCell ref="C76:I76"/>
    <mergeCell ref="C79:I79"/>
    <mergeCell ref="C63:I63"/>
    <mergeCell ref="C64:I64"/>
    <mergeCell ref="C69:I69"/>
    <mergeCell ref="C70:I70"/>
    <mergeCell ref="A72:I72"/>
    <mergeCell ref="C57:I57"/>
    <mergeCell ref="C58:I58"/>
    <mergeCell ref="A60:I60"/>
    <mergeCell ref="C61:I61"/>
    <mergeCell ref="C62:I62"/>
    <mergeCell ref="A46:I46"/>
    <mergeCell ref="C49:I49"/>
    <mergeCell ref="C50:I50"/>
    <mergeCell ref="C51:I51"/>
    <mergeCell ref="C55:I55"/>
    <mergeCell ref="C30:I30"/>
    <mergeCell ref="C38:I38"/>
    <mergeCell ref="C42:I42"/>
    <mergeCell ref="B43:D43"/>
    <mergeCell ref="A44:I44"/>
    <mergeCell ref="C10:I10"/>
    <mergeCell ref="C11:I11"/>
    <mergeCell ref="A13:I13"/>
    <mergeCell ref="A27:I27"/>
    <mergeCell ref="A28:I28"/>
    <mergeCell ref="A1:I1"/>
    <mergeCell ref="A4:I4"/>
    <mergeCell ref="A5:I5"/>
    <mergeCell ref="A6:I6"/>
    <mergeCell ref="A8:I8"/>
  </mergeCells>
  <pageMargins left="0.75" right="0.75" top="1" bottom="1" header="0.511811023622047" footer="0.511811023622047"/>
  <pageSetup orientation="landscape" horizontalDpi="300" verticalDpi="300"/>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39"/>
  <sheetViews>
    <sheetView showGridLines="0" tabSelected="1" zoomScaleNormal="100" workbookViewId="0">
      <selection activeCell="H21" sqref="H21"/>
    </sheetView>
  </sheetViews>
  <sheetFormatPr defaultColWidth="8.5703125" defaultRowHeight="14.1"/>
  <cols>
    <col min="1" max="1" width="30" style="1" customWidth="1"/>
    <col min="2" max="2" width="26" style="1" customWidth="1"/>
    <col min="3" max="3" width="99.85546875" style="1" customWidth="1"/>
    <col min="4" max="16384" width="8.5703125" style="1"/>
  </cols>
  <sheetData>
    <row r="1" spans="1:3" ht="49.5" customHeight="1">
      <c r="A1" s="48" t="s">
        <v>120</v>
      </c>
      <c r="B1" s="48"/>
      <c r="C1" s="48"/>
    </row>
    <row r="3" spans="1:3" ht="24" customHeight="1">
      <c r="A3" s="46" t="s">
        <v>121</v>
      </c>
      <c r="B3" s="46"/>
      <c r="C3" s="46"/>
    </row>
    <row r="4" spans="1:3">
      <c r="A4" s="41" t="s">
        <v>122</v>
      </c>
      <c r="B4" s="41" t="s">
        <v>123</v>
      </c>
      <c r="C4" s="41" t="s">
        <v>124</v>
      </c>
    </row>
    <row r="5" spans="1:3" ht="30" customHeight="1">
      <c r="A5" s="42" t="s">
        <v>125</v>
      </c>
      <c r="B5" s="43" t="s">
        <v>126</v>
      </c>
      <c r="C5" s="43" t="s">
        <v>127</v>
      </c>
    </row>
    <row r="6" spans="1:3" ht="30" customHeight="1">
      <c r="A6" s="44" t="s">
        <v>128</v>
      </c>
      <c r="B6" s="45" t="s">
        <v>129</v>
      </c>
      <c r="C6" s="45" t="s">
        <v>130</v>
      </c>
    </row>
    <row r="7" spans="1:3" ht="30" customHeight="1">
      <c r="A7" s="42" t="s">
        <v>131</v>
      </c>
      <c r="B7" s="43" t="s">
        <v>132</v>
      </c>
      <c r="C7" s="43" t="s">
        <v>133</v>
      </c>
    </row>
    <row r="8" spans="1:3" ht="30" customHeight="1">
      <c r="A8" s="44" t="s">
        <v>134</v>
      </c>
      <c r="B8" s="45" t="s">
        <v>135</v>
      </c>
      <c r="C8" s="45" t="s">
        <v>136</v>
      </c>
    </row>
    <row r="9" spans="1:3" ht="24" customHeight="1">
      <c r="A9" s="49" t="s">
        <v>137</v>
      </c>
      <c r="B9" s="49"/>
      <c r="C9" s="49"/>
    </row>
    <row r="11" spans="1:3" ht="24" customHeight="1">
      <c r="A11" s="46" t="s">
        <v>138</v>
      </c>
      <c r="B11" s="46"/>
      <c r="C11" s="46"/>
    </row>
    <row r="12" spans="1:3">
      <c r="A12" s="41" t="s">
        <v>139</v>
      </c>
      <c r="B12" s="41" t="s">
        <v>140</v>
      </c>
      <c r="C12" s="41" t="s">
        <v>141</v>
      </c>
    </row>
    <row r="13" spans="1:3" ht="30" customHeight="1">
      <c r="A13" s="42" t="s">
        <v>142</v>
      </c>
      <c r="B13" s="43" t="s">
        <v>143</v>
      </c>
      <c r="C13" s="43" t="s">
        <v>144</v>
      </c>
    </row>
    <row r="14" spans="1:3" ht="30" customHeight="1">
      <c r="A14" s="44" t="s">
        <v>145</v>
      </c>
      <c r="B14" s="45" t="s">
        <v>146</v>
      </c>
      <c r="C14" s="45" t="s">
        <v>147</v>
      </c>
    </row>
    <row r="15" spans="1:3" ht="30" customHeight="1">
      <c r="A15" s="42" t="s">
        <v>148</v>
      </c>
      <c r="B15" s="43" t="s">
        <v>149</v>
      </c>
      <c r="C15" s="43" t="s">
        <v>150</v>
      </c>
    </row>
    <row r="16" spans="1:3" ht="30" customHeight="1">
      <c r="A16" s="44" t="s">
        <v>151</v>
      </c>
      <c r="B16" s="45" t="s">
        <v>152</v>
      </c>
      <c r="C16" s="45" t="s">
        <v>153</v>
      </c>
    </row>
    <row r="17" spans="1:3" ht="30" customHeight="1">
      <c r="A17" s="42" t="s">
        <v>154</v>
      </c>
      <c r="B17" s="43" t="s">
        <v>155</v>
      </c>
      <c r="C17" s="43" t="s">
        <v>156</v>
      </c>
    </row>
    <row r="18" spans="1:3" ht="30" customHeight="1">
      <c r="A18" s="44" t="s">
        <v>157</v>
      </c>
      <c r="B18" s="45" t="s">
        <v>158</v>
      </c>
      <c r="C18" s="45" t="s">
        <v>159</v>
      </c>
    </row>
    <row r="19" spans="1:3" ht="24" customHeight="1">
      <c r="A19" s="49" t="s">
        <v>160</v>
      </c>
      <c r="B19" s="49"/>
      <c r="C19" s="49"/>
    </row>
    <row r="21" spans="1:3" ht="24" customHeight="1">
      <c r="A21" s="46" t="s">
        <v>161</v>
      </c>
      <c r="B21" s="46"/>
      <c r="C21" s="46"/>
    </row>
    <row r="22" spans="1:3">
      <c r="A22" s="41" t="s">
        <v>162</v>
      </c>
      <c r="B22" s="41" t="s">
        <v>163</v>
      </c>
      <c r="C22" s="41" t="s">
        <v>164</v>
      </c>
    </row>
    <row r="23" spans="1:3" ht="30" customHeight="1">
      <c r="A23" s="42" t="s">
        <v>165</v>
      </c>
      <c r="B23" s="43" t="s">
        <v>166</v>
      </c>
      <c r="C23" s="43" t="s">
        <v>167</v>
      </c>
    </row>
    <row r="24" spans="1:3" ht="30" customHeight="1">
      <c r="A24" s="44" t="s">
        <v>168</v>
      </c>
      <c r="B24" s="45" t="s">
        <v>169</v>
      </c>
      <c r="C24" s="45" t="s">
        <v>170</v>
      </c>
    </row>
    <row r="25" spans="1:3" ht="30" customHeight="1">
      <c r="A25" s="42" t="s">
        <v>122</v>
      </c>
      <c r="B25" s="43" t="s">
        <v>171</v>
      </c>
      <c r="C25" s="43" t="s">
        <v>172</v>
      </c>
    </row>
    <row r="26" spans="1:3" ht="30" customHeight="1">
      <c r="A26" s="44" t="s">
        <v>173</v>
      </c>
      <c r="B26" s="45" t="s">
        <v>174</v>
      </c>
      <c r="C26" s="45" t="s">
        <v>175</v>
      </c>
    </row>
    <row r="27" spans="1:3" ht="30" customHeight="1">
      <c r="A27" s="42" t="s">
        <v>176</v>
      </c>
      <c r="B27" s="43" t="s">
        <v>177</v>
      </c>
      <c r="C27" s="43" t="s">
        <v>178</v>
      </c>
    </row>
    <row r="28" spans="1:3" ht="30" customHeight="1">
      <c r="A28" s="44" t="s">
        <v>103</v>
      </c>
      <c r="B28" s="45" t="s">
        <v>179</v>
      </c>
      <c r="C28" s="45" t="s">
        <v>180</v>
      </c>
    </row>
    <row r="29" spans="1:3" ht="30" customHeight="1">
      <c r="A29" s="42" t="s">
        <v>181</v>
      </c>
      <c r="B29" s="43" t="s">
        <v>182</v>
      </c>
      <c r="C29" s="43" t="s">
        <v>183</v>
      </c>
    </row>
    <row r="31" spans="1:3" ht="24" customHeight="1">
      <c r="A31" s="46" t="s">
        <v>184</v>
      </c>
      <c r="B31" s="46"/>
      <c r="C31" s="46"/>
    </row>
    <row r="32" spans="1:3">
      <c r="A32" s="41" t="s">
        <v>185</v>
      </c>
      <c r="B32" s="41" t="s">
        <v>186</v>
      </c>
      <c r="C32" s="41" t="s">
        <v>187</v>
      </c>
    </row>
    <row r="33" spans="1:3" ht="30" customHeight="1">
      <c r="A33" s="42" t="s">
        <v>188</v>
      </c>
      <c r="B33" s="43" t="s">
        <v>189</v>
      </c>
      <c r="C33" s="43" t="s">
        <v>190</v>
      </c>
    </row>
    <row r="34" spans="1:3" ht="30" customHeight="1">
      <c r="A34" s="44" t="s">
        <v>191</v>
      </c>
      <c r="B34" s="45" t="s">
        <v>192</v>
      </c>
      <c r="C34" s="45" t="s">
        <v>193</v>
      </c>
    </row>
    <row r="35" spans="1:3" ht="30" customHeight="1">
      <c r="A35" s="42" t="s">
        <v>194</v>
      </c>
      <c r="B35" s="43" t="s">
        <v>195</v>
      </c>
      <c r="C35" s="43" t="s">
        <v>196</v>
      </c>
    </row>
    <row r="36" spans="1:3" ht="30" customHeight="1">
      <c r="A36" s="44" t="s">
        <v>197</v>
      </c>
      <c r="B36" s="45" t="s">
        <v>198</v>
      </c>
      <c r="C36" s="45" t="s">
        <v>199</v>
      </c>
    </row>
    <row r="37" spans="1:3" ht="30" customHeight="1">
      <c r="A37" s="42" t="s">
        <v>200</v>
      </c>
      <c r="B37" s="43" t="s">
        <v>201</v>
      </c>
      <c r="C37" s="43" t="s">
        <v>202</v>
      </c>
    </row>
    <row r="39" spans="1:3" ht="25.5" customHeight="1">
      <c r="A39" s="47" t="s">
        <v>203</v>
      </c>
      <c r="B39" s="47"/>
      <c r="C39" s="47"/>
    </row>
  </sheetData>
  <sheetProtection algorithmName="SHA-512" hashValue="unqiss6Z+moS++JFx/vQdD/4xqcTFf/wQ2H9J/RDzHP6E12qjQDz3ag+lHuOff4yE9OSNXk05vXHJHmx5uibPA==" saltValue="y/ndrUeUhMkTS4Uegskyug==" spinCount="100000" sheet="1" objects="1" scenarios="1"/>
  <mergeCells count="8">
    <mergeCell ref="A21:C21"/>
    <mergeCell ref="A31:C31"/>
    <mergeCell ref="A39:C39"/>
    <mergeCell ref="A1:C1"/>
    <mergeCell ref="A3:C3"/>
    <mergeCell ref="A9:C9"/>
    <mergeCell ref="A11:C11"/>
    <mergeCell ref="A19:C19"/>
  </mergeCells>
  <pageMargins left="0.75" right="0.75" top="1" bottom="1" header="0.511811023622047" footer="0.511811023622047"/>
  <pageSetup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31DD586C3C1D4E900F32054B159C17" ma:contentTypeVersion="26" ma:contentTypeDescription="Create a new document." ma:contentTypeScope="" ma:versionID="d6824156a1794f5786e227717aa7136a">
  <xsd:schema xmlns:xsd="http://www.w3.org/2001/XMLSchema" xmlns:xs="http://www.w3.org/2001/XMLSchema" xmlns:p="http://schemas.microsoft.com/office/2006/metadata/properties" xmlns:ns1="http://schemas.microsoft.com/sharepoint/v3" xmlns:ns2="07e3052f-dd80-493e-b073-5a9267ae3764" xmlns:ns3="0483de9d-17be-4fea-8983-d8f042caf2ff" targetNamespace="http://schemas.microsoft.com/office/2006/metadata/properties" ma:root="true" ma:fieldsID="097424cf2a0ce2eb3fa73ead4348c854" ns1:_="" ns2:_="" ns3:_="">
    <xsd:import namespace="http://schemas.microsoft.com/sharepoint/v3"/>
    <xsd:import namespace="07e3052f-dd80-493e-b073-5a9267ae3764"/>
    <xsd:import namespace="0483de9d-17be-4fea-8983-d8f042caf2ff"/>
    <xsd:element name="properties">
      <xsd:complexType>
        <xsd:sequence>
          <xsd:element name="documentManagement">
            <xsd:complexType>
              <xsd:all>
                <xsd:element ref="ns2:MigrationWizId" minOccurs="0"/>
                <xsd:element ref="ns2:MigrationWizIdPermissions" minOccurs="0"/>
                <xsd:element ref="ns2:MigrationWizIdVersion" minOccurs="0"/>
                <xsd:element ref="ns2:MigrationWizIdPermissionLevels" minOccurs="0"/>
                <xsd:element ref="ns2:MigrationWizIdDocumentLibraryPermissions" minOccurs="0"/>
                <xsd:element ref="ns2:MigrationWizIdSecurityGroups" minOccurs="0"/>
                <xsd:element ref="ns2:lcf76f155ced4ddcb4097134ff3c332f0" minOccurs="0"/>
                <xsd:element ref="ns2:lcf76f155ced4ddcb4097134ff3c332f1"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e3052f-dd80-493e-b073-5a9267ae3764"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igrationWizIdPermissionLevels" ma:index="11" nillable="true" ma:displayName="MigrationWizIdPermissionLevels" ma:internalName="MigrationWizIdPermissionLevels">
      <xsd:simpleType>
        <xsd:restriction base="dms:Text"/>
      </xsd:simpleType>
    </xsd:element>
    <xsd:element name="MigrationWizIdDocumentLibraryPermissions" ma:index="12" nillable="true" ma:displayName="MigrationWizIdDocumentLibraryPermissions" ma:internalName="MigrationWizIdDocumentLibraryPermissions">
      <xsd:simpleType>
        <xsd:restriction base="dms:Text"/>
      </xsd:simpleType>
    </xsd:element>
    <xsd:element name="MigrationWizIdSecurityGroups" ma:index="13" nillable="true" ma:displayName="MigrationWizIdSecurityGroups" ma:internalName="MigrationWizIdSecurityGroups">
      <xsd:simpleType>
        <xsd:restriction base="dms:Text"/>
      </xsd:simpleType>
    </xsd:element>
    <xsd:element name="lcf76f155ced4ddcb4097134ff3c332f0" ma:index="14" nillable="true" ma:displayName="Image Tags_0" ma:hidden="true" ma:internalName="lcf76f155ced4ddcb4097134ff3c332f0" ma:readOnly="false">
      <xsd:simpleType>
        <xsd:restriction base="dms:Note"/>
      </xsd:simpleType>
    </xsd:element>
    <xsd:element name="lcf76f155ced4ddcb4097134ff3c332f1" ma:index="15" nillable="true" ma:displayName="Image Tags_0" ma:hidden="true" ma:internalName="lcf76f155ced4ddcb4097134ff3c332f1" ma:readOnly="false">
      <xsd:simpleType>
        <xsd:restriction base="dms:Not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1de680-0493-46ce-a329-1c3c79de96f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indexed="true" ma:internalName="MediaServiceLocation"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83de9d-17be-4fea-8983-d8f042caf2ff"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8eb097ad-acef-429e-b202-e38ca9c68dac}" ma:internalName="TaxCatchAll" ma:showField="CatchAllData" ma:web="0483de9d-17be-4fea-8983-d8f042caf2ff">
      <xsd:complexType>
        <xsd:complexContent>
          <xsd:extension base="dms:MultiChoiceLookup">
            <xsd:sequence>
              <xsd:element name="Value" type="dms:Lookup" maxOccurs="unbounded" minOccurs="0" nillable="true"/>
            </xsd:sequence>
          </xsd:extension>
        </xsd:complexContent>
      </xsd:complex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 xmlns="07e3052f-dd80-493e-b073-5a9267ae3764" xsi:nil="true"/>
    <MigrationWizIdPermissionLevels xmlns="07e3052f-dd80-493e-b073-5a9267ae3764" xsi:nil="true"/>
    <_ip_UnifiedCompliancePolicyUIAction xmlns="http://schemas.microsoft.com/sharepoint/v3" xsi:nil="true"/>
    <lcf76f155ced4ddcb4097134ff3c332f1 xmlns="07e3052f-dd80-493e-b073-5a9267ae3764" xsi:nil="true"/>
    <lcf76f155ced4ddcb4097134ff3c332f0 xmlns="07e3052f-dd80-493e-b073-5a9267ae3764" xsi:nil="true"/>
    <MigrationWizIdSecurityGroups xmlns="07e3052f-dd80-493e-b073-5a9267ae3764" xsi:nil="true"/>
    <TaxCatchAll xmlns="0483de9d-17be-4fea-8983-d8f042caf2ff" xsi:nil="true"/>
    <MigrationWizIdVersion xmlns="07e3052f-dd80-493e-b073-5a9267ae3764" xsi:nil="true"/>
    <MigrationWizIdPermissions xmlns="07e3052f-dd80-493e-b073-5a9267ae3764" xsi:nil="true"/>
    <MigrationWizIdDocumentLibraryPermissions xmlns="07e3052f-dd80-493e-b073-5a9267ae3764" xsi:nil="true"/>
    <_ip_UnifiedCompliancePolicyProperties xmlns="http://schemas.microsoft.com/sharepoint/v3" xsi:nil="true"/>
    <lcf76f155ced4ddcb4097134ff3c332f xmlns="07e3052f-dd80-493e-b073-5a9267ae376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581F8A-092A-4D66-A4BC-E170AAD31F3C}"/>
</file>

<file path=customXml/itemProps2.xml><?xml version="1.0" encoding="utf-8"?>
<ds:datastoreItem xmlns:ds="http://schemas.openxmlformats.org/officeDocument/2006/customXml" ds:itemID="{B18859F0-3BF1-47A8-8A30-7D80C832EBCA}"/>
</file>

<file path=customXml/itemProps3.xml><?xml version="1.0" encoding="utf-8"?>
<ds:datastoreItem xmlns:ds="http://schemas.openxmlformats.org/officeDocument/2006/customXml" ds:itemID="{CA68DBFE-25F0-4243-817B-52D87D8276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1</cp:revision>
  <dcterms:created xsi:type="dcterms:W3CDTF">2026-08-14T08:53:31Z</dcterms:created>
  <dcterms:modified xsi:type="dcterms:W3CDTF">2026-08-19T05:06:41Z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0x0101008031DD586C3C1D4E900F32054B159C17</vt:lpwstr>
  </property>
  <property fmtid="{D5CDD505-2E9C-101B-9397-08002B2CF9AE}" pid="3" name="MediaServiceImageTags">
    <vt:lpwstr/>
  </property>
</Properties>
</file>