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22\Server2022\IMPRESSOS\RFB\ANEXO SIMPLES 2018\"/>
    </mc:Choice>
  </mc:AlternateContent>
  <xr:revisionPtr revIDLastSave="0" documentId="13_ncr:1_{C878E803-6741-415F-8F8F-5BF7268A6E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lculo" sheetId="1" r:id="rId1"/>
    <sheet name="Segregação" sheetId="4" r:id="rId2"/>
    <sheet name="2 Empresas" sheetId="2" r:id="rId3"/>
    <sheet name="Plan3" sheetId="3" r:id="rId4"/>
  </sheets>
  <externalReferences>
    <externalReference r:id="rId5"/>
  </externalReferences>
  <definedNames>
    <definedName name="_xlnm.Print_Area" localSheetId="2">'2 Empresas'!$A$1:$M$37</definedName>
    <definedName name="_xlnm.Print_Area" localSheetId="0">Calculo!$A$1:$N$23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C18" i="1"/>
  <c r="K53" i="1" l="1"/>
  <c r="A23" i="2"/>
  <c r="A22" i="2"/>
  <c r="A21" i="2"/>
  <c r="A20" i="2"/>
  <c r="A19" i="2"/>
  <c r="A18" i="2"/>
  <c r="M31" i="2"/>
  <c r="L31" i="2"/>
  <c r="K31" i="2"/>
  <c r="J31" i="2"/>
  <c r="I31" i="2"/>
  <c r="H31" i="2"/>
  <c r="G31" i="2"/>
  <c r="F31" i="2"/>
  <c r="E31" i="2"/>
  <c r="D31" i="2"/>
  <c r="C31" i="2"/>
  <c r="M27" i="2"/>
  <c r="E27" i="2"/>
  <c r="F27" i="2"/>
  <c r="G27" i="2"/>
  <c r="H27" i="2"/>
  <c r="I27" i="2"/>
  <c r="J27" i="2"/>
  <c r="K27" i="2"/>
  <c r="L27" i="2"/>
  <c r="D27" i="2"/>
  <c r="C27" i="2"/>
  <c r="B14" i="2" l="1"/>
  <c r="C9" i="2"/>
  <c r="C6" i="2"/>
  <c r="C7" i="2"/>
  <c r="B13" i="2"/>
  <c r="J36" i="2"/>
  <c r="F36" i="2"/>
  <c r="M34" i="2"/>
  <c r="M36" i="2" s="1"/>
  <c r="L34" i="2"/>
  <c r="L36" i="2" s="1"/>
  <c r="K34" i="2"/>
  <c r="K36" i="2" s="1"/>
  <c r="J34" i="2"/>
  <c r="I34" i="2"/>
  <c r="I36" i="2" s="1"/>
  <c r="H34" i="2"/>
  <c r="H36" i="2" s="1"/>
  <c r="G34" i="2"/>
  <c r="G36" i="2" s="1"/>
  <c r="F34" i="2"/>
  <c r="E34" i="2"/>
  <c r="E36" i="2" s="1"/>
  <c r="D34" i="2"/>
  <c r="D36" i="2" s="1"/>
  <c r="C34" i="2"/>
  <c r="C36" i="2" s="1"/>
  <c r="B34" i="2"/>
  <c r="B26" i="2" l="1"/>
  <c r="C13" i="2"/>
  <c r="N14" i="2"/>
  <c r="B31" i="2"/>
  <c r="B27" i="2"/>
  <c r="N27" i="2" s="1"/>
  <c r="B16" i="2"/>
  <c r="B15" i="2"/>
  <c r="D30" i="2"/>
  <c r="F30" i="2"/>
  <c r="H30" i="2"/>
  <c r="J30" i="2"/>
  <c r="L30" i="2"/>
  <c r="C26" i="2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K38" i="1"/>
  <c r="D13" i="2" l="1"/>
  <c r="E13" i="2" s="1"/>
  <c r="F13" i="2" s="1"/>
  <c r="G13" i="2" s="1"/>
  <c r="H13" i="2" s="1"/>
  <c r="I13" i="2" s="1"/>
  <c r="J13" i="2" s="1"/>
  <c r="K13" i="2" s="1"/>
  <c r="L13" i="2" s="1"/>
  <c r="M13" i="2" s="1"/>
  <c r="B17" i="2"/>
  <c r="N31" i="2"/>
  <c r="K30" i="2"/>
  <c r="C30" i="2"/>
  <c r="E30" i="2"/>
  <c r="B30" i="2"/>
  <c r="I30" i="2"/>
  <c r="M30" i="2"/>
  <c r="G30" i="2"/>
  <c r="J34" i="1"/>
  <c r="I34" i="1"/>
  <c r="H34" i="1"/>
  <c r="G34" i="1"/>
  <c r="F34" i="1"/>
  <c r="E34" i="1"/>
  <c r="D34" i="1"/>
  <c r="J26" i="1"/>
  <c r="H26" i="1"/>
  <c r="G26" i="1"/>
  <c r="F26" i="1"/>
  <c r="E26" i="1"/>
  <c r="D26" i="1"/>
  <c r="J25" i="1"/>
  <c r="H25" i="1"/>
  <c r="G25" i="1"/>
  <c r="F25" i="1"/>
  <c r="E25" i="1"/>
  <c r="D25" i="1"/>
  <c r="B20" i="2" l="1"/>
  <c r="B19" i="2"/>
  <c r="B18" i="2"/>
  <c r="B22" i="2"/>
  <c r="B21" i="2"/>
  <c r="D15" i="1"/>
  <c r="F15" i="1"/>
  <c r="H15" i="1"/>
  <c r="J15" i="1"/>
  <c r="L15" i="1"/>
  <c r="D30" i="1"/>
  <c r="F30" i="1"/>
  <c r="H30" i="1"/>
  <c r="E15" i="1"/>
  <c r="E18" i="1" s="1"/>
  <c r="G15" i="1"/>
  <c r="I15" i="1"/>
  <c r="K15" i="1"/>
  <c r="M15" i="1"/>
  <c r="E30" i="1"/>
  <c r="G30" i="1"/>
  <c r="M18" i="1" l="1"/>
  <c r="B24" i="2"/>
  <c r="B36" i="2" s="1"/>
  <c r="A37" i="2" s="1"/>
  <c r="G18" i="1"/>
  <c r="J35" i="1" s="1"/>
  <c r="J36" i="1" s="1"/>
  <c r="I18" i="1"/>
  <c r="K40" i="1" s="1"/>
  <c r="K18" i="1"/>
  <c r="K50" i="1" s="1"/>
  <c r="K51" i="1" s="1"/>
  <c r="H31" i="1"/>
  <c r="H32" i="1" s="1"/>
  <c r="F31" i="1"/>
  <c r="F32" i="1" s="1"/>
  <c r="D31" i="1"/>
  <c r="D32" i="1" s="1"/>
  <c r="H27" i="1"/>
  <c r="H28" i="1" s="1"/>
  <c r="F27" i="1"/>
  <c r="F28" i="1" s="1"/>
  <c r="D27" i="1"/>
  <c r="D28" i="1" s="1"/>
  <c r="G31" i="1"/>
  <c r="G32" i="1" s="1"/>
  <c r="E31" i="1"/>
  <c r="E32" i="1" s="1"/>
  <c r="J27" i="1"/>
  <c r="J28" i="1" s="1"/>
  <c r="G27" i="1"/>
  <c r="G28" i="1" s="1"/>
  <c r="E27" i="1"/>
  <c r="E28" i="1" s="1"/>
  <c r="E35" i="1" l="1"/>
  <c r="E36" i="1" s="1"/>
  <c r="D35" i="1"/>
  <c r="D36" i="1" s="1"/>
  <c r="F35" i="1"/>
  <c r="F36" i="1" s="1"/>
  <c r="G35" i="1"/>
  <c r="G36" i="1" s="1"/>
  <c r="H35" i="1"/>
  <c r="H36" i="1" s="1"/>
  <c r="I35" i="1"/>
  <c r="I36" i="1" s="1"/>
  <c r="F38" i="1"/>
  <c r="K55" i="1"/>
  <c r="K56" i="1" s="1"/>
  <c r="L26" i="1"/>
  <c r="M26" i="1" s="1"/>
  <c r="L30" i="1"/>
  <c r="E38" i="1" l="1"/>
  <c r="E40" i="1" s="1"/>
  <c r="E41" i="1" s="1"/>
  <c r="L34" i="1"/>
  <c r="F20" i="1" s="1"/>
  <c r="D38" i="1"/>
  <c r="D43" i="1" s="1"/>
  <c r="D45" i="1" s="1"/>
  <c r="D46" i="1" s="1"/>
  <c r="H38" i="1"/>
  <c r="H43" i="1" s="1"/>
  <c r="H45" i="1" s="1"/>
  <c r="H46" i="1" s="1"/>
  <c r="G38" i="1"/>
  <c r="G43" i="1" s="1"/>
  <c r="G45" i="1" s="1"/>
  <c r="G46" i="1" s="1"/>
  <c r="K41" i="1"/>
  <c r="G53" i="1"/>
  <c r="G55" i="1" s="1"/>
  <c r="G56" i="1" s="1"/>
  <c r="E48" i="1"/>
  <c r="D48" i="1"/>
  <c r="D53" i="1"/>
  <c r="D55" i="1" s="1"/>
  <c r="D56" i="1" s="1"/>
  <c r="F53" i="1"/>
  <c r="F55" i="1" s="1"/>
  <c r="F56" i="1" s="1"/>
  <c r="H48" i="1"/>
  <c r="E53" i="1"/>
  <c r="E55" i="1" s="1"/>
  <c r="E56" i="1" s="1"/>
  <c r="G48" i="1"/>
  <c r="H53" i="1"/>
  <c r="H55" i="1" s="1"/>
  <c r="H56" i="1" s="1"/>
  <c r="F48" i="1"/>
  <c r="E43" i="1"/>
  <c r="E45" i="1" s="1"/>
  <c r="E46" i="1" s="1"/>
  <c r="F40" i="1"/>
  <c r="F41" i="1" s="1"/>
  <c r="F43" i="1"/>
  <c r="F45" i="1" s="1"/>
  <c r="F46" i="1" s="1"/>
  <c r="D40" i="1"/>
  <c r="D41" i="1" s="1"/>
  <c r="M30" i="1"/>
  <c r="D50" i="1" l="1"/>
  <c r="D51" i="1" s="1"/>
  <c r="F50" i="1"/>
  <c r="F51" i="1" s="1"/>
  <c r="E50" i="1"/>
  <c r="E51" i="1" s="1"/>
  <c r="G50" i="1"/>
  <c r="G51" i="1" s="1"/>
  <c r="G40" i="1"/>
  <c r="G41" i="1" s="1"/>
  <c r="H50" i="1"/>
  <c r="H51" i="1" s="1"/>
  <c r="H40" i="1"/>
  <c r="H41" i="1" s="1"/>
  <c r="L53" i="1"/>
  <c r="L48" i="1" l="1"/>
  <c r="L38" i="1"/>
  <c r="L43" i="1"/>
  <c r="D22" i="1" l="1"/>
  <c r="D20" i="1" s="1"/>
</calcChain>
</file>

<file path=xl/sharedStrings.xml><?xml version="1.0" encoding="utf-8"?>
<sst xmlns="http://schemas.openxmlformats.org/spreadsheetml/2006/main" count="157" uniqueCount="78">
  <si>
    <t>Anexos</t>
  </si>
  <si>
    <t>I - Comércio</t>
  </si>
  <si>
    <t>II - Industria</t>
  </si>
  <si>
    <t>III - Serviços</t>
  </si>
  <si>
    <t>IV - Serviços</t>
  </si>
  <si>
    <t>V - Serviços</t>
  </si>
  <si>
    <t>Faixa</t>
  </si>
  <si>
    <t>Receita bruta em 12 meses (em R$)</t>
  </si>
  <si>
    <t>Alíquota</t>
  </si>
  <si>
    <t>Valor a deduzir (em R$)</t>
  </si>
  <si>
    <t>1ª Faixa</t>
  </si>
  <si>
    <t>Até 180.000,00</t>
  </si>
  <si>
    <t>-</t>
  </si>
  <si>
    <t>2ª Faixa</t>
  </si>
  <si>
    <t>De 180.000,01 a 360.000,00</t>
  </si>
  <si>
    <t>3ª Faixa</t>
  </si>
  <si>
    <t>De 360.000,01 a 720.000,00</t>
  </si>
  <si>
    <t>4ª Faixa</t>
  </si>
  <si>
    <t>De 720.000,01 a 1.800.000,00</t>
  </si>
  <si>
    <t>5ª Faixa</t>
  </si>
  <si>
    <t>De 1.800.000,01 a 3.600.000,00</t>
  </si>
  <si>
    <t>6ª Faixa</t>
  </si>
  <si>
    <t>De 3.600.000,01 a 4.800.000,00</t>
  </si>
  <si>
    <t>Receita Bruta Total Acumulada 12 meses anteriores</t>
  </si>
  <si>
    <t>Aliquota</t>
  </si>
  <si>
    <t>Parcela Deduzir</t>
  </si>
  <si>
    <t>S/Subst</t>
  </si>
  <si>
    <t>C/Subst</t>
  </si>
  <si>
    <t>VALOR TOTAL DO IMPOSTO A RECOLHER</t>
  </si>
  <si>
    <t>Segregação</t>
  </si>
  <si>
    <t>IPI</t>
  </si>
  <si>
    <t>Comércio S/Substituição</t>
  </si>
  <si>
    <t>Comércio C/Substituição</t>
  </si>
  <si>
    <t>Indústria</t>
  </si>
  <si>
    <t>Serviços Anexo III s/Retenção</t>
  </si>
  <si>
    <t>Anexo I</t>
  </si>
  <si>
    <t>IRPJ</t>
  </si>
  <si>
    <t>CSLL</t>
  </si>
  <si>
    <t>Cofins</t>
  </si>
  <si>
    <t>Pis</t>
  </si>
  <si>
    <t>CPP</t>
  </si>
  <si>
    <t>ICMS</t>
  </si>
  <si>
    <t>1a.Faixa</t>
  </si>
  <si>
    <t>2a.Faixa</t>
  </si>
  <si>
    <t>3a.Faixa</t>
  </si>
  <si>
    <t>4a.Faixa</t>
  </si>
  <si>
    <t>5a.Faixa</t>
  </si>
  <si>
    <t>6a.Faixa</t>
  </si>
  <si>
    <t>Anexo II</t>
  </si>
  <si>
    <t>Anexo III</t>
  </si>
  <si>
    <t>ISS</t>
  </si>
  <si>
    <t>ANEXO IV</t>
  </si>
  <si>
    <t>ISS (*)</t>
  </si>
  <si>
    <t>ANEXO V</t>
  </si>
  <si>
    <t>Empresa Única</t>
  </si>
  <si>
    <t>Empresa 1</t>
  </si>
  <si>
    <t>Empresa 2</t>
  </si>
  <si>
    <t>Fat Acumulado</t>
  </si>
  <si>
    <t>Fat Mês</t>
  </si>
  <si>
    <t>Total Imposto 2</t>
  </si>
  <si>
    <t>Dif a menor</t>
  </si>
  <si>
    <t>Acumulado nos últimos 12 meses:</t>
  </si>
  <si>
    <t>Empresa c/Faturamento Mensal:</t>
  </si>
  <si>
    <r>
      <rPr>
        <b/>
        <sz val="10"/>
        <color theme="1"/>
        <rFont val="Calibri"/>
        <family val="2"/>
        <scheme val="minor"/>
      </rPr>
      <t>Empresa 1</t>
    </r>
    <r>
      <rPr>
        <sz val="10"/>
        <color theme="1"/>
        <rFont val="Calibri"/>
        <family val="2"/>
        <scheme val="minor"/>
      </rPr>
      <t>: Faturamento Mes 50%</t>
    </r>
  </si>
  <si>
    <r>
      <rPr>
        <b/>
        <sz val="10"/>
        <color theme="1"/>
        <rFont val="Calibri"/>
        <family val="2"/>
        <scheme val="minor"/>
      </rPr>
      <t>Empresa 2</t>
    </r>
    <r>
      <rPr>
        <sz val="10"/>
        <color theme="1"/>
        <rFont val="Calibri"/>
        <family val="2"/>
        <scheme val="minor"/>
      </rPr>
      <t>: Faturamento Mês 50%</t>
    </r>
  </si>
  <si>
    <t>Acumulado</t>
  </si>
  <si>
    <t>12 meses</t>
  </si>
  <si>
    <t>Simulação utilizando como base uma empresa com Faturamento Mensal de $ 220.000,00 sendo divida em 02 empresas com $ 110.000,00 cada. A empresa atual continua com 50% e uma nova iniciando do $ 0,00 - MERCADORIAS SUJEITAS A SUBSTITUIÇÃO TRIBUTÁRIA.</t>
  </si>
  <si>
    <t>Deduzir</t>
  </si>
  <si>
    <t>Aliquota I</t>
  </si>
  <si>
    <t>Aliquota II</t>
  </si>
  <si>
    <t>Alíquota Efetiva</t>
  </si>
  <si>
    <t>S/Retenção</t>
  </si>
  <si>
    <t>C/Retenção</t>
  </si>
  <si>
    <t>Serviços Anexo III c/Retenção</t>
  </si>
  <si>
    <t>Serviços Anexo IV</t>
  </si>
  <si>
    <t>Serviços Anexo v</t>
  </si>
  <si>
    <t>Tabela NOVO SIMPLES NACIONAL - 2019/2022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</si>
</sst>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%"/>
    <numFmt numFmtId="165" formatCode="_-* #,##0.0000000_-;\-* #,##0.0000000_-;_-* &quot;-&quot;??_-;_-@_-"/>
    <numFmt numFmtId="166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Algerian"/>
      <family val="5"/>
    </font>
    <font>
      <b/>
      <i/>
      <sz val="14"/>
      <color theme="1"/>
      <name val="Calibri"/>
      <family val="2"/>
      <scheme val="minor"/>
    </font>
    <font>
      <b/>
      <sz val="10.5"/>
      <color rgb="FF333333"/>
      <name val="Times New Roman"/>
      <family val="1"/>
    </font>
    <font>
      <sz val="10.5"/>
      <color rgb="FF333333"/>
      <name val="Times New Roman"/>
      <family val="1"/>
    </font>
    <font>
      <b/>
      <sz val="12"/>
      <color rgb="FF333333"/>
      <name val="Times New Roman"/>
      <family val="1"/>
    </font>
    <font>
      <b/>
      <sz val="14"/>
      <color rgb="FF333333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4.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43" fontId="5" fillId="4" borderId="14" xfId="1" applyFont="1" applyFill="1" applyBorder="1" applyAlignment="1" applyProtection="1">
      <alignment vertical="center" wrapText="1"/>
      <protection locked="0"/>
    </xf>
    <xf numFmtId="43" fontId="6" fillId="4" borderId="7" xfId="1" applyFont="1" applyFill="1" applyBorder="1" applyAlignment="1" applyProtection="1">
      <alignment vertical="center" wrapText="1"/>
      <protection locked="0"/>
    </xf>
    <xf numFmtId="10" fontId="0" fillId="0" borderId="0" xfId="2" applyNumberFormat="1" applyFont="1" applyAlignment="1">
      <alignment horizontal="left" indent="4"/>
    </xf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right"/>
    </xf>
    <xf numFmtId="0" fontId="9" fillId="0" borderId="0" xfId="0" applyFont="1"/>
    <xf numFmtId="43" fontId="9" fillId="4" borderId="0" xfId="1" applyFont="1" applyFill="1"/>
    <xf numFmtId="43" fontId="9" fillId="0" borderId="0" xfId="0" applyNumberFormat="1" applyFont="1"/>
    <xf numFmtId="43" fontId="9" fillId="0" borderId="0" xfId="1" applyFont="1"/>
    <xf numFmtId="43" fontId="9" fillId="4" borderId="0" xfId="1" applyFont="1" applyFill="1" applyProtection="1">
      <protection locked="0"/>
    </xf>
    <xf numFmtId="0" fontId="10" fillId="0" borderId="0" xfId="0" applyFont="1"/>
    <xf numFmtId="0" fontId="11" fillId="0" borderId="0" xfId="0" applyFont="1"/>
    <xf numFmtId="0" fontId="9" fillId="0" borderId="14" xfId="0" applyFont="1" applyBorder="1"/>
    <xf numFmtId="43" fontId="9" fillId="0" borderId="14" xfId="0" applyNumberFormat="1" applyFont="1" applyBorder="1"/>
    <xf numFmtId="0" fontId="9" fillId="0" borderId="23" xfId="0" applyFont="1" applyBorder="1"/>
    <xf numFmtId="0" fontId="9" fillId="0" borderId="19" xfId="0" applyFont="1" applyBorder="1"/>
    <xf numFmtId="43" fontId="9" fillId="0" borderId="0" xfId="1" applyFont="1" applyFill="1" applyProtection="1">
      <protection locked="0"/>
    </xf>
    <xf numFmtId="10" fontId="9" fillId="0" borderId="0" xfId="2" applyNumberFormat="1" applyFont="1" applyFill="1" applyProtection="1">
      <protection locked="0"/>
    </xf>
    <xf numFmtId="165" fontId="9" fillId="0" borderId="0" xfId="1" applyNumberFormat="1" applyFont="1" applyFill="1" applyProtection="1">
      <protection locked="0"/>
    </xf>
    <xf numFmtId="43" fontId="9" fillId="0" borderId="0" xfId="1" applyNumberFormat="1" applyFont="1" applyFill="1" applyProtection="1">
      <protection locked="0"/>
    </xf>
    <xf numFmtId="0" fontId="0" fillId="7" borderId="0" xfId="0" applyFill="1"/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43" fontId="10" fillId="0" borderId="14" xfId="0" applyNumberFormat="1" applyFont="1" applyBorder="1" applyAlignment="1">
      <alignment horizontal="right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Protection="1"/>
    <xf numFmtId="0" fontId="0" fillId="0" borderId="4" xfId="0" applyBorder="1" applyProtection="1"/>
    <xf numFmtId="0" fontId="3" fillId="0" borderId="5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centerContinuous"/>
    </xf>
    <xf numFmtId="0" fontId="3" fillId="0" borderId="7" xfId="0" applyFont="1" applyBorder="1" applyAlignment="1" applyProtection="1">
      <alignment horizontal="centerContinuous"/>
    </xf>
    <xf numFmtId="0" fontId="0" fillId="0" borderId="8" xfId="0" applyBorder="1" applyProtection="1"/>
    <xf numFmtId="0" fontId="3" fillId="0" borderId="0" xfId="0" applyFont="1" applyBorder="1" applyAlignment="1" applyProtection="1">
      <alignment horizontal="centerContinuous"/>
    </xf>
    <xf numFmtId="0" fontId="0" fillId="0" borderId="0" xfId="0" applyBorder="1" applyProtection="1"/>
    <xf numFmtId="0" fontId="4" fillId="0" borderId="9" xfId="0" applyFont="1" applyBorder="1" applyAlignment="1" applyProtection="1">
      <alignment horizontal="centerContinuous"/>
    </xf>
    <xf numFmtId="0" fontId="4" fillId="0" borderId="10" xfId="0" applyFont="1" applyBorder="1" applyAlignment="1" applyProtection="1">
      <alignment horizontal="centerContinuous"/>
    </xf>
    <xf numFmtId="0" fontId="4" fillId="0" borderId="11" xfId="0" applyFont="1" applyBorder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5" fillId="2" borderId="14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5" fillId="2" borderId="15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10" fontId="6" fillId="3" borderId="15" xfId="0" applyNumberFormat="1" applyFont="1" applyFill="1" applyBorder="1" applyAlignment="1" applyProtection="1">
      <alignment vertical="center" wrapText="1"/>
    </xf>
    <xf numFmtId="43" fontId="6" fillId="3" borderId="16" xfId="1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vertical="center" wrapText="1"/>
    </xf>
    <xf numFmtId="10" fontId="6" fillId="3" borderId="17" xfId="0" applyNumberFormat="1" applyFont="1" applyFill="1" applyBorder="1" applyAlignment="1" applyProtection="1">
      <alignment vertical="center" wrapText="1"/>
    </xf>
    <xf numFmtId="4" fontId="6" fillId="3" borderId="18" xfId="0" applyNumberFormat="1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10" fontId="6" fillId="3" borderId="0" xfId="0" applyNumberFormat="1" applyFont="1" applyFill="1" applyBorder="1" applyAlignment="1" applyProtection="1">
      <alignment vertical="center" wrapText="1"/>
    </xf>
    <xf numFmtId="4" fontId="6" fillId="3" borderId="0" xfId="0" applyNumberFormat="1" applyFont="1" applyFill="1" applyBorder="1" applyAlignment="1" applyProtection="1">
      <alignment vertical="center" wrapText="1"/>
    </xf>
    <xf numFmtId="10" fontId="6" fillId="3" borderId="14" xfId="0" applyNumberFormat="1" applyFont="1" applyFill="1" applyBorder="1" applyAlignment="1" applyProtection="1">
      <alignment horizontal="center" vertical="center" wrapText="1"/>
    </xf>
    <xf numFmtId="4" fontId="6" fillId="3" borderId="14" xfId="0" applyNumberFormat="1" applyFont="1" applyFill="1" applyBorder="1" applyAlignment="1" applyProtection="1">
      <alignment vertical="center" wrapText="1"/>
    </xf>
    <xf numFmtId="10" fontId="6" fillId="3" borderId="14" xfId="0" applyNumberFormat="1" applyFont="1" applyFill="1" applyBorder="1" applyAlignment="1" applyProtection="1">
      <alignment vertical="center" wrapText="1"/>
    </xf>
    <xf numFmtId="43" fontId="6" fillId="3" borderId="14" xfId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43" fontId="6" fillId="4" borderId="5" xfId="1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43" fontId="6" fillId="4" borderId="5" xfId="1" applyFont="1" applyFill="1" applyBorder="1" applyAlignment="1" applyProtection="1">
      <alignment horizontal="left" vertical="center" wrapText="1"/>
    </xf>
    <xf numFmtId="43" fontId="6" fillId="5" borderId="5" xfId="1" applyFont="1" applyFill="1" applyBorder="1" applyAlignment="1" applyProtection="1">
      <alignment horizontal="center" vertical="center" wrapText="1"/>
    </xf>
    <xf numFmtId="43" fontId="6" fillId="5" borderId="7" xfId="1" applyFont="1" applyFill="1" applyBorder="1" applyAlignment="1" applyProtection="1">
      <alignment horizontal="center" vertical="center" wrapText="1"/>
    </xf>
    <xf numFmtId="43" fontId="6" fillId="3" borderId="0" xfId="0" applyNumberFormat="1" applyFont="1" applyFill="1" applyBorder="1" applyAlignment="1" applyProtection="1">
      <alignment vertical="center" wrapText="1"/>
    </xf>
    <xf numFmtId="43" fontId="6" fillId="0" borderId="0" xfId="1" applyFont="1" applyFill="1" applyBorder="1" applyAlignment="1" applyProtection="1">
      <alignment horizontal="center" vertical="center" wrapText="1"/>
    </xf>
    <xf numFmtId="164" fontId="6" fillId="0" borderId="19" xfId="2" applyNumberFormat="1" applyFont="1" applyFill="1" applyBorder="1" applyAlignment="1" applyProtection="1">
      <alignment horizontal="center" vertical="center" wrapText="1"/>
    </xf>
    <xf numFmtId="164" fontId="6" fillId="0" borderId="14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" vertical="center" wrapText="1"/>
    </xf>
    <xf numFmtId="164" fontId="6" fillId="0" borderId="5" xfId="2" applyNumberFormat="1" applyFont="1" applyFill="1" applyBorder="1" applyAlignment="1" applyProtection="1">
      <alignment horizontal="center" vertical="center" wrapText="1"/>
    </xf>
    <xf numFmtId="164" fontId="6" fillId="0" borderId="7" xfId="2" applyNumberFormat="1" applyFont="1" applyFill="1" applyBorder="1" applyAlignment="1" applyProtection="1">
      <alignment horizontal="center" vertical="center" wrapText="1"/>
    </xf>
    <xf numFmtId="166" fontId="6" fillId="0" borderId="5" xfId="2" applyNumberFormat="1" applyFont="1" applyFill="1" applyBorder="1" applyAlignment="1" applyProtection="1">
      <alignment horizontal="center" vertical="center" wrapText="1"/>
    </xf>
    <xf numFmtId="166" fontId="6" fillId="0" borderId="7" xfId="2" applyNumberFormat="1" applyFont="1" applyFill="1" applyBorder="1" applyAlignment="1" applyProtection="1">
      <alignment horizontal="center" vertical="center" wrapText="1"/>
    </xf>
    <xf numFmtId="9" fontId="6" fillId="0" borderId="5" xfId="2" applyFont="1" applyFill="1" applyBorder="1" applyAlignment="1" applyProtection="1">
      <alignment horizontal="center" vertical="center" wrapText="1"/>
    </xf>
    <xf numFmtId="9" fontId="6" fillId="0" borderId="7" xfId="2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43" fontId="8" fillId="3" borderId="5" xfId="1" applyFont="1" applyFill="1" applyBorder="1" applyAlignment="1" applyProtection="1">
      <alignment horizontal="center" vertical="center" wrapText="1"/>
    </xf>
    <xf numFmtId="43" fontId="8" fillId="3" borderId="7" xfId="1" applyFont="1" applyFill="1" applyBorder="1" applyAlignment="1" applyProtection="1">
      <alignment horizontal="center" vertical="center" wrapText="1"/>
    </xf>
    <xf numFmtId="0" fontId="0" fillId="0" borderId="20" xfId="0" applyBorder="1" applyProtection="1"/>
    <xf numFmtId="0" fontId="0" fillId="0" borderId="21" xfId="0" applyBorder="1" applyProtection="1"/>
    <xf numFmtId="0" fontId="0" fillId="0" borderId="22" xfId="0" applyBorder="1" applyProtection="1"/>
    <xf numFmtId="0" fontId="0" fillId="0" borderId="1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9" xfId="0" applyBorder="1" applyAlignment="1" applyProtection="1">
      <alignment horizontal="center" vertical="center"/>
    </xf>
    <xf numFmtId="10" fontId="0" fillId="0" borderId="14" xfId="2" applyNumberFormat="1" applyFont="1" applyBorder="1" applyProtection="1"/>
    <xf numFmtId="10" fontId="0" fillId="5" borderId="23" xfId="2" applyNumberFormat="1" applyFont="1" applyFill="1" applyBorder="1" applyAlignment="1" applyProtection="1">
      <alignment horizontal="center"/>
    </xf>
    <xf numFmtId="43" fontId="0" fillId="0" borderId="23" xfId="0" applyNumberFormat="1" applyBorder="1" applyAlignment="1" applyProtection="1">
      <alignment horizontal="center" vertical="center"/>
    </xf>
    <xf numFmtId="164" fontId="0" fillId="0" borderId="24" xfId="2" applyNumberFormat="1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164" fontId="0" fillId="0" borderId="14" xfId="0" applyNumberFormat="1" applyBorder="1" applyProtection="1"/>
    <xf numFmtId="10" fontId="0" fillId="5" borderId="25" xfId="2" applyNumberFormat="1" applyFont="1" applyFill="1" applyBorder="1" applyAlignment="1" applyProtection="1">
      <alignment horizontal="center"/>
    </xf>
    <xf numFmtId="43" fontId="0" fillId="0" borderId="25" xfId="0" applyNumberForma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43" fontId="0" fillId="0" borderId="14" xfId="1" applyFont="1" applyBorder="1" applyProtection="1"/>
    <xf numFmtId="10" fontId="0" fillId="5" borderId="19" xfId="2" applyNumberFormat="1" applyFont="1" applyFill="1" applyBorder="1" applyAlignment="1" applyProtection="1">
      <alignment horizontal="center"/>
    </xf>
    <xf numFmtId="43" fontId="0" fillId="0" borderId="19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10" fontId="0" fillId="0" borderId="14" xfId="0" applyNumberFormat="1" applyBorder="1" applyProtection="1"/>
    <xf numFmtId="10" fontId="0" fillId="5" borderId="23" xfId="0" applyNumberFormat="1" applyFill="1" applyBorder="1" applyAlignment="1" applyProtection="1">
      <alignment horizontal="center"/>
    </xf>
    <xf numFmtId="0" fontId="0" fillId="0" borderId="25" xfId="0" applyBorder="1" applyAlignment="1" applyProtection="1">
      <alignment horizontal="center" vertical="center"/>
    </xf>
    <xf numFmtId="10" fontId="0" fillId="5" borderId="25" xfId="0" applyNumberFormat="1" applyFill="1" applyBorder="1" applyAlignment="1" applyProtection="1">
      <alignment horizontal="center"/>
    </xf>
    <xf numFmtId="0" fontId="0" fillId="0" borderId="19" xfId="0" applyBorder="1" applyAlignment="1" applyProtection="1">
      <alignment horizontal="center" vertical="center"/>
    </xf>
    <xf numFmtId="10" fontId="0" fillId="5" borderId="19" xfId="0" applyNumberFormat="1" applyFill="1" applyBorder="1" applyAlignment="1" applyProtection="1">
      <alignment horizontal="center"/>
    </xf>
    <xf numFmtId="43" fontId="0" fillId="5" borderId="23" xfId="1" applyFont="1" applyFill="1" applyBorder="1" applyAlignment="1" applyProtection="1">
      <alignment horizontal="center"/>
    </xf>
    <xf numFmtId="164" fontId="0" fillId="0" borderId="14" xfId="2" applyNumberFormat="1" applyFont="1" applyBorder="1" applyProtection="1"/>
    <xf numFmtId="43" fontId="0" fillId="5" borderId="25" xfId="1" applyFont="1" applyFill="1" applyBorder="1" applyAlignment="1" applyProtection="1">
      <alignment horizontal="center"/>
    </xf>
    <xf numFmtId="43" fontId="0" fillId="5" borderId="19" xfId="1" applyFont="1" applyFill="1" applyBorder="1" applyAlignment="1" applyProtection="1">
      <alignment horizontal="center"/>
    </xf>
    <xf numFmtId="10" fontId="0" fillId="5" borderId="23" xfId="1" applyNumberFormat="1" applyFont="1" applyFill="1" applyBorder="1" applyAlignment="1" applyProtection="1">
      <alignment horizontal="center"/>
    </xf>
    <xf numFmtId="43" fontId="0" fillId="0" borderId="23" xfId="0" applyNumberFormat="1" applyBorder="1" applyAlignment="1" applyProtection="1">
      <alignment horizontal="center"/>
    </xf>
    <xf numFmtId="43" fontId="0" fillId="0" borderId="25" xfId="0" applyNumberFormat="1" applyBorder="1" applyAlignment="1" applyProtection="1">
      <alignment horizontal="center"/>
    </xf>
    <xf numFmtId="43" fontId="0" fillId="0" borderId="19" xfId="0" applyNumberFormat="1" applyBorder="1" applyAlignment="1" applyProtection="1">
      <alignment horizontal="center"/>
    </xf>
    <xf numFmtId="0" fontId="0" fillId="6" borderId="23" xfId="0" applyFill="1" applyBorder="1" applyAlignment="1" applyProtection="1">
      <alignment horizontal="center" vertical="center"/>
    </xf>
    <xf numFmtId="0" fontId="0" fillId="6" borderId="25" xfId="0" applyFill="1" applyBorder="1" applyAlignment="1" applyProtection="1">
      <alignment horizontal="center" vertical="center"/>
    </xf>
    <xf numFmtId="0" fontId="0" fillId="6" borderId="19" xfId="0" applyFill="1" applyBorder="1" applyAlignment="1" applyProtection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SIMPLES%202018%20Anexos%20Er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"/>
      <sheetName val="Segregação"/>
      <sheetName val="Plan3"/>
    </sheetNames>
    <sheetDataSet>
      <sheetData sheetId="0"/>
      <sheetData sheetId="1">
        <row r="2">
          <cell r="C2" t="str">
            <v>IRPJ</v>
          </cell>
          <cell r="D2" t="str">
            <v>CSLL</v>
          </cell>
          <cell r="E2" t="str">
            <v>Cofins</v>
          </cell>
          <cell r="F2" t="str">
            <v>Pis</v>
          </cell>
          <cell r="G2" t="str">
            <v>CPP</v>
          </cell>
          <cell r="H2" t="str">
            <v>ICMS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17" sqref="L17:M17"/>
    </sheetView>
  </sheetViews>
  <sheetFormatPr defaultRowHeight="15" x14ac:dyDescent="0.25"/>
  <cols>
    <col min="1" max="1" width="3.28515625" style="30" customWidth="1"/>
    <col min="2" max="2" width="9.140625" style="30"/>
    <col min="3" max="3" width="32.7109375" style="30" customWidth="1"/>
    <col min="4" max="4" width="11.7109375" style="30" bestFit="1" customWidth="1"/>
    <col min="5" max="5" width="14.42578125" style="30" customWidth="1"/>
    <col min="6" max="6" width="10.5703125" style="30" bestFit="1" customWidth="1"/>
    <col min="7" max="7" width="14.42578125" style="30" customWidth="1"/>
    <col min="8" max="8" width="11.5703125" style="30" customWidth="1"/>
    <col min="9" max="9" width="14.42578125" style="30" customWidth="1"/>
    <col min="10" max="10" width="12.140625" style="30" customWidth="1"/>
    <col min="11" max="11" width="14.42578125" style="30" customWidth="1"/>
    <col min="12" max="12" width="12.140625" style="30" customWidth="1"/>
    <col min="13" max="13" width="14.42578125" style="30" customWidth="1"/>
    <col min="14" max="14" width="3.28515625" style="30" customWidth="1"/>
    <col min="15" max="16384" width="9.140625" style="30"/>
  </cols>
  <sheetData>
    <row r="1" spans="1:14" ht="15" customHeight="1" thickTop="1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4" ht="21.75" x14ac:dyDescent="0.35">
      <c r="A2" s="31"/>
      <c r="B2" s="32" t="s">
        <v>77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5"/>
    </row>
    <row r="3" spans="1:14" ht="21.75" x14ac:dyDescent="0.35">
      <c r="A3" s="31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</row>
    <row r="4" spans="1:14" ht="19.5" thickBot="1" x14ac:dyDescent="0.35">
      <c r="A4" s="31"/>
      <c r="B4" s="37"/>
      <c r="C4" s="37"/>
      <c r="D4" s="38" t="s">
        <v>0</v>
      </c>
      <c r="E4" s="39"/>
      <c r="F4" s="39"/>
      <c r="G4" s="39"/>
      <c r="H4" s="39"/>
      <c r="I4" s="39"/>
      <c r="J4" s="39"/>
      <c r="K4" s="39"/>
      <c r="L4" s="39"/>
      <c r="M4" s="40"/>
      <c r="N4" s="35"/>
    </row>
    <row r="5" spans="1:14" ht="15.75" thickTop="1" x14ac:dyDescent="0.25">
      <c r="A5" s="31"/>
      <c r="B5" s="37"/>
      <c r="C5" s="37"/>
      <c r="D5" s="41" t="s">
        <v>1</v>
      </c>
      <c r="E5" s="42"/>
      <c r="F5" s="41" t="s">
        <v>2</v>
      </c>
      <c r="G5" s="42"/>
      <c r="H5" s="41" t="s">
        <v>3</v>
      </c>
      <c r="I5" s="42"/>
      <c r="J5" s="41" t="s">
        <v>4</v>
      </c>
      <c r="K5" s="42"/>
      <c r="L5" s="41" t="s">
        <v>5</v>
      </c>
      <c r="M5" s="42"/>
      <c r="N5" s="35"/>
    </row>
    <row r="6" spans="1:14" ht="40.5" x14ac:dyDescent="0.25">
      <c r="A6" s="31"/>
      <c r="B6" s="43" t="s">
        <v>6</v>
      </c>
      <c r="C6" s="44" t="s">
        <v>7</v>
      </c>
      <c r="D6" s="45" t="s">
        <v>8</v>
      </c>
      <c r="E6" s="46" t="s">
        <v>9</v>
      </c>
      <c r="F6" s="45" t="s">
        <v>8</v>
      </c>
      <c r="G6" s="46" t="s">
        <v>9</v>
      </c>
      <c r="H6" s="45" t="s">
        <v>8</v>
      </c>
      <c r="I6" s="46" t="s">
        <v>9</v>
      </c>
      <c r="J6" s="45" t="s">
        <v>8</v>
      </c>
      <c r="K6" s="46" t="s">
        <v>9</v>
      </c>
      <c r="L6" s="45" t="s">
        <v>8</v>
      </c>
      <c r="M6" s="46" t="s">
        <v>9</v>
      </c>
      <c r="N6" s="35"/>
    </row>
    <row r="7" spans="1:14" ht="20.100000000000001" customHeight="1" x14ac:dyDescent="0.25">
      <c r="A7" s="31"/>
      <c r="B7" s="47" t="s">
        <v>10</v>
      </c>
      <c r="C7" s="48" t="s">
        <v>11</v>
      </c>
      <c r="D7" s="49">
        <v>0.04</v>
      </c>
      <c r="E7" s="50">
        <v>0</v>
      </c>
      <c r="F7" s="49">
        <v>4.4999999999999998E-2</v>
      </c>
      <c r="G7" s="51" t="s">
        <v>12</v>
      </c>
      <c r="H7" s="49">
        <v>0.06</v>
      </c>
      <c r="I7" s="51" t="s">
        <v>12</v>
      </c>
      <c r="J7" s="49">
        <v>4.4999999999999998E-2</v>
      </c>
      <c r="K7" s="51" t="s">
        <v>12</v>
      </c>
      <c r="L7" s="49">
        <v>0.155</v>
      </c>
      <c r="M7" s="51" t="s">
        <v>12</v>
      </c>
      <c r="N7" s="35"/>
    </row>
    <row r="8" spans="1:14" ht="20.100000000000001" customHeight="1" x14ac:dyDescent="0.25">
      <c r="A8" s="31"/>
      <c r="B8" s="47" t="s">
        <v>13</v>
      </c>
      <c r="C8" s="48" t="s">
        <v>14</v>
      </c>
      <c r="D8" s="49">
        <v>7.2999999999999995E-2</v>
      </c>
      <c r="E8" s="52">
        <v>5940</v>
      </c>
      <c r="F8" s="49">
        <v>7.8E-2</v>
      </c>
      <c r="G8" s="52">
        <v>5940</v>
      </c>
      <c r="H8" s="49">
        <v>0.112</v>
      </c>
      <c r="I8" s="52">
        <v>9360</v>
      </c>
      <c r="J8" s="49">
        <v>0.09</v>
      </c>
      <c r="K8" s="52">
        <v>8100</v>
      </c>
      <c r="L8" s="49">
        <v>0.18</v>
      </c>
      <c r="M8" s="52">
        <v>4500</v>
      </c>
      <c r="N8" s="35"/>
    </row>
    <row r="9" spans="1:14" ht="20.100000000000001" customHeight="1" x14ac:dyDescent="0.25">
      <c r="A9" s="31"/>
      <c r="B9" s="47" t="s">
        <v>15</v>
      </c>
      <c r="C9" s="48" t="s">
        <v>16</v>
      </c>
      <c r="D9" s="49">
        <v>9.5000000000000001E-2</v>
      </c>
      <c r="E9" s="52">
        <v>13860</v>
      </c>
      <c r="F9" s="49">
        <v>0.1</v>
      </c>
      <c r="G9" s="52">
        <v>13860</v>
      </c>
      <c r="H9" s="49">
        <v>0.13500000000000001</v>
      </c>
      <c r="I9" s="52">
        <v>17640</v>
      </c>
      <c r="J9" s="49">
        <v>0.10199999999999999</v>
      </c>
      <c r="K9" s="52">
        <v>12420</v>
      </c>
      <c r="L9" s="49">
        <v>0.19500000000000001</v>
      </c>
      <c r="M9" s="52">
        <v>9900</v>
      </c>
      <c r="N9" s="35"/>
    </row>
    <row r="10" spans="1:14" ht="20.100000000000001" customHeight="1" x14ac:dyDescent="0.25">
      <c r="A10" s="31"/>
      <c r="B10" s="47" t="s">
        <v>17</v>
      </c>
      <c r="C10" s="48" t="s">
        <v>18</v>
      </c>
      <c r="D10" s="49">
        <v>0.107</v>
      </c>
      <c r="E10" s="52">
        <v>22500</v>
      </c>
      <c r="F10" s="49">
        <v>0.112</v>
      </c>
      <c r="G10" s="52">
        <v>22500</v>
      </c>
      <c r="H10" s="49">
        <v>0.16</v>
      </c>
      <c r="I10" s="52">
        <v>35640</v>
      </c>
      <c r="J10" s="49">
        <v>0.14000000000000001</v>
      </c>
      <c r="K10" s="52">
        <v>39780</v>
      </c>
      <c r="L10" s="49">
        <v>0.20499999999999999</v>
      </c>
      <c r="M10" s="52">
        <v>17100</v>
      </c>
      <c r="N10" s="35"/>
    </row>
    <row r="11" spans="1:14" ht="20.100000000000001" customHeight="1" x14ac:dyDescent="0.25">
      <c r="A11" s="31"/>
      <c r="B11" s="47" t="s">
        <v>19</v>
      </c>
      <c r="C11" s="48" t="s">
        <v>20</v>
      </c>
      <c r="D11" s="49">
        <v>0.14299999999999999</v>
      </c>
      <c r="E11" s="52">
        <v>87300</v>
      </c>
      <c r="F11" s="49">
        <v>0.14699999999999999</v>
      </c>
      <c r="G11" s="52">
        <v>85500</v>
      </c>
      <c r="H11" s="49">
        <v>0.21</v>
      </c>
      <c r="I11" s="52">
        <v>125640</v>
      </c>
      <c r="J11" s="49">
        <v>0.22</v>
      </c>
      <c r="K11" s="52">
        <v>183780</v>
      </c>
      <c r="L11" s="49">
        <v>0.23</v>
      </c>
      <c r="M11" s="52">
        <v>62100</v>
      </c>
      <c r="N11" s="35"/>
    </row>
    <row r="12" spans="1:14" ht="20.100000000000001" customHeight="1" thickBot="1" x14ac:dyDescent="0.3">
      <c r="A12" s="31"/>
      <c r="B12" s="47" t="s">
        <v>21</v>
      </c>
      <c r="C12" s="48" t="s">
        <v>22</v>
      </c>
      <c r="D12" s="53">
        <v>0.19</v>
      </c>
      <c r="E12" s="54">
        <v>378000</v>
      </c>
      <c r="F12" s="53">
        <v>0.3</v>
      </c>
      <c r="G12" s="54">
        <v>720000</v>
      </c>
      <c r="H12" s="53">
        <v>0.33</v>
      </c>
      <c r="I12" s="54">
        <v>648000</v>
      </c>
      <c r="J12" s="53">
        <v>0.33</v>
      </c>
      <c r="K12" s="54">
        <v>828000</v>
      </c>
      <c r="L12" s="53">
        <v>0.30499999999999999</v>
      </c>
      <c r="M12" s="54">
        <v>540000</v>
      </c>
      <c r="N12" s="35"/>
    </row>
    <row r="13" spans="1:14" ht="20.100000000000001" customHeight="1" thickTop="1" x14ac:dyDescent="0.25">
      <c r="A13" s="31"/>
      <c r="B13" s="55"/>
      <c r="C13" s="55"/>
      <c r="D13" s="56"/>
      <c r="E13" s="57"/>
      <c r="F13" s="56"/>
      <c r="G13" s="57"/>
      <c r="H13" s="56"/>
      <c r="I13" s="57"/>
      <c r="J13" s="56"/>
      <c r="K13" s="57"/>
      <c r="L13" s="56"/>
      <c r="M13" s="57"/>
      <c r="N13" s="35"/>
    </row>
    <row r="14" spans="1:14" ht="27" x14ac:dyDescent="0.25">
      <c r="A14" s="31"/>
      <c r="B14" s="55"/>
      <c r="C14" s="47" t="s">
        <v>23</v>
      </c>
      <c r="D14" s="58" t="s">
        <v>24</v>
      </c>
      <c r="E14" s="59" t="s">
        <v>25</v>
      </c>
      <c r="F14" s="58" t="s">
        <v>24</v>
      </c>
      <c r="G14" s="59" t="s">
        <v>25</v>
      </c>
      <c r="H14" s="58" t="s">
        <v>24</v>
      </c>
      <c r="I14" s="59" t="s">
        <v>25</v>
      </c>
      <c r="J14" s="58" t="s">
        <v>24</v>
      </c>
      <c r="K14" s="59" t="s">
        <v>25</v>
      </c>
      <c r="L14" s="58" t="s">
        <v>24</v>
      </c>
      <c r="M14" s="59" t="s">
        <v>25</v>
      </c>
      <c r="N14" s="35"/>
    </row>
    <row r="15" spans="1:14" ht="21" customHeight="1" x14ac:dyDescent="0.25">
      <c r="A15" s="31"/>
      <c r="B15" s="55"/>
      <c r="C15" s="1">
        <v>2000000</v>
      </c>
      <c r="D15" s="60">
        <f t="shared" ref="D15:L15" si="0">IF($C$15&lt;=180000,D7,IF($C$15&lt;=360000,D8,IF($C$15&lt;=720000,D9,IF($C$15&lt;=1800000,D10,IF($C$15&lt;=3600000,D11,IF($C$15&lt;=4800000,D12,D12))))))</f>
        <v>0.14299999999999999</v>
      </c>
      <c r="E15" s="61">
        <f>IF($C$15&lt;=180000,0,IF($C$15&lt;=360000,E8,IF($C$15&lt;=720000,E9,IF($C$15&lt;=1800000,E10,IF($C$15&lt;=3600000,E11,IF($C$15&lt;=4800000,E12,E12))))))</f>
        <v>87300</v>
      </c>
      <c r="F15" s="60">
        <f t="shared" si="0"/>
        <v>0.14699999999999999</v>
      </c>
      <c r="G15" s="61">
        <f>IF($C$15&lt;=180000,0,IF($C$15&lt;=360000,G8,IF($C$15&lt;=720000,G9,IF($C$15&lt;=1800000,G10,IF($C$15&lt;=3600000,G11,IF($C$15&lt;=4800000,G12,G12))))))</f>
        <v>85500</v>
      </c>
      <c r="H15" s="60">
        <f t="shared" si="0"/>
        <v>0.21</v>
      </c>
      <c r="I15" s="61">
        <f>IF($C$15&lt;=180000,0,IF($C$15&lt;=360000,I8,IF($C$15&lt;=720000,I9,IF($C$15&lt;=1800000,I10,IF($C$15&lt;=3600000,I11,IF($C$15&lt;=4800000,I12,I12))))))</f>
        <v>125640</v>
      </c>
      <c r="J15" s="60">
        <f t="shared" si="0"/>
        <v>0.22</v>
      </c>
      <c r="K15" s="61">
        <f>IF($C$15&lt;=180000,0,IF($C$15&lt;=360000,K8,IF($C$15&lt;=720000,K9,IF($C$15&lt;=1800000,K10,IF($C$15&lt;=3600000,K11,IF($C$15&lt;=4800000,K12,K12))))))</f>
        <v>183780</v>
      </c>
      <c r="L15" s="60">
        <f t="shared" si="0"/>
        <v>0.23</v>
      </c>
      <c r="M15" s="61">
        <f>IF($C$15&lt;=180000,0,IF($C$15&lt;=360000,M8,IF($C$15&lt;=720000,M9,IF($C$15&lt;=1800000,M10,IF($C$15&lt;=3600000,M11,IF($C$15&lt;=4800000,M12,M12))))))</f>
        <v>62100</v>
      </c>
      <c r="N15" s="35"/>
    </row>
    <row r="16" spans="1:14" ht="20.100000000000001" customHeight="1" x14ac:dyDescent="0.25">
      <c r="A16" s="31"/>
      <c r="B16" s="55"/>
      <c r="C16" s="62"/>
      <c r="D16" s="63" t="s">
        <v>26</v>
      </c>
      <c r="E16" s="2">
        <v>100</v>
      </c>
      <c r="F16" s="23">
        <v>1</v>
      </c>
      <c r="G16" s="24"/>
      <c r="H16" s="63" t="s">
        <v>72</v>
      </c>
      <c r="I16" s="2">
        <v>1</v>
      </c>
      <c r="J16" s="23">
        <v>100</v>
      </c>
      <c r="K16" s="24"/>
      <c r="L16" s="23">
        <v>1</v>
      </c>
      <c r="M16" s="24"/>
      <c r="N16" s="35"/>
    </row>
    <row r="17" spans="1:16" ht="20.100000000000001" customHeight="1" x14ac:dyDescent="0.25">
      <c r="A17" s="31"/>
      <c r="B17" s="55"/>
      <c r="C17" s="64"/>
      <c r="D17" s="65" t="s">
        <v>27</v>
      </c>
      <c r="E17" s="2">
        <v>10</v>
      </c>
      <c r="F17" s="66"/>
      <c r="G17" s="67"/>
      <c r="H17" s="65" t="s">
        <v>73</v>
      </c>
      <c r="I17" s="2">
        <v>1</v>
      </c>
      <c r="J17" s="66"/>
      <c r="K17" s="67"/>
      <c r="L17" s="66"/>
      <c r="M17" s="67"/>
      <c r="N17" s="35"/>
    </row>
    <row r="18" spans="1:16" ht="20.100000000000001" customHeight="1" x14ac:dyDescent="0.25">
      <c r="A18" s="31"/>
      <c r="B18" s="55"/>
      <c r="C18" s="68">
        <f>SUM(E16:M16)+E17</f>
        <v>213</v>
      </c>
      <c r="D18" s="69"/>
      <c r="E18" s="70">
        <f>((($C$15*D15)-E15)/$C$15)</f>
        <v>9.9349999999999994E-2</v>
      </c>
      <c r="F18" s="69"/>
      <c r="G18" s="71">
        <f>(($C$15*F15)-G15)/$C$15</f>
        <v>0.10425</v>
      </c>
      <c r="H18" s="69"/>
      <c r="I18" s="71">
        <f>(($C$15*H15)-I15)/$C$15</f>
        <v>0.14718000000000001</v>
      </c>
      <c r="J18" s="69"/>
      <c r="K18" s="71">
        <f>(($C$15*J15)-K15)/$C$15</f>
        <v>0.12811</v>
      </c>
      <c r="L18" s="69"/>
      <c r="M18" s="70">
        <f>(($C$15*L15)-M15)/$C$15</f>
        <v>0.19894999999999999</v>
      </c>
      <c r="N18" s="35"/>
    </row>
    <row r="19" spans="1:16" ht="20.100000000000001" customHeight="1" x14ac:dyDescent="0.25">
      <c r="A19" s="31"/>
      <c r="B19" s="55"/>
      <c r="C19" s="55"/>
      <c r="D19" s="69"/>
      <c r="E19" s="72"/>
      <c r="F19" s="69"/>
      <c r="G19" s="72"/>
      <c r="H19" s="69"/>
      <c r="I19" s="72"/>
      <c r="J19" s="69"/>
      <c r="K19" s="72"/>
      <c r="L19" s="69"/>
      <c r="M19" s="72"/>
      <c r="N19" s="35"/>
    </row>
    <row r="20" spans="1:16" ht="20.100000000000001" customHeight="1" x14ac:dyDescent="0.25">
      <c r="A20" s="31"/>
      <c r="B20" s="55"/>
      <c r="C20" s="47" t="s">
        <v>71</v>
      </c>
      <c r="D20" s="73">
        <f>IF((E16+E17)&gt;0,D22/(E16+E17),"")</f>
        <v>9.9499838181818179E-2</v>
      </c>
      <c r="E20" s="74"/>
      <c r="F20" s="75">
        <f>IF(F16=0,"",$L$34/F16)</f>
        <v>0.10425</v>
      </c>
      <c r="G20" s="76"/>
      <c r="H20" s="77"/>
      <c r="I20" s="78"/>
      <c r="J20" s="77"/>
      <c r="K20" s="78"/>
      <c r="L20" s="77"/>
      <c r="M20" s="78"/>
      <c r="N20" s="35"/>
    </row>
    <row r="21" spans="1:16" ht="20.100000000000001" customHeight="1" x14ac:dyDescent="0.25">
      <c r="A21" s="31"/>
      <c r="B21" s="55"/>
      <c r="C21" s="55"/>
      <c r="D21" s="56"/>
      <c r="E21" s="57"/>
      <c r="F21" s="56"/>
      <c r="G21" s="57"/>
      <c r="H21" s="56"/>
      <c r="I21" s="57"/>
      <c r="J21" s="56"/>
      <c r="K21" s="57"/>
      <c r="L21" s="56"/>
      <c r="M21" s="57"/>
      <c r="N21" s="35"/>
    </row>
    <row r="22" spans="1:16" ht="31.5" x14ac:dyDescent="0.25">
      <c r="A22" s="31"/>
      <c r="B22" s="55"/>
      <c r="C22" s="79" t="s">
        <v>28</v>
      </c>
      <c r="D22" s="80">
        <f>L26+L30+L34+L38+L43</f>
        <v>10.9449822</v>
      </c>
      <c r="E22" s="81"/>
      <c r="F22" s="56"/>
      <c r="G22" s="57"/>
      <c r="H22" s="56"/>
      <c r="I22" s="57"/>
      <c r="J22" s="56"/>
      <c r="K22" s="57"/>
      <c r="L22" s="56"/>
      <c r="M22" s="57"/>
      <c r="N22" s="35"/>
    </row>
    <row r="23" spans="1:16" ht="15" customHeight="1" thickBot="1" x14ac:dyDescent="0.3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4"/>
    </row>
    <row r="24" spans="1:16" ht="15" customHeight="1" thickTop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6" ht="15" customHeight="1" x14ac:dyDescent="0.25">
      <c r="A25" s="37"/>
      <c r="B25" s="37"/>
      <c r="C25" s="30" t="s">
        <v>29</v>
      </c>
      <c r="D25" s="85" t="str">
        <f>[1]Segregação!C2</f>
        <v>IRPJ</v>
      </c>
      <c r="E25" s="85" t="str">
        <f>[1]Segregação!D2</f>
        <v>CSLL</v>
      </c>
      <c r="F25" s="85" t="str">
        <f>[1]Segregação!E2</f>
        <v>Cofins</v>
      </c>
      <c r="G25" s="85" t="str">
        <f>[1]Segregação!F2</f>
        <v>Pis</v>
      </c>
      <c r="H25" s="85" t="str">
        <f>[1]Segregação!G2</f>
        <v>CPP</v>
      </c>
      <c r="I25" s="85" t="s">
        <v>30</v>
      </c>
      <c r="J25" s="85" t="str">
        <f>[1]Segregação!H2</f>
        <v>ICMS</v>
      </c>
      <c r="K25" s="86" t="s">
        <v>50</v>
      </c>
      <c r="L25" s="37"/>
      <c r="M25" s="37"/>
      <c r="N25" s="37"/>
      <c r="O25" s="37"/>
    </row>
    <row r="26" spans="1:16" ht="15" customHeight="1" x14ac:dyDescent="0.25">
      <c r="A26" s="37"/>
      <c r="B26" s="37"/>
      <c r="C26" s="87" t="s">
        <v>31</v>
      </c>
      <c r="D26" s="88">
        <f>IF(C15&lt;3600000,Segregação!C7,Segregação!C8)</f>
        <v>5.5E-2</v>
      </c>
      <c r="E26" s="88">
        <f>IF(C15&lt;3600000,Segregação!D3,Segregação!D8)</f>
        <v>3.5000000000000003E-2</v>
      </c>
      <c r="F26" s="88">
        <f>IF(C15&lt;3600000,Segregação!E3,Segregação!E8)</f>
        <v>0.12740000000000001</v>
      </c>
      <c r="G26" s="88">
        <f>IF(C15&lt;3600000,Segregação!F3,Segregação!F8)</f>
        <v>2.76E-2</v>
      </c>
      <c r="H26" s="88">
        <f>IF(C15&lt;360000.01,Segregação!G3,IF(C15&lt;3600000.01,Segregação!G5,Segregação!G8))</f>
        <v>0.42</v>
      </c>
      <c r="I26" s="89"/>
      <c r="J26" s="88">
        <f>IF(C15&lt;360000.01,Segregação!H3,IF(C15&lt;3600000.01,Segregação!H5,Segregação!H8))</f>
        <v>0.33500000000000002</v>
      </c>
      <c r="K26" s="89"/>
      <c r="L26" s="90">
        <f>SUM(D28:J28)</f>
        <v>9.9349999999999987</v>
      </c>
      <c r="M26" s="91">
        <f>IF(E16=0,"",L26/E16)</f>
        <v>9.9349999999999994E-2</v>
      </c>
      <c r="N26" s="37"/>
      <c r="O26" s="37"/>
      <c r="P26" s="37"/>
    </row>
    <row r="27" spans="1:16" ht="15" customHeight="1" x14ac:dyDescent="0.25">
      <c r="A27" s="37"/>
      <c r="B27" s="37"/>
      <c r="C27" s="92"/>
      <c r="D27" s="93">
        <f>$E$18*D26</f>
        <v>5.4642499999999995E-3</v>
      </c>
      <c r="E27" s="93">
        <f>$E$18*E26</f>
        <v>3.4772500000000003E-3</v>
      </c>
      <c r="F27" s="93">
        <f>$E$18*F26</f>
        <v>1.265719E-2</v>
      </c>
      <c r="G27" s="93">
        <f>$E$18*G26</f>
        <v>2.7420599999999997E-3</v>
      </c>
      <c r="H27" s="93">
        <f>$E$18*H26</f>
        <v>4.1726999999999993E-2</v>
      </c>
      <c r="I27" s="94"/>
      <c r="J27" s="93">
        <f>$E$18*J26</f>
        <v>3.3282249999999999E-2</v>
      </c>
      <c r="K27" s="94"/>
      <c r="L27" s="95"/>
      <c r="M27" s="91"/>
      <c r="N27" s="37"/>
      <c r="O27" s="37"/>
      <c r="P27" s="37"/>
    </row>
    <row r="28" spans="1:16" ht="15" customHeight="1" x14ac:dyDescent="0.25">
      <c r="A28" s="37"/>
      <c r="B28" s="37"/>
      <c r="C28" s="96"/>
      <c r="D28" s="97">
        <f>$E$16*D27</f>
        <v>0.54642499999999994</v>
      </c>
      <c r="E28" s="97">
        <f>$E$16*E27</f>
        <v>0.34772500000000001</v>
      </c>
      <c r="F28" s="97">
        <f>$E$16*F27</f>
        <v>1.265719</v>
      </c>
      <c r="G28" s="97">
        <f>$E$16*G27</f>
        <v>0.27420599999999995</v>
      </c>
      <c r="H28" s="97">
        <f>$E$16*H27</f>
        <v>4.172699999999999</v>
      </c>
      <c r="I28" s="98"/>
      <c r="J28" s="97">
        <f>$E$16*J27</f>
        <v>3.3282249999999998</v>
      </c>
      <c r="K28" s="98"/>
      <c r="L28" s="99"/>
      <c r="M28" s="91"/>
      <c r="N28" s="37"/>
      <c r="O28" s="37"/>
      <c r="P28" s="37"/>
    </row>
    <row r="29" spans="1:16" ht="1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 customHeight="1" x14ac:dyDescent="0.25">
      <c r="A30" s="37"/>
      <c r="B30" s="37"/>
      <c r="C30" s="100" t="s">
        <v>32</v>
      </c>
      <c r="D30" s="101">
        <f>D26</f>
        <v>5.5E-2</v>
      </c>
      <c r="E30" s="101">
        <f>E26</f>
        <v>3.5000000000000003E-2</v>
      </c>
      <c r="F30" s="101">
        <f>F26</f>
        <v>0.12740000000000001</v>
      </c>
      <c r="G30" s="101">
        <f>G26</f>
        <v>2.76E-2</v>
      </c>
      <c r="H30" s="101">
        <f>H26</f>
        <v>0.42</v>
      </c>
      <c r="I30" s="102"/>
      <c r="J30" s="102"/>
      <c r="K30" s="102"/>
      <c r="L30" s="90">
        <f>SUM(D32:J32)</f>
        <v>0.66067749999999992</v>
      </c>
      <c r="M30" s="91">
        <f>IF(E17=0,"",L30/E17)</f>
        <v>6.6067749999999995E-2</v>
      </c>
      <c r="N30" s="37"/>
      <c r="O30" s="37"/>
      <c r="P30" s="37"/>
    </row>
    <row r="31" spans="1:16" ht="15" customHeight="1" x14ac:dyDescent="0.25">
      <c r="A31" s="37"/>
      <c r="B31" s="37"/>
      <c r="C31" s="103"/>
      <c r="D31" s="93">
        <f>$E$18*D30</f>
        <v>5.4642499999999995E-3</v>
      </c>
      <c r="E31" s="93">
        <f>$E$18*E30</f>
        <v>3.4772500000000003E-3</v>
      </c>
      <c r="F31" s="93">
        <f>$E$18*F30</f>
        <v>1.265719E-2</v>
      </c>
      <c r="G31" s="93">
        <f>$E$18*G30</f>
        <v>2.7420599999999997E-3</v>
      </c>
      <c r="H31" s="93">
        <f>$E$18*H30</f>
        <v>4.1726999999999993E-2</v>
      </c>
      <c r="I31" s="104"/>
      <c r="J31" s="104"/>
      <c r="K31" s="104"/>
      <c r="L31" s="95"/>
      <c r="M31" s="91"/>
      <c r="N31" s="37"/>
      <c r="O31" s="37"/>
      <c r="P31" s="37"/>
    </row>
    <row r="32" spans="1:16" ht="15" customHeight="1" x14ac:dyDescent="0.25">
      <c r="A32" s="37"/>
      <c r="B32" s="37"/>
      <c r="C32" s="105"/>
      <c r="D32" s="97">
        <f>$E$17*D31</f>
        <v>5.4642499999999997E-2</v>
      </c>
      <c r="E32" s="97">
        <f>$E$17*E31</f>
        <v>3.4772500000000005E-2</v>
      </c>
      <c r="F32" s="97">
        <f>$E$17*F31</f>
        <v>0.12657190000000001</v>
      </c>
      <c r="G32" s="97">
        <f>$E$17*G31</f>
        <v>2.7420599999999996E-2</v>
      </c>
      <c r="H32" s="97">
        <f>$E$17*H31</f>
        <v>0.41726999999999992</v>
      </c>
      <c r="I32" s="106"/>
      <c r="J32" s="106"/>
      <c r="K32" s="106"/>
      <c r="L32" s="99"/>
      <c r="M32" s="91"/>
      <c r="N32" s="37"/>
      <c r="O32" s="37"/>
      <c r="P32" s="37"/>
    </row>
    <row r="33" spans="1:15" ht="1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1:15" ht="15" customHeight="1" x14ac:dyDescent="0.25">
      <c r="A34" s="37"/>
      <c r="B34" s="37"/>
      <c r="C34" s="100" t="s">
        <v>33</v>
      </c>
      <c r="D34" s="88">
        <f>IF($C$15&lt;3600000.01,Segregação!C15,Segregação!C16)</f>
        <v>5.5E-2</v>
      </c>
      <c r="E34" s="88">
        <f>IF($C$15&lt;3600000.01,Segregação!D11,Segregação!D16)</f>
        <v>3.5000000000000003E-2</v>
      </c>
      <c r="F34" s="88">
        <f>IF($C$15&lt;3600000.01,Segregação!E11,Segregação!E16)</f>
        <v>0.11509999999999999</v>
      </c>
      <c r="G34" s="88">
        <f>IF($C$15&lt;3600000.01,Segregação!F11,Segregação!F16)</f>
        <v>2.4899999999999999E-2</v>
      </c>
      <c r="H34" s="88">
        <f>IF($C$15&lt;3600000.01,Segregação!G11,Segregação!G16)</f>
        <v>0.375</v>
      </c>
      <c r="I34" s="88">
        <f>IF($C$15&lt;3600000.01,Segregação!H11,Segregação!H16)</f>
        <v>7.4999999999999997E-2</v>
      </c>
      <c r="J34" s="88">
        <f>IF($C$15&lt;3600000.01,Segregação!I11,Segregação!I16)</f>
        <v>0.32</v>
      </c>
      <c r="K34" s="102"/>
      <c r="L34" s="90">
        <f>SUM(D36:J36)</f>
        <v>0.10425</v>
      </c>
      <c r="M34" s="37"/>
      <c r="N34" s="37"/>
      <c r="O34" s="37"/>
    </row>
    <row r="35" spans="1:15" ht="15" customHeight="1" x14ac:dyDescent="0.25">
      <c r="A35" s="37"/>
      <c r="B35" s="37"/>
      <c r="C35" s="103"/>
      <c r="D35" s="93">
        <f t="shared" ref="D35:J35" si="1">$G$18*D34</f>
        <v>5.7337500000000001E-3</v>
      </c>
      <c r="E35" s="93">
        <f t="shared" si="1"/>
        <v>3.6487500000000001E-3</v>
      </c>
      <c r="F35" s="93">
        <f t="shared" si="1"/>
        <v>1.1999174999999999E-2</v>
      </c>
      <c r="G35" s="93">
        <f t="shared" si="1"/>
        <v>2.5958249999999995E-3</v>
      </c>
      <c r="H35" s="93">
        <f t="shared" si="1"/>
        <v>3.9093749999999997E-2</v>
      </c>
      <c r="I35" s="93">
        <f t="shared" si="1"/>
        <v>7.8187499999999993E-3</v>
      </c>
      <c r="J35" s="93">
        <f t="shared" si="1"/>
        <v>3.3360000000000001E-2</v>
      </c>
      <c r="K35" s="104"/>
      <c r="L35" s="95"/>
      <c r="M35" s="37"/>
      <c r="N35" s="37"/>
      <c r="O35" s="37"/>
    </row>
    <row r="36" spans="1:15" ht="15" customHeight="1" x14ac:dyDescent="0.25">
      <c r="A36" s="37"/>
      <c r="B36" s="37"/>
      <c r="C36" s="105"/>
      <c r="D36" s="97">
        <f>$F$16*D35</f>
        <v>5.7337500000000001E-3</v>
      </c>
      <c r="E36" s="97">
        <f t="shared" ref="E36:J36" si="2">$F$16*E35</f>
        <v>3.6487500000000001E-3</v>
      </c>
      <c r="F36" s="97">
        <f t="shared" si="2"/>
        <v>1.1999174999999999E-2</v>
      </c>
      <c r="G36" s="97">
        <f t="shared" si="2"/>
        <v>2.5958249999999995E-3</v>
      </c>
      <c r="H36" s="97">
        <f t="shared" si="2"/>
        <v>3.9093749999999997E-2</v>
      </c>
      <c r="I36" s="97">
        <f t="shared" si="2"/>
        <v>7.8187499999999993E-3</v>
      </c>
      <c r="J36" s="97">
        <f t="shared" si="2"/>
        <v>3.3360000000000001E-2</v>
      </c>
      <c r="K36" s="106"/>
      <c r="L36" s="99"/>
      <c r="M36" s="37"/>
      <c r="N36" s="37"/>
      <c r="O36" s="37"/>
    </row>
    <row r="37" spans="1:15" ht="1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5" x14ac:dyDescent="0.25">
      <c r="C38" s="100" t="s">
        <v>34</v>
      </c>
      <c r="D38" s="88">
        <f>IF($K$39&gt;$K$40,0.0602,(IF($C$15&lt;=3600000.01,Segregação!C23,Segregação!C24)))</f>
        <v>6.0199999999999997E-2</v>
      </c>
      <c r="E38" s="88">
        <f>IF($K$39&gt;$K$40,0.0526,(IF($C$15&lt;=3600000.01,Segregação!D23,Segregação!D24)))</f>
        <v>5.2600000000000001E-2</v>
      </c>
      <c r="F38" s="88">
        <f>IF($K$39&gt;$K$40,0.1928,(IF($C$15&lt;=3600000.01,Segregação!E23,Segregação!E24)))</f>
        <v>0.1928</v>
      </c>
      <c r="G38" s="88">
        <f>IF($K$39&gt;$K$40,0.0418,(IF($C$15&lt;=3600000.01,Segregação!F23,Segregação!F24)))</f>
        <v>4.1799999999999997E-2</v>
      </c>
      <c r="H38" s="88">
        <f>IF($K$39&gt;$K$40,0.6526,(IF($C$15&lt;3600000.01,Segregação!G23,Segregação!G24)))</f>
        <v>0.65259999999999996</v>
      </c>
      <c r="I38" s="107"/>
      <c r="J38" s="107"/>
      <c r="K38" s="88">
        <f>IF($C$15&lt;3600000.01,Segregação!J23,Segregação!J23)</f>
        <v>0.33500000000000002</v>
      </c>
      <c r="L38" s="90">
        <f>SUM(D41:K41)</f>
        <v>0.14718000000000001</v>
      </c>
    </row>
    <row r="39" spans="1:15" ht="15" customHeight="1" x14ac:dyDescent="0.25">
      <c r="C39" s="103"/>
      <c r="D39" s="108"/>
      <c r="E39" s="88"/>
      <c r="F39" s="88"/>
      <c r="G39" s="88"/>
      <c r="H39" s="88"/>
      <c r="I39" s="109"/>
      <c r="J39" s="109"/>
      <c r="K39" s="108">
        <v>0.05</v>
      </c>
      <c r="L39" s="95"/>
    </row>
    <row r="40" spans="1:15" x14ac:dyDescent="0.25">
      <c r="C40" s="103"/>
      <c r="D40" s="93">
        <f>($I$18-$K$40)*D38</f>
        <v>5.8920569400000003E-3</v>
      </c>
      <c r="E40" s="93">
        <f>($I$18-$K$40)*E38</f>
        <v>5.1482092200000008E-3</v>
      </c>
      <c r="F40" s="93">
        <f>($I$18-$K$40)*F38</f>
        <v>1.8870242160000002E-2</v>
      </c>
      <c r="G40" s="93">
        <f>($I$18-$K$40)*G38</f>
        <v>4.0911624599999996E-3</v>
      </c>
      <c r="H40" s="93">
        <f>($I$18-$K$40)*H38</f>
        <v>6.3873029220000002E-2</v>
      </c>
      <c r="I40" s="109"/>
      <c r="J40" s="109"/>
      <c r="K40" s="108">
        <f>IF(($I$18*K38)&gt;0.05,0.05,($I$18*K38))</f>
        <v>4.9305300000000003E-2</v>
      </c>
      <c r="L40" s="95"/>
    </row>
    <row r="41" spans="1:15" x14ac:dyDescent="0.25">
      <c r="C41" s="105"/>
      <c r="D41" s="97">
        <f>$I$16*D40</f>
        <v>5.8920569400000003E-3</v>
      </c>
      <c r="E41" s="97">
        <f t="shared" ref="E41:H41" si="3">$I$16*E40</f>
        <v>5.1482092200000008E-3</v>
      </c>
      <c r="F41" s="97">
        <f t="shared" si="3"/>
        <v>1.8870242160000002E-2</v>
      </c>
      <c r="G41" s="97">
        <f t="shared" si="3"/>
        <v>4.0911624599999996E-3</v>
      </c>
      <c r="H41" s="97">
        <f t="shared" si="3"/>
        <v>6.3873029220000002E-2</v>
      </c>
      <c r="I41" s="110"/>
      <c r="J41" s="110"/>
      <c r="K41" s="97">
        <f>$I$16*K40</f>
        <v>4.9305300000000003E-2</v>
      </c>
      <c r="L41" s="99"/>
    </row>
    <row r="43" spans="1:15" x14ac:dyDescent="0.25">
      <c r="C43" s="100" t="s">
        <v>74</v>
      </c>
      <c r="D43" s="88">
        <f>D38</f>
        <v>6.0199999999999997E-2</v>
      </c>
      <c r="E43" s="88">
        <f>E38</f>
        <v>5.2600000000000001E-2</v>
      </c>
      <c r="F43" s="88">
        <f>F38</f>
        <v>0.1928</v>
      </c>
      <c r="G43" s="88">
        <f>G38</f>
        <v>4.1799999999999997E-2</v>
      </c>
      <c r="H43" s="88">
        <f>H38</f>
        <v>0.65259999999999996</v>
      </c>
      <c r="I43" s="111"/>
      <c r="J43" s="111"/>
      <c r="K43" s="111"/>
      <c r="L43" s="112">
        <f>SUM(D46:K46)</f>
        <v>9.7874700000000009E-2</v>
      </c>
    </row>
    <row r="44" spans="1:15" x14ac:dyDescent="0.25">
      <c r="C44" s="103"/>
      <c r="D44" s="108"/>
      <c r="E44" s="88"/>
      <c r="F44" s="88"/>
      <c r="G44" s="88"/>
      <c r="H44" s="88"/>
      <c r="I44" s="109"/>
      <c r="J44" s="109"/>
      <c r="K44" s="109"/>
      <c r="L44" s="113"/>
    </row>
    <row r="45" spans="1:15" x14ac:dyDescent="0.25">
      <c r="C45" s="103"/>
      <c r="D45" s="93">
        <f>($I$18-$K$40)*D43</f>
        <v>5.8920569400000003E-3</v>
      </c>
      <c r="E45" s="93">
        <f>($I$18-$K$40)*E43</f>
        <v>5.1482092200000008E-3</v>
      </c>
      <c r="F45" s="93">
        <f>($I$18-$K$40)*F43</f>
        <v>1.8870242160000002E-2</v>
      </c>
      <c r="G45" s="93">
        <f>($I$18-$K$40)*G43</f>
        <v>4.0911624599999996E-3</v>
      </c>
      <c r="H45" s="93">
        <f>($I$18-$K$40)*H43</f>
        <v>6.3873029220000002E-2</v>
      </c>
      <c r="I45" s="109"/>
      <c r="J45" s="109"/>
      <c r="K45" s="109"/>
      <c r="L45" s="113"/>
    </row>
    <row r="46" spans="1:15" x14ac:dyDescent="0.25">
      <c r="C46" s="105"/>
      <c r="D46" s="97">
        <f>$I$17*D45</f>
        <v>5.8920569400000003E-3</v>
      </c>
      <c r="E46" s="97">
        <f>$I$17*E45</f>
        <v>5.1482092200000008E-3</v>
      </c>
      <c r="F46" s="97">
        <f>$I$17*F45</f>
        <v>1.8870242160000002E-2</v>
      </c>
      <c r="G46" s="97">
        <f>$I$17*G45</f>
        <v>4.0911624599999996E-3</v>
      </c>
      <c r="H46" s="97">
        <f>$I$17*H45</f>
        <v>6.3873029220000002E-2</v>
      </c>
      <c r="I46" s="110"/>
      <c r="J46" s="110"/>
      <c r="K46" s="110"/>
      <c r="L46" s="114"/>
    </row>
    <row r="48" spans="1:15" x14ac:dyDescent="0.25">
      <c r="C48" s="115" t="s">
        <v>75</v>
      </c>
      <c r="D48" s="88">
        <f>IF($K$39&gt;$K$40,0.0602,(IF($C$15&lt;=3600000.01,Segregação!C33,Segregação!C34)))</f>
        <v>6.0199999999999997E-2</v>
      </c>
      <c r="E48" s="88">
        <f>IF($K$39&gt;$K$40,0.0526,(IF($C$15&lt;=3600000.01,Segregação!D33,Segregação!D34)))</f>
        <v>5.2600000000000001E-2</v>
      </c>
      <c r="F48" s="88">
        <f>IF($K$39&gt;$K$40,0.1928,(IF($C$15&lt;=3600000.01,Segregação!E33,Segregação!E34)))</f>
        <v>0.1928</v>
      </c>
      <c r="G48" s="88">
        <f>IF($K$39&gt;$K$40,0.0418,(IF($C$15&lt;=3600000.01,Segregação!F33,Segregação!F34)))</f>
        <v>4.1799999999999997E-2</v>
      </c>
      <c r="H48" s="88">
        <f>IF($K$39&gt;$K$40,0.6526,(IF($C$15&lt;3600000.01,Segregação!J33,Segregação!J34)))</f>
        <v>0.65259999999999996</v>
      </c>
      <c r="I48" s="107"/>
      <c r="J48" s="107"/>
      <c r="K48" s="88">
        <f>IF($C$15&lt;3600000.01,Segregação!J39,Segregação!J39)</f>
        <v>0.14000000000000001</v>
      </c>
      <c r="L48" s="90">
        <f>SUM(D51:K51)</f>
        <v>7.8804700000000005E-2</v>
      </c>
    </row>
    <row r="49" spans="3:12" x14ac:dyDescent="0.25">
      <c r="C49" s="116"/>
      <c r="D49" s="108"/>
      <c r="E49" s="88"/>
      <c r="F49" s="88"/>
      <c r="G49" s="88"/>
      <c r="H49" s="88"/>
      <c r="I49" s="109"/>
      <c r="J49" s="109"/>
      <c r="K49" s="108">
        <v>0.05</v>
      </c>
      <c r="L49" s="95"/>
    </row>
    <row r="50" spans="3:12" x14ac:dyDescent="0.25">
      <c r="C50" s="116"/>
      <c r="D50" s="93">
        <f>($K$18-$K$40)*D48</f>
        <v>4.7440429400000001E-3</v>
      </c>
      <c r="E50" s="93">
        <f>($K$18-$K$40)*E48</f>
        <v>4.1451272200000002E-3</v>
      </c>
      <c r="F50" s="93">
        <f>($K$18-$K$40)*F48</f>
        <v>1.5193546160000002E-2</v>
      </c>
      <c r="G50" s="93">
        <f>($K$18-$K$40)*G48</f>
        <v>3.2940364600000001E-3</v>
      </c>
      <c r="H50" s="93">
        <f>($K$18-$K$40)*H48</f>
        <v>5.1427947219999999E-2</v>
      </c>
      <c r="I50" s="109"/>
      <c r="J50" s="109"/>
      <c r="K50" s="108">
        <f>IF(($K$18*K48)&gt;0.05,0.05,($K$18*K48))</f>
        <v>1.7935400000000001E-2</v>
      </c>
      <c r="L50" s="95"/>
    </row>
    <row r="51" spans="3:12" x14ac:dyDescent="0.25">
      <c r="C51" s="117"/>
      <c r="D51" s="97">
        <f>$L$16*D50</f>
        <v>4.7440429400000001E-3</v>
      </c>
      <c r="E51" s="97">
        <f>$L$16*E50</f>
        <v>4.1451272200000002E-3</v>
      </c>
      <c r="F51" s="97">
        <f>$L$16*F50</f>
        <v>1.5193546160000002E-2</v>
      </c>
      <c r="G51" s="97">
        <f>$L$16*G50</f>
        <v>3.2940364600000001E-3</v>
      </c>
      <c r="H51" s="97">
        <f>$L$16*H50</f>
        <v>5.1427947219999999E-2</v>
      </c>
      <c r="I51" s="110"/>
      <c r="J51" s="110"/>
      <c r="K51" s="97">
        <f>$M$16*K50</f>
        <v>0</v>
      </c>
      <c r="L51" s="99"/>
    </row>
    <row r="53" spans="3:12" x14ac:dyDescent="0.25">
      <c r="C53" s="100" t="s">
        <v>76</v>
      </c>
      <c r="D53" s="88">
        <f>IF($K$39&gt;$K$40,0.0602,(IF($C$15&lt;=3600000.01,Segregação!C38,Segregação!C39)))</f>
        <v>6.0199999999999997E-2</v>
      </c>
      <c r="E53" s="88">
        <f>IF($K$39&gt;$K$40,0.0526,(IF($C$15&lt;=3600000.01,Segregação!D38,Segregação!D39)))</f>
        <v>5.2600000000000001E-2</v>
      </c>
      <c r="F53" s="88">
        <f>IF($K$39&gt;$K$40,0.1928,(IF($C$15&lt;=3600000.01,Segregação!E38,Segregação!E39)))</f>
        <v>0.1928</v>
      </c>
      <c r="G53" s="88">
        <f>IF($K$39&gt;$K$40,0.0418,(IF($C$15&lt;=3600000.01,Segregação!F38,Segregação!F39)))</f>
        <v>4.1799999999999997E-2</v>
      </c>
      <c r="H53" s="88">
        <f>IF($K$39&gt;$K$40,0.6526,(IF($C$15&lt;3600000.01,Segregação!G38,Segregação!G39)))</f>
        <v>0.65259999999999996</v>
      </c>
      <c r="I53" s="107"/>
      <c r="J53" s="107"/>
      <c r="K53" s="88" t="e">
        <f>IF($C$15&lt;3600000.01,Segregação!#REF!,Segregação!#REF!)</f>
        <v>#REF!</v>
      </c>
      <c r="L53" s="90" t="e">
        <f>SUM(D56:K56)</f>
        <v>#REF!</v>
      </c>
    </row>
    <row r="54" spans="3:12" x14ac:dyDescent="0.25">
      <c r="C54" s="103"/>
      <c r="D54" s="108"/>
      <c r="E54" s="88"/>
      <c r="F54" s="88"/>
      <c r="G54" s="88"/>
      <c r="H54" s="88"/>
      <c r="I54" s="109"/>
      <c r="J54" s="109"/>
      <c r="K54" s="108"/>
      <c r="L54" s="95"/>
    </row>
    <row r="55" spans="3:12" x14ac:dyDescent="0.25">
      <c r="C55" s="103"/>
      <c r="D55" s="93">
        <f>($I$18-$K$40)*D53</f>
        <v>5.8920569400000003E-3</v>
      </c>
      <c r="E55" s="93">
        <f>($I$18-$K$40)*E53</f>
        <v>5.1482092200000008E-3</v>
      </c>
      <c r="F55" s="93">
        <f>($I$18-$K$40)*F53</f>
        <v>1.8870242160000002E-2</v>
      </c>
      <c r="G55" s="93">
        <f>($I$18-$K$40)*G53</f>
        <v>4.0911624599999996E-3</v>
      </c>
      <c r="H55" s="93">
        <f>($I$18-$K$40)*H53</f>
        <v>6.3873029220000002E-2</v>
      </c>
      <c r="I55" s="109"/>
      <c r="J55" s="109"/>
      <c r="K55" s="108" t="e">
        <f>IF(($I$18*K53)&gt;0.05,0.05,($I$18*K53))</f>
        <v>#REF!</v>
      </c>
      <c r="L55" s="95"/>
    </row>
    <row r="56" spans="3:12" x14ac:dyDescent="0.25">
      <c r="C56" s="105"/>
      <c r="D56" s="97">
        <f>$I$16*D55</f>
        <v>5.8920569400000003E-3</v>
      </c>
      <c r="E56" s="97">
        <f t="shared" ref="E56:H56" si="4">$I$16*E55</f>
        <v>5.1482092200000008E-3</v>
      </c>
      <c r="F56" s="97">
        <f t="shared" si="4"/>
        <v>1.8870242160000002E-2</v>
      </c>
      <c r="G56" s="97">
        <f t="shared" si="4"/>
        <v>4.0911624599999996E-3</v>
      </c>
      <c r="H56" s="97">
        <f t="shared" si="4"/>
        <v>6.3873029220000002E-2</v>
      </c>
      <c r="I56" s="110"/>
      <c r="J56" s="110"/>
      <c r="K56" s="97" t="e">
        <f>$I$16*K55</f>
        <v>#REF!</v>
      </c>
      <c r="L56" s="99"/>
    </row>
  </sheetData>
  <sheetProtection algorithmName="SHA-512" hashValue="ktBYp9i8lCYwZgiI6J+9KmCIvmJCk0py79IFfh0tiO7GTvhzzSmnhuhxvPUc8NKT54oMHgrI0FRYtAwu2eOjBA==" saltValue="FsFhM/A4YjJG4EvxpEEbQQ==" spinCount="100000" sheet="1" objects="1" scenarios="1"/>
  <mergeCells count="49">
    <mergeCell ref="C48:C51"/>
    <mergeCell ref="I48:I51"/>
    <mergeCell ref="J48:J51"/>
    <mergeCell ref="L48:L51"/>
    <mergeCell ref="C53:C56"/>
    <mergeCell ref="I53:I56"/>
    <mergeCell ref="J53:J56"/>
    <mergeCell ref="L53:L56"/>
    <mergeCell ref="K43:K46"/>
    <mergeCell ref="C38:C41"/>
    <mergeCell ref="I38:I41"/>
    <mergeCell ref="J38:J41"/>
    <mergeCell ref="M30:M32"/>
    <mergeCell ref="C43:C46"/>
    <mergeCell ref="I43:I46"/>
    <mergeCell ref="J43:J46"/>
    <mergeCell ref="L43:L46"/>
    <mergeCell ref="L38:L41"/>
    <mergeCell ref="C34:C36"/>
    <mergeCell ref="L34:L36"/>
    <mergeCell ref="K34:K36"/>
    <mergeCell ref="J16:K16"/>
    <mergeCell ref="L16:M16"/>
    <mergeCell ref="C26:C28"/>
    <mergeCell ref="I26:I28"/>
    <mergeCell ref="L26:L28"/>
    <mergeCell ref="L17:M17"/>
    <mergeCell ref="D20:E20"/>
    <mergeCell ref="F20:G20"/>
    <mergeCell ref="H20:I20"/>
    <mergeCell ref="J20:K20"/>
    <mergeCell ref="L20:M20"/>
    <mergeCell ref="M26:M28"/>
    <mergeCell ref="L5:M5"/>
    <mergeCell ref="C16:C17"/>
    <mergeCell ref="F16:G16"/>
    <mergeCell ref="C30:C32"/>
    <mergeCell ref="I30:I32"/>
    <mergeCell ref="L30:L32"/>
    <mergeCell ref="J30:J32"/>
    <mergeCell ref="K30:K32"/>
    <mergeCell ref="D5:E5"/>
    <mergeCell ref="F5:G5"/>
    <mergeCell ref="H5:I5"/>
    <mergeCell ref="J5:K5"/>
    <mergeCell ref="K26:K28"/>
    <mergeCell ref="F17:G17"/>
    <mergeCell ref="J17:K17"/>
    <mergeCell ref="D22:E22"/>
  </mergeCells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44"/>
  <sheetViews>
    <sheetView topLeftCell="A13" workbookViewId="0">
      <selection activeCell="J29" sqref="J29"/>
    </sheetView>
  </sheetViews>
  <sheetFormatPr defaultRowHeight="15" x14ac:dyDescent="0.25"/>
  <cols>
    <col min="3" max="3" width="11.28515625" bestFit="1" customWidth="1"/>
  </cols>
  <sheetData>
    <row r="2" spans="2:9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</row>
    <row r="3" spans="2:9" x14ac:dyDescent="0.25">
      <c r="B3" t="s">
        <v>42</v>
      </c>
      <c r="C3" s="3">
        <v>5.5E-2</v>
      </c>
      <c r="D3" s="4">
        <v>3.5000000000000003E-2</v>
      </c>
      <c r="E3" s="4">
        <v>0.12740000000000001</v>
      </c>
      <c r="F3" s="4">
        <v>2.76E-2</v>
      </c>
      <c r="G3" s="4">
        <v>0.41499999999999998</v>
      </c>
      <c r="H3" s="4">
        <v>0.34</v>
      </c>
    </row>
    <row r="4" spans="2:9" x14ac:dyDescent="0.25">
      <c r="B4" t="s">
        <v>43</v>
      </c>
      <c r="C4" s="3">
        <v>5.5E-2</v>
      </c>
      <c r="D4" s="4">
        <v>3.5000000000000003E-2</v>
      </c>
      <c r="E4" s="4">
        <v>0.12740000000000001</v>
      </c>
      <c r="F4" s="4">
        <v>2.76E-2</v>
      </c>
      <c r="G4" s="4">
        <v>0.41499999999999998</v>
      </c>
      <c r="H4" s="4">
        <v>0.34</v>
      </c>
    </row>
    <row r="5" spans="2:9" x14ac:dyDescent="0.25">
      <c r="B5" t="s">
        <v>44</v>
      </c>
      <c r="C5" s="3">
        <v>5.5E-2</v>
      </c>
      <c r="D5" s="4">
        <v>3.5000000000000003E-2</v>
      </c>
      <c r="E5" s="4">
        <v>0.12740000000000001</v>
      </c>
      <c r="F5" s="4">
        <v>2.76E-2</v>
      </c>
      <c r="G5" s="4">
        <v>0.42</v>
      </c>
      <c r="H5" s="4">
        <v>0.33500000000000002</v>
      </c>
    </row>
    <row r="6" spans="2:9" x14ac:dyDescent="0.25">
      <c r="B6" t="s">
        <v>45</v>
      </c>
      <c r="C6" s="3">
        <v>5.5E-2</v>
      </c>
      <c r="D6" s="4">
        <v>3.5000000000000003E-2</v>
      </c>
      <c r="E6" s="4">
        <v>0.12740000000000001</v>
      </c>
      <c r="F6" s="4">
        <v>2.76E-2</v>
      </c>
      <c r="G6" s="4">
        <v>0.42</v>
      </c>
      <c r="H6" s="4">
        <v>0.33500000000000002</v>
      </c>
    </row>
    <row r="7" spans="2:9" x14ac:dyDescent="0.25">
      <c r="B7" t="s">
        <v>46</v>
      </c>
      <c r="C7" s="3">
        <v>5.5E-2</v>
      </c>
      <c r="D7" s="4">
        <v>3.5000000000000003E-2</v>
      </c>
      <c r="E7" s="4">
        <v>0.12740000000000001</v>
      </c>
      <c r="F7" s="4">
        <v>2.76E-2</v>
      </c>
      <c r="G7" s="4">
        <v>0.42</v>
      </c>
      <c r="H7" s="4">
        <v>0.33500000000000002</v>
      </c>
    </row>
    <row r="8" spans="2:9" x14ac:dyDescent="0.25">
      <c r="B8" t="s">
        <v>47</v>
      </c>
      <c r="C8" s="4">
        <v>0.13500000000000001</v>
      </c>
      <c r="D8" s="4">
        <v>0.1</v>
      </c>
      <c r="E8" s="4">
        <v>0.28270000000000001</v>
      </c>
      <c r="F8" s="4">
        <v>6.13E-2</v>
      </c>
      <c r="G8" s="4">
        <v>0.42099999999999999</v>
      </c>
      <c r="H8" s="5" t="s">
        <v>12</v>
      </c>
    </row>
    <row r="9" spans="2:9" x14ac:dyDescent="0.25">
      <c r="C9" s="4"/>
      <c r="D9" s="4"/>
      <c r="E9" s="4"/>
      <c r="F9" s="4"/>
      <c r="G9" s="4"/>
      <c r="H9" s="5"/>
    </row>
    <row r="10" spans="2:9" x14ac:dyDescent="0.25">
      <c r="B10" t="s">
        <v>48</v>
      </c>
      <c r="C10" t="s">
        <v>36</v>
      </c>
      <c r="D10" t="s">
        <v>37</v>
      </c>
      <c r="E10" t="s">
        <v>38</v>
      </c>
      <c r="F10" t="s">
        <v>39</v>
      </c>
      <c r="G10" t="s">
        <v>40</v>
      </c>
      <c r="H10" t="s">
        <v>30</v>
      </c>
      <c r="I10" t="s">
        <v>41</v>
      </c>
    </row>
    <row r="11" spans="2:9" x14ac:dyDescent="0.25">
      <c r="B11" t="s">
        <v>42</v>
      </c>
      <c r="C11" s="3">
        <v>5.5E-2</v>
      </c>
      <c r="D11" s="4">
        <v>3.5000000000000003E-2</v>
      </c>
      <c r="E11" s="4">
        <v>0.11509999999999999</v>
      </c>
      <c r="F11" s="4">
        <v>2.4899999999999999E-2</v>
      </c>
      <c r="G11" s="4">
        <v>0.375</v>
      </c>
      <c r="H11" s="4">
        <v>7.4999999999999997E-2</v>
      </c>
      <c r="I11" s="4">
        <v>0.32</v>
      </c>
    </row>
    <row r="12" spans="2:9" x14ac:dyDescent="0.25">
      <c r="B12" t="s">
        <v>43</v>
      </c>
      <c r="C12" s="3">
        <v>5.5E-2</v>
      </c>
      <c r="D12" s="4">
        <v>3.5000000000000003E-2</v>
      </c>
      <c r="E12" s="4">
        <v>0.11509999999999999</v>
      </c>
      <c r="F12" s="4">
        <v>2.4899999999999999E-2</v>
      </c>
      <c r="G12" s="4">
        <v>0.375</v>
      </c>
      <c r="H12" s="4">
        <v>7.4999999999999997E-2</v>
      </c>
      <c r="I12" s="4">
        <v>0.32</v>
      </c>
    </row>
    <row r="13" spans="2:9" x14ac:dyDescent="0.25">
      <c r="B13" t="s">
        <v>44</v>
      </c>
      <c r="C13" s="3">
        <v>5.5E-2</v>
      </c>
      <c r="D13" s="4">
        <v>3.5000000000000003E-2</v>
      </c>
      <c r="E13" s="4">
        <v>0.11509999999999999</v>
      </c>
      <c r="F13" s="4">
        <v>2.4899999999999999E-2</v>
      </c>
      <c r="G13" s="4">
        <v>0.375</v>
      </c>
      <c r="H13" s="4">
        <v>7.4999999999999997E-2</v>
      </c>
      <c r="I13" s="4">
        <v>0.32</v>
      </c>
    </row>
    <row r="14" spans="2:9" x14ac:dyDescent="0.25">
      <c r="B14" t="s">
        <v>45</v>
      </c>
      <c r="C14" s="3">
        <v>5.5E-2</v>
      </c>
      <c r="D14" s="4">
        <v>3.5000000000000003E-2</v>
      </c>
      <c r="E14" s="4">
        <v>0.11509999999999999</v>
      </c>
      <c r="F14" s="4">
        <v>2.4899999999999999E-2</v>
      </c>
      <c r="G14" s="4">
        <v>0.375</v>
      </c>
      <c r="H14" s="4">
        <v>7.4999999999999997E-2</v>
      </c>
      <c r="I14" s="4">
        <v>0.32</v>
      </c>
    </row>
    <row r="15" spans="2:9" x14ac:dyDescent="0.25">
      <c r="B15" t="s">
        <v>46</v>
      </c>
      <c r="C15" s="3">
        <v>5.5E-2</v>
      </c>
      <c r="D15" s="4">
        <v>3.5000000000000003E-2</v>
      </c>
      <c r="E15" s="4">
        <v>0.11509999999999999</v>
      </c>
      <c r="F15" s="4">
        <v>2.4899999999999999E-2</v>
      </c>
      <c r="G15" s="4">
        <v>0.375</v>
      </c>
      <c r="H15" s="4">
        <v>7.4999999999999997E-2</v>
      </c>
      <c r="I15" s="4">
        <v>0.32</v>
      </c>
    </row>
    <row r="16" spans="2:9" x14ac:dyDescent="0.25">
      <c r="B16" t="s">
        <v>47</v>
      </c>
      <c r="C16" s="4">
        <v>8.5000000000000006E-2</v>
      </c>
      <c r="D16" s="4">
        <v>7.4999999999999997E-2</v>
      </c>
      <c r="E16" s="4">
        <v>0.20960000000000001</v>
      </c>
      <c r="F16" s="4">
        <v>4.5400000000000003E-2</v>
      </c>
      <c r="G16" s="4">
        <v>0.23499999999999999</v>
      </c>
      <c r="H16" s="4">
        <v>0.35</v>
      </c>
      <c r="I16" s="5" t="s">
        <v>12</v>
      </c>
    </row>
    <row r="17" spans="2:10" x14ac:dyDescent="0.25">
      <c r="C17" s="4"/>
      <c r="D17" s="4"/>
      <c r="E17" s="4"/>
      <c r="F17" s="4"/>
      <c r="G17" s="4"/>
      <c r="H17" s="5"/>
    </row>
    <row r="18" spans="2:10" x14ac:dyDescent="0.25">
      <c r="B18" t="s">
        <v>49</v>
      </c>
      <c r="C18" t="s">
        <v>36</v>
      </c>
      <c r="D18" t="s">
        <v>37</v>
      </c>
      <c r="E18" t="s">
        <v>38</v>
      </c>
      <c r="F18" t="s">
        <v>39</v>
      </c>
      <c r="G18" t="s">
        <v>40</v>
      </c>
      <c r="H18" t="s">
        <v>30</v>
      </c>
      <c r="I18" t="s">
        <v>41</v>
      </c>
      <c r="J18" t="s">
        <v>50</v>
      </c>
    </row>
    <row r="19" spans="2:10" x14ac:dyDescent="0.25">
      <c r="B19" t="s">
        <v>42</v>
      </c>
      <c r="C19" s="3">
        <v>0.04</v>
      </c>
      <c r="D19" s="4">
        <v>3.5000000000000003E-2</v>
      </c>
      <c r="E19" s="4">
        <v>0.12820000000000001</v>
      </c>
      <c r="F19" s="4">
        <v>2.7799999999999998E-2</v>
      </c>
      <c r="G19" s="4">
        <v>0.434</v>
      </c>
      <c r="H19" s="4">
        <v>0</v>
      </c>
      <c r="I19" s="4">
        <v>0</v>
      </c>
      <c r="J19" s="4">
        <v>0.33500000000000002</v>
      </c>
    </row>
    <row r="20" spans="2:10" x14ac:dyDescent="0.25">
      <c r="B20" t="s">
        <v>43</v>
      </c>
      <c r="C20" s="3">
        <v>0.04</v>
      </c>
      <c r="D20" s="4">
        <v>3.5000000000000003E-2</v>
      </c>
      <c r="E20" s="4">
        <v>0.14050000000000001</v>
      </c>
      <c r="F20" s="4">
        <v>3.0499999999999999E-2</v>
      </c>
      <c r="G20" s="4">
        <v>0.434</v>
      </c>
      <c r="H20" s="4">
        <v>0</v>
      </c>
      <c r="I20" s="4">
        <v>0</v>
      </c>
      <c r="J20" s="4">
        <v>0.32</v>
      </c>
    </row>
    <row r="21" spans="2:10" x14ac:dyDescent="0.25">
      <c r="B21" t="s">
        <v>44</v>
      </c>
      <c r="C21" s="3">
        <v>0.04</v>
      </c>
      <c r="D21" s="4">
        <v>3.5000000000000003E-2</v>
      </c>
      <c r="E21" s="4">
        <v>0.13639999999999999</v>
      </c>
      <c r="F21" s="4">
        <v>2.9600000000000001E-2</v>
      </c>
      <c r="G21" s="4">
        <v>0.434</v>
      </c>
      <c r="H21" s="4">
        <v>0</v>
      </c>
      <c r="I21" s="4">
        <v>0</v>
      </c>
      <c r="J21" s="4">
        <v>0.32500000000000001</v>
      </c>
    </row>
    <row r="22" spans="2:10" x14ac:dyDescent="0.25">
      <c r="B22" t="s">
        <v>45</v>
      </c>
      <c r="C22" s="3">
        <v>0.04</v>
      </c>
      <c r="D22" s="4">
        <v>3.5000000000000003E-2</v>
      </c>
      <c r="E22" s="4">
        <v>0.13639999999999999</v>
      </c>
      <c r="F22" s="4">
        <v>2.9600000000000001E-2</v>
      </c>
      <c r="G22" s="4">
        <v>0.434</v>
      </c>
      <c r="H22" s="4">
        <v>0</v>
      </c>
      <c r="I22" s="4">
        <v>0</v>
      </c>
      <c r="J22" s="4">
        <v>0.32500000000000001</v>
      </c>
    </row>
    <row r="23" spans="2:10" x14ac:dyDescent="0.25">
      <c r="B23" t="s">
        <v>46</v>
      </c>
      <c r="C23" s="3">
        <v>0.04</v>
      </c>
      <c r="D23" s="4">
        <v>3.5000000000000003E-2</v>
      </c>
      <c r="E23" s="4">
        <v>0.12820000000000001</v>
      </c>
      <c r="F23" s="4">
        <v>2.7799999999999998E-2</v>
      </c>
      <c r="G23" s="4">
        <v>0.434</v>
      </c>
      <c r="H23" s="4">
        <v>0</v>
      </c>
      <c r="I23" s="4">
        <v>0</v>
      </c>
      <c r="J23" s="4">
        <v>0.33500000000000002</v>
      </c>
    </row>
    <row r="24" spans="2:10" x14ac:dyDescent="0.25">
      <c r="B24" t="s">
        <v>47</v>
      </c>
      <c r="C24" s="4">
        <v>0.35</v>
      </c>
      <c r="D24" s="4">
        <v>0.15</v>
      </c>
      <c r="E24" s="4">
        <v>0.1603</v>
      </c>
      <c r="F24" s="4">
        <v>3.4700000000000002E-2</v>
      </c>
      <c r="G24" s="4">
        <v>0.30499999999999999</v>
      </c>
      <c r="H24" s="4">
        <v>0</v>
      </c>
      <c r="I24" s="4">
        <v>0</v>
      </c>
      <c r="J24" s="4">
        <v>0.33500000000000002</v>
      </c>
    </row>
    <row r="25" spans="2:10" x14ac:dyDescent="0.25">
      <c r="C25" s="4"/>
      <c r="D25" s="4"/>
      <c r="E25" s="4"/>
      <c r="F25" s="4"/>
      <c r="G25" s="4"/>
      <c r="H25" s="5"/>
    </row>
    <row r="27" spans="2:10" x14ac:dyDescent="0.25">
      <c r="B27" t="s">
        <v>51</v>
      </c>
    </row>
    <row r="28" spans="2:10" x14ac:dyDescent="0.25">
      <c r="C28" t="s">
        <v>36</v>
      </c>
      <c r="D28" t="s">
        <v>37</v>
      </c>
      <c r="E28" t="s">
        <v>38</v>
      </c>
      <c r="F28" t="s">
        <v>39</v>
      </c>
      <c r="G28" t="s">
        <v>40</v>
      </c>
      <c r="H28" t="s">
        <v>30</v>
      </c>
      <c r="I28" t="s">
        <v>41</v>
      </c>
      <c r="J28" t="s">
        <v>52</v>
      </c>
    </row>
    <row r="29" spans="2:10" x14ac:dyDescent="0.25">
      <c r="B29" t="s">
        <v>42</v>
      </c>
      <c r="C29" s="4">
        <v>0.188</v>
      </c>
      <c r="D29" s="4">
        <v>0.152</v>
      </c>
      <c r="E29" s="4">
        <v>0.1767</v>
      </c>
      <c r="F29" s="4">
        <v>3.8300000000000001E-2</v>
      </c>
      <c r="G29" s="22"/>
      <c r="H29" s="22"/>
      <c r="I29" s="22"/>
      <c r="J29" s="4">
        <v>0.44500000000000001</v>
      </c>
    </row>
    <row r="30" spans="2:10" x14ac:dyDescent="0.25">
      <c r="B30" t="s">
        <v>43</v>
      </c>
      <c r="C30" s="4">
        <v>0.19800000000000001</v>
      </c>
      <c r="D30" s="4">
        <v>0.152</v>
      </c>
      <c r="E30" s="4">
        <v>0.20549999999999999</v>
      </c>
      <c r="F30" s="4">
        <v>4.4499999999999998E-2</v>
      </c>
      <c r="G30" s="22"/>
      <c r="H30" s="22"/>
      <c r="I30" s="22"/>
      <c r="J30" s="4">
        <v>0.4</v>
      </c>
    </row>
    <row r="31" spans="2:10" x14ac:dyDescent="0.25">
      <c r="B31" t="s">
        <v>44</v>
      </c>
      <c r="C31" s="4">
        <v>0.20799999999999999</v>
      </c>
      <c r="D31" s="4">
        <v>0.152</v>
      </c>
      <c r="E31" s="4">
        <v>0.1973</v>
      </c>
      <c r="F31" s="4">
        <v>4.2700000000000002E-2</v>
      </c>
      <c r="G31" s="22"/>
      <c r="H31" s="22"/>
      <c r="I31" s="22"/>
      <c r="J31" s="4">
        <v>0.4</v>
      </c>
    </row>
    <row r="32" spans="2:10" x14ac:dyDescent="0.25">
      <c r="B32" t="s">
        <v>45</v>
      </c>
      <c r="C32" s="4">
        <v>0.17799999999999999</v>
      </c>
      <c r="D32" s="4">
        <v>0.192</v>
      </c>
      <c r="E32" s="4">
        <v>0.189</v>
      </c>
      <c r="F32" s="4">
        <v>4.1000000000000002E-2</v>
      </c>
      <c r="G32" s="22"/>
      <c r="H32" s="22"/>
      <c r="I32" s="22"/>
      <c r="J32" s="4">
        <v>0.4</v>
      </c>
    </row>
    <row r="33" spans="2:10" x14ac:dyDescent="0.25">
      <c r="B33" t="s">
        <v>46</v>
      </c>
      <c r="C33" s="4">
        <v>0.188</v>
      </c>
      <c r="D33" s="4">
        <v>0.192</v>
      </c>
      <c r="E33" s="4">
        <v>0.18079999999999999</v>
      </c>
      <c r="F33" s="4">
        <v>3.9199999999999999E-2</v>
      </c>
      <c r="G33" s="22"/>
      <c r="H33" s="22"/>
      <c r="I33" s="22"/>
      <c r="J33" s="4">
        <v>0.4</v>
      </c>
    </row>
    <row r="34" spans="2:10" x14ac:dyDescent="0.25">
      <c r="B34" t="s">
        <v>47</v>
      </c>
      <c r="C34" s="4">
        <v>0.53500000000000003</v>
      </c>
      <c r="D34" s="4">
        <v>0.215</v>
      </c>
      <c r="E34" s="4">
        <v>0.20549999999999999</v>
      </c>
      <c r="F34" s="4">
        <v>4.4499999999999998E-2</v>
      </c>
      <c r="G34" s="22"/>
      <c r="H34" s="22"/>
      <c r="I34" s="22"/>
      <c r="J34" s="5">
        <v>0.05</v>
      </c>
    </row>
    <row r="37" spans="2:10" x14ac:dyDescent="0.25">
      <c r="B37" t="s">
        <v>53</v>
      </c>
    </row>
    <row r="38" spans="2:10" x14ac:dyDescent="0.25">
      <c r="C38" t="s">
        <v>36</v>
      </c>
      <c r="D38" t="s">
        <v>37</v>
      </c>
      <c r="E38" t="s">
        <v>38</v>
      </c>
      <c r="F38" t="s">
        <v>39</v>
      </c>
      <c r="G38" t="s">
        <v>40</v>
      </c>
      <c r="H38" s="22" t="s">
        <v>30</v>
      </c>
      <c r="I38" s="22" t="s">
        <v>41</v>
      </c>
      <c r="J38" t="s">
        <v>52</v>
      </c>
    </row>
    <row r="39" spans="2:10" x14ac:dyDescent="0.25">
      <c r="B39" t="s">
        <v>42</v>
      </c>
      <c r="C39" s="4">
        <v>0.25</v>
      </c>
      <c r="D39" s="4">
        <v>0.15</v>
      </c>
      <c r="E39" s="4">
        <v>0.14099999999999999</v>
      </c>
      <c r="F39" s="4">
        <v>3.0499999999999999E-2</v>
      </c>
      <c r="G39" s="4">
        <v>0.28849999999999998</v>
      </c>
      <c r="H39" s="22"/>
      <c r="I39" s="22"/>
      <c r="J39" s="4">
        <v>0.14000000000000001</v>
      </c>
    </row>
    <row r="40" spans="2:10" x14ac:dyDescent="0.25">
      <c r="B40" t="s">
        <v>43</v>
      </c>
      <c r="C40" s="4">
        <v>0.23</v>
      </c>
      <c r="D40" s="4">
        <v>0.15</v>
      </c>
      <c r="E40" s="4">
        <v>0.14099999999999999</v>
      </c>
      <c r="F40" s="4">
        <v>3.0499999999999999E-2</v>
      </c>
      <c r="G40" s="4">
        <v>0.27850000000000003</v>
      </c>
      <c r="H40" s="22"/>
      <c r="I40" s="22"/>
      <c r="J40" s="4">
        <v>0.17</v>
      </c>
    </row>
    <row r="41" spans="2:10" x14ac:dyDescent="0.25">
      <c r="B41" t="s">
        <v>44</v>
      </c>
      <c r="C41" s="4">
        <v>0.24</v>
      </c>
      <c r="D41" s="4">
        <v>0.15</v>
      </c>
      <c r="E41" s="4">
        <v>0.1492</v>
      </c>
      <c r="F41" s="4">
        <v>3.2300000000000002E-2</v>
      </c>
      <c r="G41" s="4">
        <v>0.23849999999999999</v>
      </c>
      <c r="H41" s="22"/>
      <c r="I41" s="22"/>
      <c r="J41" s="4">
        <v>0.19</v>
      </c>
    </row>
    <row r="42" spans="2:10" x14ac:dyDescent="0.25">
      <c r="B42" t="s">
        <v>45</v>
      </c>
      <c r="C42" s="4">
        <v>0.21</v>
      </c>
      <c r="D42" s="4">
        <v>0.15</v>
      </c>
      <c r="E42" s="4">
        <v>0.15740000000000001</v>
      </c>
      <c r="F42" s="4">
        <v>3.4099999999999998E-2</v>
      </c>
      <c r="G42" s="4">
        <v>0.23849999999999999</v>
      </c>
      <c r="H42" s="22"/>
      <c r="I42" s="22"/>
      <c r="J42" s="4">
        <v>0.21</v>
      </c>
    </row>
    <row r="43" spans="2:10" x14ac:dyDescent="0.25">
      <c r="B43" t="s">
        <v>46</v>
      </c>
      <c r="C43" s="4">
        <v>0.23</v>
      </c>
      <c r="D43" s="4">
        <v>0.125</v>
      </c>
      <c r="E43" s="4">
        <v>0.14099999999999999</v>
      </c>
      <c r="F43" s="4">
        <v>3.0499999999999999E-2</v>
      </c>
      <c r="G43" s="4">
        <v>0.23849999999999999</v>
      </c>
      <c r="H43" s="22"/>
      <c r="I43" s="22"/>
      <c r="J43" s="4">
        <v>0.23499999999999999</v>
      </c>
    </row>
    <row r="44" spans="2:10" x14ac:dyDescent="0.25">
      <c r="B44" t="s">
        <v>47</v>
      </c>
      <c r="C44" s="4">
        <v>0.35</v>
      </c>
      <c r="D44" s="4">
        <v>0.155</v>
      </c>
      <c r="E44" s="4">
        <v>0.16439999999999999</v>
      </c>
      <c r="F44" s="4">
        <v>3.56E-2</v>
      </c>
      <c r="G44" s="4">
        <v>0.29499999999999998</v>
      </c>
      <c r="H44" s="22"/>
      <c r="I44" s="22"/>
      <c r="J44" s="6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topLeftCell="A4" zoomScaleNormal="100" workbookViewId="0">
      <selection activeCell="B22" sqref="B22"/>
    </sheetView>
  </sheetViews>
  <sheetFormatPr defaultColWidth="12.7109375" defaultRowHeight="12.75" x14ac:dyDescent="0.2"/>
  <cols>
    <col min="1" max="1" width="12.7109375" style="7"/>
    <col min="2" max="2" width="14.7109375" style="7" customWidth="1"/>
    <col min="3" max="16384" width="12.7109375" style="7"/>
  </cols>
  <sheetData>
    <row r="1" spans="1:14" ht="93.75" customHeight="1" x14ac:dyDescent="0.2">
      <c r="A1" s="25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4" x14ac:dyDescent="0.2">
      <c r="A3" s="7" t="s">
        <v>62</v>
      </c>
      <c r="C3" s="8">
        <v>220000</v>
      </c>
    </row>
    <row r="4" spans="1:14" x14ac:dyDescent="0.2">
      <c r="A4" s="7" t="s">
        <v>61</v>
      </c>
      <c r="C4" s="8">
        <v>2640000</v>
      </c>
    </row>
    <row r="6" spans="1:14" x14ac:dyDescent="0.2">
      <c r="A6" s="7" t="s">
        <v>63</v>
      </c>
      <c r="C6" s="9">
        <f>C3*50%</f>
        <v>110000</v>
      </c>
    </row>
    <row r="7" spans="1:14" x14ac:dyDescent="0.2">
      <c r="A7" s="7" t="s">
        <v>61</v>
      </c>
      <c r="C7" s="9">
        <f>C4</f>
        <v>2640000</v>
      </c>
    </row>
    <row r="9" spans="1:14" x14ac:dyDescent="0.2">
      <c r="A9" s="7" t="s">
        <v>64</v>
      </c>
      <c r="C9" s="9">
        <f>C3*50%</f>
        <v>110000</v>
      </c>
    </row>
    <row r="10" spans="1:14" x14ac:dyDescent="0.2">
      <c r="A10" s="7" t="s">
        <v>61</v>
      </c>
      <c r="C10" s="10">
        <v>0</v>
      </c>
    </row>
    <row r="12" spans="1:14" x14ac:dyDescent="0.2"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H12" s="7">
        <v>7</v>
      </c>
      <c r="I12" s="7">
        <v>8</v>
      </c>
      <c r="J12" s="7">
        <v>9</v>
      </c>
      <c r="K12" s="7">
        <v>10</v>
      </c>
      <c r="L12" s="7">
        <v>11</v>
      </c>
      <c r="M12" s="7">
        <v>12</v>
      </c>
      <c r="N12" s="16" t="s">
        <v>65</v>
      </c>
    </row>
    <row r="13" spans="1:14" x14ac:dyDescent="0.2">
      <c r="A13" s="7" t="s">
        <v>57</v>
      </c>
      <c r="B13" s="10">
        <f>C4</f>
        <v>2640000</v>
      </c>
      <c r="C13" s="10">
        <f>(B13-220000)+B14</f>
        <v>2640000</v>
      </c>
      <c r="D13" s="10">
        <f>(C13-220000)+C14</f>
        <v>2660000</v>
      </c>
      <c r="E13" s="10">
        <f t="shared" ref="E13:M13" si="0">(D13-220000)+D14</f>
        <v>2700000</v>
      </c>
      <c r="F13" s="10">
        <f t="shared" si="0"/>
        <v>2760000</v>
      </c>
      <c r="G13" s="10">
        <f t="shared" si="0"/>
        <v>2840000</v>
      </c>
      <c r="H13" s="10">
        <f t="shared" si="0"/>
        <v>2920000</v>
      </c>
      <c r="I13" s="10">
        <f t="shared" si="0"/>
        <v>3000000</v>
      </c>
      <c r="J13" s="10">
        <f t="shared" si="0"/>
        <v>3100000</v>
      </c>
      <c r="K13" s="10">
        <f t="shared" si="0"/>
        <v>3220000</v>
      </c>
      <c r="L13" s="10">
        <f t="shared" si="0"/>
        <v>3340000</v>
      </c>
      <c r="M13" s="10">
        <f t="shared" si="0"/>
        <v>3460000</v>
      </c>
      <c r="N13" s="17" t="s">
        <v>66</v>
      </c>
    </row>
    <row r="14" spans="1:14" x14ac:dyDescent="0.2">
      <c r="A14" s="7" t="s">
        <v>58</v>
      </c>
      <c r="B14" s="11">
        <f>C3</f>
        <v>220000</v>
      </c>
      <c r="C14" s="11">
        <v>240000</v>
      </c>
      <c r="D14" s="11">
        <v>260000</v>
      </c>
      <c r="E14" s="11">
        <v>280000</v>
      </c>
      <c r="F14" s="11">
        <v>300000</v>
      </c>
      <c r="G14" s="11">
        <v>300000</v>
      </c>
      <c r="H14" s="11">
        <v>300000</v>
      </c>
      <c r="I14" s="11">
        <v>320000</v>
      </c>
      <c r="J14" s="11">
        <v>340000</v>
      </c>
      <c r="K14" s="11">
        <v>340000</v>
      </c>
      <c r="L14" s="11">
        <v>340000</v>
      </c>
      <c r="M14" s="11">
        <v>340000</v>
      </c>
      <c r="N14" s="9">
        <f>SUM(B14:M14)</f>
        <v>3580000</v>
      </c>
    </row>
    <row r="15" spans="1:14" x14ac:dyDescent="0.2">
      <c r="A15" s="7" t="s">
        <v>69</v>
      </c>
      <c r="B15" s="19">
        <f>IF($B$13&lt;=180000,Calculo!$D$7,IF($B$13&lt;=360000,Calculo!$D$8,IF($B$13&lt;=720000,Calculo!$D$9,IF($B$13&lt;=1800000,Calculo!$D$10,IF($B$13&lt;=3600000,Calculo!$D$11,IF($B$13&lt;=4800000,Calculo!$D$12,Calculo!$D$12))))))</f>
        <v>0.14299999999999999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9"/>
    </row>
    <row r="16" spans="1:14" x14ac:dyDescent="0.2">
      <c r="A16" s="7" t="s">
        <v>68</v>
      </c>
      <c r="B16" s="18">
        <f>IF(B$13&lt;=180000,Calculo!$E$7,IF($B$13&lt;=360000,Calculo!$E$8,IF($B$13&lt;=720000,Calculo!$E$9,IF($B$13&lt;=1800000,Calculo!$E$10,IF($B$13&lt;=3600000,Calculo!$E$11,IF($B$13&lt;=4800000,Calculo!$E$12,Calculo!$E$12))))))</f>
        <v>87300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9"/>
    </row>
    <row r="17" spans="1:14" x14ac:dyDescent="0.2">
      <c r="A17" s="7" t="s">
        <v>70</v>
      </c>
      <c r="B17" s="20">
        <f>(((B$13*B$15)-B$16)/B$13)</f>
        <v>0.10993181818181816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9"/>
    </row>
    <row r="18" spans="1:14" x14ac:dyDescent="0.2">
      <c r="A18" s="7" t="str">
        <f>Segregação!C2</f>
        <v>IRPJ</v>
      </c>
      <c r="B18" s="21">
        <f>(IF(B$13&lt;3600000,Segregação!$C$7,Segregação!$C$8)*B$17)*B$14</f>
        <v>1330.1749999999997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9"/>
    </row>
    <row r="19" spans="1:14" x14ac:dyDescent="0.2">
      <c r="A19" s="7" t="str">
        <f>Segregação!D2</f>
        <v>CSLL</v>
      </c>
      <c r="B19" s="21">
        <f>(IF(B$13&lt;3600000,Segregação!$D$7,Segregação!$D$8)*B$17)*B$14</f>
        <v>846.47499999999991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9"/>
    </row>
    <row r="20" spans="1:14" x14ac:dyDescent="0.2">
      <c r="A20" s="7" t="str">
        <f>Segregação!E2</f>
        <v>Cofins</v>
      </c>
      <c r="B20" s="21">
        <f>(IF(B$13&lt;3600000,Segregação!$E$7,Segregação!$E$8)*B$17)*B$14</f>
        <v>3081.1689999999999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9"/>
    </row>
    <row r="21" spans="1:14" x14ac:dyDescent="0.2">
      <c r="A21" s="7" t="str">
        <f>Segregação!F2</f>
        <v>Pis</v>
      </c>
      <c r="B21" s="21">
        <f>(IF(B$13&lt;3600000,Segregação!$F$7,Segregação!$F$8)*B$17)*B$14</f>
        <v>667.50599999999986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9"/>
    </row>
    <row r="22" spans="1:14" x14ac:dyDescent="0.2">
      <c r="A22" s="7" t="str">
        <f>Segregação!G2</f>
        <v>CPP</v>
      </c>
      <c r="B22" s="21">
        <f>(IF(B$13&lt;3600000,Segregação!$G$7,Segregação!$G$8)*B$17)*B$14</f>
        <v>10157.699999999997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9"/>
    </row>
    <row r="23" spans="1:14" x14ac:dyDescent="0.2">
      <c r="A23" s="7" t="str">
        <f>Segregação!H2</f>
        <v>ICMS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9"/>
    </row>
    <row r="24" spans="1:14" x14ac:dyDescent="0.2">
      <c r="A24" s="12" t="s">
        <v>54</v>
      </c>
      <c r="B24" s="10">
        <f>SUM(B18:B23)</f>
        <v>16083.024999999996</v>
      </c>
      <c r="C24" s="10">
        <v>16083.03</v>
      </c>
      <c r="D24" s="10">
        <v>16083.03</v>
      </c>
      <c r="E24" s="10">
        <v>16083.03</v>
      </c>
      <c r="F24" s="10">
        <v>16083.03</v>
      </c>
      <c r="G24" s="10">
        <v>16083.03</v>
      </c>
      <c r="H24" s="10">
        <v>16083.03</v>
      </c>
      <c r="I24" s="10">
        <v>16083.03</v>
      </c>
      <c r="J24" s="10">
        <v>16083.03</v>
      </c>
      <c r="K24" s="10">
        <v>16083.03</v>
      </c>
      <c r="L24" s="10">
        <v>16083.03</v>
      </c>
      <c r="M24" s="10">
        <v>16083.03</v>
      </c>
      <c r="N24" s="10"/>
    </row>
    <row r="25" spans="1:14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7" t="s">
        <v>57</v>
      </c>
      <c r="B26" s="10">
        <f>B13</f>
        <v>2640000</v>
      </c>
      <c r="C26" s="10">
        <f>(B26-220000)+B27</f>
        <v>2530000</v>
      </c>
      <c r="D26" s="10">
        <f t="shared" ref="D26:M26" si="1">(C26-220000)+C27</f>
        <v>2430000</v>
      </c>
      <c r="E26" s="10">
        <f t="shared" si="1"/>
        <v>2340000</v>
      </c>
      <c r="F26" s="10">
        <f t="shared" si="1"/>
        <v>2260000</v>
      </c>
      <c r="G26" s="10">
        <f t="shared" si="1"/>
        <v>2190000</v>
      </c>
      <c r="H26" s="10">
        <f t="shared" si="1"/>
        <v>2120000</v>
      </c>
      <c r="I26" s="10">
        <f t="shared" si="1"/>
        <v>2050000</v>
      </c>
      <c r="J26" s="10">
        <f t="shared" si="1"/>
        <v>1990000</v>
      </c>
      <c r="K26" s="10">
        <f t="shared" si="1"/>
        <v>1940000</v>
      </c>
      <c r="L26" s="10">
        <f t="shared" si="1"/>
        <v>1890000</v>
      </c>
      <c r="M26" s="10">
        <f t="shared" si="1"/>
        <v>1840000</v>
      </c>
      <c r="N26" s="10"/>
    </row>
    <row r="27" spans="1:14" x14ac:dyDescent="0.2">
      <c r="B27" s="10">
        <f>B$14*50%</f>
        <v>110000</v>
      </c>
      <c r="C27" s="10">
        <f>C$14*50%</f>
        <v>120000</v>
      </c>
      <c r="D27" s="10">
        <f>D$14*50%</f>
        <v>130000</v>
      </c>
      <c r="E27" s="10">
        <f t="shared" ref="E27:L27" si="2">E$14*50%</f>
        <v>140000</v>
      </c>
      <c r="F27" s="10">
        <f t="shared" si="2"/>
        <v>150000</v>
      </c>
      <c r="G27" s="10">
        <f t="shared" si="2"/>
        <v>150000</v>
      </c>
      <c r="H27" s="10">
        <f t="shared" si="2"/>
        <v>150000</v>
      </c>
      <c r="I27" s="10">
        <f t="shared" si="2"/>
        <v>160000</v>
      </c>
      <c r="J27" s="10">
        <f t="shared" si="2"/>
        <v>170000</v>
      </c>
      <c r="K27" s="10">
        <f t="shared" si="2"/>
        <v>170000</v>
      </c>
      <c r="L27" s="10">
        <f t="shared" si="2"/>
        <v>170000</v>
      </c>
      <c r="M27" s="10">
        <f>M$14*50%</f>
        <v>170000</v>
      </c>
      <c r="N27" s="9">
        <f>SUM(B27:M27)</f>
        <v>1790000</v>
      </c>
    </row>
    <row r="28" spans="1:14" x14ac:dyDescent="0.2">
      <c r="A28" s="13" t="s">
        <v>55</v>
      </c>
      <c r="B28" s="10">
        <v>8041.51</v>
      </c>
      <c r="C28" s="10">
        <v>7936.34</v>
      </c>
      <c r="D28" s="10">
        <v>7821.61</v>
      </c>
      <c r="E28" s="10">
        <v>7695.95</v>
      </c>
      <c r="F28" s="10">
        <v>7557.73</v>
      </c>
      <c r="G28" s="10">
        <v>7404.95</v>
      </c>
      <c r="H28" s="10">
        <v>7235.2</v>
      </c>
      <c r="I28" s="10">
        <v>7045.48</v>
      </c>
      <c r="J28" s="10">
        <v>6891.89</v>
      </c>
      <c r="K28" s="10">
        <v>6829.55</v>
      </c>
      <c r="L28" s="10">
        <v>6758.3</v>
      </c>
      <c r="M28" s="10">
        <v>6676.09</v>
      </c>
      <c r="N28" s="10"/>
    </row>
    <row r="29" spans="1:14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7" t="s">
        <v>57</v>
      </c>
      <c r="B30" s="10">
        <f>B31*12</f>
        <v>1320000</v>
      </c>
      <c r="C30" s="10">
        <f>(((B31+C31)/2)*12)</f>
        <v>1380000</v>
      </c>
      <c r="D30" s="10">
        <f>(((+B31+C31+D31)/3)*12)</f>
        <v>1440000</v>
      </c>
      <c r="E30" s="10">
        <f>(((B31+C31+D31+E31)/4)*12)</f>
        <v>1500000</v>
      </c>
      <c r="F30" s="10">
        <f>(((+B31+C31+D31+E31+F31)/5)*12)</f>
        <v>1560000</v>
      </c>
      <c r="G30" s="10">
        <f>(((+B31+C31+D31+E31+F31+G31)/6)*12)</f>
        <v>1600000</v>
      </c>
      <c r="H30" s="10">
        <f>(((+B31+C31+D31+E31+F31+G31+H31)/7)*12)</f>
        <v>1628571.4285714286</v>
      </c>
      <c r="I30" s="10">
        <f>(((+B31+C31+D31+E31+F31+G31+H31+I31)/8)*12)</f>
        <v>1665000</v>
      </c>
      <c r="J30" s="10">
        <f>(((+B31+C31+D31+E31+F31+G31+H31+I31+J31)/9)*12)</f>
        <v>1706666.6666666665</v>
      </c>
      <c r="K30" s="10">
        <f>(((+B31+C31+D31+E31+F31+G31+H31+I31+J31+K31)/10)*12)</f>
        <v>1740000</v>
      </c>
      <c r="L30" s="10">
        <f>(((+B31+C31+D31+E31+F31+G31+H31+I31+J31+K31+L31)/11)*12)</f>
        <v>1767272.7272727271</v>
      </c>
      <c r="M30" s="10">
        <f>SUM(B31:M31)</f>
        <v>1790000</v>
      </c>
      <c r="N30" s="10"/>
    </row>
    <row r="31" spans="1:14" x14ac:dyDescent="0.2">
      <c r="B31" s="10">
        <f>B$14*50%</f>
        <v>110000</v>
      </c>
      <c r="C31" s="10">
        <f>C$14*50%</f>
        <v>120000</v>
      </c>
      <c r="D31" s="10">
        <f>D$14*50%</f>
        <v>130000</v>
      </c>
      <c r="E31" s="10">
        <f t="shared" ref="E31:L31" si="3">E$14*50%</f>
        <v>140000</v>
      </c>
      <c r="F31" s="10">
        <f t="shared" si="3"/>
        <v>150000</v>
      </c>
      <c r="G31" s="10">
        <f t="shared" si="3"/>
        <v>150000</v>
      </c>
      <c r="H31" s="10">
        <f t="shared" si="3"/>
        <v>150000</v>
      </c>
      <c r="I31" s="10">
        <f t="shared" si="3"/>
        <v>160000</v>
      </c>
      <c r="J31" s="10">
        <f t="shared" si="3"/>
        <v>170000</v>
      </c>
      <c r="K31" s="10">
        <f t="shared" si="3"/>
        <v>170000</v>
      </c>
      <c r="L31" s="10">
        <f t="shared" si="3"/>
        <v>170000</v>
      </c>
      <c r="M31" s="10">
        <f>M$14*50%</f>
        <v>170000</v>
      </c>
      <c r="N31" s="9">
        <f>SUM(B31:M31)</f>
        <v>1790000</v>
      </c>
    </row>
    <row r="32" spans="1:14" x14ac:dyDescent="0.2">
      <c r="A32" s="13" t="s">
        <v>56</v>
      </c>
      <c r="B32" s="10">
        <v>6580.18</v>
      </c>
      <c r="C32" s="10">
        <v>6580.18</v>
      </c>
      <c r="D32" s="10">
        <v>6580.18</v>
      </c>
      <c r="E32" s="10">
        <v>6580.18</v>
      </c>
      <c r="F32" s="10">
        <v>6580.18</v>
      </c>
      <c r="G32" s="10">
        <v>6580.18</v>
      </c>
      <c r="H32" s="10">
        <v>6580.18</v>
      </c>
      <c r="I32" s="10">
        <v>6580.18</v>
      </c>
      <c r="J32" s="10">
        <v>6580.18</v>
      </c>
      <c r="K32" s="10">
        <v>6580.18</v>
      </c>
      <c r="L32" s="10">
        <v>6580.18</v>
      </c>
      <c r="M32" s="10">
        <v>6580.18</v>
      </c>
    </row>
    <row r="34" spans="1:13" x14ac:dyDescent="0.2">
      <c r="A34" s="12" t="s">
        <v>59</v>
      </c>
      <c r="B34" s="9">
        <f>+B28+B32</f>
        <v>14621.69</v>
      </c>
      <c r="C34" s="9">
        <f t="shared" ref="C34:M34" si="4">+C28+C32</f>
        <v>14516.52</v>
      </c>
      <c r="D34" s="9">
        <f t="shared" si="4"/>
        <v>14401.79</v>
      </c>
      <c r="E34" s="9">
        <f t="shared" si="4"/>
        <v>14276.130000000001</v>
      </c>
      <c r="F34" s="9">
        <f t="shared" si="4"/>
        <v>14137.91</v>
      </c>
      <c r="G34" s="9">
        <f t="shared" si="4"/>
        <v>13985.130000000001</v>
      </c>
      <c r="H34" s="9">
        <f t="shared" si="4"/>
        <v>13815.380000000001</v>
      </c>
      <c r="I34" s="9">
        <f t="shared" si="4"/>
        <v>13625.66</v>
      </c>
      <c r="J34" s="9">
        <f t="shared" si="4"/>
        <v>13472.07</v>
      </c>
      <c r="K34" s="9">
        <f t="shared" si="4"/>
        <v>13409.73</v>
      </c>
      <c r="L34" s="9">
        <f t="shared" si="4"/>
        <v>13338.48</v>
      </c>
      <c r="M34" s="9">
        <f t="shared" si="4"/>
        <v>13256.27</v>
      </c>
    </row>
    <row r="36" spans="1:13" x14ac:dyDescent="0.2">
      <c r="A36" s="14" t="s">
        <v>60</v>
      </c>
      <c r="B36" s="15">
        <f>B24-B34</f>
        <v>1461.3349999999955</v>
      </c>
      <c r="C36" s="15">
        <f t="shared" ref="C36:M36" si="5">C24-C34</f>
        <v>1566.5100000000002</v>
      </c>
      <c r="D36" s="15">
        <f t="shared" si="5"/>
        <v>1681.2399999999998</v>
      </c>
      <c r="E36" s="15">
        <f t="shared" si="5"/>
        <v>1806.8999999999996</v>
      </c>
      <c r="F36" s="15">
        <f t="shared" si="5"/>
        <v>1945.1200000000008</v>
      </c>
      <c r="G36" s="15">
        <f t="shared" si="5"/>
        <v>2097.8999999999996</v>
      </c>
      <c r="H36" s="15">
        <f t="shared" si="5"/>
        <v>2267.6499999999996</v>
      </c>
      <c r="I36" s="15">
        <f t="shared" si="5"/>
        <v>2457.3700000000008</v>
      </c>
      <c r="J36" s="15">
        <f t="shared" si="5"/>
        <v>2610.9600000000009</v>
      </c>
      <c r="K36" s="15">
        <f t="shared" si="5"/>
        <v>2673.3000000000011</v>
      </c>
      <c r="L36" s="15">
        <f t="shared" si="5"/>
        <v>2744.5500000000011</v>
      </c>
      <c r="M36" s="15">
        <f t="shared" si="5"/>
        <v>2826.76</v>
      </c>
    </row>
    <row r="37" spans="1:13" x14ac:dyDescent="0.2">
      <c r="A37" s="26">
        <f>SUM(B36:M36)</f>
        <v>26139.595000000001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</sheetData>
  <mergeCells count="2">
    <mergeCell ref="A1:M1"/>
    <mergeCell ref="A37:M37"/>
  </mergeCells>
  <pageMargins left="0.511811024" right="0.511811024" top="0.78740157499999996" bottom="0.78740157499999996" header="0.31496062000000002" footer="0.31496062000000002"/>
  <pageSetup paperSize="9" scale="81" orientation="landscape" verticalDpi="0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Calculo</vt:lpstr>
      <vt:lpstr>Segregação</vt:lpstr>
      <vt:lpstr>2 Empresas</vt:lpstr>
      <vt:lpstr>Plan3</vt:lpstr>
      <vt:lpstr>'2 Empresas'!Area_de_impressao</vt:lpstr>
      <vt:lpstr>Calculo!Area_de_impressao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Duran</dc:creator>
  <cp:lastModifiedBy>Paulo Duran</cp:lastModifiedBy>
  <cp:lastPrinted>2020-01-28T20:04:40Z</cp:lastPrinted>
  <dcterms:created xsi:type="dcterms:W3CDTF">2019-04-08T14:26:32Z</dcterms:created>
  <dcterms:modified xsi:type="dcterms:W3CDTF">2022-06-06T15:19:24Z</dcterms:modified>
</cp:coreProperties>
</file>