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 me" sheetId="1" r:id="rId4"/>
    <sheet state="visible" name="Assumptions" sheetId="2" r:id="rId5"/>
    <sheet state="visible" name="Cap Table" sheetId="3" r:id="rId6"/>
  </sheets>
  <definedNames/>
  <calcPr/>
  <extLst>
    <ext uri="GoogleSheetsCustomDataVersion2">
      <go:sheetsCustomData xmlns:go="http://customooxmlschemas.google.com/" r:id="rId7" roundtripDataChecksum="JiLuNZkvOhyK/LJ1hFYMNZYXybSa20Q8uhHJZI0u2hk="/>
    </ext>
  </extLst>
</workbook>
</file>

<file path=xl/sharedStrings.xml><?xml version="1.0" encoding="utf-8"?>
<sst xmlns="http://schemas.openxmlformats.org/spreadsheetml/2006/main" count="87" uniqueCount="76">
  <si>
    <t>Cap table template</t>
  </si>
  <si>
    <t>UK early-stage (SEIS / EIS / EMI)</t>
  </si>
  <si>
    <t>How to use</t>
  </si>
  <si>
    <t>1</t>
  </si>
  <si>
    <t>Edit only the blue cells on the Assumptions tab. Everything else is calculated.</t>
  </si>
  <si>
    <t>2</t>
  </si>
  <si>
    <t>Set your founder share split, then model the pre-seed round.</t>
  </si>
  <si>
    <t>3</t>
  </si>
  <si>
    <t>The Cap Table tab shows ownership and dilution after the round. It updates automatically.</t>
  </si>
  <si>
    <t>4</t>
  </si>
  <si>
    <t>Share counts are whole numbers, so percentages may carry tiny rounding. This is normal.</t>
  </si>
  <si>
    <t>Colour key</t>
  </si>
  <si>
    <t>Blue</t>
  </si>
  <si>
    <t>Your inputs. Change these to model your own numbers.</t>
  </si>
  <si>
    <t>Black</t>
  </si>
  <si>
    <t>Calculated on the same sheet.</t>
  </si>
  <si>
    <t>Green</t>
  </si>
  <si>
    <t>Pulled from another sheet.</t>
  </si>
  <si>
    <t>Notes on the structure</t>
  </si>
  <si>
    <t>- Founder shares are issued at incorporation as Ordinary shares.</t>
  </si>
  <si>
    <t>- The EMI option pool is created at the round. Set it to 0% to defer the pool to your seed round.</t>
  </si>
  <si>
    <t>- SEIS shares are issued first, then EIS. Both are Ordinary with no preferential rights, as required for relief.</t>
  </si>
  <si>
    <t>- SEIS company lifetime limit is £250,000. EIS can top up the round beyond that.</t>
  </si>
  <si>
    <t>- The option pool is modelled as created pre-money, so founders bear the dilution. This is standard.</t>
  </si>
  <si>
    <t>- Round mechanics use the post-money method: investor % equals investment divided by post-money valuation.</t>
  </si>
  <si>
    <t>Disclaimer</t>
  </si>
  <si>
    <t>This template is provided for general guidance only. Please ensure all information is accurate and appropriate for your company’s circumstances before relying on it.</t>
  </si>
  <si>
    <t>Assumptions</t>
  </si>
  <si>
    <t>Edit the blue cells only</t>
  </si>
  <si>
    <t>Founders (at incorporation)</t>
  </si>
  <si>
    <t>Founder</t>
  </si>
  <si>
    <t>Shares</t>
  </si>
  <si>
    <t>Holding</t>
  </si>
  <si>
    <t>Founder 1</t>
  </si>
  <si>
    <t>Founder 2</t>
  </si>
  <si>
    <t>Founder 3 (optional)</t>
  </si>
  <si>
    <t>Total founder shares</t>
  </si>
  <si>
    <t>Pre-seed round (SEIS / EIS)</t>
  </si>
  <si>
    <t>Pre-money valuation</t>
  </si>
  <si>
    <t>SEIS investment</t>
  </si>
  <si>
    <t>EIS investment (optional)</t>
  </si>
  <si>
    <t>Option pool, % of post-round</t>
  </si>
  <si>
    <t>Total raised</t>
  </si>
  <si>
    <t>Post-money valuation</t>
  </si>
  <si>
    <t>Investor ownership, post-round</t>
  </si>
  <si>
    <t>Fully diluted shares, post-round</t>
  </si>
  <si>
    <t>Option pool shares</t>
  </si>
  <si>
    <t>Investor shares (total)</t>
  </si>
  <si>
    <t xml:space="preserve">  of which SEIS shares</t>
  </si>
  <si>
    <t xml:space="preserve">  of which EIS shares</t>
  </si>
  <si>
    <t>Price per share</t>
  </si>
  <si>
    <t>Cap table</t>
  </si>
  <si>
    <t>Ownership, options and dilution after the pre-seed round</t>
  </si>
  <si>
    <t>Capital raised</t>
  </si>
  <si>
    <t>Stakeholders</t>
  </si>
  <si>
    <t>Pre-seed</t>
  </si>
  <si>
    <t>1 round</t>
  </si>
  <si>
    <t>Fully diluted holders</t>
  </si>
  <si>
    <t>Stakeholder</t>
  </si>
  <si>
    <t>Share class</t>
  </si>
  <si>
    <t>Founding</t>
  </si>
  <si>
    <t>Post Pre-Seed</t>
  </si>
  <si>
    <t>Invested</t>
  </si>
  <si>
    <t>Value</t>
  </si>
  <si>
    <t>%</t>
  </si>
  <si>
    <t>£</t>
  </si>
  <si>
    <t>Ordinary</t>
  </si>
  <si>
    <t>EMI option pool</t>
  </si>
  <si>
    <t>Options (Ordinary)</t>
  </si>
  <si>
    <t>Pre-seed investors (SEIS)</t>
  </si>
  <si>
    <t>Pre-seed investors (EIS)</t>
  </si>
  <si>
    <t>Total (fully diluted)</t>
  </si>
  <si>
    <t>Checks</t>
  </si>
  <si>
    <t>Post-round total ties to engine</t>
  </si>
  <si>
    <t>Holdings sum to 100%</t>
  </si>
  <si>
    <t>SEIS within £250k limit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</si>
</sst>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;\(#,##0\);\-"/>
    <numFmt numFmtId="165" formatCode="0.0%;\(0.0%\);\-"/>
    <numFmt numFmtId="166" formatCode="\£#,##0;&quot;(£&quot;#,##0\);\-"/>
    <numFmt numFmtId="167" formatCode="\£#,##0.0000;&quot;(£&quot;#,##0.0000\);\-"/>
  </numFmts>
  <fonts count="33">
    <font>
      <sz val="11.0"/>
      <color theme="1"/>
      <name val="Calibri"/>
      <scheme val="minor"/>
    </font>
    <font>
      <sz val="11.0"/>
      <color theme="1"/>
      <name val="Calibri"/>
    </font>
    <font/>
    <font>
      <b/>
      <sz val="18.0"/>
      <color rgb="FF003D38"/>
      <name val="Inter"/>
    </font>
    <font>
      <i/>
      <sz val="10.0"/>
      <color rgb="FF6B7280"/>
      <name val="Inter"/>
    </font>
    <font>
      <color theme="1"/>
      <name val="Calibri"/>
      <scheme val="minor"/>
    </font>
    <font>
      <b/>
      <sz val="12.0"/>
      <color rgb="FF003D38"/>
      <name val="Inter"/>
    </font>
    <font>
      <b/>
      <sz val="10.0"/>
      <color rgb="FF1D9E75"/>
      <name val="JetBrains Mono"/>
    </font>
    <font>
      <sz val="10.0"/>
      <color rgb="FF111111"/>
      <name val="Inter"/>
    </font>
    <font>
      <b/>
      <sz val="10.0"/>
      <color rgb="FF0000FF"/>
      <name val="Inter"/>
    </font>
    <font>
      <b/>
      <sz val="10.0"/>
      <color rgb="FF111111"/>
      <name val="Inter"/>
    </font>
    <font>
      <b/>
      <sz val="10.0"/>
      <color rgb="FF1D9E75"/>
      <name val="Inter"/>
    </font>
    <font>
      <b/>
      <sz val="10.0"/>
      <color rgb="FF003D38"/>
      <name val="Inter"/>
    </font>
    <font>
      <i/>
      <sz val="9.0"/>
      <color rgb="FF6B7280"/>
      <name val="Inter"/>
    </font>
    <font>
      <b/>
      <sz val="16.0"/>
      <color rgb="FF003D38"/>
      <name val="Inter"/>
    </font>
    <font>
      <b/>
      <sz val="11.0"/>
      <color rgb="FFFFFFFF"/>
      <name val="Inter"/>
    </font>
    <font>
      <b/>
      <sz val="10.0"/>
      <color rgb="FF6B7280"/>
      <name val="Inter"/>
    </font>
    <font>
      <sz val="10.0"/>
      <color rgb="FF0000FF"/>
      <name val="Inter"/>
    </font>
    <font>
      <sz val="10.0"/>
      <color rgb="FF0000FF"/>
      <name val="JetBrains Mono"/>
    </font>
    <font>
      <sz val="10.0"/>
      <color rgb="FF111111"/>
      <name val="JetBrains Mono"/>
    </font>
    <font>
      <b/>
      <sz val="10.0"/>
      <color rgb="FF111111"/>
      <name val="JetBrains Mono"/>
    </font>
    <font>
      <sz val="10.0"/>
      <color rgb="FF666666"/>
      <name val="Inter"/>
    </font>
    <font>
      <sz val="10.0"/>
      <color rgb="FF666666"/>
      <name val="JetBrains Mono"/>
    </font>
    <font>
      <sz val="9.0"/>
      <color rgb="FF6B7280"/>
      <name val="Inter"/>
    </font>
    <font>
      <b/>
      <sz val="15.0"/>
      <color rgb="FF003D38"/>
      <name val="JetBrains Mono"/>
    </font>
    <font>
      <i/>
      <sz val="8.0"/>
      <color rgb="FF6B7280"/>
      <name val="Inter"/>
    </font>
    <font>
      <b/>
      <sz val="10.0"/>
      <color rgb="FFFFFFFF"/>
      <name val="Inter"/>
    </font>
    <font>
      <b/>
      <sz val="9.0"/>
      <color rgb="FF6B7280"/>
      <name val="Inter"/>
    </font>
    <font>
      <sz val="10.0"/>
      <color rgb="FF1D9E75"/>
      <name val="Inter"/>
    </font>
    <font>
      <sz val="9.0"/>
      <color rgb="FF111111"/>
      <name val="Inter"/>
    </font>
    <font>
      <sz val="10.0"/>
      <color rgb="FF1D9E75"/>
      <name val="JetBrains Mono"/>
    </font>
    <font>
      <sz val="9.0"/>
      <color rgb="FF111111"/>
      <name val="JetBrains Mono"/>
    </font>
    <font>
      <b/>
      <sz val="9.0"/>
      <color rgb="FF111111"/>
      <name val="JetBrains Mono"/>
    </font>
  </fonts>
  <fills count="7">
    <fill>
      <patternFill patternType="none"/>
    </fill>
    <fill>
      <patternFill patternType="lightGray"/>
    </fill>
    <fill>
      <patternFill patternType="solid">
        <fgColor rgb="FF003D38"/>
        <bgColor rgb="FF003D38"/>
      </patternFill>
    </fill>
    <fill>
      <patternFill patternType="solid">
        <fgColor rgb="FFF4FAF7"/>
        <bgColor rgb="FFF4FAF7"/>
      </patternFill>
    </fill>
    <fill>
      <patternFill patternType="solid">
        <fgColor rgb="FF1D9E75"/>
        <bgColor rgb="FF1D9E75"/>
      </patternFill>
    </fill>
    <fill>
      <patternFill patternType="solid">
        <fgColor rgb="FFF6F3EC"/>
        <bgColor rgb="FFF6F3EC"/>
      </patternFill>
    </fill>
    <fill>
      <patternFill patternType="solid">
        <fgColor rgb="FFFFFFFF"/>
        <bgColor rgb="FFFFFFFF"/>
      </patternFill>
    </fill>
  </fills>
  <borders count="6">
    <border/>
    <border>
      <left/>
      <right/>
      <top/>
      <bottom/>
    </border>
    <border>
      <left/>
      <right/>
      <top/>
    </border>
    <border>
      <left/>
      <right/>
      <bottom/>
    </border>
    <border>
      <bottom style="medium">
        <color rgb="FF1D9E75"/>
      </bottom>
    </border>
    <border>
      <left style="thin">
        <color rgb="FFE4E9E7"/>
      </left>
      <right style="thin">
        <color rgb="FFE4E9E7"/>
      </right>
      <top style="thin">
        <color rgb="FFE4E9E7"/>
      </top>
      <bottom style="thin">
        <color rgb="FFE4E9E7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1" numFmtId="0" xfId="0" applyAlignment="1" applyBorder="1" applyFont="1">
      <alignment shrinkToFit="0" vertical="center" wrapText="0"/>
    </xf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3" fontId="5" numFmtId="0" xfId="0" applyFill="1" applyFont="1"/>
    <xf borderId="0" fillId="3" fontId="6" numFmtId="0" xfId="0" applyAlignment="1" applyFont="1">
      <alignment shrinkToFit="0" vertical="bottom" wrapText="0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0" fillId="3" fontId="5" numFmtId="0" xfId="0" applyAlignment="1" applyFont="1">
      <alignment vertical="top"/>
    </xf>
    <xf borderId="0" fillId="3" fontId="12" numFmtId="0" xfId="0" applyAlignment="1" applyFont="1">
      <alignment shrinkToFit="0" vertical="top" wrapText="0"/>
    </xf>
    <xf borderId="0" fillId="3" fontId="13" numFmtId="0" xfId="0" applyAlignment="1" applyFont="1">
      <alignment readingOrder="0" shrinkToFit="0" vertical="top" wrapText="1"/>
    </xf>
    <xf borderId="0" fillId="0" fontId="14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2" fontId="15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0" fillId="0" fontId="16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bottom" wrapText="0"/>
    </xf>
    <xf borderId="0" fillId="0" fontId="18" numFmtId="164" xfId="0" applyAlignment="1" applyFont="1" applyNumberFormat="1">
      <alignment horizontal="right" shrinkToFit="0" vertical="center" wrapText="0"/>
    </xf>
    <xf borderId="0" fillId="0" fontId="19" numFmtId="165" xfId="0" applyAlignment="1" applyFont="1" applyNumberFormat="1">
      <alignment horizontal="right" shrinkToFit="0" vertical="center" wrapText="0"/>
    </xf>
    <xf borderId="4" fillId="0" fontId="20" numFmtId="164" xfId="0" applyAlignment="1" applyBorder="1" applyFont="1" applyNumberFormat="1">
      <alignment horizontal="right" shrinkToFit="0" vertical="center" wrapText="0"/>
    </xf>
    <xf borderId="4" fillId="0" fontId="20" numFmtId="165" xfId="0" applyAlignment="1" applyBorder="1" applyFont="1" applyNumberFormat="1">
      <alignment horizontal="right" shrinkToFit="0" vertical="center" wrapText="0"/>
    </xf>
    <xf borderId="0" fillId="0" fontId="18" numFmtId="166" xfId="0" applyAlignment="1" applyFont="1" applyNumberFormat="1">
      <alignment horizontal="right" shrinkToFit="0" vertical="center" wrapText="0"/>
    </xf>
    <xf borderId="0" fillId="0" fontId="18" numFmtId="165" xfId="0" applyAlignment="1" applyFont="1" applyNumberFormat="1">
      <alignment horizontal="right" shrinkToFit="0" vertical="center" wrapText="0"/>
    </xf>
    <xf borderId="0" fillId="3" fontId="10" numFmtId="0" xfId="0" applyAlignment="1" applyFont="1">
      <alignment shrinkToFit="0" vertical="bottom" wrapText="0"/>
    </xf>
    <xf borderId="0" fillId="3" fontId="20" numFmtId="166" xfId="0" applyAlignment="1" applyFont="1" applyNumberFormat="1">
      <alignment horizontal="right" shrinkToFit="0" vertical="center" wrapText="0"/>
    </xf>
    <xf borderId="0" fillId="0" fontId="19" numFmtId="166" xfId="0" applyAlignment="1" applyFont="1" applyNumberFormat="1">
      <alignment horizontal="right" shrinkToFit="0" vertical="center" wrapText="0"/>
    </xf>
    <xf borderId="0" fillId="0" fontId="19" numFmtId="164" xfId="0" applyAlignment="1" applyFont="1" applyNumberFormat="1">
      <alignment horizontal="right" shrinkToFit="0" vertical="center" wrapText="0"/>
    </xf>
    <xf borderId="0" fillId="0" fontId="21" numFmtId="0" xfId="0" applyAlignment="1" applyFont="1">
      <alignment shrinkToFit="0" vertical="bottom" wrapText="0"/>
    </xf>
    <xf borderId="0" fillId="0" fontId="22" numFmtId="164" xfId="0" applyAlignment="1" applyFont="1" applyNumberFormat="1">
      <alignment horizontal="right" shrinkToFit="0" vertical="center" wrapText="0"/>
    </xf>
    <xf borderId="0" fillId="0" fontId="20" numFmtId="167" xfId="0" applyAlignment="1" applyFont="1" applyNumberFormat="1">
      <alignment horizontal="right" shrinkToFit="0" vertical="center" wrapText="0"/>
    </xf>
    <xf borderId="5" fillId="3" fontId="23" numFmtId="0" xfId="0" applyAlignment="1" applyBorder="1" applyFont="1">
      <alignment shrinkToFit="0" vertical="bottom" wrapText="0"/>
    </xf>
    <xf borderId="5" fillId="3" fontId="1" numFmtId="0" xfId="0" applyAlignment="1" applyBorder="1" applyFont="1">
      <alignment shrinkToFit="0" vertical="bottom" wrapText="0"/>
    </xf>
    <xf borderId="5" fillId="3" fontId="24" numFmtId="166" xfId="0" applyAlignment="1" applyBorder="1" applyFont="1" applyNumberFormat="1">
      <alignment horizontal="left" shrinkToFit="0" vertical="bottom" wrapText="0"/>
    </xf>
    <xf borderId="5" fillId="3" fontId="1" numFmtId="0" xfId="0" applyAlignment="1" applyBorder="1" applyFont="1">
      <alignment horizontal="left" shrinkToFit="0" vertical="bottom" wrapText="0"/>
    </xf>
    <xf borderId="5" fillId="3" fontId="24" numFmtId="167" xfId="0" applyAlignment="1" applyBorder="1" applyFont="1" applyNumberFormat="1">
      <alignment horizontal="left" shrinkToFit="0" vertical="bottom" wrapText="0"/>
    </xf>
    <xf borderId="5" fillId="3" fontId="24" numFmtId="164" xfId="0" applyAlignment="1" applyBorder="1" applyFont="1" applyNumberFormat="1">
      <alignment horizontal="left" shrinkToFit="0" vertical="bottom" wrapText="0"/>
    </xf>
    <xf borderId="5" fillId="3" fontId="25" numFmtId="0" xfId="0" applyAlignment="1" applyBorder="1" applyFont="1">
      <alignment shrinkToFit="0" vertical="bottom" wrapText="0"/>
    </xf>
    <xf borderId="1" fillId="2" fontId="26" numFmtId="0" xfId="0" applyAlignment="1" applyBorder="1" applyFont="1">
      <alignment shrinkToFit="0" vertical="bottom" wrapText="0"/>
    </xf>
    <xf borderId="1" fillId="4" fontId="26" numFmtId="0" xfId="0" applyAlignment="1" applyBorder="1" applyFill="1" applyFont="1">
      <alignment horizontal="center" shrinkToFit="0" vertical="center" wrapText="0"/>
    </xf>
    <xf borderId="1" fillId="4" fontId="1" numFmtId="0" xfId="0" applyAlignment="1" applyBorder="1" applyFont="1">
      <alignment shrinkToFit="0" vertical="bottom" wrapText="0"/>
    </xf>
    <xf borderId="1" fillId="2" fontId="26" numFmtId="0" xfId="0" applyAlignment="1" applyBorder="1" applyFont="1">
      <alignment horizontal="center" shrinkToFit="0" vertical="center" wrapText="0"/>
    </xf>
    <xf borderId="1" fillId="5" fontId="1" numFmtId="0" xfId="0" applyAlignment="1" applyBorder="1" applyFill="1" applyFont="1">
      <alignment shrinkToFit="0" vertical="bottom" wrapText="0"/>
    </xf>
    <xf borderId="1" fillId="5" fontId="27" numFmtId="0" xfId="0" applyAlignment="1" applyBorder="1" applyFont="1">
      <alignment horizontal="right" shrinkToFit="0" vertical="center" wrapText="0"/>
    </xf>
    <xf borderId="5" fillId="3" fontId="28" numFmtId="0" xfId="0" applyAlignment="1" applyBorder="1" applyFont="1">
      <alignment shrinkToFit="0" vertical="bottom" wrapText="0"/>
    </xf>
    <xf borderId="5" fillId="3" fontId="29" numFmtId="0" xfId="0" applyAlignment="1" applyBorder="1" applyFont="1">
      <alignment shrinkToFit="0" vertical="bottom" wrapText="0"/>
    </xf>
    <xf borderId="5" fillId="3" fontId="30" numFmtId="164" xfId="0" applyAlignment="1" applyBorder="1" applyFont="1" applyNumberFormat="1">
      <alignment horizontal="right" shrinkToFit="0" vertical="center" wrapText="0"/>
    </xf>
    <xf borderId="5" fillId="3" fontId="31" numFmtId="165" xfId="0" applyAlignment="1" applyBorder="1" applyFont="1" applyNumberFormat="1">
      <alignment horizontal="right" shrinkToFit="0" vertical="center" wrapText="0"/>
    </xf>
    <xf borderId="5" fillId="3" fontId="19" numFmtId="166" xfId="0" applyAlignment="1" applyBorder="1" applyFont="1" applyNumberFormat="1">
      <alignment horizontal="right" shrinkToFit="0" vertical="center" wrapText="0"/>
    </xf>
    <xf borderId="5" fillId="3" fontId="30" numFmtId="166" xfId="0" applyAlignment="1" applyBorder="1" applyFont="1" applyNumberFormat="1">
      <alignment horizontal="right" shrinkToFit="0" vertical="center" wrapText="0"/>
    </xf>
    <xf borderId="5" fillId="6" fontId="28" numFmtId="0" xfId="0" applyAlignment="1" applyBorder="1" applyFill="1" applyFont="1">
      <alignment shrinkToFit="0" vertical="bottom" wrapText="0"/>
    </xf>
    <xf borderId="5" fillId="6" fontId="29" numFmtId="0" xfId="0" applyAlignment="1" applyBorder="1" applyFont="1">
      <alignment shrinkToFit="0" vertical="bottom" wrapText="0"/>
    </xf>
    <xf borderId="5" fillId="6" fontId="30" numFmtId="164" xfId="0" applyAlignment="1" applyBorder="1" applyFont="1" applyNumberFormat="1">
      <alignment horizontal="right" shrinkToFit="0" vertical="center" wrapText="0"/>
    </xf>
    <xf borderId="5" fillId="6" fontId="31" numFmtId="165" xfId="0" applyAlignment="1" applyBorder="1" applyFont="1" applyNumberFormat="1">
      <alignment horizontal="right" shrinkToFit="0" vertical="center" wrapText="0"/>
    </xf>
    <xf borderId="5" fillId="6" fontId="19" numFmtId="166" xfId="0" applyAlignment="1" applyBorder="1" applyFont="1" applyNumberFormat="1">
      <alignment horizontal="right" shrinkToFit="0" vertical="center" wrapText="0"/>
    </xf>
    <xf borderId="5" fillId="6" fontId="30" numFmtId="166" xfId="0" applyAlignment="1" applyBorder="1" applyFont="1" applyNumberFormat="1">
      <alignment horizontal="right" shrinkToFit="0" vertical="center" wrapText="0"/>
    </xf>
    <xf borderId="5" fillId="6" fontId="8" numFmtId="0" xfId="0" applyAlignment="1" applyBorder="1" applyFont="1">
      <alignment shrinkToFit="0" vertical="bottom" wrapText="0"/>
    </xf>
    <xf borderId="5" fillId="6" fontId="18" numFmtId="164" xfId="0" applyAlignment="1" applyBorder="1" applyFont="1" applyNumberFormat="1">
      <alignment horizontal="right" shrinkToFit="0" vertical="center" wrapText="0"/>
    </xf>
    <xf borderId="5" fillId="3" fontId="8" numFmtId="0" xfId="0" applyAlignment="1" applyBorder="1" applyFont="1">
      <alignment shrinkToFit="0" vertical="bottom" wrapText="0"/>
    </xf>
    <xf borderId="5" fillId="3" fontId="18" numFmtId="164" xfId="0" applyAlignment="1" applyBorder="1" applyFont="1" applyNumberFormat="1">
      <alignment horizontal="right" shrinkToFit="0" vertical="center" wrapText="0"/>
    </xf>
    <xf borderId="5" fillId="5" fontId="10" numFmtId="0" xfId="0" applyAlignment="1" applyBorder="1" applyFont="1">
      <alignment shrinkToFit="0" vertical="bottom" wrapText="0"/>
    </xf>
    <xf borderId="5" fillId="5" fontId="1" numFmtId="0" xfId="0" applyAlignment="1" applyBorder="1" applyFont="1">
      <alignment shrinkToFit="0" vertical="bottom" wrapText="0"/>
    </xf>
    <xf borderId="5" fillId="5" fontId="20" numFmtId="164" xfId="0" applyAlignment="1" applyBorder="1" applyFont="1" applyNumberFormat="1">
      <alignment horizontal="right" shrinkToFit="0" vertical="center" wrapText="0"/>
    </xf>
    <xf borderId="5" fillId="5" fontId="32" numFmtId="165" xfId="0" applyAlignment="1" applyBorder="1" applyFont="1" applyNumberFormat="1">
      <alignment horizontal="right" shrinkToFit="0" vertical="center" wrapText="0"/>
    </xf>
    <xf borderId="5" fillId="5" fontId="20" numFmtId="166" xfId="0" applyAlignment="1" applyBorder="1" applyFont="1" applyNumberFormat="1">
      <alignment horizontal="right" shrinkToFit="0" vertical="center" wrapText="0"/>
    </xf>
    <xf borderId="0" fillId="0" fontId="12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1"/>
    </xf>
    <xf borderId="0" fillId="0" fontId="30" numFmtId="0" xfId="0" applyAlignment="1" applyFont="1">
      <alignment horizontal="right" shrinkToFit="0" vertical="center" wrapText="0"/>
    </xf>
    <xf borderId="0" fillId="0" fontId="19" numFmtId="0" xfId="0" applyAlignment="1" applyFon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466850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161925</xdr:rowOff>
    </xdr:from>
    <xdr:ext cx="1600200" cy="238125"/>
    <xdr:pic>
      <xdr:nvPicPr>
        <xdr:cNvPr descr="Picture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600200" cy="238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22.0"/>
    <col customWidth="1" min="3" max="3" width="80.0"/>
    <col customWidth="1" min="4" max="26" width="8.71"/>
  </cols>
  <sheetData>
    <row r="1" ht="30.0" customHeight="1">
      <c r="A1" s="1"/>
      <c r="B1" s="2"/>
      <c r="C1" s="1"/>
      <c r="D1" s="1"/>
    </row>
    <row r="2" ht="18.0" customHeight="1">
      <c r="A2" s="1"/>
      <c r="B2" s="3"/>
      <c r="C2" s="1"/>
      <c r="D2" s="1"/>
    </row>
    <row r="4">
      <c r="B4" s="4" t="s">
        <v>0</v>
      </c>
    </row>
    <row r="5">
      <c r="B5" s="5" t="s">
        <v>1</v>
      </c>
    </row>
    <row r="7">
      <c r="A7" s="6"/>
      <c r="B7" s="7" t="s">
        <v>2</v>
      </c>
      <c r="C7" s="6"/>
      <c r="D7" s="6"/>
    </row>
    <row r="8">
      <c r="B8" s="8" t="s">
        <v>3</v>
      </c>
      <c r="C8" s="9" t="s">
        <v>4</v>
      </c>
    </row>
    <row r="9">
      <c r="B9" s="8" t="s">
        <v>5</v>
      </c>
      <c r="C9" s="9" t="s">
        <v>6</v>
      </c>
    </row>
    <row r="10">
      <c r="B10" s="8" t="s">
        <v>7</v>
      </c>
      <c r="C10" s="9" t="s">
        <v>8</v>
      </c>
    </row>
    <row r="11">
      <c r="B11" s="8" t="s">
        <v>9</v>
      </c>
      <c r="C11" s="9" t="s">
        <v>10</v>
      </c>
    </row>
    <row r="14">
      <c r="B14" s="10" t="s">
        <v>11</v>
      </c>
    </row>
    <row r="15">
      <c r="B15" s="11" t="s">
        <v>12</v>
      </c>
      <c r="C15" s="9" t="s">
        <v>13</v>
      </c>
    </row>
    <row r="16">
      <c r="B16" s="12" t="s">
        <v>14</v>
      </c>
      <c r="C16" s="9" t="s">
        <v>15</v>
      </c>
    </row>
    <row r="17">
      <c r="B17" s="13" t="s">
        <v>16</v>
      </c>
      <c r="C17" s="9" t="s">
        <v>17</v>
      </c>
    </row>
    <row r="19">
      <c r="A19" s="6"/>
      <c r="B19" s="7" t="s">
        <v>18</v>
      </c>
      <c r="C19" s="6"/>
      <c r="D19" s="6"/>
    </row>
    <row r="20">
      <c r="C20" s="9" t="s">
        <v>19</v>
      </c>
    </row>
    <row r="21" ht="15.75" customHeight="1">
      <c r="C21" s="9" t="s">
        <v>20</v>
      </c>
    </row>
    <row r="22" ht="15.75" customHeight="1">
      <c r="C22" s="9" t="s">
        <v>21</v>
      </c>
    </row>
    <row r="23" ht="15.75" customHeight="1">
      <c r="C23" s="9" t="s">
        <v>22</v>
      </c>
    </row>
    <row r="24" ht="15.75" customHeight="1">
      <c r="C24" s="9" t="s">
        <v>23</v>
      </c>
    </row>
    <row r="25" ht="15.75" customHeight="1">
      <c r="C25" s="9" t="s">
        <v>24</v>
      </c>
    </row>
    <row r="26" ht="15.75" customHeight="1"/>
    <row r="27" ht="15.75" customHeight="1"/>
    <row r="28" ht="15.75" customHeight="1">
      <c r="A28" s="14"/>
      <c r="B28" s="15" t="s">
        <v>25</v>
      </c>
      <c r="C28" s="16" t="s">
        <v>26</v>
      </c>
      <c r="D28" s="14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B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4.0"/>
    <col customWidth="1" min="3" max="4" width="18.0"/>
    <col customWidth="1" min="5" max="5" width="38.0"/>
    <col customWidth="1" min="6" max="26" width="8.71"/>
  </cols>
  <sheetData>
    <row r="1" ht="30.0" customHeight="1">
      <c r="A1" s="1"/>
      <c r="B1" s="2"/>
      <c r="C1" s="1"/>
      <c r="D1" s="1"/>
      <c r="E1" s="1"/>
    </row>
    <row r="2" ht="18.0" customHeight="1">
      <c r="A2" s="1"/>
      <c r="B2" s="3"/>
      <c r="C2" s="1"/>
      <c r="D2" s="1"/>
      <c r="E2" s="1"/>
    </row>
    <row r="4">
      <c r="B4" s="17" t="s">
        <v>27</v>
      </c>
    </row>
    <row r="5">
      <c r="B5" s="18" t="s">
        <v>28</v>
      </c>
    </row>
    <row r="7" ht="19.5" customHeight="1">
      <c r="B7" s="19" t="s">
        <v>29</v>
      </c>
      <c r="C7" s="19"/>
      <c r="D7" s="19"/>
    </row>
    <row r="8">
      <c r="B8" s="20" t="s">
        <v>30</v>
      </c>
      <c r="C8" s="21" t="s">
        <v>31</v>
      </c>
      <c r="D8" s="21" t="s">
        <v>32</v>
      </c>
    </row>
    <row r="9">
      <c r="B9" s="22" t="s">
        <v>33</v>
      </c>
      <c r="C9" s="23">
        <v>5500000.0</v>
      </c>
      <c r="D9" s="24">
        <f t="shared" ref="D9:D12" si="1">IF($C$12=0,0,C9/$C$12)</f>
        <v>0.55</v>
      </c>
    </row>
    <row r="10">
      <c r="B10" s="22" t="s">
        <v>34</v>
      </c>
      <c r="C10" s="23">
        <v>4500000.0</v>
      </c>
      <c r="D10" s="24">
        <f t="shared" si="1"/>
        <v>0.45</v>
      </c>
    </row>
    <row r="11">
      <c r="B11" s="22" t="s">
        <v>35</v>
      </c>
      <c r="C11" s="23">
        <v>0.0</v>
      </c>
      <c r="D11" s="24">
        <f t="shared" si="1"/>
        <v>0</v>
      </c>
    </row>
    <row r="12">
      <c r="B12" s="12" t="s">
        <v>36</v>
      </c>
      <c r="C12" s="25">
        <f>SUM(C9:C11)</f>
        <v>10000000</v>
      </c>
      <c r="D12" s="26">
        <f t="shared" si="1"/>
        <v>1</v>
      </c>
    </row>
    <row r="14" ht="19.5" customHeight="1">
      <c r="B14" s="19" t="s">
        <v>37</v>
      </c>
      <c r="C14" s="19"/>
      <c r="D14" s="19"/>
    </row>
    <row r="15">
      <c r="B15" s="9" t="s">
        <v>38</v>
      </c>
      <c r="C15" s="27">
        <v>750000.0</v>
      </c>
    </row>
    <row r="16">
      <c r="B16" s="9" t="s">
        <v>39</v>
      </c>
      <c r="C16" s="27">
        <v>250000.0</v>
      </c>
    </row>
    <row r="17">
      <c r="B17" s="9" t="s">
        <v>40</v>
      </c>
      <c r="C17" s="27">
        <v>100000.0</v>
      </c>
    </row>
    <row r="18">
      <c r="B18" s="9" t="s">
        <v>41</v>
      </c>
      <c r="C18" s="28">
        <v>0.1</v>
      </c>
    </row>
    <row r="19">
      <c r="B19" s="29" t="s">
        <v>42</v>
      </c>
      <c r="C19" s="30">
        <f>C16+C17</f>
        <v>350000</v>
      </c>
      <c r="D19" s="6"/>
    </row>
    <row r="20">
      <c r="B20" s="9" t="s">
        <v>43</v>
      </c>
      <c r="C20" s="31">
        <f>C15+C19</f>
        <v>1100000</v>
      </c>
    </row>
    <row r="21" ht="15.75" customHeight="1">
      <c r="B21" s="9" t="s">
        <v>44</v>
      </c>
      <c r="C21" s="24">
        <f>C19/C20</f>
        <v>0.3181818182</v>
      </c>
    </row>
    <row r="22" ht="15.75" customHeight="1">
      <c r="B22" s="9" t="s">
        <v>45</v>
      </c>
      <c r="C22" s="32">
        <f>ROUND(C12/(1-C21-C18),0)</f>
        <v>17187500</v>
      </c>
    </row>
    <row r="23" ht="15.75" customHeight="1">
      <c r="B23" s="9" t="s">
        <v>46</v>
      </c>
      <c r="C23" s="32">
        <f>ROUND(C18*C22,0)</f>
        <v>1718750</v>
      </c>
    </row>
    <row r="24" ht="15.75" customHeight="1">
      <c r="B24" s="9" t="s">
        <v>47</v>
      </c>
      <c r="C24" s="32">
        <f>ROUND(C21*C22,0)</f>
        <v>5468750</v>
      </c>
    </row>
    <row r="25" ht="15.75" customHeight="1">
      <c r="B25" s="33" t="s">
        <v>48</v>
      </c>
      <c r="C25" s="34">
        <f>IF(C19=0,0,ROUND(C24*C16/C19,0))</f>
        <v>3906250</v>
      </c>
    </row>
    <row r="26" ht="15.75" customHeight="1">
      <c r="B26" s="33" t="s">
        <v>49</v>
      </c>
      <c r="C26" s="34">
        <f>C24-C25</f>
        <v>1562500</v>
      </c>
    </row>
    <row r="27" ht="15.75" customHeight="1">
      <c r="B27" s="9" t="s">
        <v>50</v>
      </c>
      <c r="C27" s="35">
        <f>IF(C24=0,0,C19/C24)</f>
        <v>0.064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B2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12.0" topLeftCell="B13" activePane="bottomRight" state="frozen"/>
      <selection activeCell="B1" sqref="B1" pane="topRight"/>
      <selection activeCell="A13" sqref="A13" pane="bottomLeft"/>
      <selection activeCell="B13" sqref="B13" pane="bottomRight"/>
    </sheetView>
  </sheetViews>
  <sheetFormatPr customHeight="1" defaultColWidth="14.43" defaultRowHeight="15.0"/>
  <cols>
    <col customWidth="1" min="1" max="1" width="2.0"/>
    <col customWidth="1" min="2" max="2" width="24.0"/>
    <col customWidth="1" min="3" max="3" width="19.0"/>
    <col customWidth="1" min="4" max="4" width="15.29"/>
    <col customWidth="1" min="5" max="5" width="9.0"/>
    <col customWidth="1" min="6" max="6" width="15.86"/>
    <col customWidth="1" min="7" max="7" width="9.0"/>
    <col customWidth="1" min="8" max="8" width="15.0"/>
    <col customWidth="1" min="9" max="9" width="16.0"/>
    <col customWidth="1" min="10" max="26" width="8.71"/>
  </cols>
  <sheetData>
    <row r="1" ht="30.0" customHeight="1">
      <c r="A1" s="1"/>
      <c r="B1" s="2"/>
      <c r="C1" s="1"/>
      <c r="D1" s="1"/>
      <c r="E1" s="1"/>
      <c r="F1" s="1"/>
      <c r="G1" s="1"/>
      <c r="H1" s="1"/>
      <c r="I1" s="1"/>
    </row>
    <row r="2" ht="18.0" customHeight="1">
      <c r="A2" s="1"/>
      <c r="B2" s="3"/>
      <c r="C2" s="1"/>
      <c r="D2" s="1"/>
      <c r="E2" s="1"/>
      <c r="F2" s="1"/>
      <c r="G2" s="1"/>
      <c r="H2" s="1"/>
      <c r="I2" s="1"/>
    </row>
    <row r="4">
      <c r="B4" s="17" t="s">
        <v>51</v>
      </c>
    </row>
    <row r="5">
      <c r="B5" s="18" t="s">
        <v>52</v>
      </c>
    </row>
    <row r="7">
      <c r="B7" s="36" t="s">
        <v>43</v>
      </c>
      <c r="C7" s="37"/>
      <c r="D7" s="36" t="s">
        <v>50</v>
      </c>
      <c r="E7" s="37"/>
      <c r="F7" s="36" t="s">
        <v>53</v>
      </c>
      <c r="G7" s="37"/>
      <c r="H7" s="36" t="s">
        <v>54</v>
      </c>
      <c r="I7" s="37"/>
    </row>
    <row r="8" ht="21.75" customHeight="1">
      <c r="B8" s="38">
        <f>Assumptions!C20</f>
        <v>1100000</v>
      </c>
      <c r="C8" s="39"/>
      <c r="D8" s="40">
        <f>Assumptions!C27</f>
        <v>0.064</v>
      </c>
      <c r="E8" s="39"/>
      <c r="F8" s="38">
        <f>Assumptions!C19</f>
        <v>350000</v>
      </c>
      <c r="G8" s="39"/>
      <c r="H8" s="41">
        <f>COUNTIF(F13:F18,"&gt;0")</f>
        <v>5</v>
      </c>
      <c r="I8" s="37"/>
    </row>
    <row r="9">
      <c r="B9" s="42" t="s">
        <v>55</v>
      </c>
      <c r="C9" s="37"/>
      <c r="D9" s="42" t="s">
        <v>55</v>
      </c>
      <c r="E9" s="37"/>
      <c r="F9" s="42" t="s">
        <v>56</v>
      </c>
      <c r="G9" s="37"/>
      <c r="H9" s="42" t="s">
        <v>57</v>
      </c>
      <c r="I9" s="37"/>
    </row>
    <row r="11" ht="18.0" customHeight="1">
      <c r="B11" s="43" t="s">
        <v>58</v>
      </c>
      <c r="C11" s="43" t="s">
        <v>59</v>
      </c>
      <c r="D11" s="44" t="s">
        <v>60</v>
      </c>
      <c r="E11" s="45"/>
      <c r="F11" s="44" t="s">
        <v>61</v>
      </c>
      <c r="G11" s="45"/>
      <c r="H11" s="46" t="s">
        <v>62</v>
      </c>
      <c r="I11" s="46" t="s">
        <v>63</v>
      </c>
    </row>
    <row r="12">
      <c r="B12" s="47"/>
      <c r="C12" s="47"/>
      <c r="D12" s="48" t="s">
        <v>31</v>
      </c>
      <c r="E12" s="48" t="s">
        <v>64</v>
      </c>
      <c r="F12" s="48" t="s">
        <v>31</v>
      </c>
      <c r="G12" s="48" t="s">
        <v>64</v>
      </c>
      <c r="H12" s="48" t="s">
        <v>65</v>
      </c>
      <c r="I12" s="48" t="s">
        <v>65</v>
      </c>
    </row>
    <row r="13">
      <c r="B13" s="49" t="str">
        <f>Assumptions!B9</f>
        <v>Founder 1</v>
      </c>
      <c r="C13" s="50" t="s">
        <v>66</v>
      </c>
      <c r="D13" s="51">
        <f>Assumptions!C9</f>
        <v>5500000</v>
      </c>
      <c r="E13" s="52">
        <f t="shared" ref="E13:E18" si="1">IF($D$19=0,0,D13/$D$19)</f>
        <v>0.55</v>
      </c>
      <c r="F13" s="51">
        <f>Assumptions!C9</f>
        <v>5500000</v>
      </c>
      <c r="G13" s="52">
        <f t="shared" ref="G13:G18" si="2">IF($F$19=0,0,F13/$F$19)</f>
        <v>0.32</v>
      </c>
      <c r="H13" s="53">
        <v>0.0</v>
      </c>
      <c r="I13" s="54">
        <f>F13*Assumptions!$C$27</f>
        <v>352000</v>
      </c>
    </row>
    <row r="14">
      <c r="B14" s="55" t="str">
        <f>Assumptions!B10</f>
        <v>Founder 2</v>
      </c>
      <c r="C14" s="56" t="s">
        <v>66</v>
      </c>
      <c r="D14" s="57">
        <f>Assumptions!C10</f>
        <v>4500000</v>
      </c>
      <c r="E14" s="58">
        <f t="shared" si="1"/>
        <v>0.45</v>
      </c>
      <c r="F14" s="57">
        <f>Assumptions!C10</f>
        <v>4500000</v>
      </c>
      <c r="G14" s="58">
        <f t="shared" si="2"/>
        <v>0.2618181818</v>
      </c>
      <c r="H14" s="59">
        <v>0.0</v>
      </c>
      <c r="I14" s="60">
        <f>F14*Assumptions!$C$27</f>
        <v>288000</v>
      </c>
    </row>
    <row r="15">
      <c r="B15" s="49" t="str">
        <f>Assumptions!B11</f>
        <v>Founder 3 (optional)</v>
      </c>
      <c r="C15" s="50" t="s">
        <v>66</v>
      </c>
      <c r="D15" s="51">
        <f>Assumptions!C11</f>
        <v>0</v>
      </c>
      <c r="E15" s="52">
        <f t="shared" si="1"/>
        <v>0</v>
      </c>
      <c r="F15" s="51">
        <f>Assumptions!C11</f>
        <v>0</v>
      </c>
      <c r="G15" s="52">
        <f t="shared" si="2"/>
        <v>0</v>
      </c>
      <c r="H15" s="53">
        <v>0.0</v>
      </c>
      <c r="I15" s="54">
        <f>F15*Assumptions!$C$27</f>
        <v>0</v>
      </c>
    </row>
    <row r="16">
      <c r="B16" s="61" t="s">
        <v>67</v>
      </c>
      <c r="C16" s="56" t="s">
        <v>68</v>
      </c>
      <c r="D16" s="62">
        <v>0.0</v>
      </c>
      <c r="E16" s="58">
        <f t="shared" si="1"/>
        <v>0</v>
      </c>
      <c r="F16" s="57">
        <f>Assumptions!C23</f>
        <v>1718750</v>
      </c>
      <c r="G16" s="58">
        <f t="shared" si="2"/>
        <v>0.1</v>
      </c>
      <c r="H16" s="59">
        <v>0.0</v>
      </c>
      <c r="I16" s="60">
        <f>F16*Assumptions!$C$27</f>
        <v>110000</v>
      </c>
    </row>
    <row r="17">
      <c r="B17" s="63" t="s">
        <v>69</v>
      </c>
      <c r="C17" s="50" t="s">
        <v>66</v>
      </c>
      <c r="D17" s="64">
        <v>0.0</v>
      </c>
      <c r="E17" s="52">
        <f t="shared" si="1"/>
        <v>0</v>
      </c>
      <c r="F17" s="51">
        <f>Assumptions!C25</f>
        <v>3906250</v>
      </c>
      <c r="G17" s="52">
        <f t="shared" si="2"/>
        <v>0.2272727273</v>
      </c>
      <c r="H17" s="54">
        <f>Assumptions!C16</f>
        <v>250000</v>
      </c>
      <c r="I17" s="54">
        <f>F17*Assumptions!$C$27</f>
        <v>250000</v>
      </c>
    </row>
    <row r="18">
      <c r="B18" s="61" t="s">
        <v>70</v>
      </c>
      <c r="C18" s="56" t="s">
        <v>66</v>
      </c>
      <c r="D18" s="62">
        <v>0.0</v>
      </c>
      <c r="E18" s="58">
        <f t="shared" si="1"/>
        <v>0</v>
      </c>
      <c r="F18" s="57">
        <f>Assumptions!C26</f>
        <v>1562500</v>
      </c>
      <c r="G18" s="58">
        <f t="shared" si="2"/>
        <v>0.09090909091</v>
      </c>
      <c r="H18" s="60">
        <f>Assumptions!C17</f>
        <v>100000</v>
      </c>
      <c r="I18" s="60">
        <f>F18*Assumptions!$C$27</f>
        <v>100000</v>
      </c>
    </row>
    <row r="19">
      <c r="B19" s="65" t="s">
        <v>71</v>
      </c>
      <c r="C19" s="66"/>
      <c r="D19" s="67">
        <f t="shared" ref="D19:I19" si="3">SUM(D13:D18)</f>
        <v>10000000</v>
      </c>
      <c r="E19" s="68">
        <f t="shared" si="3"/>
        <v>1</v>
      </c>
      <c r="F19" s="67">
        <f t="shared" si="3"/>
        <v>17187500</v>
      </c>
      <c r="G19" s="68">
        <f t="shared" si="3"/>
        <v>1</v>
      </c>
      <c r="H19" s="69">
        <f t="shared" si="3"/>
        <v>350000</v>
      </c>
      <c r="I19" s="69">
        <f t="shared" si="3"/>
        <v>1100000</v>
      </c>
    </row>
    <row r="21" ht="15.75" customHeight="1">
      <c r="B21" s="70" t="s">
        <v>72</v>
      </c>
    </row>
    <row r="22" ht="25.5" customHeight="1">
      <c r="B22" s="71" t="s">
        <v>73</v>
      </c>
      <c r="C22" s="72" t="str">
        <f>IF(F19=Assumptions!C22,"OK","check")</f>
        <v>OK</v>
      </c>
    </row>
    <row r="23" ht="16.5" customHeight="1">
      <c r="B23" s="71" t="s">
        <v>74</v>
      </c>
      <c r="C23" s="73" t="str">
        <f>IF(ROUND(G19,4)=1,"OK","check")</f>
        <v>OK</v>
      </c>
    </row>
    <row r="24" ht="16.5" customHeight="1">
      <c r="B24" s="71" t="s">
        <v>75</v>
      </c>
      <c r="C24" s="72" t="str">
        <f>IF(Assumptions!C16&lt;=250000,"OK","over limit")</f>
        <v>OK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B2"/>
  </mergeCell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2026-06-26T14:28:15Z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