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4.xml" ContentType="application/vnd.openxmlformats-officedocument.drawing+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worksheets/sheet3.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threadedComments/threadedComment1.xml" ContentType="application/vnd.ms-excel.threadedcomments+xml"/>
  <Override PartName="/xl/comments1.xml" ContentType="application/vnd.openxmlformats-officedocument.spreadsheetml.comments+xml"/>
  <Override PartName="/xl/tables/table13.xml" ContentType="application/vnd.openxmlformats-officedocument.spreadsheetml.table+xml"/>
  <Override PartName="/xl/tables/table12.xml" ContentType="application/vnd.openxmlformats-officedocument.spreadsheetml.table+xml"/>
  <Override PartName="/xl/tables/table11.xml" ContentType="application/vnd.openxmlformats-officedocument.spreadsheetml.table+xml"/>
  <Override PartName="/xl/tables/table10.xml" ContentType="application/vnd.openxmlformats-officedocument.spreadsheetml.table+xml"/>
  <Override PartName="/xl/tables/table9.xml" ContentType="application/vnd.openxmlformats-officedocument.spreadsheetml.table+xml"/>
  <Override PartName="/xl/tables/table8.xml" ContentType="application/vnd.openxmlformats-officedocument.spreadsheetml.table+xml"/>
  <Override PartName="/xl/tables/table7.xml" ContentType="application/vnd.openxmlformats-officedocument.spreadsheetml.table+xml"/>
  <Override PartName="/xl/tables/table6.xml" ContentType="application/vnd.openxmlformats-officedocument.spreadsheetml.table+xml"/>
  <Override PartName="/xl/tables/table5.xml" ContentType="application/vnd.openxmlformats-officedocument.spreadsheetml.table+xml"/>
  <Override PartName="/xl/tables/table4.xml" ContentType="application/vnd.openxmlformats-officedocument.spreadsheetml.table+xml"/>
  <Override PartName="/xl/tables/table3.xml" ContentType="application/vnd.openxmlformats-officedocument.spreadsheetml.table+xml"/>
  <Override PartName="/xl/tables/table1.xml" ContentType="application/vnd.openxmlformats-officedocument.spreadsheetml.table+xml"/>
  <Override PartName="/xl/richData/rdRichValueTypes.xml" ContentType="application/vnd.ms-excel.rdrichvaluetypes+xml"/>
  <Override PartName="/xl/richData/rdrichvaluestructure.xml" ContentType="application/vnd.ms-excel.rdrichvaluestructure+xml"/>
  <Override PartName="/xl/richData/rdrichvalue.xml" ContentType="application/vnd.ms-excel.rdrichvalue+xml"/>
  <Override PartName="/xl/metadata.xml" ContentType="application/vnd.openxmlformats-officedocument.spreadsheetml.sheetMetadata+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21"/>
  <workbookPr codeName="ThisWorkbook"/>
  <mc:AlternateContent xmlns:mc="http://schemas.openxmlformats.org/markup-compatibility/2006">
    <mc:Choice Requires="x15">
      <x15ac:absPath xmlns:x15ac="http://schemas.microsoft.com/office/spreadsheetml/2010/11/ac" url="/Users/jackwalton/Library/CloudStorage/GoogleDrive-jack.walton@3keel.com/Shared drives/Accounts/Federation of Wholesale Distributors/FWD 001 Climate roadmap and tool/3. Project content/WP2 - Emissions Hotspot Calculator/"/>
    </mc:Choice>
  </mc:AlternateContent>
  <xr:revisionPtr revIDLastSave="0" documentId="8_{BB2D2E44-982C-9D45-BF7A-E6228ED0629A}" xr6:coauthVersionLast="47" xr6:coauthVersionMax="47" xr10:uidLastSave="{00000000-0000-0000-0000-000000000000}"/>
  <workbookProtection workbookAlgorithmName="SHA-512" workbookHashValue="QDIXDifzONXBHTBBOCS/Eq52OknQzE8W3g+Ztoh39eSHw7yGIBIR8q9ajph1xFgzUNTMQ/6C2qC19+BvhP1yZg==" workbookSaltValue="mh+Cby/wrCDrnuw5oQ0kfA==" workbookSpinCount="100000" lockStructure="1"/>
  <bookViews>
    <workbookView xWindow="0" yWindow="740" windowWidth="29400" windowHeight="18380" xr2:uid="{FB48FAA3-E7D5-5341-8BA0-1E750BD1F77D}"/>
  </bookViews>
  <sheets>
    <sheet name="User Guide" sheetId="3" r:id="rId1"/>
    <sheet name="Inputs" sheetId="4" r:id="rId2"/>
    <sheet name="Brief Summary" sheetId="1" r:id="rId3"/>
    <sheet name="Detailed Summary" sheetId="2" r:id="rId4"/>
    <sheet name="Estimates of GHG Categories" sheetId="19" r:id="rId5"/>
    <sheet name="Methodology" sheetId="13" r:id="rId6"/>
    <sheet name="Authors &amp; Disclaimer" sheetId="25" r:id="rId7"/>
    <sheet name="HIDE - notes" sheetId="24" state="hidden" r:id="rId8"/>
    <sheet name="HIDE - Data Quality" sheetId="23" state="hidden" r:id="rId9"/>
    <sheet name="HIDE - Summary Chart Data" sheetId="11" state="hidden" r:id="rId10"/>
    <sheet name="HIDE - Calculations" sheetId="16" state="hidden" r:id="rId11"/>
    <sheet name="HIDE - EFs" sheetId="22" state="hidden" r:id="rId12"/>
    <sheet name="HIDE - Value Chain %" sheetId="20" state="hidden" r:id="rId13"/>
    <sheet name="HIDE - Dropdowns" sheetId="14" state="hidden" r:id="rId14"/>
    <sheet name="HIDE - Survey Data" sheetId="18" state="hidden" r:id="rId15"/>
  </sheets>
  <definedNames>
    <definedName name="chart_ghg_labels">_xlfn.ANCHORARRAY('HIDE - Summary Chart Data'!$A$159)</definedName>
    <definedName name="chart_ghg_values">_xlfn.ANCHORARRAY('HIDE - Summary Chart Data'!$B$159)</definedName>
    <definedName name="chart_summary_comparison_bench_labels">_xlfn.ANCHORARRAY('HIDE - Summary Chart Data'!$A$45)</definedName>
    <definedName name="chart_summary_comparison_bench_values">_xlfn.ANCHORARRAY('HIDE - Summary Chart Data'!$C$45)</definedName>
    <definedName name="chart_summary_pie_labels">_xlfn.ANCHORARRAY('HIDE - Summary Chart Data'!$A$37)</definedName>
    <definedName name="chart_summary_pie_values">_xlfn.ANCHORARRAY('HIDE - Summary Chart Data'!$B$37)</definedName>
    <definedName name="DD_arrows">'HIDE - Dropdowns'!$J$4:$J$5</definedName>
    <definedName name="DD_floor_area_units">'HIDE - Dropdowns'!$E$4:$E$5</definedName>
    <definedName name="DD_logistics_input_units">'HIDE - Dropdowns'!$A$4:$A$6</definedName>
    <definedName name="DD_refrigerants">'HIDE - Dropdowns'!$L$4:$L$154</definedName>
    <definedName name="DD_reporting_period">'HIDE - Dropdowns'!$G$4:$G$6</definedName>
    <definedName name="DD_valchain_businesstravel_units">'HIDE - Dropdowns'!$C$4:$C$5</definedName>
    <definedName name="DD_yes_no">'HIDE - Dropdowns'!$I$4:$I$5</definedName>
    <definedName name="hotspot_1_chart_labels">_xlfn.ANCHORARRAY('HIDE - Summary Chart Data'!$A$69)</definedName>
    <definedName name="hotspot_1_chart_values">_xlfn.ANCHORARRAY('HIDE - Summary Chart Data'!$B$69)</definedName>
    <definedName name="hotspot_2_chart_labels">_xlfn.ANCHORARRAY('HIDE - Summary Chart Data'!$A$83)</definedName>
    <definedName name="hotspot_2_chart_values">_xlfn.ANCHORARRAY('HIDE - Summary Chart Data'!$B$83)</definedName>
    <definedName name="hotspot_3_chart_labels">_xlfn.ANCHORARRAY('HIDE - Summary Chart Data'!$A$95)</definedName>
    <definedName name="hotspot_3_chart_values">_xlfn.ANCHORARRAY('HIDE - Summary Chart Data'!$B$95)</definedName>
    <definedName name="inputs_basic_data_qual">'HIDE - Data Quality'!$G$10</definedName>
    <definedName name="inputs_biztravel_key_or_adv">Inputs!$E$47</definedName>
    <definedName name="inputs_commuting_Key_or_Adv">Inputs!$E$46</definedName>
    <definedName name="inputs_energy_adv_elec_usage_kWh">Inputs!$H$28</definedName>
    <definedName name="inputs_energy_adv_gas_usage_kWh">Inputs!$H$26</definedName>
    <definedName name="inputs_energy_adv_oil_usage_kWh">Inputs!$H$27</definedName>
    <definedName name="inputs_energy_adv_renewable_percent">Inputs!$H$29</definedName>
    <definedName name="inputs_energy_adv_reporting_period">Inputs!$H$25</definedName>
    <definedName name="inputs_energy_dataqual_percent">'HIDE - Data Quality'!$G$26</definedName>
    <definedName name="inputs_energy_elec_Key_or_Adv">Inputs!$E$28</definedName>
    <definedName name="inputs_energy_gas_Key_or_Adv">Inputs!$E$26</definedName>
    <definedName name="inputs_energy_key_elec_spend_gbp">Inputs!$B$28</definedName>
    <definedName name="inputs_energy_key_gas_spend_gbp">Inputs!$B$26</definedName>
    <definedName name="inputs_energy_key_oil_spend_gbp">Inputs!$B$27</definedName>
    <definedName name="inputs_energy_Key_or_Adv">"Adv"</definedName>
    <definedName name="inputs_energy_key_renewable_yn">Inputs!$B$29</definedName>
    <definedName name="inputs_energy_key_reporting_period">Inputs!$B$25</definedName>
    <definedName name="inputs_energy_oil_Key_or_Adv">Inputs!$E$27</definedName>
    <definedName name="inputs_energy_renew_Key_or_Adv">Inputs!$E$29</definedName>
    <definedName name="inputs_log_adv_cars_diesel_Litres">Inputs!$H$19</definedName>
    <definedName name="inputs_log_adv_cars_petrol_Litres">Inputs!$K$19</definedName>
    <definedName name="inputs_log_adv_HGV_diesel_Litres">Inputs!$H$17</definedName>
    <definedName name="inputs_log_adv_LGV_diesel_Litres">Inputs!$H$18</definedName>
    <definedName name="inputs_log_adv_LGV_petrol_Litres">Inputs!$K$18</definedName>
    <definedName name="inputs_log_adv_reporting_period">Inputs!$H$16</definedName>
    <definedName name="inputs_log_cars_Key_or_Adv">Inputs!$E$19</definedName>
    <definedName name="inputs_log_dataqual_percent">'HIDE - Data Quality'!$G$18</definedName>
    <definedName name="inputs_log_HGV_Key_or_Adv">Inputs!$E$17</definedName>
    <definedName name="inputs_log_key_cars_unit">Inputs!$C$19</definedName>
    <definedName name="inputs_log_key_cars_value">Inputs!$B$19</definedName>
    <definedName name="inputs_log_key_HGV_unit">Inputs!$C$17</definedName>
    <definedName name="inputs_log_key_HGV_value">Inputs!$B$17</definedName>
    <definedName name="inputs_log_key_LGV_unit">Inputs!$C$18</definedName>
    <definedName name="inputs_log_key_LGV_value">Inputs!$B$18</definedName>
    <definedName name="inputs_log_key_reporting_period">Inputs!$B$16</definedName>
    <definedName name="inputs_log_key_total_unit">Inputs!#REF!</definedName>
    <definedName name="inputs_log_key_total_value">Inputs!#REF!</definedName>
    <definedName name="inputs_log_LGV_Key_or_Adv">Inputs!$E$18</definedName>
    <definedName name="inputs_num_FTEs">Inputs!$B$46</definedName>
    <definedName name="inputs_refrig_1">Inputs!$K$36</definedName>
    <definedName name="inputs_refrig_2">Inputs!$K$37</definedName>
    <definedName name="inputs_refrig_3">Inputs!$K$38</definedName>
    <definedName name="inputs_refrig_4">Inputs!$K$39</definedName>
    <definedName name="inputs_refrig_5">Inputs!$K$40</definedName>
    <definedName name="inputs_refrig_adv_1_mass_kg">Inputs!$H$36</definedName>
    <definedName name="inputs_refrig_adv_2_mass_kg">Inputs!$H$37</definedName>
    <definedName name="inputs_refrig_adv_3_mass_kg">Inputs!$H$38</definedName>
    <definedName name="inputs_refrig_adv_4_mass_kg">Inputs!$H$39</definedName>
    <definedName name="inputs_refrig_adv_5_mass_kg">Inputs!$H$40</definedName>
    <definedName name="inputs_refrig_adv_reporting_period">Inputs!$H$35</definedName>
    <definedName name="inputs_refrig_dataqual_percent">'HIDE - Data Quality'!$G$30</definedName>
    <definedName name="inputs_refrig_key_floorarea_unit">Inputs!$C$35</definedName>
    <definedName name="inputs_refrig_key_floorarea_value">Inputs!$B$35</definedName>
    <definedName name="inputs_refrig_Key_or_Adv">Inputs!$E$35</definedName>
    <definedName name="inputs_revenue_GBP">Inputs!$B$10</definedName>
    <definedName name="inputs_username">Inputs!$B$9</definedName>
    <definedName name="inputs_valchain_adv_biztravel_emissions_tCO2e">Inputs!$H$47</definedName>
    <definedName name="inputs_valchain_adv_capgoods_spend_GBP">""""""</definedName>
    <definedName name="inputs_valchain_adv_commuting_emissions_tCO2e">Inputs!$H$46</definedName>
    <definedName name="inputs_valchain_dataqual_percent">'HIDE - Data Quality'!$G$35</definedName>
    <definedName name="inputs_valchain_est_consumer_emissions_tCO2e">'HIDE - Value Chain %'!$F$6</definedName>
    <definedName name="inputs_valchain_est_ingredients_emissions_tCO2e">'HIDE - Value Chain %'!$F$5</definedName>
    <definedName name="inputs_valchain_est_manuf_emissions_tCO2e">'HIDE - Value Chain %'!$F$9</definedName>
    <definedName name="inputs_valchain_est_packaging_emissions_tCO2e">'HIDE - Value Chain %'!$F$10</definedName>
    <definedName name="inputs_valchain_est_retailops_emissions_tCO2e">'HIDE - Value Chain %'!$F$7</definedName>
    <definedName name="inputs_valchain_est_transport_emissions_tCO2e">'HIDE - Value Chain %'!$F$11</definedName>
    <definedName name="inputs_valchain_est_waste_emissions_tCO2e">'HIDE - Value Chain %'!$F$8</definedName>
    <definedName name="inputs_valchain_est_wtt_emissions_tCO2e">'HIDE - Calculations'!$E$101</definedName>
    <definedName name="inputs_valchain_FWD_turnover_GBP">'HIDE - Value Chain %'!$H$5</definedName>
    <definedName name="inputs_valchain_key_biztravel_unit">Inputs!$C$47</definedName>
    <definedName name="inputs_valchain_key_biztravel_value">Inputs!$B$47</definedName>
    <definedName name="inputs_valchain_key_commuting_employees_FTEs">Inputs!$B$46</definedName>
    <definedName name="text_all_adv_inputs">"You've filled in all advanced inputs."</definedName>
    <definedName name="text_complete_key_inputs_only">"All key inputs have been filled in."</definedName>
    <definedName name="text_incomplete_key_inputs">"Not all key inputs have been filled in, please fill in all key inputs highlighted in orange."</definedName>
    <definedName name="text_sector_average">"Sector Average"</definedName>
    <definedName name="text_some_adv_inputs">"Some advanced inputs have been filled in."</definedName>
    <definedName name="text_using_advanced_input">"Using advanced input →"</definedName>
    <definedName name="text_using_key_input">"← Using key input"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7" i="11" l="1" a="1"/>
  <c r="A37" i="11" s="1"/>
  <c r="D30" i="11"/>
  <c r="D31" i="11"/>
  <c r="D32" i="11"/>
  <c r="D29" i="11"/>
  <c r="C30" i="11"/>
  <c r="C31" i="11"/>
  <c r="C32" i="11"/>
  <c r="C29" i="11"/>
  <c r="C37" i="11" s="1" a="1"/>
  <c r="C37" i="11" s="1"/>
  <c r="G108" i="11"/>
  <c r="G109" i="11"/>
  <c r="G110" i="11"/>
  <c r="G111" i="11"/>
  <c r="G112" i="11"/>
  <c r="G113" i="11"/>
  <c r="G114" i="11"/>
  <c r="G115" i="11"/>
  <c r="G116" i="11"/>
  <c r="G117" i="11"/>
  <c r="G118" i="11"/>
  <c r="G119" i="11"/>
  <c r="G120" i="11"/>
  <c r="G121" i="11"/>
  <c r="G122" i="11"/>
  <c r="G123" i="11"/>
  <c r="G124" i="11"/>
  <c r="G125" i="11"/>
  <c r="G107" i="11"/>
  <c r="F107" i="11"/>
  <c r="F108" i="11"/>
  <c r="F109" i="11"/>
  <c r="F110" i="11"/>
  <c r="F111" i="11"/>
  <c r="F112" i="11"/>
  <c r="F113" i="11"/>
  <c r="F114" i="11"/>
  <c r="F115" i="11"/>
  <c r="F116" i="11"/>
  <c r="F117" i="11"/>
  <c r="F118" i="11"/>
  <c r="F119" i="11"/>
  <c r="F120" i="11"/>
  <c r="F121" i="11"/>
  <c r="F122" i="11"/>
  <c r="F123" i="11"/>
  <c r="F124" i="11"/>
  <c r="F125" i="11"/>
  <c r="D107" i="11"/>
  <c r="D108" i="11"/>
  <c r="D109" i="11"/>
  <c r="D110" i="11"/>
  <c r="D111" i="11"/>
  <c r="D112" i="11"/>
  <c r="D113" i="11"/>
  <c r="D114" i="11"/>
  <c r="D115" i="11"/>
  <c r="D116" i="11"/>
  <c r="D117" i="11"/>
  <c r="D118" i="11"/>
  <c r="D119" i="11"/>
  <c r="D120" i="11"/>
  <c r="D121" i="11"/>
  <c r="D122" i="11"/>
  <c r="D123" i="11"/>
  <c r="D124" i="11"/>
  <c r="D125" i="11"/>
  <c r="C107" i="11"/>
  <c r="C108" i="11"/>
  <c r="C109" i="11"/>
  <c r="C110" i="11"/>
  <c r="C111" i="11"/>
  <c r="C112" i="11"/>
  <c r="C113" i="11"/>
  <c r="C114" i="11"/>
  <c r="C115" i="11"/>
  <c r="C116" i="11"/>
  <c r="C117" i="11"/>
  <c r="C118" i="11"/>
  <c r="C119" i="11"/>
  <c r="C120" i="11"/>
  <c r="C121" i="11"/>
  <c r="C122" i="11"/>
  <c r="C123" i="11"/>
  <c r="C124" i="11"/>
  <c r="C125" i="11"/>
  <c r="D8" i="23"/>
  <c r="F8" i="23" s="1"/>
  <c r="D9" i="23"/>
  <c r="G9" i="23" s="1"/>
  <c r="B8" i="23"/>
  <c r="B9" i="23"/>
  <c r="E181" i="22" a="1"/>
  <c r="E181" i="22" s="1"/>
  <c r="H181" i="22"/>
  <c r="F8" i="20"/>
  <c r="D8" i="20"/>
  <c r="D7" i="20"/>
  <c r="K7" i="20"/>
  <c r="K6" i="20"/>
  <c r="B8" i="20"/>
  <c r="E47" i="4" a="1"/>
  <c r="E47" i="4" s="1"/>
  <c r="E34" i="23" s="1"/>
  <c r="E46" i="4" a="1"/>
  <c r="E46" i="4" s="1"/>
  <c r="E33" i="23" s="1"/>
  <c r="E35" i="4" a="1"/>
  <c r="E35" i="4" s="1"/>
  <c r="E29" i="23" s="1"/>
  <c r="E29" i="4" a="1"/>
  <c r="E29" i="4" s="1"/>
  <c r="E25" i="23" s="1"/>
  <c r="E28" i="4" a="1"/>
  <c r="E28" i="4" s="1"/>
  <c r="E24" i="23" s="1"/>
  <c r="E27" i="4" a="1"/>
  <c r="E27" i="4" s="1"/>
  <c r="E23" i="23" s="1"/>
  <c r="E26" i="4" a="1"/>
  <c r="E26" i="4" s="1"/>
  <c r="E22" i="23" s="1"/>
  <c r="E18" i="4" a="1"/>
  <c r="E18" i="4" s="1"/>
  <c r="E19" i="4" a="1"/>
  <c r="E19" i="4" s="1"/>
  <c r="E17" i="4" a="1"/>
  <c r="E17" i="4" s="1"/>
  <c r="E15" i="23" s="1"/>
  <c r="D34" i="23"/>
  <c r="D33" i="23"/>
  <c r="D29" i="23"/>
  <c r="D25" i="23"/>
  <c r="D24" i="23"/>
  <c r="D23" i="23"/>
  <c r="D22" i="23"/>
  <c r="D17" i="23"/>
  <c r="D16" i="23"/>
  <c r="D15" i="23"/>
  <c r="A43" i="11"/>
  <c r="A35" i="11"/>
  <c r="C44" i="11"/>
  <c r="C36" i="11"/>
  <c r="C28" i="11"/>
  <c r="B50" i="11"/>
  <c r="B44" i="11"/>
  <c r="B36" i="11"/>
  <c r="B28" i="11"/>
  <c r="E80" i="16"/>
  <c r="E81" i="16"/>
  <c r="E82" i="16"/>
  <c r="E83" i="16"/>
  <c r="E84" i="16"/>
  <c r="E85" i="16"/>
  <c r="C80" i="16"/>
  <c r="C81" i="16"/>
  <c r="C82" i="16"/>
  <c r="C83" i="16"/>
  <c r="C84" i="16"/>
  <c r="C85" i="16"/>
  <c r="H22" i="22"/>
  <c r="H176" i="22"/>
  <c r="H177" i="22"/>
  <c r="H178" i="22"/>
  <c r="H179" i="22"/>
  <c r="H180" i="22"/>
  <c r="H182" i="22"/>
  <c r="H183" i="22"/>
  <c r="H184" i="22"/>
  <c r="H185" i="22"/>
  <c r="H186" i="22"/>
  <c r="H188" i="22"/>
  <c r="H189" i="22"/>
  <c r="A107" i="16"/>
  <c r="G58" i="16" a="1"/>
  <c r="P33" i="16" a="1"/>
  <c r="H58" i="16" a="1"/>
  <c r="P58" i="16" a="1"/>
  <c r="L58" i="16" a="1"/>
  <c r="G15" i="23" l="1" a="1"/>
  <c r="G15" i="23" s="1"/>
  <c r="F9" i="23"/>
  <c r="F10" i="23"/>
  <c r="G8" i="23"/>
  <c r="L58" i="16"/>
  <c r="H58" i="16"/>
  <c r="I58" i="16" s="1" a="1"/>
  <c r="I58" i="16" s="1"/>
  <c r="P58" i="16"/>
  <c r="Q58" i="16" s="1" a="1"/>
  <c r="Q58" i="16" s="1"/>
  <c r="R58" i="16" s="1"/>
  <c r="G58" i="16"/>
  <c r="E8" i="20"/>
  <c r="F24" i="23"/>
  <c r="G34" i="23" a="1"/>
  <c r="G34" i="23" s="1"/>
  <c r="G25" i="23" a="1"/>
  <c r="G25" i="23" s="1"/>
  <c r="B15" i="23"/>
  <c r="B10" i="23"/>
  <c r="F33" i="23"/>
  <c r="G22" i="23" a="1"/>
  <c r="G22" i="23" s="1"/>
  <c r="F15" i="23"/>
  <c r="F34" i="23"/>
  <c r="F29" i="23"/>
  <c r="F30" i="23" s="1"/>
  <c r="G29" i="23" a="1"/>
  <c r="G29" i="23" s="1"/>
  <c r="G33" i="23" a="1"/>
  <c r="G33" i="23" s="1"/>
  <c r="F25" i="23"/>
  <c r="F23" i="23"/>
  <c r="G24" i="23" a="1"/>
  <c r="G24" i="23" s="1"/>
  <c r="G23" i="23" a="1"/>
  <c r="G23" i="23" s="1"/>
  <c r="F22" i="23"/>
  <c r="P33" i="16"/>
  <c r="P36" i="16" a="1"/>
  <c r="G10" i="23" l="1"/>
  <c r="N9" i="4" s="1" a="1"/>
  <c r="N9" i="4" s="1"/>
  <c r="J58" i="16"/>
  <c r="M58" i="16" s="1"/>
  <c r="N58" i="16" s="1"/>
  <c r="E6" i="20"/>
  <c r="N8" i="4"/>
  <c r="G30" i="23"/>
  <c r="F35" i="23"/>
  <c r="G35" i="23" s="1"/>
  <c r="F26" i="23"/>
  <c r="G26" i="23" s="1"/>
  <c r="P36" i="16"/>
  <c r="D110" i="18"/>
  <c r="D111" i="18"/>
  <c r="D112" i="18"/>
  <c r="D113" i="18"/>
  <c r="D114" i="18"/>
  <c r="D115" i="18"/>
  <c r="D116" i="18"/>
  <c r="D117" i="18"/>
  <c r="D118" i="18"/>
  <c r="D119" i="18"/>
  <c r="D120" i="18"/>
  <c r="D121" i="18"/>
  <c r="D122" i="18"/>
  <c r="D123" i="18"/>
  <c r="D124" i="18"/>
  <c r="D125" i="18"/>
  <c r="D126" i="18"/>
  <c r="D127" i="18"/>
  <c r="D128" i="18"/>
  <c r="D129" i="18"/>
  <c r="D130" i="18"/>
  <c r="D131" i="18"/>
  <c r="D132" i="18"/>
  <c r="D133" i="18"/>
  <c r="D134" i="18"/>
  <c r="D135" i="18"/>
  <c r="D136" i="18"/>
  <c r="D137" i="18"/>
  <c r="D138" i="18"/>
  <c r="C110" i="18"/>
  <c r="C111" i="18"/>
  <c r="C112" i="18"/>
  <c r="C113" i="18"/>
  <c r="C114" i="18"/>
  <c r="C115" i="18"/>
  <c r="C116" i="18"/>
  <c r="C117" i="18"/>
  <c r="C118" i="18"/>
  <c r="C119" i="18"/>
  <c r="C120" i="18"/>
  <c r="C121" i="18"/>
  <c r="C122" i="18"/>
  <c r="C123" i="18"/>
  <c r="C124" i="18"/>
  <c r="C125" i="18"/>
  <c r="C126" i="18"/>
  <c r="C127" i="18"/>
  <c r="C128" i="18"/>
  <c r="C129" i="18"/>
  <c r="C130" i="18"/>
  <c r="C131" i="18"/>
  <c r="C132" i="18"/>
  <c r="C133" i="18"/>
  <c r="C134" i="18"/>
  <c r="C135" i="18"/>
  <c r="C136" i="18"/>
  <c r="C137" i="18"/>
  <c r="C138" i="18"/>
  <c r="B110" i="18"/>
  <c r="B111" i="18"/>
  <c r="B112" i="18"/>
  <c r="B113" i="18"/>
  <c r="B114" i="18"/>
  <c r="B115" i="18"/>
  <c r="B116" i="18"/>
  <c r="B117" i="18"/>
  <c r="B118" i="18"/>
  <c r="B119" i="18"/>
  <c r="B120" i="18"/>
  <c r="B121" i="18"/>
  <c r="B122" i="18"/>
  <c r="B123" i="18"/>
  <c r="B124" i="18"/>
  <c r="B125" i="18"/>
  <c r="B126" i="18"/>
  <c r="B127" i="18"/>
  <c r="B128" i="18"/>
  <c r="B129" i="18"/>
  <c r="E129" i="18" s="1"/>
  <c r="B130" i="18"/>
  <c r="B131" i="18"/>
  <c r="B132" i="18"/>
  <c r="B133" i="18"/>
  <c r="B134" i="18"/>
  <c r="B135" i="18"/>
  <c r="B136" i="18"/>
  <c r="B137" i="18"/>
  <c r="B138" i="18"/>
  <c r="P61" i="16" a="1"/>
  <c r="P55" i="16" a="1"/>
  <c r="P56" i="16" a="1"/>
  <c r="P59" i="16" a="1"/>
  <c r="P62" i="16" a="1"/>
  <c r="P60" i="16" a="1"/>
  <c r="P57" i="16" a="1"/>
  <c r="P56" i="16" l="1"/>
  <c r="P57" i="16"/>
  <c r="P60" i="16"/>
  <c r="P59" i="16"/>
  <c r="P62" i="16"/>
  <c r="P61" i="16"/>
  <c r="P55" i="16"/>
  <c r="E134" i="18"/>
  <c r="E126" i="18"/>
  <c r="E118" i="18"/>
  <c r="E110" i="18"/>
  <c r="E121" i="18"/>
  <c r="F133" i="18"/>
  <c r="F125" i="18"/>
  <c r="F117" i="18"/>
  <c r="G130" i="18"/>
  <c r="G138" i="18"/>
  <c r="F124" i="18"/>
  <c r="F131" i="18"/>
  <c r="F123" i="18"/>
  <c r="F115" i="18"/>
  <c r="E119" i="18"/>
  <c r="F132" i="18"/>
  <c r="F114" i="18"/>
  <c r="E127" i="18"/>
  <c r="E111" i="18"/>
  <c r="G122" i="18"/>
  <c r="G114" i="18"/>
  <c r="F116" i="18"/>
  <c r="G137" i="18"/>
  <c r="G129" i="18"/>
  <c r="G121" i="18"/>
  <c r="E137" i="18"/>
  <c r="G131" i="18"/>
  <c r="G123" i="18"/>
  <c r="G115" i="18"/>
  <c r="G113" i="18"/>
  <c r="G112" i="18"/>
  <c r="G111" i="18"/>
  <c r="G120" i="18"/>
  <c r="G119" i="18"/>
  <c r="E124" i="18"/>
  <c r="F137" i="18"/>
  <c r="F129" i="18"/>
  <c r="F121" i="18"/>
  <c r="F113" i="18"/>
  <c r="G134" i="18"/>
  <c r="G126" i="18"/>
  <c r="G118" i="18"/>
  <c r="G110" i="18"/>
  <c r="G136" i="18"/>
  <c r="E133" i="18"/>
  <c r="F138" i="18"/>
  <c r="F122" i="18"/>
  <c r="G127" i="18"/>
  <c r="E132" i="18"/>
  <c r="E116" i="18"/>
  <c r="E131" i="18"/>
  <c r="E123" i="18"/>
  <c r="E115" i="18"/>
  <c r="F136" i="18"/>
  <c r="F128" i="18"/>
  <c r="F120" i="18"/>
  <c r="F112" i="18"/>
  <c r="G128" i="18"/>
  <c r="E125" i="18"/>
  <c r="E117" i="18"/>
  <c r="F130" i="18"/>
  <c r="G135" i="18"/>
  <c r="E138" i="18"/>
  <c r="E130" i="18"/>
  <c r="E122" i="18"/>
  <c r="E114" i="18"/>
  <c r="F135" i="18"/>
  <c r="E136" i="18"/>
  <c r="E113" i="18"/>
  <c r="F127" i="18"/>
  <c r="F119" i="18"/>
  <c r="F111" i="18"/>
  <c r="G133" i="18"/>
  <c r="G125" i="18"/>
  <c r="G117" i="18"/>
  <c r="E135" i="18"/>
  <c r="E128" i="18"/>
  <c r="E120" i="18"/>
  <c r="E112" i="18"/>
  <c r="F134" i="18"/>
  <c r="F126" i="18"/>
  <c r="F118" i="18"/>
  <c r="F110" i="18"/>
  <c r="G132" i="18"/>
  <c r="G124" i="18"/>
  <c r="G116" i="18"/>
  <c r="A142" i="18" l="1"/>
  <c r="C142" i="18"/>
  <c r="B142" i="18"/>
  <c r="B145" i="18" s="1" a="1"/>
  <c r="B145" i="18" s="1"/>
  <c r="C107" i="16" s="1" a="1"/>
  <c r="C107" i="16" s="1"/>
  <c r="C145" i="18" l="1" a="1"/>
  <c r="C145" i="18" s="1"/>
  <c r="D107" i="16" s="1" a="1"/>
  <c r="D107" i="16" s="1"/>
  <c r="A145" i="18" a="1"/>
  <c r="A145" i="18" s="1"/>
  <c r="B107" i="16" s="1" a="1"/>
  <c r="B107" i="16" s="1"/>
  <c r="X36" i="2" l="1"/>
  <c r="H88" i="18"/>
  <c r="D85" i="18"/>
  <c r="B25" i="23"/>
  <c r="E17" i="23"/>
  <c r="P41" i="16" a="1"/>
  <c r="P53" i="16" a="1"/>
  <c r="P54" i="16" a="1"/>
  <c r="P63" i="16" a="1"/>
  <c r="P51" i="16" a="1"/>
  <c r="P35" i="16" a="1"/>
  <c r="P37" i="16" a="1"/>
  <c r="P42" i="16" a="1"/>
  <c r="P38" i="16" a="1"/>
  <c r="P49" i="16" a="1"/>
  <c r="P46" i="16" a="1"/>
  <c r="P47" i="16" a="1"/>
  <c r="P45" i="16" a="1"/>
  <c r="P34" i="16" a="1"/>
  <c r="P50" i="16" a="1"/>
  <c r="P39" i="16" a="1"/>
  <c r="P40" i="16" a="1"/>
  <c r="P64" i="16" a="1"/>
  <c r="P52" i="16" a="1"/>
  <c r="P48" i="16" a="1"/>
  <c r="P44" i="16" a="1"/>
  <c r="P43" i="16" a="1"/>
  <c r="G17" i="23" l="1" a="1"/>
  <c r="G17" i="23" s="1"/>
  <c r="F17" i="23"/>
  <c r="E16" i="23"/>
  <c r="B14" i="23" a="1"/>
  <c r="B14" i="23" s="1"/>
  <c r="P43" i="16"/>
  <c r="P46" i="16"/>
  <c r="P47" i="16"/>
  <c r="P48" i="16"/>
  <c r="P49" i="16"/>
  <c r="P50" i="16"/>
  <c r="P51" i="16"/>
  <c r="P52" i="16"/>
  <c r="P53" i="16"/>
  <c r="P54" i="16"/>
  <c r="P63" i="16"/>
  <c r="P64" i="16"/>
  <c r="P41" i="16"/>
  <c r="P44" i="16"/>
  <c r="P42" i="16"/>
  <c r="P45" i="16"/>
  <c r="B24" i="23"/>
  <c r="B33" i="23"/>
  <c r="B34" i="23"/>
  <c r="B22" i="23"/>
  <c r="B23" i="23"/>
  <c r="P34" i="16"/>
  <c r="P37" i="16"/>
  <c r="P38" i="16"/>
  <c r="P35" i="16"/>
  <c r="P39" i="16"/>
  <c r="P40" i="16"/>
  <c r="B16" i="23"/>
  <c r="B17" i="23"/>
  <c r="B21" i="23" a="1"/>
  <c r="B21" i="23" s="1"/>
  <c r="B29" i="23"/>
  <c r="B30" i="23" s="1"/>
  <c r="C75" i="16" a="1"/>
  <c r="G16" i="23" l="1" a="1"/>
  <c r="G16" i="23" s="1"/>
  <c r="F16" i="23"/>
  <c r="F18" i="23" s="1"/>
  <c r="N35" i="4" a="1"/>
  <c r="N35" i="4" s="1"/>
  <c r="N34" i="4"/>
  <c r="B35" i="23"/>
  <c r="B18" i="23"/>
  <c r="B26" i="23"/>
  <c r="C75" i="16"/>
  <c r="C74" i="16" a="1"/>
  <c r="G18" i="23" l="1"/>
  <c r="N16" i="4" s="1" a="1"/>
  <c r="N16" i="4" s="1"/>
  <c r="N25" i="4" a="1"/>
  <c r="N25" i="4" s="1"/>
  <c r="N24" i="4"/>
  <c r="C74" i="16"/>
  <c r="C73" i="16" a="1"/>
  <c r="N15" i="4" l="1"/>
  <c r="C73" i="16"/>
  <c r="E5" i="22" a="1"/>
  <c r="E5" i="22" s="1"/>
  <c r="H5" i="22" s="1"/>
  <c r="E6" i="22" a="1"/>
  <c r="E6" i="22" s="1"/>
  <c r="H6" i="22" s="1"/>
  <c r="E7" i="22" a="1"/>
  <c r="E7" i="22" s="1"/>
  <c r="H7" i="22" s="1"/>
  <c r="E189" i="22" l="1" a="1"/>
  <c r="E189" i="22" s="1"/>
  <c r="E2" i="22" a="1"/>
  <c r="E2" i="22" s="1"/>
  <c r="H2" i="22" s="1"/>
  <c r="E3" i="22" a="1"/>
  <c r="E3" i="22" s="1"/>
  <c r="H3" i="22" s="1"/>
  <c r="E4" i="22" a="1"/>
  <c r="E4" i="22" s="1"/>
  <c r="H4" i="22" s="1"/>
  <c r="E8" i="22" a="1"/>
  <c r="E8" i="22" s="1"/>
  <c r="H8" i="22" s="1"/>
  <c r="E9" i="22" a="1"/>
  <c r="E9" i="22" s="1"/>
  <c r="H9" i="22" s="1"/>
  <c r="E10" i="22" a="1"/>
  <c r="E10" i="22" s="1"/>
  <c r="H10" i="22" s="1"/>
  <c r="E11" i="22" a="1"/>
  <c r="E11" i="22" s="1"/>
  <c r="H11" i="22" s="1"/>
  <c r="E12" i="22" a="1"/>
  <c r="E12" i="22" s="1"/>
  <c r="H12" i="22" s="1"/>
  <c r="E13" i="22" a="1"/>
  <c r="E13" i="22" s="1"/>
  <c r="H13" i="22" s="1"/>
  <c r="E14" i="22" a="1"/>
  <c r="E14" i="22" s="1"/>
  <c r="H14" i="22" s="1"/>
  <c r="E15" i="22" a="1"/>
  <c r="E15" i="22" s="1"/>
  <c r="H15" i="22" s="1"/>
  <c r="E16" i="22" a="1"/>
  <c r="E16" i="22" s="1"/>
  <c r="H16" i="22" s="1"/>
  <c r="E17" i="22" a="1"/>
  <c r="E17" i="22" s="1"/>
  <c r="H17" i="22" s="1"/>
  <c r="E18" i="22" a="1"/>
  <c r="E18" i="22" s="1"/>
  <c r="H18" i="22" s="1"/>
  <c r="E19" i="22" a="1"/>
  <c r="E19" i="22" s="1"/>
  <c r="H19" i="22" s="1"/>
  <c r="E20" i="22" a="1"/>
  <c r="E20" i="22" s="1"/>
  <c r="H20" i="22" s="1"/>
  <c r="E21" i="22" a="1"/>
  <c r="E21" i="22" s="1"/>
  <c r="H21" i="22" s="1"/>
  <c r="E22" i="22" a="1"/>
  <c r="E22" i="22" s="1"/>
  <c r="E23" i="22" a="1"/>
  <c r="E23" i="22" s="1"/>
  <c r="E24" i="22" a="1"/>
  <c r="E24" i="22" s="1"/>
  <c r="E25" i="22" a="1"/>
  <c r="E25" i="22" s="1"/>
  <c r="H25" i="22" s="1"/>
  <c r="E26" i="22" a="1"/>
  <c r="E26" i="22" s="1"/>
  <c r="H26" i="22" s="1"/>
  <c r="E27" i="22" a="1"/>
  <c r="E27" i="22" s="1"/>
  <c r="H27" i="22" s="1"/>
  <c r="E28" i="22" a="1"/>
  <c r="E28" i="22" s="1"/>
  <c r="H28" i="22" s="1"/>
  <c r="E29" i="22" a="1"/>
  <c r="E29" i="22" s="1"/>
  <c r="H29" i="22" s="1"/>
  <c r="E30" i="22" a="1"/>
  <c r="E30" i="22" s="1"/>
  <c r="H30" i="22" s="1"/>
  <c r="E31" i="22" a="1"/>
  <c r="E31" i="22" s="1"/>
  <c r="H31" i="22" s="1"/>
  <c r="E32" i="22" a="1"/>
  <c r="E32" i="22" s="1"/>
  <c r="H32" i="22" s="1"/>
  <c r="E33" i="22" a="1"/>
  <c r="E33" i="22" s="1"/>
  <c r="H33" i="22" s="1"/>
  <c r="E34" i="22" a="1"/>
  <c r="E34" i="22" s="1"/>
  <c r="H34" i="22" s="1"/>
  <c r="E35" i="22" a="1"/>
  <c r="E35" i="22" s="1"/>
  <c r="H35" i="22" s="1"/>
  <c r="E36" i="22" a="1"/>
  <c r="E36" i="22" s="1"/>
  <c r="H36" i="22" s="1"/>
  <c r="E37" i="22" a="1"/>
  <c r="E37" i="22" s="1"/>
  <c r="H37" i="22" s="1"/>
  <c r="E38" i="22" a="1"/>
  <c r="E38" i="22" s="1"/>
  <c r="H38" i="22" s="1"/>
  <c r="E39" i="22" a="1"/>
  <c r="E39" i="22" s="1"/>
  <c r="H39" i="22" s="1"/>
  <c r="E40" i="22" a="1"/>
  <c r="E40" i="22" s="1"/>
  <c r="H40" i="22" s="1"/>
  <c r="E41" i="22" a="1"/>
  <c r="E41" i="22" s="1"/>
  <c r="H41" i="22" s="1"/>
  <c r="E42" i="22" a="1"/>
  <c r="E42" i="22" s="1"/>
  <c r="H42" i="22" s="1"/>
  <c r="E43" i="22" a="1"/>
  <c r="E43" i="22" s="1"/>
  <c r="H43" i="22" s="1"/>
  <c r="E44" i="22" a="1"/>
  <c r="E44" i="22" s="1"/>
  <c r="H44" i="22" s="1"/>
  <c r="E45" i="22" a="1"/>
  <c r="E45" i="22" s="1"/>
  <c r="H45" i="22" s="1"/>
  <c r="E46" i="22" a="1"/>
  <c r="E46" i="22" s="1"/>
  <c r="H46" i="22" s="1"/>
  <c r="E47" i="22" a="1"/>
  <c r="E47" i="22" s="1"/>
  <c r="H47" i="22" s="1"/>
  <c r="E48" i="22" a="1"/>
  <c r="E48" i="22" s="1"/>
  <c r="H48" i="22" s="1"/>
  <c r="E49" i="22" a="1"/>
  <c r="E49" i="22" s="1"/>
  <c r="H49" i="22" s="1"/>
  <c r="E50" i="22" a="1"/>
  <c r="E50" i="22" s="1"/>
  <c r="H50" i="22" s="1"/>
  <c r="E51" i="22" a="1"/>
  <c r="E51" i="22" s="1"/>
  <c r="H51" i="22" s="1"/>
  <c r="E52" i="22" a="1"/>
  <c r="E52" i="22" s="1"/>
  <c r="H52" i="22" s="1"/>
  <c r="E53" i="22" a="1"/>
  <c r="E53" i="22" s="1"/>
  <c r="H53" i="22" s="1"/>
  <c r="E54" i="22" a="1"/>
  <c r="E54" i="22" s="1"/>
  <c r="H54" i="22" s="1"/>
  <c r="E55" i="22" a="1"/>
  <c r="E55" i="22" s="1"/>
  <c r="H55" i="22" s="1"/>
  <c r="E56" i="22" a="1"/>
  <c r="E56" i="22" s="1"/>
  <c r="H56" i="22" s="1"/>
  <c r="E57" i="22" a="1"/>
  <c r="E57" i="22" s="1"/>
  <c r="H57" i="22" s="1"/>
  <c r="E58" i="22" a="1"/>
  <c r="E58" i="22" s="1"/>
  <c r="H58" i="22" s="1"/>
  <c r="E59" i="22" a="1"/>
  <c r="E59" i="22" s="1"/>
  <c r="H59" i="22" s="1"/>
  <c r="E60" i="22" a="1"/>
  <c r="E60" i="22" s="1"/>
  <c r="H60" i="22" s="1"/>
  <c r="E61" i="22" a="1"/>
  <c r="E61" i="22" s="1"/>
  <c r="H61" i="22" s="1"/>
  <c r="E62" i="22" a="1"/>
  <c r="E62" i="22" s="1"/>
  <c r="H62" i="22" s="1"/>
  <c r="E63" i="22" a="1"/>
  <c r="E63" i="22" s="1"/>
  <c r="H63" i="22" s="1"/>
  <c r="E64" i="22" a="1"/>
  <c r="E64" i="22" s="1"/>
  <c r="H64" i="22" s="1"/>
  <c r="E65" i="22" a="1"/>
  <c r="E65" i="22" s="1"/>
  <c r="H65" i="22" s="1"/>
  <c r="E66" i="22" a="1"/>
  <c r="E66" i="22" s="1"/>
  <c r="H66" i="22" s="1"/>
  <c r="E67" i="22" a="1"/>
  <c r="E67" i="22" s="1"/>
  <c r="H67" i="22" s="1"/>
  <c r="E68" i="22" a="1"/>
  <c r="E68" i="22" s="1"/>
  <c r="H68" i="22" s="1"/>
  <c r="E69" i="22" a="1"/>
  <c r="E69" i="22" s="1"/>
  <c r="H69" i="22" s="1"/>
  <c r="E70" i="22" a="1"/>
  <c r="E70" i="22" s="1"/>
  <c r="H70" i="22" s="1"/>
  <c r="E71" i="22" a="1"/>
  <c r="E71" i="22" s="1"/>
  <c r="H71" i="22" s="1"/>
  <c r="E72" i="22" a="1"/>
  <c r="E72" i="22" s="1"/>
  <c r="H72" i="22" s="1"/>
  <c r="E73" i="22" a="1"/>
  <c r="E73" i="22" s="1"/>
  <c r="H73" i="22" s="1"/>
  <c r="E74" i="22" a="1"/>
  <c r="E74" i="22" s="1"/>
  <c r="H74" i="22" s="1"/>
  <c r="E75" i="22" a="1"/>
  <c r="E75" i="22" s="1"/>
  <c r="H75" i="22" s="1"/>
  <c r="E76" i="22" a="1"/>
  <c r="E76" i="22" s="1"/>
  <c r="H76" i="22" s="1"/>
  <c r="E77" i="22" a="1"/>
  <c r="E77" i="22" s="1"/>
  <c r="H77" i="22" s="1"/>
  <c r="E78" i="22" a="1"/>
  <c r="E78" i="22" s="1"/>
  <c r="H78" i="22" s="1"/>
  <c r="E79" i="22" a="1"/>
  <c r="E79" i="22" s="1"/>
  <c r="H79" i="22" s="1"/>
  <c r="E80" i="22" a="1"/>
  <c r="E80" i="22" s="1"/>
  <c r="H80" i="22" s="1"/>
  <c r="E81" i="22" a="1"/>
  <c r="E81" i="22" s="1"/>
  <c r="H81" i="22" s="1"/>
  <c r="E82" i="22" a="1"/>
  <c r="E82" i="22" s="1"/>
  <c r="H82" i="22" s="1"/>
  <c r="E83" i="22" a="1"/>
  <c r="E83" i="22" s="1"/>
  <c r="H83" i="22" s="1"/>
  <c r="E84" i="22" a="1"/>
  <c r="E84" i="22" s="1"/>
  <c r="H84" i="22" s="1"/>
  <c r="E85" i="22" a="1"/>
  <c r="E85" i="22" s="1"/>
  <c r="H85" i="22" s="1"/>
  <c r="E86" i="22" a="1"/>
  <c r="E86" i="22" s="1"/>
  <c r="H86" i="22" s="1"/>
  <c r="E87" i="22" a="1"/>
  <c r="E87" i="22" s="1"/>
  <c r="H87" i="22" s="1"/>
  <c r="E88" i="22" a="1"/>
  <c r="E88" i="22" s="1"/>
  <c r="H88" i="22" s="1"/>
  <c r="E89" i="22" a="1"/>
  <c r="E89" i="22" s="1"/>
  <c r="H89" i="22" s="1"/>
  <c r="E90" i="22" a="1"/>
  <c r="E90" i="22" s="1"/>
  <c r="H90" i="22" s="1"/>
  <c r="E91" i="22" a="1"/>
  <c r="E91" i="22" s="1"/>
  <c r="H91" i="22" s="1"/>
  <c r="E92" i="22" a="1"/>
  <c r="E92" i="22" s="1"/>
  <c r="H92" i="22" s="1"/>
  <c r="E93" i="22" a="1"/>
  <c r="E93" i="22" s="1"/>
  <c r="H93" i="22" s="1"/>
  <c r="E94" i="22" a="1"/>
  <c r="E94" i="22" s="1"/>
  <c r="H94" i="22" s="1"/>
  <c r="E95" i="22" a="1"/>
  <c r="E95" i="22" s="1"/>
  <c r="H95" i="22" s="1"/>
  <c r="E96" i="22" a="1"/>
  <c r="E96" i="22" s="1"/>
  <c r="H96" i="22" s="1"/>
  <c r="E97" i="22" a="1"/>
  <c r="E97" i="22" s="1"/>
  <c r="H97" i="22" s="1"/>
  <c r="E98" i="22" a="1"/>
  <c r="E98" i="22" s="1"/>
  <c r="H98" i="22" s="1"/>
  <c r="E99" i="22" a="1"/>
  <c r="E99" i="22" s="1"/>
  <c r="H99" i="22" s="1"/>
  <c r="E100" i="22" a="1"/>
  <c r="E100" i="22" s="1"/>
  <c r="H100" i="22" s="1"/>
  <c r="E101" i="22" a="1"/>
  <c r="E101" i="22" s="1"/>
  <c r="H101" i="22" s="1"/>
  <c r="E102" i="22" a="1"/>
  <c r="E102" i="22" s="1"/>
  <c r="H102" i="22" s="1"/>
  <c r="E103" i="22" a="1"/>
  <c r="E103" i="22" s="1"/>
  <c r="H103" i="22" s="1"/>
  <c r="E104" i="22" a="1"/>
  <c r="E104" i="22" s="1"/>
  <c r="H104" i="22" s="1"/>
  <c r="E105" i="22" a="1"/>
  <c r="E105" i="22" s="1"/>
  <c r="H105" i="22" s="1"/>
  <c r="E106" i="22" a="1"/>
  <c r="E106" i="22" s="1"/>
  <c r="H106" i="22" s="1"/>
  <c r="E107" i="22" a="1"/>
  <c r="E107" i="22" s="1"/>
  <c r="H107" i="22" s="1"/>
  <c r="E108" i="22" a="1"/>
  <c r="E108" i="22" s="1"/>
  <c r="H108" i="22" s="1"/>
  <c r="E109" i="22" a="1"/>
  <c r="E109" i="22" s="1"/>
  <c r="H109" i="22" s="1"/>
  <c r="E110" i="22" a="1"/>
  <c r="E110" i="22" s="1"/>
  <c r="H110" i="22" s="1"/>
  <c r="E111" i="22" a="1"/>
  <c r="E111" i="22" s="1"/>
  <c r="H111" i="22" s="1"/>
  <c r="E112" i="22" a="1"/>
  <c r="E112" i="22" s="1"/>
  <c r="H112" i="22" s="1"/>
  <c r="E113" i="22" a="1"/>
  <c r="E113" i="22" s="1"/>
  <c r="H113" i="22" s="1"/>
  <c r="E114" i="22" a="1"/>
  <c r="E114" i="22" s="1"/>
  <c r="H114" i="22" s="1"/>
  <c r="E115" i="22" a="1"/>
  <c r="E115" i="22" s="1"/>
  <c r="H115" i="22" s="1"/>
  <c r="E116" i="22" a="1"/>
  <c r="E116" i="22" s="1"/>
  <c r="H116" i="22" s="1"/>
  <c r="E117" i="22" a="1"/>
  <c r="E117" i="22" s="1"/>
  <c r="H117" i="22" s="1"/>
  <c r="E118" i="22" a="1"/>
  <c r="E118" i="22" s="1"/>
  <c r="H118" i="22" s="1"/>
  <c r="E119" i="22" a="1"/>
  <c r="E119" i="22" s="1"/>
  <c r="H119" i="22" s="1"/>
  <c r="E120" i="22" a="1"/>
  <c r="E120" i="22" s="1"/>
  <c r="H120" i="22" s="1"/>
  <c r="E121" i="22" a="1"/>
  <c r="E121" i="22" s="1"/>
  <c r="H121" i="22" s="1"/>
  <c r="E122" i="22" a="1"/>
  <c r="E122" i="22" s="1"/>
  <c r="H122" i="22" s="1"/>
  <c r="E123" i="22" a="1"/>
  <c r="E123" i="22" s="1"/>
  <c r="H123" i="22" s="1"/>
  <c r="E124" i="22" a="1"/>
  <c r="E124" i="22" s="1"/>
  <c r="H124" i="22" s="1"/>
  <c r="E125" i="22" a="1"/>
  <c r="E125" i="22" s="1"/>
  <c r="H125" i="22" s="1"/>
  <c r="E126" i="22" a="1"/>
  <c r="E126" i="22" s="1"/>
  <c r="H126" i="22" s="1"/>
  <c r="E127" i="22" a="1"/>
  <c r="E127" i="22" s="1"/>
  <c r="H127" i="22" s="1"/>
  <c r="E128" i="22" a="1"/>
  <c r="E128" i="22" s="1"/>
  <c r="H128" i="22" s="1"/>
  <c r="E129" i="22" a="1"/>
  <c r="E129" i="22" s="1"/>
  <c r="H129" i="22" s="1"/>
  <c r="E130" i="22" a="1"/>
  <c r="E130" i="22" s="1"/>
  <c r="H130" i="22" s="1"/>
  <c r="E131" i="22" a="1"/>
  <c r="E131" i="22" s="1"/>
  <c r="H131" i="22" s="1"/>
  <c r="E132" i="22" a="1"/>
  <c r="E132" i="22" s="1"/>
  <c r="H132" i="22" s="1"/>
  <c r="E133" i="22" a="1"/>
  <c r="E133" i="22" s="1"/>
  <c r="H133" i="22" s="1"/>
  <c r="E134" i="22" a="1"/>
  <c r="E134" i="22" s="1"/>
  <c r="H134" i="22" s="1"/>
  <c r="E135" i="22" a="1"/>
  <c r="E135" i="22" s="1"/>
  <c r="H135" i="22" s="1"/>
  <c r="E136" i="22" a="1"/>
  <c r="E136" i="22" s="1"/>
  <c r="H136" i="22" s="1"/>
  <c r="E137" i="22" a="1"/>
  <c r="E137" i="22" s="1"/>
  <c r="H137" i="22" s="1"/>
  <c r="E138" i="22" a="1"/>
  <c r="E138" i="22" s="1"/>
  <c r="H138" i="22" s="1"/>
  <c r="E139" i="22" a="1"/>
  <c r="E139" i="22" s="1"/>
  <c r="H139" i="22" s="1"/>
  <c r="E140" i="22" a="1"/>
  <c r="E140" i="22" s="1"/>
  <c r="H140" i="22" s="1"/>
  <c r="E141" i="22" a="1"/>
  <c r="E141" i="22" s="1"/>
  <c r="H141" i="22" s="1"/>
  <c r="E142" i="22" a="1"/>
  <c r="E142" i="22" s="1"/>
  <c r="H142" i="22" s="1"/>
  <c r="E143" i="22" a="1"/>
  <c r="E143" i="22" s="1"/>
  <c r="H143" i="22" s="1"/>
  <c r="E144" i="22" a="1"/>
  <c r="E144" i="22" s="1"/>
  <c r="H144" i="22" s="1"/>
  <c r="E145" i="22" a="1"/>
  <c r="E145" i="22" s="1"/>
  <c r="H145" i="22" s="1"/>
  <c r="E146" i="22" a="1"/>
  <c r="E146" i="22" s="1"/>
  <c r="H146" i="22" s="1"/>
  <c r="E147" i="22" a="1"/>
  <c r="E147" i="22" s="1"/>
  <c r="H147" i="22" s="1"/>
  <c r="E148" i="22" a="1"/>
  <c r="E148" i="22" s="1"/>
  <c r="H148" i="22" s="1"/>
  <c r="E149" i="22" a="1"/>
  <c r="E149" i="22" s="1"/>
  <c r="H149" i="22" s="1"/>
  <c r="E150" i="22" a="1"/>
  <c r="E150" i="22" s="1"/>
  <c r="H150" i="22" s="1"/>
  <c r="E151" i="22" a="1"/>
  <c r="E151" i="22" s="1"/>
  <c r="H151" i="22" s="1"/>
  <c r="E152" i="22" a="1"/>
  <c r="E152" i="22" s="1"/>
  <c r="H152" i="22" s="1"/>
  <c r="E153" i="22" a="1"/>
  <c r="E153" i="22" s="1"/>
  <c r="H153" i="22" s="1"/>
  <c r="E154" i="22" a="1"/>
  <c r="E154" i="22" s="1"/>
  <c r="H154" i="22" s="1"/>
  <c r="E155" i="22" a="1"/>
  <c r="E155" i="22" s="1"/>
  <c r="H155" i="22" s="1"/>
  <c r="E156" i="22" a="1"/>
  <c r="E156" i="22" s="1"/>
  <c r="H156" i="22" s="1"/>
  <c r="E157" i="22" a="1"/>
  <c r="E157" i="22" s="1"/>
  <c r="H157" i="22" s="1"/>
  <c r="E158" i="22" a="1"/>
  <c r="E158" i="22" s="1"/>
  <c r="H158" i="22" s="1"/>
  <c r="E159" i="22" a="1"/>
  <c r="E159" i="22" s="1"/>
  <c r="H159" i="22" s="1"/>
  <c r="E160" i="22" a="1"/>
  <c r="E160" i="22" s="1"/>
  <c r="H160" i="22" s="1"/>
  <c r="E161" i="22" a="1"/>
  <c r="E161" i="22" s="1"/>
  <c r="H161" i="22" s="1"/>
  <c r="E162" i="22" a="1"/>
  <c r="E162" i="22" s="1"/>
  <c r="H162" i="22" s="1"/>
  <c r="E163" i="22" a="1"/>
  <c r="E163" i="22" s="1"/>
  <c r="H163" i="22" s="1"/>
  <c r="E164" i="22" a="1"/>
  <c r="E164" i="22" s="1"/>
  <c r="H164" i="22" s="1"/>
  <c r="E165" i="22" a="1"/>
  <c r="E165" i="22" s="1"/>
  <c r="H165" i="22" s="1"/>
  <c r="E166" i="22" a="1"/>
  <c r="E166" i="22" s="1"/>
  <c r="H166" i="22" s="1"/>
  <c r="E167" i="22" a="1"/>
  <c r="E167" i="22" s="1"/>
  <c r="H167" i="22" s="1"/>
  <c r="E168" i="22" a="1"/>
  <c r="E168" i="22" s="1"/>
  <c r="H168" i="22" s="1"/>
  <c r="E169" i="22" a="1"/>
  <c r="E169" i="22" s="1"/>
  <c r="H169" i="22" s="1"/>
  <c r="E170" i="22" a="1"/>
  <c r="E170" i="22" s="1"/>
  <c r="H170" i="22" s="1"/>
  <c r="E171" i="22" a="1"/>
  <c r="E171" i="22" s="1"/>
  <c r="H171" i="22" s="1"/>
  <c r="E172" i="22" a="1"/>
  <c r="E172" i="22" s="1"/>
  <c r="H172" i="22" s="1"/>
  <c r="E173" i="22" a="1"/>
  <c r="E173" i="22" s="1"/>
  <c r="H173" i="22" s="1"/>
  <c r="E174" i="22" a="1"/>
  <c r="E174" i="22" s="1"/>
  <c r="H174" i="22" s="1"/>
  <c r="E175" i="22" a="1"/>
  <c r="E175" i="22" s="1"/>
  <c r="H175" i="22" s="1"/>
  <c r="E176" i="22" a="1"/>
  <c r="E176" i="22" s="1"/>
  <c r="E177" i="22" a="1"/>
  <c r="E177" i="22" s="1"/>
  <c r="E178" i="22" a="1"/>
  <c r="E178" i="22" s="1"/>
  <c r="E179" i="22" a="1"/>
  <c r="E179" i="22" s="1"/>
  <c r="E180" i="22" a="1"/>
  <c r="E180" i="22" s="1"/>
  <c r="E182" i="22" a="1"/>
  <c r="E182" i="22" s="1"/>
  <c r="E183" i="22" a="1"/>
  <c r="E183" i="22" s="1"/>
  <c r="E184" i="22" a="1"/>
  <c r="E184" i="22" s="1"/>
  <c r="E185" i="22" a="1"/>
  <c r="E185" i="22" s="1"/>
  <c r="E186" i="22" a="1"/>
  <c r="E186" i="22" s="1"/>
  <c r="E187" i="22" a="1"/>
  <c r="E187" i="22" s="1"/>
  <c r="H187" i="22" s="1"/>
  <c r="E188" i="22" a="1"/>
  <c r="E188" i="22" s="1"/>
  <c r="B104" i="16"/>
  <c r="G24" i="22"/>
  <c r="H24" i="22" s="1"/>
  <c r="G23" i="22"/>
  <c r="H23" i="22" s="1"/>
  <c r="H62" i="16" a="1"/>
  <c r="G64" i="16" a="1"/>
  <c r="L62" i="16" a="1"/>
  <c r="L63" i="16" a="1"/>
  <c r="L64" i="16" a="1"/>
  <c r="H63" i="16" a="1"/>
  <c r="H64" i="16" a="1"/>
  <c r="G63" i="16" a="1"/>
  <c r="C104" i="16" l="1" a="1"/>
  <c r="C104" i="16" s="1"/>
  <c r="G104" i="16" s="1"/>
  <c r="H104" i="16" s="1"/>
  <c r="F84" i="16" s="1" a="1"/>
  <c r="F84" i="16" s="1"/>
  <c r="L64" i="16"/>
  <c r="H64" i="16"/>
  <c r="I64" i="16" s="1" a="1"/>
  <c r="I64" i="16" s="1"/>
  <c r="G64" i="16"/>
  <c r="H63" i="16"/>
  <c r="I63" i="16" s="1" a="1"/>
  <c r="I63" i="16" s="1"/>
  <c r="L63" i="16"/>
  <c r="G63" i="16"/>
  <c r="Q46" i="16" a="1"/>
  <c r="Q46" i="16" s="1"/>
  <c r="Q48" i="16" a="1"/>
  <c r="Q48" i="16" s="1"/>
  <c r="R48" i="16" s="1"/>
  <c r="Q36" i="16" a="1"/>
  <c r="Q36" i="16" s="1"/>
  <c r="Q55" i="16" a="1"/>
  <c r="Q55" i="16" s="1"/>
  <c r="Q43" i="16" a="1"/>
  <c r="Q43" i="16" s="1"/>
  <c r="Q34" i="16" a="1"/>
  <c r="Q34" i="16" s="1"/>
  <c r="Q56" i="16" a="1"/>
  <c r="Q56" i="16" s="1"/>
  <c r="Q44" i="16" a="1"/>
  <c r="Q44" i="16" s="1"/>
  <c r="Q60" i="16" a="1"/>
  <c r="Q60" i="16" s="1"/>
  <c r="Q47" i="16" a="1"/>
  <c r="Q47" i="16" s="1"/>
  <c r="Q35" i="16" a="1"/>
  <c r="Q35" i="16" s="1"/>
  <c r="Q38" i="16" a="1"/>
  <c r="Q38" i="16" s="1"/>
  <c r="Q61" i="16" a="1"/>
  <c r="Q61" i="16" s="1"/>
  <c r="Q52" i="16" a="1"/>
  <c r="Q52" i="16" s="1"/>
  <c r="Q40" i="16" a="1"/>
  <c r="Q40" i="16" s="1"/>
  <c r="Q51" i="16" a="1"/>
  <c r="Q51" i="16" s="1"/>
  <c r="Q39" i="16" a="1"/>
  <c r="Q39" i="16" s="1"/>
  <c r="Q59" i="16" a="1"/>
  <c r="Q59" i="16" s="1"/>
  <c r="Q54" i="16" a="1"/>
  <c r="Q54" i="16" s="1"/>
  <c r="Q50" i="16" a="1"/>
  <c r="Q50" i="16" s="1"/>
  <c r="Q42" i="16" a="1"/>
  <c r="Q42" i="16" s="1"/>
  <c r="Q57" i="16" a="1"/>
  <c r="Q57" i="16" s="1"/>
  <c r="Q53" i="16" a="1"/>
  <c r="Q53" i="16" s="1"/>
  <c r="Q49" i="16" a="1"/>
  <c r="Q49" i="16" s="1"/>
  <c r="Q45" i="16" a="1"/>
  <c r="Q45" i="16" s="1"/>
  <c r="Q41" i="16" a="1"/>
  <c r="Q41" i="16" s="1"/>
  <c r="Q37" i="16" a="1"/>
  <c r="Q37" i="16" s="1"/>
  <c r="Q33" i="16" a="1"/>
  <c r="Q33" i="16" s="1"/>
  <c r="F82" i="16"/>
  <c r="F81" i="16"/>
  <c r="F80" i="16"/>
  <c r="F83" i="16"/>
  <c r="H62" i="16"/>
  <c r="I62" i="16" s="1" a="1"/>
  <c r="I62" i="16" s="1"/>
  <c r="L62" i="16"/>
  <c r="Q64" i="16" l="1" a="1"/>
  <c r="Q64" i="16" s="1"/>
  <c r="R64" i="16" s="1"/>
  <c r="Q63" i="16" a="1"/>
  <c r="Q63" i="16" s="1"/>
  <c r="R63" i="16" s="1"/>
  <c r="Q62" i="16" a="1"/>
  <c r="Q62" i="16" s="1"/>
  <c r="R62" i="16" s="1"/>
  <c r="F85" i="16" a="1"/>
  <c r="F85" i="16" s="1"/>
  <c r="C91" i="16" s="1"/>
  <c r="J64" i="16"/>
  <c r="M64" i="16" s="1"/>
  <c r="N64" i="16" s="1"/>
  <c r="J63" i="16"/>
  <c r="M63" i="16" s="1"/>
  <c r="N63" i="16" s="1"/>
  <c r="C99" i="16"/>
  <c r="C97" i="16"/>
  <c r="C94" i="16"/>
  <c r="C96" i="16"/>
  <c r="C98" i="16"/>
  <c r="C90" i="16"/>
  <c r="C93" i="16"/>
  <c r="C95" i="16"/>
  <c r="C92" i="16" l="1"/>
  <c r="F14" i="19" l="1"/>
  <c r="F15" i="19"/>
  <c r="F18" i="19"/>
  <c r="E9" i="20"/>
  <c r="F6" i="20"/>
  <c r="F7" i="20"/>
  <c r="F9" i="20"/>
  <c r="F10" i="20"/>
  <c r="F11" i="20"/>
  <c r="F12" i="20"/>
  <c r="F5" i="20"/>
  <c r="G60" i="16" a="1"/>
  <c r="G61" i="16" a="1"/>
  <c r="G61" i="16" l="1"/>
  <c r="G60" i="16"/>
  <c r="B5" i="20" l="1"/>
  <c r="B10" i="20"/>
  <c r="B12" i="20"/>
  <c r="B9" i="20"/>
  <c r="B11" i="20"/>
  <c r="B7" i="20"/>
  <c r="B6" i="20"/>
  <c r="E5" i="20"/>
  <c r="E10" i="20"/>
  <c r="E12" i="20"/>
  <c r="E11" i="20"/>
  <c r="E7" i="20"/>
  <c r="G39" i="18"/>
  <c r="G40" i="18"/>
  <c r="G41" i="18"/>
  <c r="G42" i="18"/>
  <c r="G43" i="18"/>
  <c r="G44" i="18"/>
  <c r="G45" i="18"/>
  <c r="G46" i="18"/>
  <c r="G47" i="18"/>
  <c r="G48" i="18"/>
  <c r="G49" i="18"/>
  <c r="G50" i="18"/>
  <c r="G51" i="18"/>
  <c r="G52" i="18"/>
  <c r="G53" i="18"/>
  <c r="G54" i="18"/>
  <c r="G55" i="18"/>
  <c r="G56" i="18"/>
  <c r="G57" i="18"/>
  <c r="G58" i="18"/>
  <c r="G59" i="18"/>
  <c r="G60" i="18"/>
  <c r="G61" i="18"/>
  <c r="G62" i="18"/>
  <c r="G63" i="18"/>
  <c r="G64" i="18"/>
  <c r="G65" i="18"/>
  <c r="G66" i="18"/>
  <c r="G67" i="18"/>
  <c r="F39" i="18"/>
  <c r="F40" i="18"/>
  <c r="F41" i="18"/>
  <c r="F42" i="18"/>
  <c r="F43" i="18"/>
  <c r="F44" i="18"/>
  <c r="F45" i="18"/>
  <c r="F46" i="18"/>
  <c r="F47" i="18"/>
  <c r="F48" i="18"/>
  <c r="F49" i="18"/>
  <c r="F50" i="18"/>
  <c r="F51" i="18"/>
  <c r="F52" i="18"/>
  <c r="F53" i="18"/>
  <c r="F54" i="18"/>
  <c r="F55" i="18"/>
  <c r="F56" i="18"/>
  <c r="F57" i="18"/>
  <c r="F58" i="18"/>
  <c r="F59" i="18"/>
  <c r="F60" i="18"/>
  <c r="F61" i="18"/>
  <c r="F62" i="18"/>
  <c r="F63" i="18"/>
  <c r="F64" i="18"/>
  <c r="F65" i="18"/>
  <c r="F66" i="18"/>
  <c r="F67" i="18"/>
  <c r="E39" i="18"/>
  <c r="E40" i="18"/>
  <c r="E41" i="18"/>
  <c r="E42" i="18"/>
  <c r="E43" i="18"/>
  <c r="E44" i="18"/>
  <c r="E45" i="18"/>
  <c r="E46" i="18"/>
  <c r="E47" i="18"/>
  <c r="E48" i="18"/>
  <c r="E49" i="18"/>
  <c r="E50" i="18"/>
  <c r="E51" i="18"/>
  <c r="E52" i="18"/>
  <c r="E53" i="18"/>
  <c r="E54" i="18"/>
  <c r="E55" i="18"/>
  <c r="E56" i="18"/>
  <c r="E57" i="18"/>
  <c r="E58" i="18"/>
  <c r="E59" i="18"/>
  <c r="E60" i="18"/>
  <c r="E61" i="18"/>
  <c r="E62" i="18"/>
  <c r="E63" i="18"/>
  <c r="E64" i="18"/>
  <c r="E65" i="18"/>
  <c r="E66" i="18"/>
  <c r="E67" i="18"/>
  <c r="H56" i="16" a="1"/>
  <c r="H60" i="16" a="1"/>
  <c r="H57" i="16" a="1"/>
  <c r="H59" i="16" a="1"/>
  <c r="L56" i="16" a="1"/>
  <c r="G57" i="16" a="1"/>
  <c r="H61" i="16" a="1"/>
  <c r="L60" i="16" a="1"/>
  <c r="L59" i="16" a="1"/>
  <c r="L61" i="16" a="1"/>
  <c r="G59" i="16" a="1"/>
  <c r="G56" i="16" a="1"/>
  <c r="L57" i="16" a="1"/>
  <c r="R57" i="16" l="1"/>
  <c r="H60" i="16"/>
  <c r="I60" i="16" s="1" a="1"/>
  <c r="I60" i="16" s="1"/>
  <c r="R59" i="16"/>
  <c r="L59" i="16"/>
  <c r="L61" i="16"/>
  <c r="H59" i="16"/>
  <c r="I59" i="16" s="1" a="1"/>
  <c r="I59" i="16" s="1"/>
  <c r="G59" i="16"/>
  <c r="H61" i="16"/>
  <c r="I61" i="16" s="1" a="1"/>
  <c r="I61" i="16" s="1"/>
  <c r="L57" i="16"/>
  <c r="R61" i="16"/>
  <c r="R60" i="16"/>
  <c r="L60" i="16"/>
  <c r="H57" i="16"/>
  <c r="I57" i="16" s="1" a="1"/>
  <c r="I57" i="16" s="1"/>
  <c r="G57" i="16"/>
  <c r="H56" i="16"/>
  <c r="I56" i="16" s="1" a="1"/>
  <c r="I56" i="16" s="1"/>
  <c r="L56" i="16"/>
  <c r="R56" i="16"/>
  <c r="G56" i="16"/>
  <c r="I42" i="18"/>
  <c r="J57" i="16" l="1"/>
  <c r="M57" i="16" s="1"/>
  <c r="N57" i="16" s="1"/>
  <c r="J60" i="16"/>
  <c r="M60" i="16" s="1"/>
  <c r="N60" i="16" s="1"/>
  <c r="J59" i="16"/>
  <c r="M59" i="16" s="1"/>
  <c r="N59" i="16" s="1"/>
  <c r="J61" i="16"/>
  <c r="M61" i="16" s="1"/>
  <c r="N61" i="16" s="1"/>
  <c r="F13" i="19" s="1"/>
  <c r="J56" i="16"/>
  <c r="M56" i="16" s="1"/>
  <c r="N56" i="16" s="1"/>
  <c r="G55" i="16" a="1"/>
  <c r="L53" i="16" a="1"/>
  <c r="L55" i="16" a="1"/>
  <c r="G54" i="16" a="1"/>
  <c r="G53" i="16" a="1"/>
  <c r="H55" i="16" a="1"/>
  <c r="L54" i="16" a="1"/>
  <c r="H53" i="16" a="1"/>
  <c r="H54" i="16" a="1"/>
  <c r="F17" i="19" l="1"/>
  <c r="L55" i="16"/>
  <c r="H55" i="16"/>
  <c r="R55" i="16"/>
  <c r="G55" i="16"/>
  <c r="L54" i="16"/>
  <c r="R54" i="16"/>
  <c r="H54" i="16"/>
  <c r="I54" i="16" s="1" a="1"/>
  <c r="I54" i="16" s="1"/>
  <c r="G54" i="16"/>
  <c r="R53" i="16"/>
  <c r="L53" i="16"/>
  <c r="H53" i="16"/>
  <c r="I53" i="16" s="1" a="1"/>
  <c r="I53" i="16" s="1"/>
  <c r="G53" i="16"/>
  <c r="I55" i="16" l="1" a="1"/>
  <c r="I55" i="16" s="1"/>
  <c r="J55" i="16" s="1"/>
  <c r="M55" i="16" s="1"/>
  <c r="N55" i="16" s="1"/>
  <c r="F11" i="19" s="1"/>
  <c r="J54" i="16"/>
  <c r="M54" i="16" s="1"/>
  <c r="N54" i="16" s="1"/>
  <c r="J53" i="16"/>
  <c r="M53" i="16" s="1"/>
  <c r="N53" i="16" s="1"/>
  <c r="F16" i="19" l="1"/>
  <c r="C52" i="16" l="1"/>
  <c r="C51" i="16"/>
  <c r="C50" i="16"/>
  <c r="C49" i="16"/>
  <c r="C48" i="16"/>
  <c r="N78" i="18"/>
  <c r="N75" i="18"/>
  <c r="N72" i="18"/>
  <c r="N76" i="18"/>
  <c r="N77" i="18"/>
  <c r="N81" i="18"/>
  <c r="N79" i="18"/>
  <c r="N73" i="18"/>
  <c r="N80" i="18"/>
  <c r="N74" i="18"/>
  <c r="L73" i="18"/>
  <c r="J78" i="18"/>
  <c r="J75" i="18"/>
  <c r="J72" i="18"/>
  <c r="J76" i="18"/>
  <c r="J77" i="18"/>
  <c r="J81" i="18"/>
  <c r="J79" i="18"/>
  <c r="J73" i="18"/>
  <c r="J80" i="18"/>
  <c r="J74" i="18"/>
  <c r="H78" i="18"/>
  <c r="L78" i="18" s="1"/>
  <c r="H75" i="18"/>
  <c r="L75" i="18" s="1"/>
  <c r="H72" i="18"/>
  <c r="L72" i="18" s="1"/>
  <c r="H76" i="18"/>
  <c r="L76" i="18" s="1"/>
  <c r="H77" i="18"/>
  <c r="L77" i="18" s="1"/>
  <c r="H81" i="18"/>
  <c r="L81" i="18" s="1"/>
  <c r="H79" i="18"/>
  <c r="L79" i="18" s="1"/>
  <c r="H80" i="18"/>
  <c r="L80" i="18" s="1"/>
  <c r="H74" i="18"/>
  <c r="L74" i="18" s="1"/>
  <c r="I39" i="18"/>
  <c r="I40" i="18"/>
  <c r="I41" i="18"/>
  <c r="I43" i="18"/>
  <c r="I44" i="18"/>
  <c r="I45" i="18"/>
  <c r="I46" i="18"/>
  <c r="I47" i="18"/>
  <c r="I48" i="18"/>
  <c r="I49" i="18"/>
  <c r="I50" i="18"/>
  <c r="I51" i="18"/>
  <c r="I52" i="18"/>
  <c r="I53" i="18"/>
  <c r="I54" i="18"/>
  <c r="I55" i="18"/>
  <c r="I56" i="18"/>
  <c r="I57" i="18"/>
  <c r="I58" i="18"/>
  <c r="I59" i="18"/>
  <c r="I60" i="18"/>
  <c r="I61" i="18"/>
  <c r="I62" i="18"/>
  <c r="I63" i="18"/>
  <c r="I64" i="18"/>
  <c r="I65" i="18"/>
  <c r="I66" i="18"/>
  <c r="I67" i="18"/>
  <c r="C39" i="18"/>
  <c r="C40" i="18"/>
  <c r="C41" i="18"/>
  <c r="C42" i="18"/>
  <c r="C43" i="18"/>
  <c r="C45" i="18"/>
  <c r="C46" i="18"/>
  <c r="C47" i="18"/>
  <c r="C48" i="18"/>
  <c r="C52" i="18"/>
  <c r="C53" i="18"/>
  <c r="C54" i="18"/>
  <c r="C55" i="18"/>
  <c r="C56" i="18"/>
  <c r="C57" i="18"/>
  <c r="C58" i="18"/>
  <c r="C59" i="18"/>
  <c r="C60" i="18"/>
  <c r="C61" i="18"/>
  <c r="C62" i="18"/>
  <c r="C63" i="18"/>
  <c r="C65" i="18"/>
  <c r="C67" i="18"/>
  <c r="B39" i="18"/>
  <c r="B40" i="18"/>
  <c r="B41" i="18"/>
  <c r="B42" i="18"/>
  <c r="B43" i="18"/>
  <c r="B44" i="18"/>
  <c r="D44" i="18" s="1"/>
  <c r="B45" i="18"/>
  <c r="B46" i="18"/>
  <c r="B47" i="18"/>
  <c r="D47" i="18" s="1"/>
  <c r="B48" i="18"/>
  <c r="D48" i="18" s="1"/>
  <c r="B49" i="18"/>
  <c r="D49" i="18" s="1"/>
  <c r="B50" i="18"/>
  <c r="D50" i="18" s="1"/>
  <c r="B51" i="18"/>
  <c r="D51" i="18" s="1"/>
  <c r="B52" i="18"/>
  <c r="B53" i="18"/>
  <c r="B54" i="18"/>
  <c r="B55" i="18"/>
  <c r="B56" i="18"/>
  <c r="B57" i="18"/>
  <c r="B58" i="18"/>
  <c r="B59" i="18"/>
  <c r="B60" i="18"/>
  <c r="B61" i="18"/>
  <c r="B62" i="18"/>
  <c r="B63" i="18"/>
  <c r="B64" i="18"/>
  <c r="D64" i="18" s="1"/>
  <c r="B65" i="18"/>
  <c r="B66" i="18"/>
  <c r="D66" i="18" s="1"/>
  <c r="B67" i="18"/>
  <c r="L45" i="16" a="1"/>
  <c r="G44" i="16" a="1"/>
  <c r="G45" i="16" a="1"/>
  <c r="H42" i="16" a="1"/>
  <c r="H40" i="16" a="1"/>
  <c r="L51" i="16" a="1"/>
  <c r="H39" i="16" a="1"/>
  <c r="H43" i="16" a="1"/>
  <c r="H33" i="16" a="1"/>
  <c r="H51" i="16" a="1"/>
  <c r="L48" i="16" a="1"/>
  <c r="L37" i="16" a="1"/>
  <c r="L35" i="16" a="1"/>
  <c r="L39" i="16" a="1"/>
  <c r="G35" i="16" a="1"/>
  <c r="L43" i="16" a="1"/>
  <c r="L49" i="16" a="1"/>
  <c r="L40" i="16" a="1"/>
  <c r="G39" i="16" a="1"/>
  <c r="L50" i="16" a="1"/>
  <c r="H44" i="16" a="1"/>
  <c r="G34" i="16" a="1"/>
  <c r="L34" i="16" a="1"/>
  <c r="G50" i="16" a="1"/>
  <c r="L36" i="16" a="1"/>
  <c r="L47" i="16" a="1"/>
  <c r="L38" i="16" a="1"/>
  <c r="H34" i="16" a="1"/>
  <c r="G49" i="16" a="1"/>
  <c r="G48" i="16" a="1"/>
  <c r="G38" i="16" a="1"/>
  <c r="H46" i="16" a="1"/>
  <c r="G51" i="16" a="1"/>
  <c r="L41" i="16" a="1"/>
  <c r="H49" i="16" a="1"/>
  <c r="L44" i="16" a="1"/>
  <c r="G43" i="16" a="1"/>
  <c r="G42" i="16" a="1"/>
  <c r="H36" i="16" a="1"/>
  <c r="H38" i="16" a="1"/>
  <c r="G33" i="16" a="1"/>
  <c r="L46" i="16" a="1"/>
  <c r="L52" i="16" a="1"/>
  <c r="G40" i="16" a="1"/>
  <c r="L33" i="16" a="1"/>
  <c r="G47" i="16" a="1"/>
  <c r="H45" i="16" a="1"/>
  <c r="H47" i="16" a="1"/>
  <c r="G37" i="16" a="1"/>
  <c r="G46" i="16" a="1"/>
  <c r="G41" i="16" a="1"/>
  <c r="H41" i="16" a="1"/>
  <c r="H35" i="16" a="1"/>
  <c r="H37" i="16" a="1"/>
  <c r="G52" i="16" a="1"/>
  <c r="H50" i="16" a="1"/>
  <c r="L42" i="16" a="1"/>
  <c r="H52" i="16" a="1"/>
  <c r="G36" i="16" a="1"/>
  <c r="H48" i="16" a="1"/>
  <c r="D39" i="18" l="1"/>
  <c r="H90" i="18" a="1"/>
  <c r="H90" i="18" s="1"/>
  <c r="D63" i="18"/>
  <c r="D55" i="18"/>
  <c r="D57" i="18"/>
  <c r="D56" i="18"/>
  <c r="D40" i="18"/>
  <c r="D61" i="18"/>
  <c r="D53" i="18"/>
  <c r="H89" i="18" a="1"/>
  <c r="H89" i="18" s="1"/>
  <c r="A85" i="18" a="1"/>
  <c r="A85" i="18" s="1"/>
  <c r="B85" i="18" a="1"/>
  <c r="B85" i="18" s="1"/>
  <c r="C85" i="18" a="1"/>
  <c r="C85" i="18" s="1"/>
  <c r="H91" i="18" a="1"/>
  <c r="H91" i="18" s="1"/>
  <c r="D41" i="18"/>
  <c r="D65" i="18"/>
  <c r="D58" i="18"/>
  <c r="D46" i="18"/>
  <c r="D54" i="18"/>
  <c r="D67" i="18"/>
  <c r="D52" i="18"/>
  <c r="D59" i="18"/>
  <c r="D43" i="18"/>
  <c r="D62" i="18"/>
  <c r="D45" i="18"/>
  <c r="D60" i="18"/>
  <c r="D42" i="18"/>
  <c r="H57" i="18"/>
  <c r="J57" i="18" s="1"/>
  <c r="K57" i="18" s="1"/>
  <c r="P72" i="18"/>
  <c r="P80" i="18"/>
  <c r="P73" i="18"/>
  <c r="P74" i="18"/>
  <c r="P81" i="18"/>
  <c r="P75" i="18"/>
  <c r="P76" i="18"/>
  <c r="P77" i="18"/>
  <c r="P78" i="18"/>
  <c r="P79" i="18"/>
  <c r="R40" i="16"/>
  <c r="R52" i="16"/>
  <c r="R51" i="16"/>
  <c r="R43" i="16"/>
  <c r="R50" i="16"/>
  <c r="R45" i="16"/>
  <c r="R42" i="16"/>
  <c r="R38" i="16"/>
  <c r="R34" i="16"/>
  <c r="R36" i="16"/>
  <c r="R39" i="16"/>
  <c r="R44" i="16"/>
  <c r="R47" i="16"/>
  <c r="R35" i="16"/>
  <c r="R49" i="16"/>
  <c r="R46" i="16"/>
  <c r="R41" i="16"/>
  <c r="R37" i="16"/>
  <c r="R33" i="16"/>
  <c r="G33" i="16"/>
  <c r="H66" i="18"/>
  <c r="J66" i="18" s="1"/>
  <c r="K66" i="18" s="1"/>
  <c r="H64" i="18"/>
  <c r="J64" i="18" s="1"/>
  <c r="K64" i="18" s="1"/>
  <c r="H59" i="18"/>
  <c r="J59" i="18" s="1"/>
  <c r="K59" i="18" s="1"/>
  <c r="H67" i="18"/>
  <c r="J67" i="18" s="1"/>
  <c r="K67" i="18" s="1"/>
  <c r="H60" i="18"/>
  <c r="J60" i="18" s="1"/>
  <c r="K60" i="18" s="1"/>
  <c r="H44" i="18"/>
  <c r="J44" i="18" s="1"/>
  <c r="K44" i="18" s="1"/>
  <c r="H41" i="18"/>
  <c r="J41" i="18" s="1"/>
  <c r="K41" i="18" s="1"/>
  <c r="H49" i="18"/>
  <c r="J49" i="18" s="1"/>
  <c r="K49" i="18" s="1"/>
  <c r="H51" i="18"/>
  <c r="J51" i="18" s="1"/>
  <c r="K51" i="18" s="1"/>
  <c r="H52" i="18"/>
  <c r="J52" i="18" s="1"/>
  <c r="K52" i="18" s="1"/>
  <c r="L34" i="16"/>
  <c r="L52" i="16"/>
  <c r="L48" i="16"/>
  <c r="L44" i="16"/>
  <c r="L40" i="16"/>
  <c r="L36" i="16"/>
  <c r="L51" i="16"/>
  <c r="L47" i="16"/>
  <c r="L43" i="16"/>
  <c r="L39" i="16"/>
  <c r="L35" i="16"/>
  <c r="L50" i="16"/>
  <c r="L45" i="16"/>
  <c r="L42" i="16"/>
  <c r="L38" i="16"/>
  <c r="L49" i="16"/>
  <c r="L46" i="16"/>
  <c r="L41" i="16"/>
  <c r="L37" i="16"/>
  <c r="L33" i="16"/>
  <c r="H62" i="18"/>
  <c r="J62" i="18" s="1"/>
  <c r="K62" i="18" s="1"/>
  <c r="H43" i="18"/>
  <c r="J43" i="18" s="1"/>
  <c r="K43" i="18" s="1"/>
  <c r="H65" i="18"/>
  <c r="J65" i="18" s="1"/>
  <c r="K65" i="18" s="1"/>
  <c r="H58" i="18"/>
  <c r="J58" i="18" s="1"/>
  <c r="K58" i="18" s="1"/>
  <c r="H50" i="18"/>
  <c r="J50" i="18" s="1"/>
  <c r="K50" i="18" s="1"/>
  <c r="H42" i="18"/>
  <c r="J42" i="18" s="1"/>
  <c r="K42" i="18" s="1"/>
  <c r="H56" i="18"/>
  <c r="J56" i="18" s="1"/>
  <c r="K56" i="18" s="1"/>
  <c r="H46" i="18"/>
  <c r="J46" i="18" s="1"/>
  <c r="K46" i="18" s="1"/>
  <c r="H55" i="18"/>
  <c r="J55" i="18" s="1"/>
  <c r="K55" i="18" s="1"/>
  <c r="H47" i="18"/>
  <c r="J47" i="18" s="1"/>
  <c r="K47" i="18" s="1"/>
  <c r="H39" i="18"/>
  <c r="J39" i="18" s="1"/>
  <c r="K39" i="18" s="1"/>
  <c r="H48" i="18"/>
  <c r="J48" i="18" s="1"/>
  <c r="K48" i="18" s="1"/>
  <c r="H40" i="18"/>
  <c r="J40" i="18" s="1"/>
  <c r="K40" i="18" s="1"/>
  <c r="H54" i="18"/>
  <c r="J54" i="18" s="1"/>
  <c r="K54" i="18" s="1"/>
  <c r="H63" i="18"/>
  <c r="J63" i="18" s="1"/>
  <c r="K63" i="18" s="1"/>
  <c r="H61" i="18"/>
  <c r="J61" i="18" s="1"/>
  <c r="K61" i="18" s="1"/>
  <c r="H53" i="18"/>
  <c r="J53" i="18" s="1"/>
  <c r="K53" i="18" s="1"/>
  <c r="H45" i="18"/>
  <c r="J45" i="18" s="1"/>
  <c r="K45" i="18" s="1"/>
  <c r="H47" i="16"/>
  <c r="I47" i="16" s="1" a="1"/>
  <c r="I47" i="16" s="1"/>
  <c r="H49" i="16"/>
  <c r="I49" i="16" s="1" a="1"/>
  <c r="I49" i="16" s="1"/>
  <c r="H48" i="16"/>
  <c r="I48" i="16" s="1" a="1"/>
  <c r="I48" i="16" s="1"/>
  <c r="H51" i="16"/>
  <c r="I51" i="16" s="1" a="1"/>
  <c r="I51" i="16" s="1"/>
  <c r="G49" i="16"/>
  <c r="G51" i="16"/>
  <c r="H52" i="16"/>
  <c r="I52" i="16" s="1" a="1"/>
  <c r="I52" i="16" s="1"/>
  <c r="G50" i="16"/>
  <c r="H50" i="16"/>
  <c r="I50" i="16" s="1" a="1"/>
  <c r="I50" i="16" s="1"/>
  <c r="G52" i="16"/>
  <c r="G48" i="16"/>
  <c r="G47" i="16"/>
  <c r="H45" i="16"/>
  <c r="H42" i="16"/>
  <c r="H46" i="16"/>
  <c r="H41" i="16"/>
  <c r="H44" i="16"/>
  <c r="G45" i="16"/>
  <c r="H43" i="16"/>
  <c r="G46" i="16"/>
  <c r="G44" i="16"/>
  <c r="G43" i="16"/>
  <c r="G42" i="16"/>
  <c r="G41" i="16"/>
  <c r="H37" i="16"/>
  <c r="I37" i="16" s="1" a="1"/>
  <c r="I37" i="16" s="1"/>
  <c r="H40" i="16"/>
  <c r="I40" i="16" s="1" a="1"/>
  <c r="I40" i="16" s="1"/>
  <c r="H35" i="16"/>
  <c r="I35" i="16" s="1" a="1"/>
  <c r="I35" i="16" s="1"/>
  <c r="H34" i="16"/>
  <c r="I34" i="16" s="1" a="1"/>
  <c r="I34" i="16" s="1"/>
  <c r="H36" i="16"/>
  <c r="I36" i="16" s="1" a="1"/>
  <c r="I36" i="16" s="1"/>
  <c r="H39" i="16"/>
  <c r="I39" i="16" s="1" a="1"/>
  <c r="I39" i="16" s="1"/>
  <c r="H38" i="16"/>
  <c r="I38" i="16" s="1" a="1"/>
  <c r="I38" i="16" s="1"/>
  <c r="H33" i="16"/>
  <c r="I33" i="16" s="1" a="1"/>
  <c r="I33" i="16" s="1"/>
  <c r="G40" i="16"/>
  <c r="G38" i="16"/>
  <c r="G39" i="16"/>
  <c r="G37" i="16"/>
  <c r="G36" i="16"/>
  <c r="G35" i="16"/>
  <c r="G34" i="16"/>
  <c r="I41" i="16" l="1" a="1"/>
  <c r="I41" i="16" s="1"/>
  <c r="J41" i="16" s="1"/>
  <c r="M41" i="16" s="1"/>
  <c r="I43" i="16" a="1"/>
  <c r="I43" i="16" s="1"/>
  <c r="J43" i="16" s="1"/>
  <c r="M43" i="16" s="1"/>
  <c r="I46" i="16" a="1"/>
  <c r="I46" i="16" s="1"/>
  <c r="J46" i="16" s="1"/>
  <c r="M46" i="16" s="1"/>
  <c r="I42" i="16" a="1"/>
  <c r="I42" i="16" s="1"/>
  <c r="J42" i="16" s="1"/>
  <c r="M42" i="16" s="1"/>
  <c r="I44" i="16" a="1"/>
  <c r="I44" i="16" s="1"/>
  <c r="J44" i="16" s="1"/>
  <c r="M44" i="16" s="1"/>
  <c r="I45" i="16" a="1"/>
  <c r="I45" i="16" s="1"/>
  <c r="J45" i="16" s="1"/>
  <c r="M45" i="16" s="1"/>
  <c r="L39" i="18"/>
  <c r="L47" i="18"/>
  <c r="L55" i="18"/>
  <c r="L63" i="18"/>
  <c r="L58" i="18"/>
  <c r="L43" i="18"/>
  <c r="L44" i="18"/>
  <c r="L67" i="18"/>
  <c r="L61" i="18"/>
  <c r="L40" i="18"/>
  <c r="L48" i="18"/>
  <c r="L56" i="18"/>
  <c r="L50" i="18"/>
  <c r="L51" i="18"/>
  <c r="L66" i="18"/>
  <c r="L60" i="18"/>
  <c r="L53" i="18"/>
  <c r="L54" i="18"/>
  <c r="L41" i="18"/>
  <c r="L49" i="18"/>
  <c r="L57" i="18"/>
  <c r="L64" i="18"/>
  <c r="L42" i="18"/>
  <c r="L65" i="18"/>
  <c r="L59" i="18"/>
  <c r="L52" i="18"/>
  <c r="L45" i="18"/>
  <c r="L62" i="18"/>
  <c r="L46" i="18"/>
  <c r="J49" i="16"/>
  <c r="M49" i="16" s="1"/>
  <c r="J48" i="16"/>
  <c r="M48" i="16" s="1"/>
  <c r="J50" i="16"/>
  <c r="M50" i="16" s="1"/>
  <c r="J47" i="16"/>
  <c r="M47" i="16" s="1"/>
  <c r="J51" i="16"/>
  <c r="M51" i="16" s="1"/>
  <c r="J52" i="16"/>
  <c r="M52" i="16" s="1"/>
  <c r="J40" i="16"/>
  <c r="M40" i="16" s="1"/>
  <c r="J38" i="16"/>
  <c r="M38" i="16" s="1"/>
  <c r="J36" i="16"/>
  <c r="M36" i="16" s="1"/>
  <c r="J37" i="16"/>
  <c r="M37" i="16" s="1"/>
  <c r="J39" i="16"/>
  <c r="M39" i="16" s="1"/>
  <c r="J34" i="16"/>
  <c r="M34" i="16" s="1"/>
  <c r="J35" i="16"/>
  <c r="M35" i="16" s="1"/>
  <c r="J33" i="16"/>
  <c r="M33" i="16" s="1"/>
  <c r="N50" i="16" l="1"/>
  <c r="N48" i="16"/>
  <c r="N49" i="16"/>
  <c r="N47" i="16"/>
  <c r="N51" i="16"/>
  <c r="N52" i="16"/>
  <c r="N45" i="16"/>
  <c r="N42" i="16"/>
  <c r="N46" i="16"/>
  <c r="N44" i="16"/>
  <c r="N41" i="16"/>
  <c r="N43" i="16"/>
  <c r="N37" i="16"/>
  <c r="D93" i="16" s="1" a="1"/>
  <c r="D93" i="16" s="1"/>
  <c r="E93" i="16" s="1"/>
  <c r="N40" i="16"/>
  <c r="D96" i="16" s="1" a="1"/>
  <c r="D96" i="16" s="1"/>
  <c r="E96" i="16" s="1"/>
  <c r="N38" i="16"/>
  <c r="D94" i="16" s="1" a="1"/>
  <c r="D94" i="16" s="1"/>
  <c r="E94" i="16" s="1"/>
  <c r="N36" i="16"/>
  <c r="N39" i="16"/>
  <c r="D95" i="16" s="1" a="1"/>
  <c r="D95" i="16" s="1"/>
  <c r="E95" i="16" s="1"/>
  <c r="D98" i="16" l="1" a="1"/>
  <c r="D98" i="16" s="1"/>
  <c r="E98" i="16" s="1"/>
  <c r="D99" i="16" a="1"/>
  <c r="D99" i="16" s="1"/>
  <c r="E99" i="16" s="1"/>
  <c r="D97" i="16" a="1"/>
  <c r="D97" i="16" s="1"/>
  <c r="E97" i="16" s="1"/>
  <c r="F10" i="19"/>
  <c r="F7" i="19"/>
  <c r="F9" i="19"/>
  <c r="N35" i="16"/>
  <c r="N33" i="16"/>
  <c r="D90" i="16" s="1" a="1"/>
  <c r="D90" i="16" s="1"/>
  <c r="N34" i="16"/>
  <c r="E90" i="16" l="1"/>
  <c r="D91" i="16" a="1"/>
  <c r="D91" i="16" s="1"/>
  <c r="E91" i="16" s="1"/>
  <c r="D92" i="16" a="1"/>
  <c r="D92" i="16" s="1"/>
  <c r="E92" i="16" s="1"/>
  <c r="F8" i="19"/>
  <c r="E101" i="16" l="1"/>
  <c r="G62" i="16" a="1"/>
  <c r="G62" i="16" l="1"/>
  <c r="J62" i="16" s="1"/>
  <c r="M62" i="16" s="1"/>
  <c r="N62" i="16" s="1"/>
  <c r="A2" i="16" l="1" a="1"/>
  <c r="A2" i="16" s="1"/>
  <c r="C2" i="16" a="1"/>
  <c r="C2" i="16" s="1"/>
  <c r="C4" i="11" s="1" a="1"/>
  <c r="C4" i="11" s="1"/>
  <c r="D21" i="1" s="1"/>
  <c r="B2" i="16" a="1"/>
  <c r="B2" i="16" s="1"/>
  <c r="F12" i="19"/>
  <c r="G12" i="19" l="1"/>
  <c r="G11" i="19"/>
  <c r="G16" i="19"/>
  <c r="G9" i="19"/>
  <c r="G7" i="19"/>
  <c r="G15" i="19"/>
  <c r="G8" i="19"/>
  <c r="G17" i="19"/>
  <c r="G18" i="19"/>
  <c r="G13" i="19"/>
  <c r="G10" i="19"/>
  <c r="G14" i="19"/>
  <c r="B4" i="11" a="1"/>
  <c r="B4" i="11" s="1"/>
  <c r="A4" i="11" a="1"/>
  <c r="A4" i="11" s="1"/>
  <c r="A137" i="11" a="1"/>
  <c r="A137" i="11" s="1"/>
  <c r="B137" i="11" a="1"/>
  <c r="B137" i="11" s="1"/>
  <c r="B159" i="11" s="1" a="1"/>
  <c r="B159" i="11" s="1"/>
  <c r="B29" i="11" l="1"/>
  <c r="B30" i="11"/>
  <c r="B31" i="11"/>
  <c r="B32" i="11"/>
  <c r="A159" i="11" a="1"/>
  <c r="A159" i="11" s="1"/>
  <c r="B51" i="11" l="1" a="1"/>
  <c r="B51" i="11" s="1"/>
  <c r="A51" i="11" a="1"/>
  <c r="A51" i="11" s="1"/>
  <c r="B61" i="11" s="1" a="1"/>
  <c r="B61" i="11" s="1"/>
  <c r="X8" i="2" s="1"/>
  <c r="B37" i="11" a="1"/>
  <c r="B37" i="11" s="1"/>
  <c r="A45" i="11" a="1"/>
  <c r="A45" i="11" s="1"/>
  <c r="B45" i="11" l="1" a="1"/>
  <c r="B45" i="11" s="1"/>
  <c r="C45" i="11" a="1"/>
  <c r="C45" i="11" s="1"/>
  <c r="C61" i="11" a="1"/>
  <c r="C61" i="11" s="1"/>
  <c r="B67" i="11" l="1"/>
  <c r="B93" i="11"/>
  <c r="X29" i="2" s="1"/>
  <c r="B81" i="11"/>
  <c r="X19" i="2" s="1"/>
  <c r="C67" i="11" l="1" a="1"/>
  <c r="C67" i="11" s="1"/>
  <c r="D67" i="11" s="1"/>
  <c r="B6" i="2" s="1"/>
  <c r="B69" i="11" a="1"/>
  <c r="B69" i="11" s="1"/>
  <c r="A69" i="11" a="1"/>
  <c r="A69" i="11" s="1"/>
  <c r="A95" i="11" a="1"/>
  <c r="A95" i="11" s="1"/>
  <c r="C93" i="11" a="1"/>
  <c r="C93" i="11" s="1"/>
  <c r="D93" i="11" s="1"/>
  <c r="B28" i="2" s="1"/>
  <c r="B95" i="11" a="1"/>
  <c r="B95" i="11" s="1"/>
  <c r="A83" i="11" a="1"/>
  <c r="A83" i="11" s="1"/>
  <c r="C83" i="11" s="1" a="1"/>
  <c r="C83" i="11" s="1"/>
  <c r="B83" i="11" a="1"/>
  <c r="B83" i="11" s="1"/>
  <c r="C81" i="11" a="1"/>
  <c r="C81" i="11" s="1"/>
  <c r="D81" i="11" s="1"/>
  <c r="B17" i="2" s="1"/>
  <c r="D70" i="11" l="1"/>
  <c r="X13" i="2" s="1"/>
  <c r="D85" i="11"/>
  <c r="X26" i="2" s="1"/>
  <c r="D71" i="11"/>
  <c r="X15" i="2" s="1"/>
  <c r="D95" i="11"/>
  <c r="X32" i="2" s="1"/>
  <c r="C95" i="11" a="1"/>
  <c r="C95" i="11" s="1"/>
  <c r="X31" i="2" s="1"/>
  <c r="D69" i="11"/>
  <c r="X11" i="2" s="1"/>
  <c r="C69" i="11" a="1"/>
  <c r="C69" i="11" s="1"/>
  <c r="D96" i="11"/>
  <c r="X34" i="2" s="1"/>
  <c r="D84" i="11"/>
  <c r="X24" i="2" s="1"/>
  <c r="X35" i="2" l="1"/>
  <c r="X14" i="2"/>
  <c r="X10" i="2"/>
  <c r="X12" i="2"/>
  <c r="X33" i="2"/>
  <c r="X25" i="2"/>
  <c r="X23" i="2"/>
  <c r="X21" i="2"/>
  <c r="C76" i="16" a="1"/>
  <c r="C76" i="16" l="1"/>
  <c r="G93" i="11" s="1"/>
  <c r="AE33" i="2" s="1"/>
  <c r="AE32" i="2" s="1"/>
  <c r="N45" i="4"/>
  <c r="N46" i="4" a="1"/>
  <c r="N46" i="4" s="1"/>
  <c r="G67" i="11" l="1"/>
  <c r="AE12" i="2" s="1"/>
  <c r="AE11" i="2" s="1"/>
  <c r="G81" i="11"/>
  <c r="AE23" i="2" s="1"/>
  <c r="AE22" i="2" s="1"/>
  <c r="D83" i="11"/>
  <c r="X22"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tc={5A8460CE-21F2-7C43-B50B-58258E531EFC}</author>
  </authors>
  <commentList>
    <comment ref="H5" authorId="0" shapeId="0" xr:uid="{5A8460CE-21F2-7C43-B50B-58258E531EFC}">
      <text>
        <t>[Threaded comment]
Your version of Excel allows you to read this threaded comment; however, any edits to it will get removed if the file is opened in a newer version of Excel. Learn more: https://go.microsoft.com/fwlink/?linkid=870924
Comment:
    https://www.fwd.co.uk/wp-content/uploads/2022/12/Report_Cebr_260722.pdf
Reply:
    Page 6 of report</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<sst xmlns="http://schemas.openxmlformats.org/spreadsheetml/2006/main" count="3351" uniqueCount="1202">
  <si>
    <t>Logistics</t>
  </si>
  <si>
    <t>Buildings</t>
  </si>
  <si>
    <t>Electricity</t>
  </si>
  <si>
    <t>Refrigerants</t>
  </si>
  <si>
    <t>Value Chain</t>
  </si>
  <si>
    <t>Castell Howell</t>
  </si>
  <si>
    <t>CJ Lang</t>
  </si>
  <si>
    <t>Filshill</t>
  </si>
  <si>
    <t>Bidfood</t>
  </si>
  <si>
    <t>Henderson</t>
  </si>
  <si>
    <t>Blakemore</t>
  </si>
  <si>
    <t>Harlech</t>
  </si>
  <si>
    <t>JMP</t>
  </si>
  <si>
    <t>Booker</t>
  </si>
  <si>
    <t>Brakes</t>
  </si>
  <si>
    <t>Costco</t>
  </si>
  <si>
    <t>Kitwave</t>
  </si>
  <si>
    <t>JJ Foodservice</t>
  </si>
  <si>
    <t>Member name</t>
  </si>
  <si>
    <t>FWD or SWA survey?</t>
  </si>
  <si>
    <t>Revenue UK</t>
  </si>
  <si>
    <t>FWD</t>
  </si>
  <si>
    <t>Member 1</t>
  </si>
  <si>
    <t>Member 2</t>
  </si>
  <si>
    <t>Member 5</t>
  </si>
  <si>
    <t>Member 6</t>
  </si>
  <si>
    <t>Member 8</t>
  </si>
  <si>
    <t>Member 9</t>
  </si>
  <si>
    <t>CDP form</t>
  </si>
  <si>
    <t>Member 11</t>
  </si>
  <si>
    <t>Member 13</t>
  </si>
  <si>
    <t>Member 14</t>
  </si>
  <si>
    <t>United Wholesale Grocer</t>
  </si>
  <si>
    <t>SWA</t>
  </si>
  <si>
    <t>United Wholesale Scotland</t>
  </si>
  <si>
    <t>Column1</t>
  </si>
  <si>
    <t>Category</t>
  </si>
  <si>
    <t>Sub-Category</t>
  </si>
  <si>
    <t>Gas</t>
  </si>
  <si>
    <t>Waste</t>
  </si>
  <si>
    <t>Company Cars</t>
  </si>
  <si>
    <t xml:space="preserve">Hotspot 2: </t>
  </si>
  <si>
    <t xml:space="preserve">Hotspot 3: </t>
  </si>
  <si>
    <t xml:space="preserve">Hotspot 1: </t>
  </si>
  <si>
    <t>Central produce</t>
  </si>
  <si>
    <t>Invariety Morton</t>
  </si>
  <si>
    <t>Mark Murphy</t>
  </si>
  <si>
    <t>James Wilson</t>
  </si>
  <si>
    <t>Braehead</t>
  </si>
  <si>
    <t>Sutherland Bros</t>
  </si>
  <si>
    <t>Food Options</t>
  </si>
  <si>
    <t>JB Foods</t>
  </si>
  <si>
    <t>Unit</t>
  </si>
  <si>
    <t>N/A</t>
  </si>
  <si>
    <t>kWh</t>
  </si>
  <si>
    <t>Yes</t>
  </si>
  <si>
    <t>01/06/21  31/05/22</t>
  </si>
  <si>
    <t>Nov 21 - Nov 22</t>
  </si>
  <si>
    <t>01/10/21 - 30/09/22</t>
  </si>
  <si>
    <t xml:space="preserve">Jan-2022 to Dec-2022 </t>
  </si>
  <si>
    <t/>
  </si>
  <si>
    <t>financial year 2022 / 2023</t>
  </si>
  <si>
    <t>2022/23</t>
  </si>
  <si>
    <t>010622-310523</t>
  </si>
  <si>
    <t>n/a</t>
  </si>
  <si>
    <t>Litres</t>
  </si>
  <si>
    <t>No</t>
  </si>
  <si>
    <t>no</t>
  </si>
  <si>
    <t>Name</t>
  </si>
  <si>
    <t>60% Ambient, 30% Chilled, 10% Frozen</t>
  </si>
  <si>
    <t xml:space="preserve">Ambient c. 724,900, Chill c. 88,000, Cold c. 300,000. </t>
  </si>
  <si>
    <t xml:space="preserve">50% Frozen/ 30% Ambient/20% Chilled </t>
  </si>
  <si>
    <t xml:space="preserve">Detail not available </t>
  </si>
  <si>
    <t>40% Ambient Storage 20% Chilled Storage 40% Frozen Storage</t>
  </si>
  <si>
    <t>40% Ambient 5% Chilled 55% Frozen</t>
  </si>
  <si>
    <t>25% Ambient, 35% Chillled, 40% frozen</t>
  </si>
  <si>
    <t>Not provided</t>
  </si>
  <si>
    <t>200,000 Frozen. 75,000 chilled, 375,000 ambient</t>
  </si>
  <si>
    <t>5% Chilled, 5% frozen 90% ambient</t>
  </si>
  <si>
    <t>56.5% ambient storage, 12.5% chilled storage, 31% frozen storage.</t>
  </si>
  <si>
    <t>90% Ambient, 5% Chilled, 5% Frozen</t>
  </si>
  <si>
    <t>1000 frozen, 1000 ambient, 1000 chilled</t>
  </si>
  <si>
    <t>50% Frozen, 25% Chilled, 25% Ambient</t>
  </si>
  <si>
    <t>89%/5%/6%</t>
  </si>
  <si>
    <t>1/4 of space chilled storage, 1/4 ambient storage, 1/4 office space, 1/4 picking space (ambient)</t>
  </si>
  <si>
    <t>100% Ambient</t>
  </si>
  <si>
    <t>45% Frozen; 15% Chilled; 40% Ambient.</t>
  </si>
  <si>
    <t>Nisa</t>
  </si>
  <si>
    <t>Parfetts</t>
  </si>
  <si>
    <t>Bestway</t>
  </si>
  <si>
    <t>Taste of Arran data</t>
  </si>
  <si>
    <t>Lomond Foods</t>
  </si>
  <si>
    <t>Business turnover during data year (United Kingdom) (£)</t>
  </si>
  <si>
    <t>Area (sq ft)</t>
  </si>
  <si>
    <t>HGVs</t>
  </si>
  <si>
    <t>LGVs</t>
  </si>
  <si>
    <t>Y/N</t>
  </si>
  <si>
    <t>Reporting period</t>
  </si>
  <si>
    <t>Inputs</t>
  </si>
  <si>
    <t>Logistics Unit</t>
  </si>
  <si>
    <t>km</t>
  </si>
  <si>
    <t>Diesel</t>
  </si>
  <si>
    <t>&amp;</t>
  </si>
  <si>
    <t>Direct</t>
  </si>
  <si>
    <t>NO</t>
  </si>
  <si>
    <t>NA</t>
  </si>
  <si>
    <t>Electricity_United Kingdom_Electricity, transmission and distribution_-_-_£_UK_2021_defra_IO_v1.0</t>
  </si>
  <si>
    <t>£</t>
  </si>
  <si>
    <t>kg</t>
  </si>
  <si>
    <t>Transport</t>
  </si>
  <si>
    <t>Fuels_Gaseous fuels_Gas; distribution of gaseous fuels through mains; steam and air conditioning supply    _-_-_£_UK_2021_defra_IO_v1.0</t>
  </si>
  <si>
    <t>Fuels_Liquid fuels_Petrochemicals - 20.14/16/17/60             _-_-_£_UK_2021_defra_IO_v1.0</t>
  </si>
  <si>
    <t>Fuels_Liquid fuels_Petrol (average biofuel blend)_-_Combustion_litres_UK_2022_defra_v1.0</t>
  </si>
  <si>
    <t>Fuels_Gaseous fuels_Natural gas_-_Combustion_kWh (Gross CV)_UK_2022_defra_v1.0</t>
  </si>
  <si>
    <t>Fuels_Liquid fuels_Diesel (average biofuel blend)_-_Combustion_litres_UK_2022_defra_v1.0</t>
  </si>
  <si>
    <t>Fuels_Liquid fuels_Burning oil_-_Combustion_kWh (Gross CV)_UK_2022_defra_v1.0</t>
  </si>
  <si>
    <t>Fuels_Liquid fuels_Petrol (average biofuel blend)_-_WTT_kWh (Gross CV)_UK_2022_defra_v1.0</t>
  </si>
  <si>
    <t>Fuels_Gaseous fuels_Natural gas_-_WTT_kWh (Gross CV)_UK_2022_defra_v1.0</t>
  </si>
  <si>
    <t>Fuels_Liquid fuels_Diesel (average biofuel blend)_-_WTT_kWh (Gross CV)_UK_2022_defra_v1.0</t>
  </si>
  <si>
    <t>Fuels_Liquid fuels_Burning oil_-_WTT_kWh (Gross CV)_UK_2022_defra_v1.0</t>
  </si>
  <si>
    <t>Other</t>
  </si>
  <si>
    <t>Dimethylether</t>
  </si>
  <si>
    <t>Carbon dioxide</t>
  </si>
  <si>
    <t>Methylene chloride</t>
  </si>
  <si>
    <t>R600A = isobutane</t>
  </si>
  <si>
    <t>R290 = propane</t>
  </si>
  <si>
    <t>Methyl bromide</t>
  </si>
  <si>
    <t>HFC-161</t>
  </si>
  <si>
    <t>R502</t>
  </si>
  <si>
    <t>R409A</t>
  </si>
  <si>
    <t>Methyl chloride</t>
  </si>
  <si>
    <t>R406A</t>
  </si>
  <si>
    <t>PFPMIE</t>
  </si>
  <si>
    <t>HCFC-124</t>
  </si>
  <si>
    <t>HCFC-123</t>
  </si>
  <si>
    <t>HCFC-22/R22 = chlorodifluoromethane</t>
  </si>
  <si>
    <t>Methyl chloroform</t>
  </si>
  <si>
    <t>Carbon tetrachloride</t>
  </si>
  <si>
    <t>Halon-2402</t>
  </si>
  <si>
    <t>HCFC-141b</t>
  </si>
  <si>
    <t>Halon-1301</t>
  </si>
  <si>
    <t>CFC-115</t>
  </si>
  <si>
    <t>CFC-114</t>
  </si>
  <si>
    <t>CFC-113</t>
  </si>
  <si>
    <t>CFC-13</t>
  </si>
  <si>
    <t>CFC-12/R12 = dichlorodifluoromethane</t>
  </si>
  <si>
    <t>CFC-11/R11 = trichlorofluoromethane</t>
  </si>
  <si>
    <t>Halon-1211</t>
  </si>
  <si>
    <t>HCFC-142b</t>
  </si>
  <si>
    <t>HCFC-225ca</t>
  </si>
  <si>
    <t>HCFC-225cb</t>
  </si>
  <si>
    <t>Perfluorocyclopropane</t>
  </si>
  <si>
    <t>Trifluoromethyl sulphur pentafluoride</t>
  </si>
  <si>
    <t>PFC-9-1-18</t>
  </si>
  <si>
    <t>Nitrogen trifluoride</t>
  </si>
  <si>
    <t>HFC-365mfc</t>
  </si>
  <si>
    <t>HCFC-21</t>
  </si>
  <si>
    <t>R508B</t>
  </si>
  <si>
    <t>HFC-134a</t>
  </si>
  <si>
    <t>HFC-236ea</t>
  </si>
  <si>
    <t>HFC-236cb</t>
  </si>
  <si>
    <t>HFC-134</t>
  </si>
  <si>
    <t>HFC-245fa</t>
  </si>
  <si>
    <t>HFC-245ca</t>
  </si>
  <si>
    <t>HFC-32</t>
  </si>
  <si>
    <t>HFC-143</t>
  </si>
  <si>
    <t>Perfluoromethane (PFC-14)</t>
  </si>
  <si>
    <t>R507A</t>
  </si>
  <si>
    <t>R410A</t>
  </si>
  <si>
    <t>R408A</t>
  </si>
  <si>
    <t>HFC-143a</t>
  </si>
  <si>
    <t>Perfluoropropane (PFC-218)</t>
  </si>
  <si>
    <t>Perfluorobutane (PFC-3-1-10)</t>
  </si>
  <si>
    <t>Perfluoropentane (PFC-4-1-12)</t>
  </si>
  <si>
    <t>Sulphur hexafluoride (SF6)</t>
  </si>
  <si>
    <t>R404A</t>
  </si>
  <si>
    <t>HFC-23</t>
  </si>
  <si>
    <t>Perfluoroethane (PFC-116)</t>
  </si>
  <si>
    <t>Perfluorocyclobutane (PFC-318)</t>
  </si>
  <si>
    <t>HFC-236fa</t>
  </si>
  <si>
    <t>Perfluorohexane (PFC-5-1-14)</t>
  </si>
  <si>
    <t>R407A</t>
  </si>
  <si>
    <t>R407F</t>
  </si>
  <si>
    <t>R407C</t>
  </si>
  <si>
    <t>HFC-43-I0mee</t>
  </si>
  <si>
    <t>HFC-125</t>
  </si>
  <si>
    <t>HFC-227ea</t>
  </si>
  <si>
    <t>Nitrous oxide</t>
  </si>
  <si>
    <t>HFC-152a</t>
  </si>
  <si>
    <t>HFC-41</t>
  </si>
  <si>
    <t>Methane</t>
  </si>
  <si>
    <t>HFC-152</t>
  </si>
  <si>
    <t>R407E</t>
  </si>
  <si>
    <t>Refrigerant_R407E_Total emissions including non-Kyoto products_-_Direct_kg_UK_2022_defra_v1.0</t>
  </si>
  <si>
    <t>R407D</t>
  </si>
  <si>
    <t>Refrigerant_R407D_Total emissions including non-Kyoto products_-_Direct_kg_UK_2022_defra_v1.0</t>
  </si>
  <si>
    <t>Refrigerant_R407C_Total emissions including non-Kyoto products_-_Direct_kg_UK_2022_defra_v1.0</t>
  </si>
  <si>
    <t>R407B</t>
  </si>
  <si>
    <t>Refrigerant_R407B_Total emissions including non-Kyoto products_-_Direct_kg_UK_2022_defra_v1.0</t>
  </si>
  <si>
    <t>Refrigerant_R407A_Total emissions including non-Kyoto products_-_Direct_kg_UK_2022_defra_v1.0</t>
  </si>
  <si>
    <t>Refrigerant_R406A_Total emissions including non-Kyoto products_-_Direct_kg_UK_2022_defra_v1.0</t>
  </si>
  <si>
    <t>R405A</t>
  </si>
  <si>
    <t>Refrigerant_R405A_Total emissions including non-Kyoto products_-_Direct_kg_UK_2022_defra_v1.0</t>
  </si>
  <si>
    <t>Refrigerant_HFC-245ca_Total emissions including non-Kyoto products_-_Direct_kg_UK_2022_defra_v1.0</t>
  </si>
  <si>
    <t>Refrigerant_HFC-236ea_Total emissions including non-Kyoto products_-_Direct_kg_UK_2022_defra_v1.0</t>
  </si>
  <si>
    <t>Refrigerant_HFC-236cb_Total emissions including non-Kyoto products_-_Direct_kg_UK_2022_defra_v1.0</t>
  </si>
  <si>
    <t>Refrigerant_HFC-161_Total emissions including non-Kyoto products_-_Direct_kg_UK_2022_defra_v1.0</t>
  </si>
  <si>
    <t>Refrigerant_HFC-152_Total emissions including non-Kyoto products_-_Direct_kg_UK_2022_defra_v1.0</t>
  </si>
  <si>
    <t>Refrigerant_Sulphur hexafluoride (SF6)_Total emissions including non-Kyoto products_-_Direct_kg_UK_2022_defra_v1.0</t>
  </si>
  <si>
    <t>Refrigerant_Perfluorocyclopropane_Total emissions including non-Kyoto products_-_Direct_kg_UK_2022_defra_v1.0</t>
  </si>
  <si>
    <t>Refrigerant_PFC-9-1-18_Total emissions including non-Kyoto products_-_Direct_kg_UK_2022_defra_v1.0</t>
  </si>
  <si>
    <t>Refrigerant_Perfluorohexane (PFC-5-1-14)_Total emissions including non-Kyoto products_-_Direct_kg_UK_2022_defra_v1.0</t>
  </si>
  <si>
    <t>Refrigerant_Perfluoropentane (PFC-4-1-12)_Total emissions including non-Kyoto products_-_Direct_kg_UK_2022_defra_v1.0</t>
  </si>
  <si>
    <t>Refrigerant_HFC-365mfc_Total emissions including non-Kyoto products_-_Direct_kg_UK_2022_defra_v1.0</t>
  </si>
  <si>
    <t>Refrigerant_Nitrogen trifluoride_Total emissions including non-Kyoto products_-_Direct_kg_UK_2022_defra_v1.0</t>
  </si>
  <si>
    <t>R401A</t>
  </si>
  <si>
    <t>Refrigerant_R404A_Total emissions including non-Kyoto products_-_Direct_kg_UK_2022_defra_v1.0</t>
  </si>
  <si>
    <t>R403B</t>
  </si>
  <si>
    <t>Refrigerant_R403B_Total emissions including non-Kyoto products_-_Direct_kg_UK_2022_defra_v1.0</t>
  </si>
  <si>
    <t>R403A</t>
  </si>
  <si>
    <t>Refrigerant_R403A_Total emissions including non-Kyoto products_-_Direct_kg_UK_2022_defra_v1.0</t>
  </si>
  <si>
    <t>R402B</t>
  </si>
  <si>
    <t>Refrigerant_R402B_Total emissions including non-Kyoto products_-_Direct_kg_UK_2022_defra_v1.0</t>
  </si>
  <si>
    <t>R402A</t>
  </si>
  <si>
    <t>R401C</t>
  </si>
  <si>
    <t>Refrigerant_R401C_Total emissions including non-Kyoto products_-_Direct_kg_UK_2022_defra_v1.0</t>
  </si>
  <si>
    <t>R401B</t>
  </si>
  <si>
    <t>Refrigerant_R401B_Total emissions including non-Kyoto products_-_Direct_kg_UK_2022_defra_v1.0</t>
  </si>
  <si>
    <t>Refrigerant_R401A_Total emissions including non-Kyoto products_-_Direct_kg_UK_2022_defra_v1.0</t>
  </si>
  <si>
    <t>Refrigerant_R402A_Total emissions including non-Kyoto products_-_Direct_kg_UK_2022_defra_v1.0</t>
  </si>
  <si>
    <t>Refrigerant_Perfluorobutane (PFC-3-1-10)_Total emissions including non-Kyoto products_-_Direct_kg_UK_2022_defra_v1.0</t>
  </si>
  <si>
    <t>Refrigerant_R408A_Total emissions including non-Kyoto products_-_Direct_kg_UK_2022_defra_v1.0</t>
  </si>
  <si>
    <t>Refrigerant_R407F_Total emissions including non-Kyoto products_-_Direct_kg_UK_2022_defra_v1.0</t>
  </si>
  <si>
    <t>Refrigerant_R409A_Total emissions including non-Kyoto products_-_Direct_kg_UK_2022_defra_v1.0</t>
  </si>
  <si>
    <t>R409B</t>
  </si>
  <si>
    <t>Refrigerant_R409B_Total emissions including non-Kyoto products_-_Direct_kg_UK_2022_defra_v1.0</t>
  </si>
  <si>
    <t>R415B</t>
  </si>
  <si>
    <t>R415A</t>
  </si>
  <si>
    <t>Refrigerant_R415A_Total emissions including non-Kyoto products_-_Direct_kg_UK_2022_defra_v1.0</t>
  </si>
  <si>
    <t>R414B</t>
  </si>
  <si>
    <t>Refrigerant_R414B_Total emissions including non-Kyoto products_-_Direct_kg_UK_2022_defra_v1.0</t>
  </si>
  <si>
    <t>R414A</t>
  </si>
  <si>
    <t>Refrigerant_R414A_Total emissions including non-Kyoto products_-_Direct_kg_UK_2022_defra_v1.0</t>
  </si>
  <si>
    <t>R413A</t>
  </si>
  <si>
    <t>Refrigerant_R413A_Total emissions including non-Kyoto products_-_Direct_kg_UK_2022_defra_v1.0</t>
  </si>
  <si>
    <t>R412A</t>
  </si>
  <si>
    <t>Refrigerant_R412A_Total emissions including non-Kyoto products_-_Direct_kg_UK_2022_defra_v1.0</t>
  </si>
  <si>
    <t>R411B</t>
  </si>
  <si>
    <t>Refrigerant_R411B_Total emissions including non-Kyoto products_-_Direct_kg_UK_2022_defra_v1.0</t>
  </si>
  <si>
    <t>R411A</t>
  </si>
  <si>
    <t>Refrigerant_R411A_Total emissions including non-Kyoto products_-_Direct_kg_UK_2022_defra_v1.0</t>
  </si>
  <si>
    <t>R410B</t>
  </si>
  <si>
    <t>Refrigerant_R410B_Total emissions including non-Kyoto products_-_Direct_kg_UK_2022_defra_v1.0</t>
  </si>
  <si>
    <t>Refrigerant_R410A_Total emissions including non-Kyoto products_-_Direct_kg_UK_2022_defra_v1.0</t>
  </si>
  <si>
    <t>Refrigerant_Perfluorocyclobutane (PFC-318)_Total emissions including non-Kyoto products_-_Direct_kg_UK_2022_defra_v1.0</t>
  </si>
  <si>
    <t>Refrigerant_HFC-41_Total emissions including non-Kyoto products_-_Direct_kg_UK_2022_defra_v1.0</t>
  </si>
  <si>
    <t>Refrigerant_HFC-32_Total emissions including non-Kyoto products_-_Direct_kg_UK_2022_defra_v1.0</t>
  </si>
  <si>
    <t>Refrigerant_HFC-23_Total emissions including non-Kyoto products_-_Direct_kg_UK_2022_defra_v1.0</t>
  </si>
  <si>
    <t>Refrigerant_Nitrous oxide_Total emissions including non-Kyoto products_-_Direct_kg_UK_2022_defra_v1.0</t>
  </si>
  <si>
    <t>Refrigerant_Methane_Total emissions including non-Kyoto products_-_Direct_kg_UK_2022_defra_v1.0</t>
  </si>
  <si>
    <t>Refrigerant_Carbon dioxide_Total emissions including non-Kyoto products_-_Direct_kg_UK_2022_defra_v1.0</t>
  </si>
  <si>
    <t>Refrigerant_HFC-125_Total emissions including non-Kyoto products_-_Direct_kg_UK_2022_defra_v1.0</t>
  </si>
  <si>
    <t>Refrigerant_HFC-134_Total emissions including non-Kyoto products_-_Direct_kg_UK_2022_defra_v1.0</t>
  </si>
  <si>
    <t>Refrigerant_Perfluoropropane (PFC-218)_Total emissions including non-Kyoto products_-_Direct_kg_UK_2022_defra_v1.0</t>
  </si>
  <si>
    <t>Refrigerant_Perfluoroethane (PFC-116)_Total emissions including non-Kyoto products_-_Direct_kg_UK_2022_defra_v1.0</t>
  </si>
  <si>
    <t>Refrigerant_Perfluoromethane (PFC-14)_Total emissions including non-Kyoto products_-_Direct_kg_UK_2022_defra_v1.0</t>
  </si>
  <si>
    <t>Refrigerant_HFC-43-I0mee_Total emissions including non-Kyoto products_-_Direct_kg_UK_2022_defra_v1.0</t>
  </si>
  <si>
    <t>Refrigerant_HFC-245fa_Total emissions including non-Kyoto products_-_Direct_kg_UK_2022_defra_v1.0</t>
  </si>
  <si>
    <t>Refrigerant_HFC-236fa_Total emissions including non-Kyoto products_-_Direct_kg_UK_2022_defra_v1.0</t>
  </si>
  <si>
    <t>Refrigerant_HFC-227ea_Total emissions including non-Kyoto products_-_Direct_kg_UK_2022_defra_v1.0</t>
  </si>
  <si>
    <t>Refrigerant_HFC-152a_Total emissions including non-Kyoto products_-_Direct_kg_UK_2022_defra_v1.0</t>
  </si>
  <si>
    <t>Refrigerant_HFC-143a_Total emissions including non-Kyoto products_-_Direct_kg_UK_2022_defra_v1.0</t>
  </si>
  <si>
    <t>Refrigerant_HFC-143_Total emissions including non-Kyoto products_-_Direct_kg_UK_2022_defra_v1.0</t>
  </si>
  <si>
    <t>Refrigerant_HFC-134a_Total emissions including non-Kyoto products_-_Direct_kg_UK_2022_defra_v1.0</t>
  </si>
  <si>
    <t>Refrigerant_R415B_Total emissions including non-Kyoto products_-_Direct_kg_UK_2022_defra_v1.0</t>
  </si>
  <si>
    <t>R416A</t>
  </si>
  <si>
    <t>R1234ze*</t>
  </si>
  <si>
    <t>Refrigerant_R1234ze*_Total emissions including non-Kyoto products_-_Direct_kg_UK_2022_defra_v1.0</t>
  </si>
  <si>
    <t>R1234yf*</t>
  </si>
  <si>
    <t>Refrigerant_R1234yf*_Total emissions including non-Kyoto products_-_Direct_kg_UK_2022_defra_v1.0</t>
  </si>
  <si>
    <t>R1270 = propene</t>
  </si>
  <si>
    <t>Refrigerant_R1270 = propene_Total emissions including non-Kyoto products_-_Direct_kg_UK_2022_defra_v1.0</t>
  </si>
  <si>
    <t>R170 = ethane</t>
  </si>
  <si>
    <t>Refrigerant_R170 = ethane_Total emissions including non-Kyoto products_-_Direct_kg_UK_2022_defra_v1.0</t>
  </si>
  <si>
    <t>R601A = isopentane</t>
  </si>
  <si>
    <t>Refrigerant_R601A = isopentane_Total emissions including non-Kyoto products_-_Direct_kg_UK_2022_defra_v1.0</t>
  </si>
  <si>
    <t>R601 = pentane</t>
  </si>
  <si>
    <t>Refrigerant_R601 = pentane_Total emissions including non-Kyoto products_-_Direct_kg_UK_2022_defra_v1.0</t>
  </si>
  <si>
    <t>R600 = butane</t>
  </si>
  <si>
    <t>Refrigerant_R600 = butane_Total emissions including non-Kyoto products_-_Direct_kg_UK_2022_defra_v1.0</t>
  </si>
  <si>
    <t>Refrigerant_R600A = isobutane_Total emissions including non-Kyoto products_-_Direct_kg_UK_2022_defra_v1.0</t>
  </si>
  <si>
    <t>Refrigerant_R290 = propane_Total emissions including non-Kyoto products_-_Direct_kg_UK_2022_defra_v1.0</t>
  </si>
  <si>
    <t>R438A</t>
  </si>
  <si>
    <t>R437A</t>
  </si>
  <si>
    <t>Refrigerant_R437A_Total emissions including non-Kyoto products_-_Direct_kg_UK_2022_defra_v1.0</t>
  </si>
  <si>
    <t>R436B</t>
  </si>
  <si>
    <t>Refrigerant_R436B_Total emissions including non-Kyoto products_-_Direct_kg_UK_2022_defra_v1.0</t>
  </si>
  <si>
    <t>R436A</t>
  </si>
  <si>
    <t>Refrigerant_R436A_Total emissions including non-Kyoto products_-_Direct_kg_UK_2022_defra_v1.0</t>
  </si>
  <si>
    <t>R435A</t>
  </si>
  <si>
    <t>Refrigerant_R435A_Total emissions including non-Kyoto products_-_Direct_kg_UK_2022_defra_v1.0</t>
  </si>
  <si>
    <t>R434A</t>
  </si>
  <si>
    <t>Refrigerant_R434A_Total emissions including non-Kyoto products_-_Direct_kg_UK_2022_defra_v1.0</t>
  </si>
  <si>
    <t>R433C</t>
  </si>
  <si>
    <t>Refrigerant_R433C_Total emissions including non-Kyoto products_-_Direct_kg_UK_2022_defra_v1.0</t>
  </si>
  <si>
    <t>R433B</t>
  </si>
  <si>
    <t>Refrigerant_R433B_Total emissions including non-Kyoto products_-_Direct_kg_UK_2022_defra_v1.0</t>
  </si>
  <si>
    <t>R433A</t>
  </si>
  <si>
    <t>Refrigerant_R433A_Total emissions including non-Kyoto products_-_Direct_kg_UK_2022_defra_v1.0</t>
  </si>
  <si>
    <t>R432A</t>
  </si>
  <si>
    <t>Refrigerant_R432A_Total emissions including non-Kyoto products_-_Direct_kg_UK_2022_defra_v1.0</t>
  </si>
  <si>
    <t>R431A</t>
  </si>
  <si>
    <t>Refrigerant_R431A_Total emissions including non-Kyoto products_-_Direct_kg_UK_2022_defra_v1.0</t>
  </si>
  <si>
    <t>Refrigerant_R438A_Total emissions including non-Kyoto products_-_Direct_kg_UK_2022_defra_v1.0</t>
  </si>
  <si>
    <t>R439A</t>
  </si>
  <si>
    <t>Refrigerant_R439A_Total emissions including non-Kyoto products_-_Direct_kg_UK_2022_defra_v1.0</t>
  </si>
  <si>
    <t>R440A</t>
  </si>
  <si>
    <t>R503</t>
  </si>
  <si>
    <t>Refrigerant_R502_Total emissions including non-Kyoto products_-_Direct_kg_UK_2022_defra_v1.0</t>
  </si>
  <si>
    <t>R501</t>
  </si>
  <si>
    <t>Refrigerant_R501_Total emissions including non-Kyoto products_-_Direct_kg_UK_2022_defra_v1.0</t>
  </si>
  <si>
    <t>R500</t>
  </si>
  <si>
    <t>Refrigerant_R500_Total emissions including non-Kyoto products_-_Direct_kg_UK_2022_defra_v1.0</t>
  </si>
  <si>
    <t>R445A</t>
  </si>
  <si>
    <t>Refrigerant_R445A_Total emissions including non-Kyoto products_-_Direct_kg_UK_2022_defra_v1.0</t>
  </si>
  <si>
    <t>R444A</t>
  </si>
  <si>
    <t>Refrigerant_R444A_Total emissions including non-Kyoto products_-_Direct_kg_UK_2022_defra_v1.0</t>
  </si>
  <si>
    <t>R443A</t>
  </si>
  <si>
    <t>Refrigerant_R443A_Total emissions including non-Kyoto products_-_Direct_kg_UK_2022_defra_v1.0</t>
  </si>
  <si>
    <t>R442A</t>
  </si>
  <si>
    <t>Refrigerant_R442A_Total emissions including non-Kyoto products_-_Direct_kg_UK_2022_defra_v1.0</t>
  </si>
  <si>
    <t>R441A</t>
  </si>
  <si>
    <t>Refrigerant_R441A_Total emissions including non-Kyoto products_-_Direct_kg_UK_2022_defra_v1.0</t>
  </si>
  <si>
    <t>Refrigerant_R440A_Total emissions including non-Kyoto products_-_Direct_kg_UK_2022_defra_v1.0</t>
  </si>
  <si>
    <t>Refrigerant_R503_Total emissions including non-Kyoto products_-_Direct_kg_UK_2022_defra_v1.0</t>
  </si>
  <si>
    <t>R430A</t>
  </si>
  <si>
    <t>R421B</t>
  </si>
  <si>
    <t>Refrigerant_R421B_Total emissions including non-Kyoto products_-_Direct_kg_UK_2022_defra_v1.0</t>
  </si>
  <si>
    <t>R421A</t>
  </si>
  <si>
    <t>Refrigerant_R421A_Total emissions including non-Kyoto products_-_Direct_kg_UK_2022_defra_v1.0</t>
  </si>
  <si>
    <t>R420A</t>
  </si>
  <si>
    <t>Refrigerant_R420A_Total emissions including non-Kyoto products_-_Direct_kg_UK_2022_defra_v1.0</t>
  </si>
  <si>
    <t>R419B</t>
  </si>
  <si>
    <t>Refrigerant_R419B_Total emissions including non-Kyoto products_-_Direct_kg_UK_2022_defra_v1.0</t>
  </si>
  <si>
    <t>R419A</t>
  </si>
  <si>
    <t>Refrigerant_R419A_Total emissions including non-Kyoto products_-_Direct_kg_UK_2022_defra_v1.0</t>
  </si>
  <si>
    <t>R418A</t>
  </si>
  <si>
    <t>Refrigerant_R418A_Total emissions including non-Kyoto products_-_Direct_kg_UK_2022_defra_v1.0</t>
  </si>
  <si>
    <t>R417C</t>
  </si>
  <si>
    <t>Refrigerant_R417C_Total emissions including non-Kyoto products_-_Direct_kg_UK_2022_defra_v1.0</t>
  </si>
  <si>
    <t>R417B</t>
  </si>
  <si>
    <t>Refrigerant_R417B_Total emissions including non-Kyoto products_-_Direct_kg_UK_2022_defra_v1.0</t>
  </si>
  <si>
    <t>R417A</t>
  </si>
  <si>
    <t>Refrigerant_R417A_Total emissions including non-Kyoto products_-_Direct_kg_UK_2022_defra_v1.0</t>
  </si>
  <si>
    <t>Refrigerant_R416A_Total emissions including non-Kyoto products_-_Direct_kg_UK_2022_defra_v1.0</t>
  </si>
  <si>
    <t>R422A</t>
  </si>
  <si>
    <t>Refrigerant_R422A_Total emissions including non-Kyoto products_-_Direct_kg_UK_2022_defra_v1.0</t>
  </si>
  <si>
    <t>R422B</t>
  </si>
  <si>
    <t>Refrigerant_R422B_Total emissions including non-Kyoto products_-_Direct_kg_UK_2022_defra_v1.0</t>
  </si>
  <si>
    <t>R429A</t>
  </si>
  <si>
    <t>Refrigerant_R429A_Total emissions including non-Kyoto products_-_Direct_kg_UK_2022_defra_v1.0</t>
  </si>
  <si>
    <t>R428A</t>
  </si>
  <si>
    <t>Refrigerant_R428A_Total emissions including non-Kyoto products_-_Direct_kg_UK_2022_defra_v1.0</t>
  </si>
  <si>
    <t>R427A</t>
  </si>
  <si>
    <t>Refrigerant_R427A_Total emissions including non-Kyoto products_-_Direct_kg_UK_2022_defra_v1.0</t>
  </si>
  <si>
    <t>R426A</t>
  </si>
  <si>
    <t>Refrigerant_R426A_Total emissions including non-Kyoto products_-_Direct_kg_UK_2022_defra_v1.0</t>
  </si>
  <si>
    <t>Refrigerant_R430A_Total emissions including non-Kyoto products_-_Direct_kg_UK_2022_defra_v1.0</t>
  </si>
  <si>
    <t>R425A</t>
  </si>
  <si>
    <t>Refrigerant_R425A_Total emissions including non-Kyoto products_-_Direct_kg_UK_2022_defra_v1.0</t>
  </si>
  <si>
    <t>R424A</t>
  </si>
  <si>
    <t>Refrigerant_R424A_Total emissions including non-Kyoto products_-_Direct_kg_UK_2022_defra_v1.0</t>
  </si>
  <si>
    <t>R423A</t>
  </si>
  <si>
    <t>Refrigerant_R423A_Total emissions including non-Kyoto products_-_Direct_kg_UK_2022_defra_v1.0</t>
  </si>
  <si>
    <t>R422E</t>
  </si>
  <si>
    <t>Refrigerant_R422E_Total emissions including non-Kyoto products_-_Direct_kg_UK_2022_defra_v1.0</t>
  </si>
  <si>
    <t>R422D</t>
  </si>
  <si>
    <t>Refrigerant_R422D_Total emissions including non-Kyoto products_-_Direct_kg_UK_2022_defra_v1.0</t>
  </si>
  <si>
    <t>R422C</t>
  </si>
  <si>
    <t>Refrigerant_R422C_Total emissions including non-Kyoto products_-_Direct_kg_UK_2022_defra_v1.0</t>
  </si>
  <si>
    <t>Refrigerant_Methyl chloride_Total emissions including non-Kyoto products_-_Direct_kg_UK_2022_defra_v1.0</t>
  </si>
  <si>
    <t>R504</t>
  </si>
  <si>
    <t>Refrigerant_R504_Total emissions including non-Kyoto products_-_Direct_kg_UK_2022_defra_v1.0</t>
  </si>
  <si>
    <t>Refrigerant_HCFC-21_Total emissions including non-Kyoto products_-_Direct_kg_UK_2022_defra_v1.0</t>
  </si>
  <si>
    <t>Refrigerant_HCFC-225cb_Total emissions including non-Kyoto products_-_Direct_kg_UK_2022_defra_v1.0</t>
  </si>
  <si>
    <t>Refrigerant_HCFC-225ca_Total emissions including non-Kyoto products_-_Direct_kg_UK_2022_defra_v1.0</t>
  </si>
  <si>
    <t>Refrigerant_HCFC-142b_Total emissions including non-Kyoto products_-_Direct_kg_UK_2022_defra_v1.0</t>
  </si>
  <si>
    <t>Refrigerant_HCFC-141b_Total emissions including non-Kyoto products_-_Direct_kg_UK_2022_defra_v1.0</t>
  </si>
  <si>
    <t>Refrigerant_Methylene chloride_Total emissions including non-Kyoto products_-_Direct_kg_UK_2022_defra_v1.0</t>
  </si>
  <si>
    <t>Refrigerant_Dimethylether_Total emissions including non-Kyoto products_-_Direct_kg_UK_2022_defra_v1.0</t>
  </si>
  <si>
    <t>Refrigerant_PFPMIE_Total emissions including non-Kyoto products_-_Direct_kg_UK_2022_defra_v1.0</t>
  </si>
  <si>
    <t>Refrigerant_Trifluoromethyl sulphur pentafluoride_Total emissions including non-Kyoto products_-_Direct_kg_UK_2022_defra_v1.0</t>
  </si>
  <si>
    <t>Refrigerant_HCFC-124_Total emissions including non-Kyoto products_-_Direct_kg_UK_2022_defra_v1.0</t>
  </si>
  <si>
    <t>Refrigerant_HCFC-123_Total emissions including non-Kyoto products_-_Direct_kg_UK_2022_defra_v1.0</t>
  </si>
  <si>
    <t>R512A</t>
  </si>
  <si>
    <t>Refrigerant_R512A_Total emissions including non-Kyoto products_-_Direct_kg_UK_2022_defra_v1.0</t>
  </si>
  <si>
    <t>R511A</t>
  </si>
  <si>
    <t>Refrigerant_R511A_Total emissions including non-Kyoto products_-_Direct_kg_UK_2022_defra_v1.0</t>
  </si>
  <si>
    <t>R510A</t>
  </si>
  <si>
    <t>Refrigerant_R510A_Total emissions including non-Kyoto products_-_Direct_kg_UK_2022_defra_v1.0</t>
  </si>
  <si>
    <t>R509A</t>
  </si>
  <si>
    <t>Refrigerant_R509A_Total emissions including non-Kyoto products_-_Direct_kg_UK_2022_defra_v1.0</t>
  </si>
  <si>
    <t>Refrigerant_R508B_Total emissions including non-Kyoto products_-_Direct_kg_UK_2022_defra_v1.0</t>
  </si>
  <si>
    <t>R508A</t>
  </si>
  <si>
    <t>Refrigerant_R508A_Total emissions including non-Kyoto products_-_Direct_kg_UK_2022_defra_v1.0</t>
  </si>
  <si>
    <t>Refrigerant_R507A_Total emissions including non-Kyoto products_-_Direct_kg_UK_2022_defra_v1.0</t>
  </si>
  <si>
    <t>R506</t>
  </si>
  <si>
    <t>Refrigerant_R506_Total emissions including non-Kyoto products_-_Direct_kg_UK_2022_defra_v1.0</t>
  </si>
  <si>
    <t>R505</t>
  </si>
  <si>
    <t>Refrigerant_R505_Total emissions including non-Kyoto products_-_Direct_kg_UK_2022_defra_v1.0</t>
  </si>
  <si>
    <t>Refrigerant_CFC-11/R11 = trichlorofluoromethane_Total emissions including non-Kyoto products_-_Direct_kg_UK_2022_defra_v1.0</t>
  </si>
  <si>
    <t>Refrigerant_CFC-12/R12 = dichlorodifluoromethane_Total emissions including non-Kyoto products_-_Direct_kg_UK_2022_defra_v1.0</t>
  </si>
  <si>
    <t>Refrigerant_HCFC-22/R22 = chlorodifluoromethane_Total emissions including non-Kyoto products_-_Direct_kg_UK_2022_defra_v1.0</t>
  </si>
  <si>
    <t>Refrigerant_Methyl chloroform_Total emissions including non-Kyoto products_-_Direct_kg_UK_2022_defra_v1.0</t>
  </si>
  <si>
    <t>Refrigerant_Methyl bromide_Total emissions including non-Kyoto products_-_Direct_kg_UK_2022_defra_v1.0</t>
  </si>
  <si>
    <t>Refrigerant_Carbon tetrachloride_Total emissions including non-Kyoto products_-_Direct_kg_UK_2022_defra_v1.0</t>
  </si>
  <si>
    <t>Refrigerant_Halon-2402_Total emissions including non-Kyoto products_-_Direct_kg_UK_2022_defra_v1.0</t>
  </si>
  <si>
    <t>Refrigerant_Halon-1211_Total emissions including non-Kyoto products_-_Direct_kg_UK_2022_defra_v1.0</t>
  </si>
  <si>
    <t>Refrigerant_CFC-115_Total emissions including non-Kyoto products_-_Direct_kg_UK_2022_defra_v1.0</t>
  </si>
  <si>
    <t>Refrigerant_CFC-114_Total emissions including non-Kyoto products_-_Direct_kg_UK_2022_defra_v1.0</t>
  </si>
  <si>
    <t>Refrigerant_CFC-113_Total emissions including non-Kyoto products_-_Direct_kg_UK_2022_defra_v1.0</t>
  </si>
  <si>
    <t>Refrigerant_CFC-13_Total emissions including non-Kyoto products_-_Direct_kg_UK_2022_defra_v1.0</t>
  </si>
  <si>
    <t>Refrigerant_Halon-1301_Total emissions including non-Kyoto products_-_Direct_kg_UK_2022_defra_v1.0</t>
  </si>
  <si>
    <t>Unknown</t>
  </si>
  <si>
    <t>Petrol</t>
  </si>
  <si>
    <t>Transport_Vans_Average (up to 3.5 tonnes)_Unknown_Combustion_km_UK_2022_defra_v1.0</t>
  </si>
  <si>
    <t>Transport_HGV (all diesel)_All HGV_Average laden_Combustion_km_UK_2022_defra_v1.0</t>
  </si>
  <si>
    <t>Transport_Cars (by size)_Average car_Unknown_Combustion_km_UK_2022_defra_v1.0</t>
  </si>
  <si>
    <t>miles</t>
  </si>
  <si>
    <t>Area</t>
  </si>
  <si>
    <t>m^2</t>
  </si>
  <si>
    <t>ft^2</t>
  </si>
  <si>
    <t>Cold stores about 45KG R410A gas /site</t>
  </si>
  <si>
    <t xml:space="preserve">Vehicles are about 1.4L R404A </t>
  </si>
  <si>
    <t>Litres of diesel</t>
  </si>
  <si>
    <t>Litres of petrol</t>
  </si>
  <si>
    <t>%</t>
  </si>
  <si>
    <t>Quarterly</t>
  </si>
  <si>
    <t>Annually</t>
  </si>
  <si>
    <t>Monthly</t>
  </si>
  <si>
    <t>Reporting period for logistics</t>
  </si>
  <si>
    <t>Key</t>
  </si>
  <si>
    <t>Key input</t>
  </si>
  <si>
    <t>Advanced input</t>
  </si>
  <si>
    <t>Type</t>
  </si>
  <si>
    <t>Input Value</t>
  </si>
  <si>
    <t>Input Unit</t>
  </si>
  <si>
    <t>Input Value Name</t>
  </si>
  <si>
    <t>Input Unit Name</t>
  </si>
  <si>
    <t>EF ID</t>
  </si>
  <si>
    <t>Conversion</t>
  </si>
  <si>
    <t>EF (kgCO2e/unit)</t>
  </si>
  <si>
    <t>Emissions Factor for Unit (kgCO2e/unit)</t>
  </si>
  <si>
    <t>Emissions (kgCO2e)</t>
  </si>
  <si>
    <t>Emissions (tCO2e)</t>
  </si>
  <si>
    <t>Emissions adjusted for reporting period (kgCO2e)</t>
  </si>
  <si>
    <t>Reporting period name</t>
  </si>
  <si>
    <t>Adv</t>
  </si>
  <si>
    <t>inputs_log_key_HGV_value</t>
  </si>
  <si>
    <t>inputs_log_key_HGV_unit</t>
  </si>
  <si>
    <t>inputs_log_key_LGV_unit</t>
  </si>
  <si>
    <t>inputs_log_key_cars_unit</t>
  </si>
  <si>
    <t>inputs_log_adv_HGV_diesel_Litres</t>
  </si>
  <si>
    <t>inputs_log_adv_LGV_diesel_Litres</t>
  </si>
  <si>
    <t>inputs_log_adv_LGV_petrol_Litres</t>
  </si>
  <si>
    <t>inputs_log_adv_cars_diesel_Litres</t>
  </si>
  <si>
    <t>inputs_log_adv_cars_petrol_Litres</t>
  </si>
  <si>
    <t>inputs_log_key_reporting_period</t>
  </si>
  <si>
    <t>inputs_log_adv_reporting_period</t>
  </si>
  <si>
    <t>Buildings &amp; Electricity</t>
  </si>
  <si>
    <t>Multiplier to get to annual</t>
  </si>
  <si>
    <t>Oil</t>
  </si>
  <si>
    <t>DEFRA 2022</t>
  </si>
  <si>
    <t>GBP</t>
  </si>
  <si>
    <t>inputs_energy_key_gas_spend_GBP</t>
  </si>
  <si>
    <t>inputs_energy_key_elec_spend_GBP</t>
  </si>
  <si>
    <t>inputs_energy_adv_gas_usage_kWh</t>
  </si>
  <si>
    <t>inputs_energy_adv_elec_usage_kWh</t>
  </si>
  <si>
    <t>inputs_energy_adv_oil_usage_kWh</t>
  </si>
  <si>
    <t>inputs_energy_key_reporting_period</t>
  </si>
  <si>
    <t>inputs_energy_adv_reporting_period</t>
  </si>
  <si>
    <t>inputs_energy_key_oil_spend_GBP</t>
  </si>
  <si>
    <t>Renewable %</t>
  </si>
  <si>
    <t>Key input (required)</t>
  </si>
  <si>
    <t>Advanced input (optional)</t>
  </si>
  <si>
    <t>Use in charts?</t>
  </si>
  <si>
    <t>LGVs - Diesel</t>
  </si>
  <si>
    <t>LGVs - Petrol</t>
  </si>
  <si>
    <t>Company Cars - Diesel</t>
  </si>
  <si>
    <t>Company Cars - Petrol</t>
  </si>
  <si>
    <t>HGVs (refrigerated)</t>
  </si>
  <si>
    <t>inputs_refrig_key_floorarea_value</t>
  </si>
  <si>
    <t>inputs_refrig_key_floorarea_unit</t>
  </si>
  <si>
    <t>% depot storage breakdown</t>
  </si>
  <si>
    <t>Ambient %</t>
  </si>
  <si>
    <t>Chilled %</t>
  </si>
  <si>
    <t>Frozen %</t>
  </si>
  <si>
    <t>Cleaned Collated Data: EMISSIONS</t>
  </si>
  <si>
    <t>Source: Column K of the 'survey submissions' tabs</t>
  </si>
  <si>
    <t>Notes on data origin</t>
  </si>
  <si>
    <t>Background Information</t>
  </si>
  <si>
    <t>SWA ONLY QS</t>
  </si>
  <si>
    <t>Scope 1 and 2 Summary</t>
  </si>
  <si>
    <t>Scope 1 detail</t>
  </si>
  <si>
    <t>Scope 3 emissions</t>
  </si>
  <si>
    <t>Climate Strategy</t>
  </si>
  <si>
    <t>Business name</t>
  </si>
  <si>
    <t>Contact name</t>
  </si>
  <si>
    <t>Contact email address</t>
  </si>
  <si>
    <t>Data year for information below (start date to end date)</t>
  </si>
  <si>
    <t>Business turnover during data year (Scotland only)</t>
  </si>
  <si>
    <t>Square footage of depots during data year  (United Kingdom) (sq ft)</t>
  </si>
  <si>
    <t>Square footage of depots during data year (Scotland only) (sq ft)</t>
  </si>
  <si>
    <t>Please estimate the % depot footage dedicated to ambient storage, chilled storage and frozen storage (United Kingdom) (sq ft)</t>
  </si>
  <si>
    <t>If you have operations in Scotland, and can provide data split between Scotland and the rest of UK, please duplicate the survey, and complete a version for each (sq ft)</t>
  </si>
  <si>
    <t>Number of cases sold during data year (Scotland only) - please clarify how you define case count in the notes section</t>
  </si>
  <si>
    <t>Please define your principle business location (i.e council area)</t>
  </si>
  <si>
    <t>Please estimate the % split of the areas you serve between urban, rural, islands, highlands, other (please explain)</t>
  </si>
  <si>
    <t>Are you covered by any mandatory GHG reporting? If so, under which regulation</t>
  </si>
  <si>
    <t xml:space="preserve">Which corporate GHG accounting and reporting standard do you use? </t>
  </si>
  <si>
    <t xml:space="preserve">Which consolidation approach was used for your GHG inventory? </t>
  </si>
  <si>
    <t>Please describe any subsidiaries covered by your Scope 1 &amp; 2 inventory</t>
  </si>
  <si>
    <t>Please describe the business operations covered by your Scope 1 &amp; 2 inventory</t>
  </si>
  <si>
    <t>Total Scope 1 emissions (tCO2e)</t>
  </si>
  <si>
    <t>Total Scope 2 emissions (tCO2e) – Location based</t>
  </si>
  <si>
    <t>Total Scope 2 emissions (tCO2e) – Market-based (if applicable)</t>
  </si>
  <si>
    <t>Where do you disclose your Scope 1 &amp; 2 data?</t>
  </si>
  <si>
    <t>We are conscious that there are still effects of the pandemic and other disruptions affecting the sector. Please explain how this year was unusual for you, if it was.</t>
  </si>
  <si>
    <t>Vehicle fuel: HGVs (tCO2e)</t>
  </si>
  <si>
    <t>Vehicle fuel: Vans / LGVs (tCO2e)</t>
  </si>
  <si>
    <t>Vehicle fuel: Cars (tCO2e)</t>
  </si>
  <si>
    <t>Vehicle fuel: Other (tCO2e)</t>
  </si>
  <si>
    <t>Refrigerant leaks: Buildings – please describe key refrigerant gases (tCO2e)</t>
  </si>
  <si>
    <t>Refrigerant leaks: Vehicles – please describe key refrigerant gases (tCO2e)</t>
  </si>
  <si>
    <t>Building fuel use: please describe key fuel type (e.g., natural gas, heating oil, etc) (tCO2e)</t>
  </si>
  <si>
    <t>Are there any other scope 1 sources? If so, please specify (tCO2e)</t>
  </si>
  <si>
    <t>Have you quantified your Scope 3 emissions?</t>
  </si>
  <si>
    <t>If so, which categories of Scope 3 emissions?</t>
  </si>
  <si>
    <t>Would you be willing to share your Scope 3 data with the project?</t>
  </si>
  <si>
    <t>What actions are you currently taking to address Scope 3 emissions?</t>
  </si>
  <si>
    <t>What proportion of your electricity use is from on-site renewables? (%)</t>
  </si>
  <si>
    <t>What proportion of your car fleet is electric? (%)</t>
  </si>
  <si>
    <t>What proportion of your van fleet is electric? (%)</t>
  </si>
  <si>
    <t>What proportion of your HGV fleet uses one of the following lower carbon energy sources</t>
  </si>
  <si>
    <t>Electricity (%)</t>
  </si>
  <si>
    <t>HVO (Hydrated vegetable oil) (%)</t>
  </si>
  <si>
    <t>CNG (Compressed natural gas) (%)</t>
  </si>
  <si>
    <t>Other (please specify) (%)</t>
  </si>
  <si>
    <t>Has your business publicly committed to a near-term or long-term emissions reductions target? If so, please describe scope, target date, base year date and level of reduction. If not, why have you not done this?</t>
  </si>
  <si>
    <t>Do you have a detailed Scope 1 &amp; 2 decarbonisation plan for your business? If so, are you able to share details of the plan your priorities with any key milestones? If not, why have you not done this?</t>
  </si>
  <si>
    <t>Do you have specific targets and target dates for the actions listed in the advice column? If so, please describe.</t>
  </si>
  <si>
    <t>Comments on Cleaning status</t>
  </si>
  <si>
    <t>3Keel notes (case study, interesting aspects)</t>
  </si>
  <si>
    <t>Clarification for member</t>
  </si>
  <si>
    <t>Number of clarification Qs</t>
  </si>
  <si>
    <t>Checks against info online</t>
  </si>
  <si>
    <t>Clarifications sent</t>
  </si>
  <si>
    <t>Response</t>
  </si>
  <si>
    <t>Transposed</t>
  </si>
  <si>
    <t>Scope 1 total = Vehicle fuel, and does not include refrigerants</t>
  </si>
  <si>
    <t>Scope 1 total clarification
Unable to provide HGV split 
Detail of targets in F70</t>
  </si>
  <si>
    <t>Scope 1 total clarification
Unable to provide HGV split
No market based electricty (D32)</t>
  </si>
  <si>
    <t>Sust page - https://www.cjlang.co.uk/about-us/environment</t>
  </si>
  <si>
    <t xml:space="preserve">
CASE STUDY MATERIAL
20 targets achieved
Solar pannels on new building
Trials for electric fleet</t>
  </si>
  <si>
    <t xml:space="preserve">Scope 1 total clarification
Unable to provide HGV split 
No market based electricty (D32) 
Provide details on the 20 targets they've ahieved (D69) - are they able to share their net zero strategy?
Details on the new building with solar pannels (F59) - is it operational? </t>
  </si>
  <si>
    <t>Won't be able to reply till Mid March as they're moving buildings at the moment - We may need to re think our intention of using them as a case study</t>
  </si>
  <si>
    <t>Scope 1 total clarification
 HGV/Van split
No location based electrics (D31)
Are you able to share your scope 3 data, and sustainability report?
Can we clarify whether its 33% or 0.33% of  cars which are electric (D61)</t>
  </si>
  <si>
    <t>We could just use Bidfood data here - https://bidfood.pagetiger.com/BidfoodSustainabilityReport2022</t>
  </si>
  <si>
    <t>Julie replied, and we need to send them through the filled in survey and some clarifications. Replies below: 
yes HGVS are all diesel with the exception of 1 electric vehicle across the entire fleet! We trialled HVO between March –November 2023 but this is now discontinued
Julie said she didn't know why the s1 total didn't match for the breakdown
Julie "strongly suspect 0.33%" - follow this for interpreting their % breakdowns 
only have a full breakdown of Scope 3 for our 2018/19 baseline year – all other years we just have waste and more recently, hire car business travel
Unfortunately we are not able to provide location based electricity emissions at present, only market based emissions.
On HVO - "HVO gave mixed results (circa 30% emissions reduction on DAFs, 90% on Mercedes from memory, also with variations in particulates). So, not the clear cut reduction we were hoping for, given the vehicle mix across our depots. This, combined with the significant additional cost and also growing concerns around the sustainability of the provenance of HVO led us to discontinue use. For the sake of transparency, cost was probably the most significant factor in this decision, as this is a low margin sector, but I think the mixed results and possible issues around sourcing clinched it, as our very mixed vehicle composition would have diluted the messages around GHG reduction and lessened the business case for it."</t>
  </si>
  <si>
    <t>Scope 1 total clarification
Unable to provide HGV split
Details on targets in D68 and D70
Are you able to share your scope 3 data, and sustainability report
Market based elec at n/a (D32)</t>
  </si>
  <si>
    <t>We may need to cross reference Blakemore - the number they report on their sustainability report is much lower than the number derived through these totals</t>
  </si>
  <si>
    <t>No Sq foot
Unable to provide HGV split
Any indication of timeline for more details on targets -  you note they're in progress
Are you able to share your scope 3 data</t>
  </si>
  <si>
    <t>Measure their footprint - https://www.afblakemore.com/pdf/Corporate-Responsibility-Report-2014.pdf</t>
  </si>
  <si>
    <t>OOO - follow up next week (w/c 20/02)</t>
  </si>
  <si>
    <t>SMALL COMPANY - not cleaned</t>
  </si>
  <si>
    <t>Looked up from Activity summary rather than transposed directly from cleaned data - this is looked up where column headers match</t>
  </si>
  <si>
    <t>No data yet</t>
  </si>
  <si>
    <t>CDP data and public info</t>
  </si>
  <si>
    <t>Neither</t>
  </si>
  <si>
    <t>Scope 1 total clarification
Unable to provide HGV split</t>
  </si>
  <si>
    <t>Annual report - https://wp-kitwave-2021.s3.eu-west-2.amazonaws.com/media/2022/03/Kitwave_plc_AR_202170.pdf</t>
  </si>
  <si>
    <t>Kitwave sent through an updated version of the survey
On split - We don’t have the split by vehicle. The data we use for fuel usage is based on fuel draw downs and is detailed by card reference number rather than vehicle type. HGV’s account for c.32% of the fleet so this would be best estimate of the split between HGV’s (18T plus) and other commercial vehcles (They are trucks between 3.5tonne and artic size vehicles)</t>
  </si>
  <si>
    <t>Scope 1 total clarification
No electricity scope 2 data reported - does this mean you don't use electricity?</t>
  </si>
  <si>
    <t xml:space="preserve">No market based scope 2
No emissions for scope 1 detail 
What are your onsite renewables
</t>
  </si>
  <si>
    <t>Want to talk this through before I send out clarifications</t>
  </si>
  <si>
    <t>SWA/FWD</t>
  </si>
  <si>
    <t xml:space="preserve">Wine Importers </t>
  </si>
  <si>
    <t>RESPONSES</t>
  </si>
  <si>
    <t>Do you have your GHG inventory assured or verified by a 3rd party? If you have GHG data assured/verified, please describe level of assurance.</t>
  </si>
  <si>
    <t>What proportion of your electricity use is from 3rd party renewable sources (%)</t>
  </si>
  <si>
    <t>Castell Howell Foods Ltd</t>
  </si>
  <si>
    <t>Ed Morgan</t>
  </si>
  <si>
    <t>edward.morgan@chfoods.co.uk</t>
  </si>
  <si>
    <t>01/11/21 - 31/10/22</t>
  </si>
  <si>
    <t>SECR, ESOS</t>
  </si>
  <si>
    <t>Defra calculations</t>
  </si>
  <si>
    <t>Warehousing and transport</t>
  </si>
  <si>
    <t>This financial year was under lock down for significant periods</t>
  </si>
  <si>
    <t>Phase 1 (2021-2040): 89% reduction. Phase 2 2050: at least 100% reduction (net zero).</t>
  </si>
  <si>
    <t>Not detailed</t>
  </si>
  <si>
    <t>Management of refrigerants and moving away to those with alower impact, Move to electirc/hybrid car fleet. Numerous initiatives to reduce lorry emissions. Capital investment to increase on-site renewables to minimum of 10% total energy use.</t>
  </si>
  <si>
    <t>C J Lang and Son Ltd</t>
  </si>
  <si>
    <t>Colin Chapman</t>
  </si>
  <si>
    <t>colin.chapman@cjlang.co.uk</t>
  </si>
  <si>
    <t>1/05/21 - 31/05/22</t>
  </si>
  <si>
    <t>Scotland only</t>
  </si>
  <si>
    <t>SECR</t>
  </si>
  <si>
    <t>Corporate Standard</t>
  </si>
  <si>
    <t>Depot Building, Fleet and Head Office</t>
  </si>
  <si>
    <t>?</t>
  </si>
  <si>
    <t>Do not publicly disclose</t>
  </si>
  <si>
    <t>Growth vs previous year on Co. Cars / Travel</t>
  </si>
  <si>
    <t>Only for Business Travel for non-co. owned cars</t>
  </si>
  <si>
    <t>c.3%</t>
  </si>
  <si>
    <t>No specific targets.  We are currently exploring solar power options for the main depot.  We are also loking at a phased approach to replacing our refrigerant gases R404A with CO2 over the next few years.  Our Co. Car fleet now has electric and hybrid options. Our main LGV fleet now includes 4 rigid vehicles with electric fridges and 12 trailers with hybrid fridges. We have also recently completed a full site survey with Auditel looking at how we reduce our power usage and emissions (incl solar)</t>
  </si>
  <si>
    <t>We noted your diesel vehicles are accounted for together in your emissions accounting - would it be fair to say that HGVs account for more than 90% of your diesel vehicle-related emissions? Or if you have any detail on vehicle split readily available that you would be happy to share with us that would be greatly appreciated.  HGV:  84%,   HGV Refrigeration: 11% and Co. Cars:  5%
We noted that your scope 1 summary and scope 1 detail totals don’t quite match - is there a reason for this?  I think the detail is just fleet emissions and the summary includes the building as well
It might help with the above if you're able to confirm whether you purchase renewable energy from your supplier - if you are able to share any details (if you're able to confirm the renewable energy sourcing), in terms of whether it is green tariffs, power purchase agreements or REGO certificates that would be great too!  I believe we do purchase renewable energy from our supplier but would need to confirm 100%.  The person I need to speak to is currently off.  Not sure about tariffs, REGO etc.
Are you able to share the split of the refrigeration method for R404A vs CO2 - it's great to hear about the sustainability work underway!  I don’t have this data to hand but we only currently have two CO2 evaporators in the freezer so I would estimate c.5-6% max is CO2 and the rest R404A</t>
  </si>
  <si>
    <t xml:space="preserve">Filshill </t>
  </si>
  <si>
    <t xml:space="preserve">Amanda Casey </t>
  </si>
  <si>
    <t>amanda,casey@filshill.co.uk</t>
  </si>
  <si>
    <t>01/02/2021 - 31/01/2023</t>
  </si>
  <si>
    <t>Financial control</t>
  </si>
  <si>
    <t xml:space="preserve">Mabbett Consultancy </t>
  </si>
  <si>
    <t xml:space="preserve">None </t>
  </si>
  <si>
    <t xml:space="preserve">Scope 1: Gas &amp; Transport Fuel , Scope 2: Electricity </t>
  </si>
  <si>
    <t>Board report and feedback to employees quarterly</t>
  </si>
  <si>
    <t>As a business we increased in demand hence business volume and Scope1 and 2 emissions</t>
  </si>
  <si>
    <t xml:space="preserve">Supply chain emissions </t>
  </si>
  <si>
    <t xml:space="preserve">Working wirh suppliers on green initiactoves and questionnaires. Routing </t>
  </si>
  <si>
    <t xml:space="preserve">0 - New building has solar panels and no heating </t>
  </si>
  <si>
    <t>0 - Been on trials</t>
  </si>
  <si>
    <t xml:space="preserve">Net Zero strategy and worked with Mabbett who heklped us shape this. </t>
  </si>
  <si>
    <t>We have a sustainability team with set objectives and projects. So far we have avhieved over 20 targets. Plan to buy electric HGV this year</t>
  </si>
  <si>
    <t xml:space="preserve">By 2045 we are a Net Zero distributor and sector leader. Decrease Scope 1 &amp;2 emissions by 50%
2035
Be net zero for scope 1 &amp;2 emissions including offsets
2040
Be net zero for scope 1 &amp;2 emissions without the use of offsets &amp; decrease Scope 3 emissions by 50% offsets
2045
Be net zero for scope 1, 2 &amp; 3 emissions
Working with Renfrew Council, SWA, Scottish Entreprise and ScottIsh Power </t>
  </si>
  <si>
    <t>Bidfood Ltd</t>
  </si>
  <si>
    <t>Shelley Morris</t>
  </si>
  <si>
    <t>Shelleymorris@bidfood.co.uk</t>
  </si>
  <si>
    <t>01/07/2021 - 30/06/2022</t>
  </si>
  <si>
    <t>Emissions are not recorded seperately</t>
  </si>
  <si>
    <t>Yes, TCFD</t>
  </si>
  <si>
    <t>Bidfood emissions have been externally verified in line with the HM Government document “Environmental Reporting Guidelines: Including streamlined energy and carbon reporting guidance (SECR)”</t>
  </si>
  <si>
    <t>Operational control</t>
  </si>
  <si>
    <t>Scope 1, 2 &amp; partial 3 (waste only)</t>
  </si>
  <si>
    <t>None - Please note I have completed this survey for just Bidfood Ltd, not including any of its subsidaries (Caterfood, South Linc Fooderservice) or its sister company Bidfresh. This is because we do not have enough data easily manipulable to spit out the manufacturing elements vs the foodservice elements, so i thought it would be better to give you good data for Bidfood rather than trying to strecth this info too far.</t>
  </si>
  <si>
    <t>The operational boundary encompasses all energy consumption for our estate of 27 operational depots and 2 office locations utilised during the reporting period, our commercial fleet of over 1,000 delivery trucks, 170 vans and business miles from company cars. Carbon emissions from refrigerant gas losses from the estate (plant and air conditioning) and commercial vehicles are also included.</t>
  </si>
  <si>
    <t>Sustainability report. And website in our carbon reduction plan - https://www.bidfood.co.uk/wp-content/uploads/2022/11/CRP-Bidfood-Nov-2022-Signed.pdf</t>
  </si>
  <si>
    <t>This was probably the first normal year following covid - there was some disruption in late 2021 where some hospitality businesses were closed so therefore less custom, but this didn’t have a significant impact.</t>
  </si>
  <si>
    <t>Yes for our baseline, but don't yet calculate these for annual reporting. We only have waste for this</t>
  </si>
  <si>
    <t>waste</t>
  </si>
  <si>
    <t xml:space="preserve">Maximising recycling: We work with our waste provider, Mitie, to maximise recycling of cardboard and pallet wrap, and we also depend on our employees to use recycling bins correctly! Redistributing food: Food waste is a huge but hidden driver of climate change. We work proactively at all stages in our supply chain to minimise waste in the first place. </t>
  </si>
  <si>
    <t>We have committed to setting both near and long term carbon reduction targets, aligned to the Science-Based Targets initiative, with an overall aim to achieve net zero carbon by 2045. This covers Bidfood and its subsidaries, but not its sister company Bidfresh. Net zero means at least a 90% reduction by 2045, with the remainder being offset. Our base year is our 2028/2019 FY. We have not yet calculated our targets though as we are going to need to report against FLAG targets too so we are going to do this all at the same time and submit these together.</t>
  </si>
  <si>
    <t>Yes - on our website - https://www.bidfood.co.uk/wp-content/uploads/2022/11/CRP-Bidfood-Nov-2022-Signed.pdf</t>
  </si>
  <si>
    <t>We are in the process of setting these as described in cell D68</t>
  </si>
  <si>
    <t>Henderson Foodservice LTD</t>
  </si>
  <si>
    <t xml:space="preserve">Helen Crilly </t>
  </si>
  <si>
    <t>Helen.crilly@henderson-group.com</t>
  </si>
  <si>
    <t>01/01/21 - 31/12/21</t>
  </si>
  <si>
    <t>YES</t>
  </si>
  <si>
    <t>yes</t>
  </si>
  <si>
    <t>The scope of reporting within the Group is energy consumption related to electricity, fossil fuels (oil &amp; gas) and transport fuel. This encompasses Scope 1 and Scope 2 emissions, with Scope 3 emissions being reported for “grey” fleet and car hire. Greenhouse gas emissions related to energy use within scope is also reported, including an intensity metric. Consumption data is aligned with the financial year. All energy consumption and related emissions are based upon verifiable data.</t>
  </si>
  <si>
    <t>Sustainability report</t>
  </si>
  <si>
    <t>currently in process of Scope 3 data collection project as part of wider Henderson Group businesses with Carbon Trust</t>
  </si>
  <si>
    <t>* purchased goods and services for products and non product *Captial goods *Fuel and energy releated activities * Upstream transportation &amp; distribution * Waste generated in operations * Business travel *Employee Communting *Upstream leased assets *Downstream transportationand distribution *processing of sold goods *use of sold products * end of life treatment of sold products * Downstream leased assets.</t>
  </si>
  <si>
    <t>once current process is completed Henderson Group will use results as base line and implent action plan to reduce and off set emissions.</t>
  </si>
  <si>
    <t xml:space="preserve">yes emmission reduction targets have been set for 2023 </t>
  </si>
  <si>
    <t>Current work in progress plans to be signed at board level for Qt 2 2023</t>
  </si>
  <si>
    <t xml:space="preserve">
*Transitioning away from fossil sources of building heating,
*Transitioning to electric vans/cars - aim to increase % elctric cars in the company car fleet.
*Transitioning to lower carbon HGV vehicles.
*Removing global warming refrigerants from all of your property.
*Removing global warming refrigerants from all of your vehicles.</t>
  </si>
  <si>
    <t xml:space="preserve">A.F. Blakemore </t>
  </si>
  <si>
    <t xml:space="preserve">Darshika Patel </t>
  </si>
  <si>
    <t xml:space="preserve">Darshika.Patel@afblakemore.co.uk </t>
  </si>
  <si>
    <t>2021/2022</t>
  </si>
  <si>
    <t xml:space="preserve">Consultants </t>
  </si>
  <si>
    <t>Logistics fleet, Warehousing/Depots/ Central Function office &amp; Retail Stores</t>
  </si>
  <si>
    <t>Annual Report</t>
  </si>
  <si>
    <t xml:space="preserve">Some not all. </t>
  </si>
  <si>
    <t>Transmission &amp; Distribution (T&amp;D)</t>
  </si>
  <si>
    <t xml:space="preserve">Developing Environmental Strategy aligned to SBT. </t>
  </si>
  <si>
    <t xml:space="preserve">Working to develop SBTi - in the data capture phase. </t>
  </si>
  <si>
    <t xml:space="preserve">This is in progress. </t>
  </si>
  <si>
    <t>These require endorsement before signing off.</t>
  </si>
  <si>
    <t>Harlech Foodservice Limited</t>
  </si>
  <si>
    <t>Janette Jones/Mark Lawton</t>
  </si>
  <si>
    <t>janette.jones@harlech.co.uk    mark.lawton@harlech.co.uk</t>
  </si>
  <si>
    <t>1.1.22 to 31.12.22</t>
  </si>
  <si>
    <t>No.  under 250 employees  we have 186 at present</t>
  </si>
  <si>
    <t>None We use Defra Government conversion factors</t>
  </si>
  <si>
    <t>Our Head Office is in Llanystumdwy North Wales coast but we do have a depot in Chester where we deliver goods from Head Office with an Articulated lorry daily and this is then collected by our fleet of delivery vehicles in Chesterd to the Northwest area..</t>
  </si>
  <si>
    <t>Buildings, operation delivery of Food, Sales Reps vehicles</t>
  </si>
  <si>
    <t>First full year after Covid so should have full data for comparison purposes going forward</t>
  </si>
  <si>
    <t>3.445347 Natural Gas, 229.9466 Electric</t>
  </si>
  <si>
    <t>We have started with Business miles employees using own vehicle and Water</t>
  </si>
  <si>
    <t>Employee Mileag and Water</t>
  </si>
  <si>
    <t>We are in the process of getting our supplier who removes waste to give Co2e details so we can complete the majority of Scope 3 going forward.</t>
  </si>
  <si>
    <t>Anually in our budget we are changing vehicles which produce less Co2e with the unltimate goal to go electric. All our transport vehicles are refrigerated.</t>
  </si>
  <si>
    <t>Once we have accuarte Waste Co2e data and complete Scope 3 we will be in a better position to plan our emissions reduction target.</t>
  </si>
  <si>
    <t>A above</t>
  </si>
  <si>
    <t>Yes we are are looking at renewable energy sources and increasing solar panels we already have on site. We have already changed a majority of our Sales hire fleet to Hybrid the infrastructure in the area is still not sufficient to transition completelytly to Electric. We are gradually changing our HGV and Vans to lower carbon emissions.We are in the process in 2023 to reduce the use of refrigerant gases moving from R404A to R449A in our Warehouse.</t>
  </si>
  <si>
    <t>J M Pratt Ltd</t>
  </si>
  <si>
    <t>Shaun Atherton</t>
  </si>
  <si>
    <t>shaun@jmpfoodservice.co.uk</t>
  </si>
  <si>
    <t>Foodservice Wholesaler with 14 HGV 4 vans and 7 company cars. Delivering throughout Cumbria, N Yorkshire, N Lancashire and SW Scotland</t>
  </si>
  <si>
    <t>Booker Group</t>
  </si>
  <si>
    <t>Cath Marston</t>
  </si>
  <si>
    <t>cath.marston@booker.co.uk</t>
  </si>
  <si>
    <t>01/03/21 - 27/2/22</t>
  </si>
  <si>
    <t>We can only split out energy and Fgas but that will require additional analysis.  Not able to identify diesel split for Scotland</t>
  </si>
  <si>
    <t>Managed by Group (Tesco) SBTi</t>
  </si>
  <si>
    <t>yes via Tesco</t>
  </si>
  <si>
    <t>Booker Ltd, Booker Retail Partners, Best Foods Ltd, Ritter Courivaud</t>
  </si>
  <si>
    <t xml:space="preserve">Distrubution, wholesale </t>
  </si>
  <si>
    <t>All of those listed</t>
  </si>
  <si>
    <t>Still some impact to catering sales in the first quarter of this reporting year</t>
  </si>
  <si>
    <t>Upstream transport and dist, use of sold products, downstream transport &amp; dist, fuel &amp; energy activities, end of life treatment of sold products, employee commuting, processing of sold products, business travel, waste generated in operations</t>
  </si>
  <si>
    <t>Supplier engagement in emissions reductions and SBTi net zero targets, zero deforestation products, packaging reduction and recylcability, customer services, sourcing of products.  As examples</t>
  </si>
  <si>
    <t>Data not to hand but can find out</t>
  </si>
  <si>
    <t>Eco fridge units used and being rolled out can obtain with some extra engagement</t>
  </si>
  <si>
    <t>Yes net zero scope 1 &amp; 2 by 2035.  Scope 3 2050  Base year 2015/16 financial year.  60% by 2025 mid point target</t>
  </si>
  <si>
    <t xml:space="preserve">Yes.  Zero carbon vans by 2030, net zero by 2035, decarbonisation of fridge and heating.  VO completion, LED is complete checking on controls, solar, behaviour engagement, </t>
  </si>
  <si>
    <t>as above</t>
  </si>
  <si>
    <t>Peter Statham</t>
  </si>
  <si>
    <t>peter.statham@sysco.com</t>
  </si>
  <si>
    <t>2021 (full year)</t>
  </si>
  <si>
    <t>Within above data</t>
  </si>
  <si>
    <t>SECR, TCFD</t>
  </si>
  <si>
    <t>GHG protocol</t>
  </si>
  <si>
    <t>Assured</t>
  </si>
  <si>
    <t>Warehouseing, deliveries and company cars</t>
  </si>
  <si>
    <t>Covid was still a factor at the begining of the period but has since been less of a factor at the end of the reporting year</t>
  </si>
  <si>
    <t>Yes for Sysco (Parent Company)</t>
  </si>
  <si>
    <t>0 for 2021</t>
  </si>
  <si>
    <t>Science-based targets for scope 1&amp;2 to well below 2 degrees: 27.5% reduction from 2019-2039.
scope 3: work with suppliers representing 67% of emissions to set SBTs</t>
  </si>
  <si>
    <t>Transition to 100% renewable electricity by 2030
No new diesel vehicles from 2030 and zero tailpipe emissions by 2040.</t>
  </si>
  <si>
    <t>2020-21</t>
  </si>
  <si>
    <t>Can't distinguish</t>
  </si>
  <si>
    <t>CDP</t>
  </si>
  <si>
    <t>Yes - consultants listed on CDP form</t>
  </si>
  <si>
    <t>2% per year reduction in global Scope 1 and Scope 2 CO2e emissions, which is a quantitative measure applying throughout the next 5 years. Additional targets cover 2030 and 2035 outcomes; 20% absolute Scope 1 and Scope 2 CO2e emission reduction by 2030; 45% absolute Scope 1 and Scope 2 CO2e emission reductions by 2035.</t>
  </si>
  <si>
    <t>Our multi-year (FY21-FY24) 10-Point Climate Action Plan focuses on specific interventions aimed at addressing the climate impacts attributed to our global operations and
supply chains. We also understand the importance of addressing other systems change issues that impact our business such as human rights, diversity and inclusion, life above land and below water, water conservation and reduction of waste.</t>
  </si>
  <si>
    <t>Selling low carbon products - Conventional LED lighting; Energy Star rated home energy systems upgrades (heat pumps, water tanks); Solar panels, lighting, and heating; Compostable waste bags; Single-use plates and bowls (sugar cane fiber); Compostable cutlery; Composters; Natural fiber textiles; Coconut landscaping mulch</t>
  </si>
  <si>
    <t>Kitwave Group plc</t>
  </si>
  <si>
    <t>David Brind</t>
  </si>
  <si>
    <t>David@kitwave.co.uk</t>
  </si>
  <si>
    <t>01/11/2021 - 31/10/2022</t>
  </si>
  <si>
    <t>all ambient in Scotland (1 depot)</t>
  </si>
  <si>
    <t>Yes - SECR</t>
  </si>
  <si>
    <t>WRI/WBCSD</t>
  </si>
  <si>
    <t>Businesswise (3rd party Energy Management consultants) review and confirm</t>
  </si>
  <si>
    <t>All subsidiaries</t>
  </si>
  <si>
    <t>fuel for transport, energy and gas for warehousing, refrigerant for cold stores and chillers, reps fuel for sales (Scope 3)</t>
  </si>
  <si>
    <t>Annual report</t>
  </si>
  <si>
    <t>Haven't quantified yet</t>
  </si>
  <si>
    <t>Engagement of Businesswise to collect data from suppliers</t>
  </si>
  <si>
    <t>&lt;5%</t>
  </si>
  <si>
    <t>Bestway Wholesale Ltd</t>
  </si>
  <si>
    <t xml:space="preserve">Vivek Govind </t>
  </si>
  <si>
    <t>vivek.govind@bestway.co.uk</t>
  </si>
  <si>
    <t>01/07/21 - 30/06/22</t>
  </si>
  <si>
    <t>Bestway Northern Ltd/Bestway Retail Ltd</t>
  </si>
  <si>
    <t>Wholesaler</t>
  </si>
  <si>
    <t>Supply chain demands were not met due to supply issues, recruitment and staffing issues were increased</t>
  </si>
  <si>
    <t>No - the business is continually evaluating potential projects for reduction but these need to be operationally and financially viable.</t>
  </si>
  <si>
    <t>Led upgrades- end of 2023
supply chain consolidation - end of 2023
solar installs - end of 2024</t>
  </si>
  <si>
    <t>JJ FOOD SERVICE LTD</t>
  </si>
  <si>
    <t>01/04/21 - 31/03/22</t>
  </si>
  <si>
    <t>ESOS, SECR</t>
  </si>
  <si>
    <t>Streamlined Energy &amp; Carbon Reporting (SECR); ISO 14001, ISO 50001</t>
  </si>
  <si>
    <t xml:space="preserve"> Fleet fuel (transport-delivery), electricity (lights, refrigerator fleet delivery, warehouse vehicles, Cold storage), gas (heating), Leak gases (fleet refrigerators, Boilers, Cold storages)</t>
  </si>
  <si>
    <t>r404a</t>
  </si>
  <si>
    <t>No available</t>
  </si>
  <si>
    <t>Reduce energy consumption by 1% (ISO 50001 Objective)</t>
  </si>
  <si>
    <t>Implement solar panels in most of the depots, (already 4 out of 11).
Replacement of the warehouse lights to more efficient ones.
Fleet has been recently renewed
Counterbalance has been replaced by electric ones (No more LPG)</t>
  </si>
  <si>
    <t>There is not more scheduled target that the one of reducing the energy consumption by 1% through the above actions.</t>
  </si>
  <si>
    <t>United Wholesale Grocers Ltd</t>
  </si>
  <si>
    <t>Tom Slaven</t>
  </si>
  <si>
    <t>tom.slaven@uwgl.co.uk</t>
  </si>
  <si>
    <t>01/01/2021   - 31/12/2021</t>
  </si>
  <si>
    <t>All Scottish</t>
  </si>
  <si>
    <t>Glasgow</t>
  </si>
  <si>
    <t>United Wholesale Scotland Limited</t>
  </si>
  <si>
    <t>Jason Butler</t>
  </si>
  <si>
    <t>jason.butler@uniteduk.com</t>
  </si>
  <si>
    <t>Under the Companies (Directors’ Report) and Limited Liability Partnerships (Energy and Carbon Report) Regulations 2018. Streamlined Energy and Carbon Reporting (SECR) Regulations.</t>
  </si>
  <si>
    <t xml:space="preserve">‘2021 UK Government GHG Conversion Factors for Company Reporting’ have been used in line with the GHG
Protocol Corporate Accounting and Reporting Standard. </t>
  </si>
  <si>
    <t xml:space="preserve">SECR Audit completed by Green Energy Consulting? </t>
  </si>
  <si>
    <t>United Wholesale (Scotland) Limited is a Cash &amp; Carry operator in Scotland. They have three cash and carry depots supplying the DayToday Fascia and independent retail with world-renowned brands.  Range of businesses include hotels, shops, restaurants, clubs, pubs and BB’s with a large range of different food and
catering products</t>
  </si>
  <si>
    <t xml:space="preserve">From 2022 the company has committed to a year on year reduction in emissions </t>
  </si>
  <si>
    <t xml:space="preserve">Yes, switch company car fleet to 100% electric vehicles in 2023 (completed). Increase on-site renewawables. Currently tendering. </t>
  </si>
  <si>
    <t>Arran Dairies / Taste of Arran</t>
  </si>
  <si>
    <t>Alastair Dobson</t>
  </si>
  <si>
    <t>alastair@taste-of-arran.co.uk</t>
  </si>
  <si>
    <t>2019/20</t>
  </si>
  <si>
    <t>None</t>
  </si>
  <si>
    <t>Dairy product manufacture and seconadary food and drink wholesale</t>
  </si>
  <si>
    <t>included above</t>
  </si>
  <si>
    <t>Emissions from procured services, Waste generated through operations, Business Travel</t>
  </si>
  <si>
    <t xml:space="preserve">Identifying quick wins and engaging with suppliers and customers </t>
  </si>
  <si>
    <t>none at present</t>
  </si>
  <si>
    <t>not publicly but we are taking actions and measuring impact</t>
  </si>
  <si>
    <t>yes and we will</t>
  </si>
  <si>
    <t>yes we have , each element is identified and there is an impact/ease of delivery matrix h/m/l</t>
  </si>
  <si>
    <t>Sam Henderson</t>
  </si>
  <si>
    <t>sam@lomondfoods.co.uk</t>
  </si>
  <si>
    <t>01st Jan 2022 - 31st Dec 2022</t>
  </si>
  <si>
    <t>3320885 items picked. Some cases some individual packs</t>
  </si>
  <si>
    <t>We don’t</t>
  </si>
  <si>
    <t>We have a manufacturing bakery</t>
  </si>
  <si>
    <t>Sales were slower Jan Feb 2022</t>
  </si>
  <si>
    <t>Ammonia virtually no leaks</t>
  </si>
  <si>
    <t>Virtually no leaks</t>
  </si>
  <si>
    <t>Electric from renewable electricity supplier</t>
  </si>
  <si>
    <t>We set a target in 2019 of Net Zero by the end of 2025.</t>
  </si>
  <si>
    <t>This is part of our Net Zero plans. The only major issue for us to overcome is the use of Diesel in our trucks. Converting to Green Hydrogen vehicles will sort this but we are reliant on the vehicles becoming available and being commercially viable</t>
  </si>
  <si>
    <t>James Wilson (Orkney) Limited</t>
  </si>
  <si>
    <t>James Leonard</t>
  </si>
  <si>
    <t>james@wilsonsorkney.co.uk</t>
  </si>
  <si>
    <t>Sourcing electricity from on-site renewables - Planning application submitted for installation of PVA.
Transitioning away from fossil sources of building heating - Building heating is minimal, limited to office only, assessed as minimal impact on overal emissions.
Procuring electricity supply from renewable sources - Current supplier claims 75% of electricity is sourced from rennewables.
Transitioning to electric vans - Ongoing process, based on replacement after planned life of current vehicles.
Transitioning to lower carbon HGV vehicles - As technology becomes more accessible for vehicles of apporpirate size.</t>
  </si>
  <si>
    <t>Central Produce Ltd</t>
  </si>
  <si>
    <t>Andrew McDowall</t>
  </si>
  <si>
    <t>us@central-produce.co.uk</t>
  </si>
  <si>
    <t>Clackmannanshire</t>
  </si>
  <si>
    <t>60% urban 40% rural</t>
  </si>
  <si>
    <t>Wine Importers (Edinburgh) Ltd</t>
  </si>
  <si>
    <t>Gordon Nicol</t>
  </si>
  <si>
    <t>gordon.nicol@wine-importers.net</t>
  </si>
  <si>
    <t>West Lothian</t>
  </si>
  <si>
    <t>Wine Importer/Wholesaler/Distributor</t>
  </si>
  <si>
    <t>William Morton Ltd</t>
  </si>
  <si>
    <t>Stephen Gaw</t>
  </si>
  <si>
    <t>s.gaw@inveraritymorton.com</t>
  </si>
  <si>
    <t>Glasgow City Council</t>
  </si>
  <si>
    <t>&lt; 5%</t>
  </si>
  <si>
    <t>Mark Murphy, Dole</t>
  </si>
  <si>
    <t>Cora Jay Allen, Andrew Mackie</t>
  </si>
  <si>
    <t>cjallen@markmurphytp.com, amackie@markmurphytp.com</t>
  </si>
  <si>
    <t xml:space="preserve">Edinburgh </t>
  </si>
  <si>
    <t xml:space="preserve">8% Islands, 10% Rural, 82% Urban.  </t>
  </si>
  <si>
    <t>Includes the Edinburgh depo, Alberdeen depo and Pitochry depo. Products are only stored in the Edinburgh depo.</t>
  </si>
  <si>
    <t xml:space="preserve">Storage, transportation and, distribution of fresh produce products. </t>
  </si>
  <si>
    <t xml:space="preserve">DOLE: 50% reduction in supplier emissions by volume to set science-based targets (SBTi) by 2030. </t>
  </si>
  <si>
    <t xml:space="preserve">No plan. 
Although solar pannels will be installed by the end of April. </t>
  </si>
  <si>
    <t xml:space="preserve">N/A </t>
  </si>
  <si>
    <t>Orkney Islands</t>
  </si>
  <si>
    <t>100% Islands</t>
  </si>
  <si>
    <t>Braehead Foods Ltd</t>
  </si>
  <si>
    <t>Andy Clark</t>
  </si>
  <si>
    <t>andyc@braeheadfoods.co.uk</t>
  </si>
  <si>
    <t>– 7 Moorfield Park, Kilmarnock, KA2 0FE</t>
  </si>
  <si>
    <t>JB Foods (Scotland) Ltd</t>
  </si>
  <si>
    <t>Suzanne Brown</t>
  </si>
  <si>
    <t>suzanneb@jbfoods.net</t>
  </si>
  <si>
    <t>Midlothian</t>
  </si>
  <si>
    <t>95% Urban; 5% Rural.</t>
  </si>
  <si>
    <t>none</t>
  </si>
  <si>
    <t>Wholesale deliveries mainly into Retails &amp; Hospitality.</t>
  </si>
  <si>
    <t>Revenue</t>
  </si>
  <si>
    <t>% ambient</t>
  </si>
  <si>
    <t>% chilled</t>
  </si>
  <si>
    <t>% frozen</t>
  </si>
  <si>
    <t>Fridge/frozen area (sq ft)</t>
  </si>
  <si>
    <t>Refridge Emissions (tCO2e)</t>
  </si>
  <si>
    <t>Avg from Survey</t>
  </si>
  <si>
    <t>Reporting period multiplier</t>
  </si>
  <si>
    <t>Arrows</t>
  </si>
  <si>
    <t>of</t>
  </si>
  <si>
    <t>Scope 1 detail: Reliable (FWD)</t>
  </si>
  <si>
    <t>Members</t>
  </si>
  <si>
    <t>Vehicle fuel: HGVs</t>
  </si>
  <si>
    <t>Vehicle fuel: Cars</t>
  </si>
  <si>
    <t>Refrigerant leaks</t>
  </si>
  <si>
    <t>Building fuel use</t>
  </si>
  <si>
    <t>Other scope 1 sources</t>
  </si>
  <si>
    <t>Member 12</t>
  </si>
  <si>
    <t>S2 emissions - Location Based (tCO2e)</t>
  </si>
  <si>
    <t>Logistics emissions (tCO2e/£ revenue)</t>
  </si>
  <si>
    <t>Logistics emissions (kgCO2e/£ revenue)</t>
  </si>
  <si>
    <t>Buildings &amp; Electricity Emissions (kgCO2e/£ revenue)</t>
  </si>
  <si>
    <t>Refrigerant emissions (kgCO2e/£ revenue)</t>
  </si>
  <si>
    <t>Use in logistics average?</t>
  </si>
  <si>
    <t>Y</t>
  </si>
  <si>
    <t>Use in B&amp;E average?</t>
  </si>
  <si>
    <t>N</t>
  </si>
  <si>
    <t>Use in refrigerants average?</t>
  </si>
  <si>
    <t>Buildings &amp; Electricity Emissions (tCO2e/£ revenue)</t>
  </si>
  <si>
    <t>Refrigerant emissions (tCO2e/£ revenue)</t>
  </si>
  <si>
    <t>£ rev per sq ft</t>
  </si>
  <si>
    <t>Key or Adv Name</t>
  </si>
  <si>
    <t>inputs_log_HGV_Key_or_Adv</t>
  </si>
  <si>
    <t>inputs_log_LGV_Key_or_Adv</t>
  </si>
  <si>
    <t>inputs_log_cars_Key_or_Adv</t>
  </si>
  <si>
    <t>inputs_energy_gas_Key_or_Adv</t>
  </si>
  <si>
    <t>inputs_energy_oil_Key_or_Adv</t>
  </si>
  <si>
    <t>inputs_energy_elec_Key_or_Adv</t>
  </si>
  <si>
    <t>inputs_refrig_Key_or_Adv</t>
  </si>
  <si>
    <t>inputs_refrig_adv_reporting_period</t>
  </si>
  <si>
    <t>inputs_refrig_adv_1_mass_kg</t>
  </si>
  <si>
    <t>inputs_refrig_adv_2_mass_kg</t>
  </si>
  <si>
    <t>inputs_refrig_adv_3_mass_kg</t>
  </si>
  <si>
    <t>inputs_refrig_adv_4_mass_kg</t>
  </si>
  <si>
    <t>inputs_refrig_adv_5_mass_kg</t>
  </si>
  <si>
    <t>Data score:</t>
  </si>
  <si>
    <t>Data Quality Score</t>
  </si>
  <si>
    <t>Explain tCO2e and that it's uplifted to annual</t>
  </si>
  <si>
    <t>Make clear benchmark is industry average</t>
  </si>
  <si>
    <t>Maybe do total spend and industry based split for fuel</t>
  </si>
  <si>
    <t xml:space="preserve">Make value chain optional </t>
  </si>
  <si>
    <t>Caveat in the user guide that it's a hotspot calculator</t>
  </si>
  <si>
    <t>Include waste? (ask in slack)</t>
  </si>
  <si>
    <t>Caveat that all user data entered is private</t>
  </si>
  <si>
    <t>Procured Goods &amp; Services</t>
  </si>
  <si>
    <t>Employee commuting</t>
  </si>
  <si>
    <t>Business Travel</t>
  </si>
  <si>
    <t>Fuel- and energy-related activities</t>
  </si>
  <si>
    <t>Fuels - Facilities</t>
  </si>
  <si>
    <t>Fuels - Company vehicles</t>
  </si>
  <si>
    <t>Capital Goods</t>
  </si>
  <si>
    <t>Upstream transportation &amp; distribution</t>
  </si>
  <si>
    <t>Waste generated in operations</t>
  </si>
  <si>
    <t>End-of-life of sold products</t>
  </si>
  <si>
    <t>Scope</t>
  </si>
  <si>
    <t>Scop Sub Category</t>
  </si>
  <si>
    <t>Scope Full Name</t>
  </si>
  <si>
    <t>Data Source for estimate</t>
  </si>
  <si>
    <t>GHG Protocol Category Name</t>
  </si>
  <si>
    <t>Commuting</t>
  </si>
  <si>
    <t>tCO2e</t>
  </si>
  <si>
    <t>FTEs</t>
  </si>
  <si>
    <t>Xana Calcs</t>
  </si>
  <si>
    <t>inputs_valchain_adv_commuting_emissions_tCO2e</t>
  </si>
  <si>
    <t>Annual commuting emissions</t>
  </si>
  <si>
    <t>inputs_valchain_key_commuting_employees_FTEs</t>
  </si>
  <si>
    <t>XLOOKUP?</t>
  </si>
  <si>
    <t>Manual Value</t>
  </si>
  <si>
    <t>Direct Input</t>
  </si>
  <si>
    <t>inputs_commuting_Key_or_Adv</t>
  </si>
  <si>
    <t>Est</t>
  </si>
  <si>
    <t>Upstream</t>
  </si>
  <si>
    <t>Ingredient production</t>
  </si>
  <si>
    <t>Packaging production</t>
  </si>
  <si>
    <t>Food manufacturing</t>
  </si>
  <si>
    <t>Wholesale</t>
  </si>
  <si>
    <t>Downstream</t>
  </si>
  <si>
    <t>Retail &amp; food service operations</t>
  </si>
  <si>
    <t>Consumer</t>
  </si>
  <si>
    <t>Emissions per sq ft (inc 0s)</t>
  </si>
  <si>
    <t>Emissions per sq ft (exc 0s)</t>
  </si>
  <si>
    <t>Avg ref emissions tTCO2e / sq ft</t>
  </si>
  <si>
    <t>Emissions Source</t>
  </si>
  <si>
    <t>Emissions (MtCO2e)</t>
  </si>
  <si>
    <t>Proportion of Total</t>
  </si>
  <si>
    <t>Emissions scaled by revenue to input company (tCO2e)</t>
  </si>
  <si>
    <t>Value Chain vs Direct</t>
  </si>
  <si>
    <t>Downstream transportation &amp; distribution</t>
  </si>
  <si>
    <t>FWD Member Turnover</t>
  </si>
  <si>
    <t>inputs_valchain_est_ingredients_emissions_tCO2e</t>
  </si>
  <si>
    <t>inputs_valchain_est_consumer_emissions_tCO2e</t>
  </si>
  <si>
    <t>inputs_valchain_est_retailops_emissions_tCO2e</t>
  </si>
  <si>
    <t>inputs_valchain_est_manuf_emissions_tCO2e</t>
  </si>
  <si>
    <t>inputs_valchain_est_packaging_emissions_tCO2e</t>
  </si>
  <si>
    <t>inputs_valchain_est_transport_emissions_tCO2e</t>
  </si>
  <si>
    <t>Key/Adv/Est</t>
  </si>
  <si>
    <t>Key, Adv or Est</t>
  </si>
  <si>
    <t>Key or Adv Value</t>
  </si>
  <si>
    <t>Brief Summary</t>
  </si>
  <si>
    <t>Detailed Summary</t>
  </si>
  <si>
    <t>GHG Protocol Summary</t>
  </si>
  <si>
    <t>% of total</t>
  </si>
  <si>
    <t>WTT EF ID</t>
  </si>
  <si>
    <t>WTT / Combustion</t>
  </si>
  <si>
    <t>Combustion EF (kgCO2e/kWh)</t>
  </si>
  <si>
    <t>Combustion EF ID</t>
  </si>
  <si>
    <t>WTT EF (kgCO2e/kWh)</t>
  </si>
  <si>
    <t>Energy</t>
  </si>
  <si>
    <t>Business Travel Units</t>
  </si>
  <si>
    <t>car miles</t>
  </si>
  <si>
    <t>Annual business travel emissions</t>
  </si>
  <si>
    <t>Diesel + Petrol</t>
  </si>
  <si>
    <t>WTT Uplift (%)</t>
  </si>
  <si>
    <t>T&amp;D- UK electricity</t>
  </si>
  <si>
    <t>WTT- UK electricity (T&amp;D)</t>
  </si>
  <si>
    <t>WTT- UK electricity (generation)</t>
  </si>
  <si>
    <t>Electricity EF</t>
  </si>
  <si>
    <t>Renewable Input</t>
  </si>
  <si>
    <t>Total WTT kgCO2e/kWh</t>
  </si>
  <si>
    <t>WTT Uplift %</t>
  </si>
  <si>
    <t>See table</t>
  </si>
  <si>
    <t>Avg</t>
  </si>
  <si>
    <t>WTT Emissions (tCO2e)</t>
  </si>
  <si>
    <t>Emissions if using category (tCO2e)</t>
  </si>
  <si>
    <t>inputs_valchain_est_wtt_emissions_tCO2e</t>
  </si>
  <si>
    <t>inputs_valchain_key_biztravel_value</t>
  </si>
  <si>
    <t>inputs_valchain_key_biztravel_unit</t>
  </si>
  <si>
    <t>inputs_valchain_adv_biztravel_emissions_tCO2e</t>
  </si>
  <si>
    <t>inputs_biztravel_key_or_adv</t>
  </si>
  <si>
    <t>TOTAL WTT (tCO2e)</t>
  </si>
  <si>
    <t>Avg of Other goods_Transport_Motor vehicles, trailers and semi-trailers           _-_-_£_UK_2020_defra_IO_v1.0 &amp; Services_Construction_Buildings and building construction works           _-_-_£_UK_2021_defra_IO_v1.0</t>
  </si>
  <si>
    <t>m^2 / ft^2</t>
  </si>
  <si>
    <t>Vehicle Type</t>
  </si>
  <si>
    <t>Fuel Type</t>
  </si>
  <si>
    <t>Energy Source</t>
  </si>
  <si>
    <t>Floor Area</t>
  </si>
  <si>
    <t>Refrigerant weight</t>
  </si>
  <si>
    <t>BEIS/DEFRA spend based factor for land based travel</t>
  </si>
  <si>
    <t>BEIS emissions factor for car travel per mile</t>
  </si>
  <si>
    <t>Estimate based on revenue compared to overall sector emissions</t>
  </si>
  <si>
    <t>Estimate based on energy use input</t>
  </si>
  <si>
    <t>Value Chain emissions (tCO2e/£ revenue)</t>
  </si>
  <si>
    <t>Outputs</t>
  </si>
  <si>
    <t>Note all data input here will not be shared with FWD, it stays local to this Excel document.</t>
  </si>
  <si>
    <t>Feedback from meeting</t>
  </si>
  <si>
    <t>STILL TO DO</t>
  </si>
  <si>
    <t>2. Logistics</t>
  </si>
  <si>
    <t>3. Buildings &amp; Electricity</t>
  </si>
  <si>
    <t>4. Refrigerants</t>
  </si>
  <si>
    <t>5. Value Chain</t>
  </si>
  <si>
    <t>10% accomodation, 90% land transport (both £ Efs)</t>
  </si>
  <si>
    <t>#1 Hotspot:</t>
  </si>
  <si>
    <t>#2 Hotspot:</t>
  </si>
  <si>
    <t>#3 Hotspot:</t>
  </si>
  <si>
    <t>#4 Hotspot:</t>
  </si>
  <si>
    <t>inputs_log_key_LGV_value</t>
  </si>
  <si>
    <t>inputs_log_key_cars_value</t>
  </si>
  <si>
    <t>← Using key input</t>
  </si>
  <si>
    <t>Using advanced input →</t>
  </si>
  <si>
    <t>Your revenue will be used to benchmark your emissions against a sector average, and to fill in any data gaps.</t>
  </si>
  <si>
    <t>Please input data on all of your vehicles.</t>
  </si>
  <si>
    <t>Reporting year</t>
  </si>
  <si>
    <t>HGV</t>
  </si>
  <si>
    <t>LGV</t>
  </si>
  <si>
    <t>Data quality</t>
  </si>
  <si>
    <t>1 for key input</t>
  </si>
  <si>
    <t>2 for advanced input</t>
  </si>
  <si>
    <t>Divide by possible max</t>
  </si>
  <si>
    <t>Data Score:</t>
  </si>
  <si>
    <t>50% for all key inputs</t>
  </si>
  <si>
    <t>B&amp;E</t>
  </si>
  <si>
    <t>Elec</t>
  </si>
  <si>
    <t>Renewable</t>
  </si>
  <si>
    <t>Data Score</t>
  </si>
  <si>
    <t>Refrig</t>
  </si>
  <si>
    <t>Amount purchased</t>
  </si>
  <si>
    <t>Data Quality Score Name</t>
  </si>
  <si>
    <t>inputs_log_dataqual_percent</t>
  </si>
  <si>
    <t>inputs_energy_dataqual_percent</t>
  </si>
  <si>
    <t>inputs_refrig_dataqual_percent</t>
  </si>
  <si>
    <t>inputs_valchain_dataqual_percent</t>
  </si>
  <si>
    <t>Please input data from your warehouses. Data from your offices is optional.</t>
  </si>
  <si>
    <t>Please input data from all your refrigerated or frozen warehouses.</t>
  </si>
  <si>
    <t>Please input data on the other parts of your operations as listed below.</t>
  </si>
  <si>
    <t>Tip</t>
  </si>
  <si>
    <t>Emissions from calculations</t>
  </si>
  <si>
    <t>Emissions (tCO2e/£)</t>
  </si>
  <si>
    <t>Emissions by category (unsorted)</t>
  </si>
  <si>
    <t>Estimate based on refrigerated area</t>
  </si>
  <si>
    <t>How to use the tool</t>
  </si>
  <si>
    <t>1. Click on the 'Inputs' tab</t>
  </si>
  <si>
    <t>Intro</t>
  </si>
  <si>
    <t xml:space="preserve">Detail not available  - being sought. </t>
  </si>
  <si>
    <t>Response2</t>
  </si>
  <si>
    <t>HGV emissions %</t>
  </si>
  <si>
    <t>LGVs emissions %</t>
  </si>
  <si>
    <t>Company Car emissions %</t>
  </si>
  <si>
    <t>Include in stats?</t>
  </si>
  <si>
    <t>n</t>
  </si>
  <si>
    <t>Method</t>
  </si>
  <si>
    <t>Required</t>
  </si>
  <si>
    <t>Optional</t>
  </si>
  <si>
    <t>4. The text with arrows in the centre says whether the 'key' or 'advanced' input is being used</t>
  </si>
  <si>
    <t>Emissions Hotspot Calculator User Guide</t>
  </si>
  <si>
    <t>Annual business travel spend (£) or mileage (assumes mainly car based)*</t>
  </si>
  <si>
    <t>HGV avg % of emissions (not normalised)</t>
  </si>
  <si>
    <t>LGV avg % of emissions (not normalised)</t>
  </si>
  <si>
    <t>Company Car avg % of emissions (not normalised)</t>
  </si>
  <si>
    <t>HGV avg % of emissions (normalised)</t>
  </si>
  <si>
    <t>LGV avg % of emissions (normalised)</t>
  </si>
  <si>
    <t>Company Car avg % of emissions (normalised)</t>
  </si>
  <si>
    <t>Total Vehicle (£/km/miles)</t>
  </si>
  <si>
    <t>Use estimate based on number of full time employees (FTEs)*</t>
  </si>
  <si>
    <t>Input quality</t>
  </si>
  <si>
    <t>Order to use</t>
  </si>
  <si>
    <t>Order</t>
  </si>
  <si>
    <t>Emissions for pie chart</t>
  </si>
  <si>
    <t>Emissions for comparison (excl Value Chain)</t>
  </si>
  <si>
    <t>Emissions sorted in descending order</t>
  </si>
  <si>
    <t>Company Name</t>
  </si>
  <si>
    <t>This benchmark is based on tCO2e per £ revenue from available member survey data. It is indicative only of the industry average. Real values widely vary due to a number of different factors, including proportion of ambient and refrigerated storage.</t>
  </si>
  <si>
    <t>Scope 3 Category 1 - Procured Goods &amp; Services</t>
  </si>
  <si>
    <t>Scope 3 Category 3 - Fuel- and energy-related activities</t>
  </si>
  <si>
    <t>Scope 3 Category 4 - Upstream transportation &amp; distribution</t>
  </si>
  <si>
    <t>Scope 3 Category 5 - Waste generated in operations</t>
  </si>
  <si>
    <t>Scope 3 Category 6 - Business Travel</t>
  </si>
  <si>
    <t>Scope 3 Category 7 - Employee commuting</t>
  </si>
  <si>
    <t>Scope 3 Category 9 - Downstream transportation &amp; distribution</t>
  </si>
  <si>
    <t>Scope 3 Category 12 - End-of-life of sold products</t>
  </si>
  <si>
    <t>Scope 2 - Electricity</t>
  </si>
  <si>
    <t>Scope 1 - Refrigerants</t>
  </si>
  <si>
    <t>Scope 1 - Fuels - Company vehicles</t>
  </si>
  <si>
    <t>Description</t>
  </si>
  <si>
    <t>1. Name &amp; Revenue</t>
  </si>
  <si>
    <t>Upstream and dowstream transport</t>
  </si>
  <si>
    <t>Revenue &amp; Name</t>
  </si>
  <si>
    <t>Score</t>
  </si>
  <si>
    <t>Text:</t>
  </si>
  <si>
    <t>Key or Adv TRUE?</t>
  </si>
  <si>
    <t>Purchased goods, packaging and other non-product purchases</t>
  </si>
  <si>
    <t>This is the upstream impact of getting fuel to your sites</t>
  </si>
  <si>
    <t>Transport of raw materials and packaging to sites, plus emissions from purchased transport services</t>
  </si>
  <si>
    <t>Waste disposal emissions</t>
  </si>
  <si>
    <t>Emissions from transport for business travel e.g. planes, rail, taxis</t>
  </si>
  <si>
    <t>Transport from home to place of work of employees</t>
  </si>
  <si>
    <t>Any other downstream transport not paid for</t>
  </si>
  <si>
    <t>Post-consumer disposal of product and packaging waste</t>
  </si>
  <si>
    <t>Scope 1 - Fuels - Facilities</t>
  </si>
  <si>
    <t>Fuels used for heating or powering facilities</t>
  </si>
  <si>
    <t>Fuels used for company vehicles</t>
  </si>
  <si>
    <t>Refrigerant gas leaks</t>
  </si>
  <si>
    <t>Electricity consumed from the grid</t>
  </si>
  <si>
    <t>Estimates of emissions by greenhouse gas protocol category</t>
  </si>
  <si>
    <t>User input(s)</t>
  </si>
  <si>
    <t>Revenue based estimate</t>
  </si>
  <si>
    <t>tCO2e (tons carbon dioxide equivalent) is a way to measure and compare different greenhouse gases based on their ability to contribute to global warming.</t>
  </si>
  <si>
    <t>Do you have a renewable electricity tariff?</t>
  </si>
  <si>
    <t>You need to input some information before the tool will show any outputs. The more accurate the inputs are, the better the estimates the tool will provide.</t>
  </si>
  <si>
    <t>Retail &amp; food service waste</t>
  </si>
  <si>
    <t>Retail &amp; food service operations (exc waste)</t>
  </si>
  <si>
    <t>Emissions</t>
  </si>
  <si>
    <t>Retail &amp; food service operations (waste only)</t>
  </si>
  <si>
    <t>inputs_valchain_est_waste_emissions_tCO2e</t>
  </si>
  <si>
    <t>Work with employees to encourage low carbon commuting.</t>
  </si>
  <si>
    <t>Emissions from food retail and hospitality. Estimate based on revenue compared to overall sector emissions</t>
  </si>
  <si>
    <t>Emissions from waste disposal throughout the value chain. Estimate based on revenue compared to overall sector emissions.</t>
  </si>
  <si>
    <t>Estimate based on revenue compared to overall sector emissions.</t>
  </si>
  <si>
    <t>BEIS/DEFRA spend based emissions factor for liquid fuel.</t>
  </si>
  <si>
    <t>BEIS emissions factor for 'average' vehicle type per mile.</t>
  </si>
  <si>
    <t>BEIS emissions factor for fuel type.</t>
  </si>
  <si>
    <t>BEIS/DEFRA spend based emissions factor for electricity.</t>
  </si>
  <si>
    <t>Based on average from survey of wholesalers.</t>
  </si>
  <si>
    <t>BEIS emissions factors for refrigerants.</t>
  </si>
  <si>
    <t>Based on UK average commuting emissions (540kgCO2e/year/FTE).</t>
  </si>
  <si>
    <t>Includes emissions from agriculture, fertiliser, animal feed, deforestation and food trade. Estimate based on revenue compared to overall sector emissions.</t>
  </si>
  <si>
    <t>Includes emissions from consumer transport and food preparation. Estimate based on revenue compared to overall sector emissions.</t>
  </si>
  <si>
    <t>Emissions from upstream and downstream transport. Estimate based on revenue compared to overall sector emissions</t>
  </si>
  <si>
    <t>BEIS/DEFRA emissions factor for UK electricity and fuels (location based method used for scope 2 emissions).</t>
  </si>
  <si>
    <t>Key True?</t>
  </si>
  <si>
    <t>Input the weight purchased 
of up to 5 different refrigerants</t>
  </si>
  <si>
    <t>The UK wholesale sector has made clear its intention to make a full contribution to the UK’s emissions reduction targets. The Federation of Wholesale Distributors (FWD) and Scottish Wholesale Association (SWA) support such commitments and want to help its members understand and reduce their emissions. Alongside the Wholesale sector roadmap, this tool is intended for use by members to form the first part of their journey to net zero, by identifying emissions hotspots and key actions.
This tool has been built and is intended to be used as an emissions hotspot calculator. This means it will indicate where the largest sources of the user's emissions come from. It is not intended or designed to be a carbon calculator for accurate carbon reporting.</t>
  </si>
  <si>
    <t>The 'Brief Summary' tab shows a pie chart of total emissions, split by category. The estimated total emissions value for the user's business is in the centre of the pie chart.
Emissions are measured in tCO2e (tonnes of carbon dioxide equivalent). This is a way to measure and compare different greenhouse gases based on their ability to contribute to global warming.
The other chart is a comparison of the user to an average sector benchmark. This does not include value chain. As this comparison is based on a sector average it can vary widely between small and large businesses, it is meant to be used as an indication of potential comparative performance between other wholesalers.
The 'Detailed Summary' tab shows a chart of a breakdown of each the top three emissions hotspot categories. There are also decarbonisation suggestions for the top emissions categories in each hotspot, including further reading available in the Wholesale sector net-zero roadmap.</t>
  </si>
  <si>
    <t>Methodology</t>
  </si>
  <si>
    <t>Work with suppliers to reduce their emissions in the manufacturing process.</t>
  </si>
  <si>
    <t>Work with suppliers to reduce the amount of packaging and/or increase the recycled content of packaging.</t>
  </si>
  <si>
    <t>Work with suppliers and customers to reduce transport emissions throughout the value chain.</t>
  </si>
  <si>
    <t>70% Urban 30% Rural</t>
  </si>
  <si>
    <t>North Ayrshire</t>
  </si>
  <si>
    <t>50% island , 50% mainalnd</t>
  </si>
  <si>
    <t>Very loose estimate, 80% Urban, 10% Rural, 9%Highland, 1% Island</t>
  </si>
  <si>
    <t>Page Start</t>
  </si>
  <si>
    <t>Page End</t>
  </si>
  <si>
    <t>Page Text</t>
  </si>
  <si>
    <t>Tip Text</t>
  </si>
  <si>
    <t>Reduce demand and increase efficiency of existing network and fleet.</t>
  </si>
  <si>
    <t>Transition LGVs from fossil fuels to electric.</t>
  </si>
  <si>
    <t>Transition company cars to electric vehicles.</t>
  </si>
  <si>
    <t>Transition to zero carbon energy sources, reduce energy demand and increase building efficiency.</t>
  </si>
  <si>
    <t>Purchase high quality renewable electricity, invest in renewable generation on-site and make a plan to accomodate flexibility in energy demand.</t>
  </si>
  <si>
    <t>Replace refrigerants with lower GWP alternatives, reduce refrigerant leaks through better monitoring and reduce cooling energy requirements.</t>
  </si>
  <si>
    <t>Improve visibility of value chain emissions, make a zero deforestation sourcing commitment and collaborate with customers to shift demand.</t>
  </si>
  <si>
    <t>Work with customers downstream in the supply chain to jointly drive behaviour changes.</t>
  </si>
  <si>
    <t>Replace fossil fuel derived energy with electricity.</t>
  </si>
  <si>
    <t>This is an overview of the methods used for the underlying calculations for those interested. This is not required reading.</t>
  </si>
  <si>
    <r>
      <t xml:space="preserve">Value
</t>
    </r>
    <r>
      <rPr>
        <sz val="10"/>
        <color theme="3"/>
        <rFont val="Arial"/>
        <family val="2"/>
      </rPr>
      <t>(please input)</t>
    </r>
  </si>
  <si>
    <r>
      <t xml:space="preserve">Annual Revenue: </t>
    </r>
    <r>
      <rPr>
        <sz val="10"/>
        <color theme="3"/>
        <rFont val="Arial"/>
        <family val="2"/>
      </rPr>
      <t>input your total annual revenue in GBP</t>
    </r>
    <r>
      <rPr>
        <sz val="12"/>
        <color theme="3"/>
        <rFont val="Arial"/>
        <family val="2"/>
      </rPr>
      <t>.</t>
    </r>
  </si>
  <si>
    <r>
      <t xml:space="preserve">Unit
</t>
    </r>
    <r>
      <rPr>
        <sz val="10"/>
        <color theme="3"/>
        <rFont val="Arial"/>
        <family val="2"/>
      </rPr>
      <t>(please select from dropdown)</t>
    </r>
  </si>
  <si>
    <r>
      <t>HGVs: i</t>
    </r>
    <r>
      <rPr>
        <sz val="10"/>
        <color theme="3"/>
        <rFont val="Arial"/>
        <family val="2"/>
      </rPr>
      <t>nput the total miles driven or £ spend on fuel for HGVs</t>
    </r>
    <r>
      <rPr>
        <sz val="12"/>
        <color theme="3"/>
        <rFont val="Arial"/>
        <family val="2"/>
      </rPr>
      <t xml:space="preserve">. </t>
    </r>
    <r>
      <rPr>
        <sz val="10"/>
        <color theme="3"/>
        <rFont val="Arial"/>
        <family val="2"/>
      </rPr>
      <t>An HGV is defined as a vehicle &gt;3.5t, e.g. a lorry.</t>
    </r>
  </si>
  <si>
    <r>
      <t>HGVs:</t>
    </r>
    <r>
      <rPr>
        <sz val="10"/>
        <color theme="3"/>
        <rFont val="Arial"/>
        <family val="2"/>
      </rPr>
      <t xml:space="preserve"> input the total litres of fuel used</t>
    </r>
  </si>
  <si>
    <r>
      <t>LGVs:</t>
    </r>
    <r>
      <rPr>
        <sz val="10"/>
        <color theme="3"/>
        <rFont val="Arial"/>
        <family val="2"/>
      </rPr>
      <t xml:space="preserve"> input the total miles driven or £ spend on fuel for LGVs. An LGV is defined as a vehicle &lt;3.5t, e.g. a van.</t>
    </r>
  </si>
  <si>
    <r>
      <t>LGVs:</t>
    </r>
    <r>
      <rPr>
        <sz val="10"/>
        <color theme="3"/>
        <rFont val="Arial"/>
        <family val="2"/>
      </rPr>
      <t xml:space="preserve"> input the total litres of fuel used</t>
    </r>
  </si>
  <si>
    <r>
      <t>Company Cars:</t>
    </r>
    <r>
      <rPr>
        <sz val="10"/>
        <color theme="3"/>
        <rFont val="Arial"/>
        <family val="2"/>
      </rPr>
      <t xml:space="preserve"> input the total miles driven or £ spend on fuel for company cars</t>
    </r>
  </si>
  <si>
    <r>
      <t>Company Cars:</t>
    </r>
    <r>
      <rPr>
        <sz val="10"/>
        <color theme="3"/>
        <rFont val="Arial"/>
        <family val="2"/>
      </rPr>
      <t xml:space="preserve"> input the total litres of fuel used</t>
    </r>
  </si>
  <si>
    <r>
      <t>Gas:</t>
    </r>
    <r>
      <rPr>
        <sz val="10"/>
        <color theme="3"/>
        <rFont val="Arial"/>
        <family val="2"/>
      </rPr>
      <t xml:space="preserve"> input the amount you spent on gas in the reporting period above.</t>
    </r>
  </si>
  <si>
    <r>
      <t>Gas:</t>
    </r>
    <r>
      <rPr>
        <sz val="10"/>
        <color theme="3"/>
        <rFont val="Arial"/>
        <family val="2"/>
      </rPr>
      <t xml:space="preserve"> input the amount of gas you used in the reporting period above.</t>
    </r>
  </si>
  <si>
    <r>
      <t xml:space="preserve">Oil (enter 0 if not applicable): </t>
    </r>
    <r>
      <rPr>
        <sz val="10"/>
        <color theme="3"/>
        <rFont val="Arial"/>
        <family val="2"/>
      </rPr>
      <t>input the amount you spent on oil in the reporting period above.</t>
    </r>
  </si>
  <si>
    <r>
      <t xml:space="preserve">Oil (enter 0 if not applicable): </t>
    </r>
    <r>
      <rPr>
        <sz val="10"/>
        <color theme="3"/>
        <rFont val="Arial"/>
        <family val="2"/>
      </rPr>
      <t>input the amount of oil you used in the reporting period above.</t>
    </r>
  </si>
  <si>
    <r>
      <t xml:space="preserve">Electricity: </t>
    </r>
    <r>
      <rPr>
        <sz val="10"/>
        <color theme="3"/>
        <rFont val="Arial"/>
        <family val="2"/>
      </rPr>
      <t>input the amount of electricity you used in the reporting period above.</t>
    </r>
  </si>
  <si>
    <r>
      <t xml:space="preserve">% of electricity from renewable tariffs: </t>
    </r>
    <r>
      <rPr>
        <sz val="10"/>
        <color theme="3"/>
        <rFont val="Arial"/>
        <family val="2"/>
      </rPr>
      <t>input the % of your electricity that comes from renewable tariffs.</t>
    </r>
  </si>
  <si>
    <r>
      <t>Total chilled or frozen floor area (enter 0 if none):</t>
    </r>
    <r>
      <rPr>
        <sz val="10"/>
        <color theme="3"/>
        <rFont val="Arial"/>
        <family val="2"/>
      </rPr>
      <t xml:space="preserve"> input the total floor area that is chilled or frozen in your sites.</t>
    </r>
  </si>
  <si>
    <r>
      <t>tCO</t>
    </r>
    <r>
      <rPr>
        <vertAlign val="subscript"/>
        <sz val="12"/>
        <color theme="3"/>
        <rFont val="Arial"/>
        <family val="2"/>
      </rPr>
      <t>2</t>
    </r>
    <r>
      <rPr>
        <sz val="12"/>
        <color theme="3"/>
        <rFont val="Arial"/>
        <family val="2"/>
      </rPr>
      <t>e</t>
    </r>
  </si>
  <si>
    <r>
      <rPr>
        <b/>
        <sz val="20"/>
        <color theme="3"/>
        <rFont val="Arial"/>
        <family val="2"/>
      </rPr>
      <t>Key Inputs</t>
    </r>
    <r>
      <rPr>
        <sz val="20"/>
        <color theme="3"/>
        <rFont val="Arial"/>
        <family val="2"/>
      </rPr>
      <t xml:space="preserve">
</t>
    </r>
    <r>
      <rPr>
        <sz val="11"/>
        <color theme="3"/>
        <rFont val="Arial"/>
        <family val="2"/>
      </rPr>
      <t>This is the minimum amount of information needed for the calculator to work.</t>
    </r>
  </si>
  <si>
    <r>
      <rPr>
        <b/>
        <sz val="20"/>
        <color theme="3"/>
        <rFont val="Arial"/>
        <family val="2"/>
      </rPr>
      <t>Advanced Inputs</t>
    </r>
    <r>
      <rPr>
        <sz val="20"/>
        <color theme="3"/>
        <rFont val="Arial"/>
        <family val="2"/>
      </rPr>
      <t xml:space="preserve">
</t>
    </r>
    <r>
      <rPr>
        <sz val="11"/>
        <color theme="3"/>
        <rFont val="Arial"/>
        <family val="2"/>
      </rPr>
      <t>This will provide a more accurate and detailed breakdown of emissions hotspots.</t>
    </r>
  </si>
  <si>
    <r>
      <t>tCO</t>
    </r>
    <r>
      <rPr>
        <vertAlign val="subscript"/>
        <sz val="16"/>
        <color theme="1"/>
        <rFont val="Arial"/>
        <family val="2"/>
      </rPr>
      <t>2</t>
    </r>
    <r>
      <rPr>
        <sz val="16"/>
        <color theme="1"/>
        <rFont val="Arial"/>
        <family val="2"/>
      </rPr>
      <t>e</t>
    </r>
  </si>
  <si>
    <t>Reporting period for energy</t>
  </si>
  <si>
    <t>Jack Walton</t>
  </si>
  <si>
    <t>Laura Watson</t>
  </si>
  <si>
    <t>Tool authors (3Keel)</t>
  </si>
  <si>
    <t>Contact</t>
  </si>
  <si>
    <t>Disclaimer</t>
  </si>
  <si>
    <t>3Keel Ltd (3Keel) have exercised due and customary care in preparing the tool but has not verified the information provided by the companies surveyed. No other warranty, express or implied, is made in relation to the contents of this tool. The use of this tool, or reliance on its content, by retailers or third parties in decision making processes shall be at their own risk, and 3Keel accepts no responsibility for the outcomes of those decisions. Any recommendations or results stated in this tool are based on the facts and information provided to 3Keel or is otherwise available in the public domain as they existed at the time the tool was prepared. Any changes in such facts and information may adversely affect the recommendations or results.
©3Keel Ltd, 2023</t>
  </si>
  <si>
    <t>office@3keel.com</t>
  </si>
  <si>
    <t>Authors &amp; Disclaimer</t>
  </si>
  <si>
    <t>7 Fenlock Court
Blenheim Business Park
Long Hanborough
Oxfordshire
OX29 8LN</t>
  </si>
  <si>
    <t>3Keel Group Ltd.</t>
  </si>
  <si>
    <r>
      <t xml:space="preserve">3. </t>
    </r>
    <r>
      <rPr>
        <b/>
        <sz val="12"/>
        <color theme="1"/>
        <rFont val="Arial"/>
        <family val="2"/>
      </rPr>
      <t xml:space="preserve">Advanced input: </t>
    </r>
    <r>
      <rPr>
        <sz val="12"/>
        <color theme="1"/>
        <rFont val="Arial"/>
        <family val="2"/>
      </rPr>
      <t>If you have the available information, fill in cells with the light blue background:</t>
    </r>
  </si>
  <si>
    <r>
      <t xml:space="preserve">2. </t>
    </r>
    <r>
      <rPr>
        <b/>
        <sz val="12"/>
        <color theme="1"/>
        <rFont val="Arial"/>
        <family val="2"/>
      </rPr>
      <t xml:space="preserve">Key input: </t>
    </r>
    <r>
      <rPr>
        <sz val="12"/>
        <color theme="1"/>
        <rFont val="Arial"/>
        <family val="2"/>
      </rPr>
      <t>Fill in all cells with the orange background. The charts and summaries won't work properly unless all orange cells have been filled in. Note that the values entered don't have to be for a whole year; monthly, quarterly and annual reporting periods are also options.</t>
    </r>
  </si>
  <si>
    <r>
      <t>Electricity:</t>
    </r>
    <r>
      <rPr>
        <sz val="10"/>
        <color theme="3"/>
        <rFont val="Arial"/>
        <family val="2"/>
      </rPr>
      <t xml:space="preserve"> input the amount you spent on electricity in the reporting period above.</t>
    </r>
  </si>
  <si>
    <t>This is an alternative breakdown of your total emissions, broken down into categories defined by the Greenhouse Gas Protocol (www.ghgprotocol.org). This is meant as an indication only and is not to be used for reporting purposes. The categories shown below are the categories most relevant for the sector. Note that other categories may be applicable to your organisation.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</si>
</sst>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4" formatCode="_(&quot;£&quot;* #,##0.00_);_(&quot;£&quot;* \(#,##0.00\);_(&quot;£&quot;* &quot;-&quot;??_);_(@_)"/>
    <numFmt numFmtId="164" formatCode="0.000"/>
    <numFmt numFmtId="165" formatCode="0.0"/>
    <numFmt numFmtId="166" formatCode="0.0000"/>
    <numFmt numFmtId="167" formatCode="_(&quot;£&quot;* #,##0_);_(&quot;£&quot;* \(#,##0\);_(&quot;£&quot;* &quot;-&quot;??_);_(@_)"/>
    <numFmt numFmtId="168" formatCode="0.000000"/>
    <numFmt numFmtId="169" formatCode="0.0%"/>
    <numFmt numFmtId="170" formatCode="0.0000%"/>
  </numFmts>
  <fonts count="39">
    <font>
      <sz val="12"/>
      <color theme="1"/>
      <name val="Arial"/>
      <family val="2"/>
    </font>
    <font>
      <sz val="12"/>
      <color theme="1"/>
      <name val="Avenir"/>
      <family val="2"/>
    </font>
    <font>
      <sz val="8"/>
      <name val="Avenir"/>
      <family val="2"/>
    </font>
    <font>
      <b/>
      <sz val="12"/>
      <color theme="0"/>
      <name val="Avenir"/>
      <family val="2"/>
    </font>
    <font>
      <sz val="16"/>
      <color theme="1"/>
      <name val="Avenir"/>
      <family val="2"/>
    </font>
    <font>
      <sz val="22"/>
      <color theme="3"/>
      <name val="Avenir Black"/>
      <family val="2"/>
      <scheme val="major"/>
    </font>
    <font>
      <b/>
      <sz val="12"/>
      <color theme="3"/>
      <name val="Avenir"/>
      <family val="2"/>
    </font>
    <font>
      <b/>
      <sz val="12"/>
      <color theme="1"/>
      <name val="Avenir"/>
      <family val="2"/>
    </font>
    <font>
      <sz val="20"/>
      <color theme="1"/>
      <name val="Avenir"/>
      <family val="2"/>
    </font>
    <font>
      <sz val="18"/>
      <color theme="3"/>
      <name val="Avenir Black"/>
      <family val="2"/>
      <scheme val="major"/>
    </font>
    <font>
      <sz val="12"/>
      <color rgb="FF151515"/>
      <name val="Avenir"/>
      <family val="2"/>
    </font>
    <font>
      <sz val="11"/>
      <color rgb="FF000000"/>
      <name val="Avenir"/>
      <family val="2"/>
    </font>
    <font>
      <u/>
      <sz val="12"/>
      <color theme="10"/>
      <name val="Avenir"/>
      <family val="2"/>
    </font>
    <font>
      <sz val="12"/>
      <color theme="1"/>
      <name val="Arial"/>
      <family val="2"/>
    </font>
    <font>
      <sz val="20"/>
      <color theme="3"/>
      <name val="Arial"/>
      <family val="2"/>
    </font>
    <font>
      <sz val="16"/>
      <color theme="1"/>
      <name val="Arial"/>
      <family val="2"/>
    </font>
    <font>
      <sz val="12"/>
      <color theme="3"/>
      <name val="Arial"/>
      <family val="2"/>
    </font>
    <font>
      <sz val="36"/>
      <color theme="3"/>
      <name val="Arial"/>
      <family val="2"/>
    </font>
    <font>
      <b/>
      <sz val="36"/>
      <color theme="3"/>
      <name val="Arial"/>
      <family val="2"/>
    </font>
    <font>
      <b/>
      <sz val="20"/>
      <color theme="3"/>
      <name val="Arial"/>
      <family val="2"/>
    </font>
    <font>
      <sz val="32"/>
      <color theme="3"/>
      <name val="Arial Bold"/>
    </font>
    <font>
      <sz val="20"/>
      <color theme="3"/>
      <name val="Arial Bold"/>
    </font>
    <font>
      <sz val="14"/>
      <color theme="3"/>
      <name val="Arial"/>
      <family val="2"/>
    </font>
    <font>
      <sz val="11"/>
      <color theme="3"/>
      <name val="Arial"/>
      <family val="2"/>
    </font>
    <font>
      <b/>
      <sz val="16"/>
      <color theme="3"/>
      <name val="Arial"/>
      <family val="2"/>
    </font>
    <font>
      <sz val="10"/>
      <color theme="3"/>
      <name val="Arial"/>
      <family val="2"/>
    </font>
    <font>
      <b/>
      <sz val="12"/>
      <color theme="3"/>
      <name val="Arial"/>
      <family val="2"/>
    </font>
    <font>
      <b/>
      <sz val="16"/>
      <color theme="9"/>
      <name val="Arial"/>
      <family val="2"/>
    </font>
    <font>
      <b/>
      <sz val="12"/>
      <color theme="9"/>
      <name val="Arial"/>
      <family val="2"/>
    </font>
    <font>
      <sz val="11"/>
      <color rgb="FF000000"/>
      <name val="Arial"/>
      <family val="2"/>
    </font>
    <font>
      <vertAlign val="subscript"/>
      <sz val="12"/>
      <color theme="3"/>
      <name val="Arial"/>
      <family val="2"/>
    </font>
    <font>
      <vertAlign val="subscript"/>
      <sz val="16"/>
      <color theme="1"/>
      <name val="Arial"/>
      <family val="2"/>
    </font>
    <font>
      <sz val="20"/>
      <color theme="1"/>
      <name val="Arial"/>
      <family val="2"/>
    </font>
    <font>
      <sz val="22"/>
      <color theme="3"/>
      <name val="Arial Bold"/>
    </font>
    <font>
      <sz val="18"/>
      <color theme="3"/>
      <name val="Arial Bold"/>
    </font>
    <font>
      <sz val="16"/>
      <color theme="3"/>
      <name val="Arial"/>
      <family val="2"/>
    </font>
    <font>
      <sz val="14"/>
      <color theme="1"/>
      <name val="Arial"/>
      <family val="2"/>
    </font>
    <font>
      <b/>
      <sz val="12"/>
      <color theme="1"/>
      <name val="Arial"/>
      <family val="2"/>
    </font>
    <font>
      <u/>
      <sz val="12"/>
      <color theme="10"/>
      <name val="Arial"/>
      <family val="2"/>
    </font>
  </fonts>
  <fills count="9">
    <fill>
      <patternFill patternType="none"/>
    </fill>
    <fill>
      <patternFill patternType="gray125"/>
    </fill>
    <fill>
      <patternFill patternType="solid">
        <fgColor theme="4"/>
        <bgColor theme="4"/>
      </patternFill>
    </fill>
    <fill>
      <patternFill patternType="solid">
        <fgColor theme="4" tint="0.79998168889431442"/>
        <bgColor theme="4" tint="0.79998168889431442"/>
      </patternFill>
    </fill>
    <fill>
      <patternFill patternType="solid">
        <fgColor theme="8" tint="0.59999389629810485"/>
        <bgColor indexed="64"/>
      </patternFill>
    </fill>
    <fill>
      <patternFill patternType="solid">
        <fgColor theme="7" tint="0.59999389629810485"/>
        <bgColor indexed="64"/>
      </patternFill>
    </fill>
    <fill>
      <patternFill patternType="solid">
        <fgColor theme="4"/>
        <bgColor indexed="64"/>
      </patternFill>
    </fill>
    <fill>
      <patternFill patternType="solid">
        <fgColor theme="8"/>
        <bgColor indexed="64"/>
      </patternFill>
    </fill>
    <fill>
      <patternFill patternType="solid">
        <fgColor rgb="FFD1E7F5"/>
        <bgColor rgb="FFD1E7F5"/>
      </patternFill>
    </fill>
  </fills>
  <borders count="61">
    <border>
      <left/>
      <right/>
      <top/>
      <bottom/>
      <diagonal/>
    </border>
    <border>
      <left/>
      <right/>
      <top style="thin">
        <color theme="4" tint="0.3999755851924192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0"/>
      </left>
      <right style="thin">
        <color theme="0"/>
      </right>
      <top style="thin">
        <color theme="0"/>
      </top>
      <bottom style="thin">
        <color theme="0"/>
      </bottom>
      <diagonal/>
    </border>
    <border>
      <left/>
      <right/>
      <top/>
      <bottom style="thin">
        <color theme="4" tint="0.39997558519241921"/>
      </bottom>
      <diagonal/>
    </border>
    <border>
      <left style="thin">
        <color theme="3"/>
      </left>
      <right/>
      <top style="thin">
        <color theme="3"/>
      </top>
      <bottom style="thin">
        <color theme="3"/>
      </bottom>
      <diagonal/>
    </border>
    <border>
      <left/>
      <right/>
      <top style="thin">
        <color theme="3"/>
      </top>
      <bottom style="thin">
        <color theme="3"/>
      </bottom>
      <diagonal/>
    </border>
    <border>
      <left/>
      <right style="thin">
        <color theme="3"/>
      </right>
      <top style="thin">
        <color theme="3"/>
      </top>
      <bottom style="thin">
        <color theme="3"/>
      </bottom>
      <diagonal/>
    </border>
    <border>
      <left style="thin">
        <color theme="0"/>
      </left>
      <right/>
      <top style="thin">
        <color theme="0"/>
      </top>
      <bottom style="thin">
        <color theme="3"/>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3"/>
      </left>
      <right style="thin">
        <color theme="0"/>
      </right>
      <top style="thin">
        <color theme="3"/>
      </top>
      <bottom style="thin">
        <color theme="0"/>
      </bottom>
      <diagonal/>
    </border>
    <border>
      <left style="thin">
        <color theme="0"/>
      </left>
      <right style="thin">
        <color theme="0"/>
      </right>
      <top style="thin">
        <color theme="3"/>
      </top>
      <bottom style="thin">
        <color theme="0"/>
      </bottom>
      <diagonal/>
    </border>
    <border>
      <left style="thin">
        <color theme="0"/>
      </left>
      <right style="thin">
        <color theme="3"/>
      </right>
      <top style="thin">
        <color theme="3"/>
      </top>
      <bottom style="thin">
        <color theme="0"/>
      </bottom>
      <diagonal/>
    </border>
    <border>
      <left style="thin">
        <color theme="3"/>
      </left>
      <right style="thin">
        <color theme="0"/>
      </right>
      <top style="thin">
        <color theme="0"/>
      </top>
      <bottom style="thin">
        <color theme="0"/>
      </bottom>
      <diagonal/>
    </border>
    <border>
      <left style="thin">
        <color theme="0"/>
      </left>
      <right style="thin">
        <color theme="3"/>
      </right>
      <top style="thin">
        <color theme="0"/>
      </top>
      <bottom style="thin">
        <color theme="0"/>
      </bottom>
      <diagonal/>
    </border>
    <border>
      <left style="thin">
        <color theme="3"/>
      </left>
      <right style="thin">
        <color theme="0"/>
      </right>
      <top style="thin">
        <color theme="0"/>
      </top>
      <bottom style="thin">
        <color theme="3"/>
      </bottom>
      <diagonal/>
    </border>
    <border>
      <left style="thin">
        <color theme="0"/>
      </left>
      <right style="thin">
        <color theme="0"/>
      </right>
      <top style="thin">
        <color theme="0"/>
      </top>
      <bottom style="thin">
        <color theme="3"/>
      </bottom>
      <diagonal/>
    </border>
    <border>
      <left style="thin">
        <color theme="0"/>
      </left>
      <right style="thin">
        <color theme="3"/>
      </right>
      <top style="thin">
        <color theme="0"/>
      </top>
      <bottom style="thin">
        <color theme="3"/>
      </bottom>
      <diagonal/>
    </border>
    <border>
      <left style="thin">
        <color theme="3"/>
      </left>
      <right style="thin">
        <color theme="0"/>
      </right>
      <top style="thin">
        <color theme="3"/>
      </top>
      <bottom style="thin">
        <color theme="3"/>
      </bottom>
      <diagonal/>
    </border>
    <border>
      <left style="thin">
        <color theme="0"/>
      </left>
      <right style="thin">
        <color theme="0"/>
      </right>
      <top style="thin">
        <color theme="3"/>
      </top>
      <bottom style="thin">
        <color theme="3"/>
      </bottom>
      <diagonal/>
    </border>
    <border>
      <left style="thin">
        <color theme="0"/>
      </left>
      <right style="thin">
        <color theme="3"/>
      </right>
      <top style="thin">
        <color theme="3"/>
      </top>
      <bottom style="thin">
        <color theme="3"/>
      </bottom>
      <diagonal/>
    </border>
    <border>
      <left style="thin">
        <color theme="3"/>
      </left>
      <right style="thin">
        <color theme="0"/>
      </right>
      <top/>
      <bottom style="thin">
        <color theme="0"/>
      </bottom>
      <diagonal/>
    </border>
    <border>
      <left style="thin">
        <color theme="0"/>
      </left>
      <right style="thin">
        <color theme="3"/>
      </right>
      <top/>
      <bottom style="thin">
        <color theme="0"/>
      </bottom>
      <diagonal/>
    </border>
    <border>
      <left style="thin">
        <color theme="3"/>
      </left>
      <right style="thin">
        <color theme="0"/>
      </right>
      <top style="thin">
        <color theme="0"/>
      </top>
      <bottom/>
      <diagonal/>
    </border>
    <border>
      <left style="thin">
        <color theme="3"/>
      </left>
      <right style="thin">
        <color theme="0"/>
      </right>
      <top/>
      <bottom/>
      <diagonal/>
    </border>
    <border>
      <left style="thin">
        <color theme="3"/>
      </left>
      <right style="thin">
        <color theme="0"/>
      </right>
      <top/>
      <bottom style="thin">
        <color theme="3"/>
      </bottom>
      <diagonal/>
    </border>
    <border>
      <left style="thin">
        <color theme="0"/>
      </left>
      <right style="thin">
        <color theme="0"/>
      </right>
      <top/>
      <bottom/>
      <diagonal/>
    </border>
    <border>
      <left/>
      <right style="thin">
        <color theme="3"/>
      </right>
      <top style="thin">
        <color theme="3"/>
      </top>
      <bottom style="thin">
        <color theme="0"/>
      </bottom>
      <diagonal/>
    </border>
    <border>
      <left/>
      <right style="thin">
        <color theme="3"/>
      </right>
      <top style="thin">
        <color theme="0"/>
      </top>
      <bottom style="thin">
        <color theme="0"/>
      </bottom>
      <diagonal/>
    </border>
    <border>
      <left/>
      <right style="thin">
        <color theme="3"/>
      </right>
      <top style="thin">
        <color theme="0"/>
      </top>
      <bottom style="thin">
        <color theme="3"/>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3"/>
      </left>
      <right/>
      <top style="thin">
        <color theme="0"/>
      </top>
      <bottom style="thin">
        <color theme="3"/>
      </bottom>
      <diagonal/>
    </border>
    <border>
      <left/>
      <right/>
      <top/>
      <bottom style="thin">
        <color theme="3"/>
      </bottom>
      <diagonal/>
    </border>
    <border>
      <left style="thin">
        <color theme="3"/>
      </left>
      <right style="thin">
        <color theme="3"/>
      </right>
      <top style="thin">
        <color theme="3"/>
      </top>
      <bottom style="thin">
        <color theme="3"/>
      </bottom>
      <diagonal/>
    </border>
    <border>
      <left style="thin">
        <color theme="3"/>
      </left>
      <right/>
      <top/>
      <bottom/>
      <diagonal/>
    </border>
    <border>
      <left/>
      <right/>
      <top style="thin">
        <color theme="3"/>
      </top>
      <bottom/>
      <diagonal/>
    </border>
    <border>
      <left/>
      <right style="thin">
        <color theme="3"/>
      </right>
      <top style="thin">
        <color theme="3"/>
      </top>
      <bottom/>
      <diagonal/>
    </border>
    <border>
      <left style="thin">
        <color theme="3"/>
      </left>
      <right/>
      <top style="thin">
        <color theme="3"/>
      </top>
      <bottom/>
      <diagonal/>
    </border>
    <border>
      <left style="thin">
        <color theme="3"/>
      </left>
      <right/>
      <top/>
      <bottom style="thin">
        <color theme="3"/>
      </bottom>
      <diagonal/>
    </border>
    <border>
      <left style="thin">
        <color theme="0"/>
      </left>
      <right style="thin">
        <color theme="0"/>
      </right>
      <top/>
      <bottom style="thin">
        <color theme="3"/>
      </bottom>
      <diagonal/>
    </border>
    <border>
      <left style="thin">
        <color theme="3"/>
      </left>
      <right style="thin">
        <color theme="3"/>
      </right>
      <top/>
      <bottom style="thin">
        <color theme="3"/>
      </bottom>
      <diagonal/>
    </border>
    <border>
      <left style="thin">
        <color theme="3"/>
      </left>
      <right style="thin">
        <color theme="3"/>
      </right>
      <top style="thin">
        <color theme="0"/>
      </top>
      <bottom style="thin">
        <color theme="3"/>
      </bottom>
      <diagonal/>
    </border>
    <border>
      <left style="thin">
        <color theme="0"/>
      </left>
      <right style="thin">
        <color theme="3"/>
      </right>
      <top style="thin">
        <color theme="3"/>
      </top>
      <bottom/>
      <diagonal/>
    </border>
    <border>
      <left style="thin">
        <color theme="3"/>
      </left>
      <right style="thin">
        <color theme="0"/>
      </right>
      <top style="thin">
        <color theme="3"/>
      </top>
      <bottom/>
      <diagonal/>
    </border>
    <border>
      <left style="thin">
        <color theme="0"/>
      </left>
      <right style="thin">
        <color theme="0"/>
      </right>
      <top style="thin">
        <color theme="3"/>
      </top>
      <bottom/>
      <diagonal/>
    </border>
    <border>
      <left/>
      <right style="thin">
        <color theme="3"/>
      </right>
      <top/>
      <bottom/>
      <diagonal/>
    </border>
    <border>
      <left/>
      <right/>
      <top style="thin">
        <color rgb="FF77B5E1"/>
      </top>
      <bottom style="thin">
        <color rgb="FF77B5E1"/>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12" fillId="0" borderId="0" applyNumberFormat="0" applyFill="0" applyBorder="0" applyAlignment="0" applyProtection="0"/>
  </cellStyleXfs>
  <cellXfs count="283">
    <xf numFmtId="0" fontId="0" fillId="0" borderId="0" xfId="0"/>
    <xf numFmtId="44" fontId="0" fillId="0" borderId="0" xfId="1" applyFont="1"/>
    <xf numFmtId="9" fontId="0" fillId="0" borderId="0" xfId="2" applyFont="1"/>
    <xf numFmtId="2" fontId="0" fillId="0" borderId="0" xfId="0" applyNumberFormat="1"/>
    <xf numFmtId="3" fontId="0" fillId="0" borderId="0" xfId="0" applyNumberFormat="1"/>
    <xf numFmtId="164" fontId="0" fillId="0" borderId="0" xfId="0" applyNumberFormat="1"/>
    <xf numFmtId="165" fontId="0" fillId="0" borderId="0" xfId="0" applyNumberFormat="1"/>
    <xf numFmtId="0" fontId="3" fillId="2" borderId="3" xfId="0" applyFont="1" applyFill="1" applyBorder="1"/>
    <xf numFmtId="0" fontId="3" fillId="2" borderId="4" xfId="0" applyFont="1" applyFill="1" applyBorder="1"/>
    <xf numFmtId="0" fontId="3" fillId="2" borderId="5" xfId="0" applyFont="1" applyFill="1" applyBorder="1"/>
    <xf numFmtId="0" fontId="0" fillId="0" borderId="6" xfId="0" applyBorder="1"/>
    <xf numFmtId="1" fontId="0" fillId="0" borderId="0" xfId="0" applyNumberFormat="1"/>
    <xf numFmtId="44" fontId="0" fillId="0" borderId="6" xfId="1" applyFont="1" applyBorder="1"/>
    <xf numFmtId="166" fontId="0" fillId="0" borderId="0" xfId="0" applyNumberFormat="1"/>
    <xf numFmtId="0" fontId="0" fillId="0" borderId="0" xfId="0" applyAlignment="1">
      <alignment wrapText="1"/>
    </xf>
    <xf numFmtId="3" fontId="0" fillId="3" borderId="2" xfId="0" applyNumberFormat="1" applyFill="1" applyBorder="1"/>
    <xf numFmtId="44" fontId="0" fillId="0" borderId="0" xfId="0" applyNumberFormat="1"/>
    <xf numFmtId="0" fontId="7" fillId="0" borderId="0" xfId="0" applyFont="1"/>
    <xf numFmtId="3" fontId="0" fillId="0" borderId="0" xfId="0" quotePrefix="1" applyNumberFormat="1"/>
    <xf numFmtId="0" fontId="6" fillId="0" borderId="6" xfId="0" applyFont="1" applyBorder="1" applyAlignment="1">
      <alignment horizontal="center" vertical="center" wrapText="1"/>
    </xf>
    <xf numFmtId="0" fontId="0" fillId="0" borderId="16" xfId="0" applyBorder="1"/>
    <xf numFmtId="167" fontId="0" fillId="0" borderId="0" xfId="1" applyNumberFormat="1" applyFont="1"/>
    <xf numFmtId="0" fontId="3" fillId="2" borderId="7" xfId="0" applyFont="1" applyFill="1" applyBorder="1" applyAlignment="1">
      <alignment wrapText="1"/>
    </xf>
    <xf numFmtId="0" fontId="0" fillId="0" borderId="0" xfId="0" quotePrefix="1"/>
    <xf numFmtId="3" fontId="0" fillId="3" borderId="1" xfId="0" applyNumberFormat="1" applyFill="1" applyBorder="1"/>
    <xf numFmtId="0" fontId="0" fillId="0" borderId="15" xfId="0" applyBorder="1"/>
    <xf numFmtId="0" fontId="0" fillId="0" borderId="6" xfId="0" applyBorder="1" applyAlignment="1">
      <alignment horizontal="center" vertical="center" wrapText="1"/>
    </xf>
    <xf numFmtId="0" fontId="0" fillId="3" borderId="2" xfId="0" applyFill="1" applyBorder="1"/>
    <xf numFmtId="0" fontId="0" fillId="3" borderId="1" xfId="0" applyFill="1" applyBorder="1"/>
    <xf numFmtId="0" fontId="0" fillId="3" borderId="3" xfId="0" applyFill="1" applyBorder="1"/>
    <xf numFmtId="0" fontId="0" fillId="3" borderId="4" xfId="0" applyFill="1" applyBorder="1"/>
    <xf numFmtId="9" fontId="0" fillId="3" borderId="4" xfId="2" applyFont="1" applyFill="1" applyBorder="1"/>
    <xf numFmtId="3" fontId="0" fillId="3" borderId="5" xfId="0" applyNumberFormat="1" applyFill="1" applyBorder="1"/>
    <xf numFmtId="0" fontId="0" fillId="0" borderId="3" xfId="0" applyBorder="1"/>
    <xf numFmtId="0" fontId="0" fillId="0" borderId="4" xfId="0" applyBorder="1"/>
    <xf numFmtId="9" fontId="0" fillId="0" borderId="4" xfId="2" applyFont="1" applyBorder="1"/>
    <xf numFmtId="9" fontId="0" fillId="3" borderId="1" xfId="2" applyFont="1" applyFill="1" applyBorder="1"/>
    <xf numFmtId="0" fontId="3" fillId="2" borderId="0" xfId="0" applyFont="1" applyFill="1"/>
    <xf numFmtId="3" fontId="0" fillId="3" borderId="0" xfId="0" applyNumberFormat="1" applyFill="1"/>
    <xf numFmtId="0" fontId="8" fillId="0" borderId="0" xfId="0" applyFont="1"/>
    <xf numFmtId="3" fontId="0" fillId="0" borderId="6" xfId="0" applyNumberFormat="1" applyBorder="1"/>
    <xf numFmtId="9" fontId="0" fillId="0" borderId="0" xfId="2" applyFont="1" applyFill="1"/>
    <xf numFmtId="168" fontId="0" fillId="0" borderId="0" xfId="0" applyNumberFormat="1"/>
    <xf numFmtId="0" fontId="0" fillId="0" borderId="1" xfId="0" applyBorder="1"/>
    <xf numFmtId="9" fontId="7" fillId="0" borderId="0" xfId="2" applyFont="1"/>
    <xf numFmtId="0" fontId="0" fillId="0" borderId="13" xfId="0" applyBorder="1"/>
    <xf numFmtId="0" fontId="5" fillId="0" borderId="6" xfId="0" applyFont="1" applyBorder="1" applyAlignment="1">
      <alignment vertical="center"/>
    </xf>
    <xf numFmtId="0" fontId="4" fillId="0" borderId="6" xfId="0" applyFont="1" applyBorder="1" applyAlignment="1">
      <alignment vertical="center" wrapText="1"/>
    </xf>
    <xf numFmtId="0" fontId="9" fillId="0" borderId="13" xfId="0" applyFont="1" applyBorder="1"/>
    <xf numFmtId="0" fontId="0" fillId="0" borderId="6" xfId="0" applyBorder="1" applyAlignment="1">
      <alignment vertical="center"/>
    </xf>
    <xf numFmtId="0" fontId="0" fillId="0" borderId="6" xfId="0" applyBorder="1" applyAlignment="1">
      <alignment vertical="top"/>
    </xf>
    <xf numFmtId="0" fontId="4" fillId="0" borderId="6" xfId="0" applyFont="1" applyBorder="1" applyAlignment="1">
      <alignment vertical="center" wrapText="1" shrinkToFit="1"/>
    </xf>
    <xf numFmtId="0" fontId="4" fillId="0" borderId="6" xfId="0" applyFont="1" applyBorder="1" applyAlignment="1">
      <alignment vertical="top" wrapText="1"/>
    </xf>
    <xf numFmtId="9" fontId="0" fillId="0" borderId="0" xfId="0" applyNumberFormat="1"/>
    <xf numFmtId="9" fontId="4" fillId="0" borderId="6" xfId="0" applyNumberFormat="1" applyFont="1" applyBorder="1" applyAlignment="1">
      <alignment vertical="top" wrapText="1"/>
    </xf>
    <xf numFmtId="0" fontId="3" fillId="7" borderId="7" xfId="0" applyFont="1" applyFill="1" applyBorder="1"/>
    <xf numFmtId="0" fontId="0" fillId="3" borderId="7" xfId="0" applyFill="1" applyBorder="1"/>
    <xf numFmtId="0" fontId="3" fillId="6" borderId="7" xfId="0" applyFont="1" applyFill="1" applyBorder="1"/>
    <xf numFmtId="0" fontId="0" fillId="6" borderId="0" xfId="0" applyFill="1"/>
    <xf numFmtId="0" fontId="0" fillId="0" borderId="7" xfId="0" applyBorder="1"/>
    <xf numFmtId="9" fontId="0" fillId="0" borderId="1" xfId="2" applyFont="1" applyBorder="1"/>
    <xf numFmtId="169" fontId="0" fillId="0" borderId="0" xfId="2" applyNumberFormat="1" applyFont="1"/>
    <xf numFmtId="0" fontId="0" fillId="0" borderId="6" xfId="0" applyBorder="1" applyAlignment="1">
      <alignment wrapText="1"/>
    </xf>
    <xf numFmtId="0" fontId="11" fillId="0" borderId="0" xfId="0" applyFont="1"/>
    <xf numFmtId="170" fontId="0" fillId="0" borderId="0" xfId="0" applyNumberFormat="1"/>
    <xf numFmtId="0" fontId="10" fillId="8" borderId="60" xfId="0" applyFont="1" applyFill="1" applyBorder="1"/>
    <xf numFmtId="0" fontId="0" fillId="0" borderId="12" xfId="0" applyBorder="1"/>
    <xf numFmtId="0" fontId="0" fillId="0" borderId="51" xfId="0" applyBorder="1"/>
    <xf numFmtId="0" fontId="0" fillId="0" borderId="49" xfId="0" applyBorder="1"/>
    <xf numFmtId="0" fontId="0" fillId="0" borderId="50" xfId="0" applyBorder="1"/>
    <xf numFmtId="0" fontId="0" fillId="0" borderId="48" xfId="0" applyBorder="1"/>
    <xf numFmtId="0" fontId="0" fillId="0" borderId="59" xfId="0" applyBorder="1"/>
    <xf numFmtId="0" fontId="0" fillId="0" borderId="52" xfId="0" applyBorder="1"/>
    <xf numFmtId="0" fontId="0" fillId="0" borderId="46" xfId="0" applyBorder="1"/>
    <xf numFmtId="0" fontId="0" fillId="4" borderId="6" xfId="0" applyFill="1" applyBorder="1" applyAlignment="1">
      <alignment vertical="center"/>
    </xf>
    <xf numFmtId="0" fontId="0" fillId="5" borderId="6" xfId="0" applyFill="1" applyBorder="1" applyAlignment="1">
      <alignment vertical="center"/>
    </xf>
    <xf numFmtId="0" fontId="12" fillId="0" borderId="6" xfId="3" applyBorder="1"/>
    <xf numFmtId="3" fontId="0" fillId="0" borderId="46" xfId="0" applyNumberFormat="1" applyBorder="1"/>
    <xf numFmtId="169" fontId="0" fillId="0" borderId="46" xfId="2" applyNumberFormat="1" applyFont="1" applyBorder="1"/>
    <xf numFmtId="0" fontId="0" fillId="0" borderId="6" xfId="0" applyBorder="1" applyAlignment="1">
      <alignment vertical="center" wrapText="1"/>
    </xf>
    <xf numFmtId="0" fontId="13" fillId="0" borderId="6" xfId="0" applyFont="1" applyBorder="1"/>
    <xf numFmtId="0" fontId="13" fillId="0" borderId="16" xfId="0" applyFont="1" applyBorder="1"/>
    <xf numFmtId="0" fontId="13" fillId="0" borderId="33" xfId="0" applyFont="1" applyBorder="1" applyAlignment="1">
      <alignment horizontal="center" vertical="center"/>
    </xf>
    <xf numFmtId="0" fontId="13" fillId="0" borderId="12" xfId="0" applyFont="1" applyBorder="1"/>
    <xf numFmtId="0" fontId="14" fillId="0" borderId="6" xfId="0" applyFont="1" applyBorder="1" applyAlignment="1">
      <alignment horizontal="center" vertical="center"/>
    </xf>
    <xf numFmtId="0" fontId="13" fillId="0" borderId="15" xfId="0" applyFont="1" applyBorder="1"/>
    <xf numFmtId="0" fontId="18" fillId="0" borderId="6" xfId="0" applyFont="1" applyBorder="1" applyAlignment="1">
      <alignment wrapText="1"/>
    </xf>
    <xf numFmtId="0" fontId="19" fillId="0" borderId="6" xfId="0" applyFont="1" applyBorder="1" applyAlignment="1">
      <alignment wrapText="1"/>
    </xf>
    <xf numFmtId="0" fontId="20" fillId="0" borderId="6" xfId="0" applyFont="1" applyBorder="1"/>
    <xf numFmtId="0" fontId="21" fillId="0" borderId="6" xfId="0" applyFont="1" applyBorder="1" applyAlignment="1">
      <alignment horizontal="center" vertical="center"/>
    </xf>
    <xf numFmtId="0" fontId="13" fillId="0" borderId="18" xfId="0" applyFont="1" applyBorder="1" applyAlignment="1">
      <alignment vertical="center"/>
    </xf>
    <xf numFmtId="0" fontId="13" fillId="0" borderId="19" xfId="0" applyFont="1" applyBorder="1" applyAlignment="1">
      <alignment vertical="center"/>
    </xf>
    <xf numFmtId="0" fontId="13" fillId="0" borderId="6" xfId="0" applyFont="1" applyBorder="1" applyAlignment="1">
      <alignment vertical="center"/>
    </xf>
    <xf numFmtId="0" fontId="13" fillId="0" borderId="21" xfId="0" applyFont="1" applyBorder="1" applyAlignment="1">
      <alignment vertical="center"/>
    </xf>
    <xf numFmtId="0" fontId="13" fillId="0" borderId="23" xfId="0" applyFont="1" applyBorder="1" applyAlignment="1">
      <alignment vertical="center"/>
    </xf>
    <xf numFmtId="0" fontId="13" fillId="0" borderId="24" xfId="0" applyFont="1" applyBorder="1" applyAlignment="1">
      <alignment vertical="center"/>
    </xf>
    <xf numFmtId="0" fontId="13" fillId="0" borderId="33" xfId="0" applyFont="1" applyBorder="1" applyAlignment="1">
      <alignment vertical="center"/>
    </xf>
    <xf numFmtId="0" fontId="16" fillId="0" borderId="6" xfId="0" applyFont="1" applyBorder="1" applyAlignment="1">
      <alignment vertical="center"/>
    </xf>
    <xf numFmtId="0" fontId="17" fillId="0" borderId="6" xfId="0" applyFont="1" applyBorder="1" applyAlignment="1">
      <alignment vertical="center"/>
    </xf>
    <xf numFmtId="0" fontId="17" fillId="0" borderId="6" xfId="0" applyFont="1" applyBorder="1" applyAlignment="1">
      <alignment horizontal="center" vertical="center"/>
    </xf>
    <xf numFmtId="0" fontId="16" fillId="0" borderId="6" xfId="0" applyFont="1" applyBorder="1"/>
    <xf numFmtId="0" fontId="16" fillId="0" borderId="16" xfId="0" applyFont="1" applyBorder="1" applyAlignment="1">
      <alignment horizontal="center" vertical="center"/>
    </xf>
    <xf numFmtId="0" fontId="22" fillId="0" borderId="6" xfId="0" applyFont="1" applyBorder="1" applyAlignment="1">
      <alignment horizontal="center" vertical="center"/>
    </xf>
    <xf numFmtId="0" fontId="16" fillId="0" borderId="15" xfId="0" applyFont="1" applyBorder="1"/>
    <xf numFmtId="9" fontId="16" fillId="0" borderId="6" xfId="2" applyFont="1" applyFill="1" applyBorder="1" applyAlignment="1">
      <alignment horizontal="center" vertical="center"/>
    </xf>
    <xf numFmtId="0" fontId="14" fillId="0" borderId="6" xfId="0" applyFont="1" applyBorder="1" applyAlignment="1">
      <alignment horizontal="center" vertical="center" wrapText="1"/>
    </xf>
    <xf numFmtId="0" fontId="17" fillId="0" borderId="6" xfId="0" applyFont="1" applyBorder="1" applyAlignment="1">
      <alignment horizontal="center" vertical="center" wrapText="1"/>
    </xf>
    <xf numFmtId="9" fontId="22" fillId="0" borderId="6" xfId="2" applyFont="1" applyFill="1" applyBorder="1" applyAlignment="1">
      <alignment horizontal="center" vertical="center"/>
    </xf>
    <xf numFmtId="0" fontId="16" fillId="0" borderId="40" xfId="0" applyFont="1" applyBorder="1" applyAlignment="1">
      <alignment horizontal="center" vertical="center" wrapText="1"/>
    </xf>
    <xf numFmtId="0" fontId="14" fillId="0" borderId="41" xfId="0" applyFont="1" applyBorder="1" applyAlignment="1">
      <alignment horizontal="center" vertical="center" wrapText="1"/>
    </xf>
    <xf numFmtId="0" fontId="14" fillId="0" borderId="33" xfId="0" applyFont="1" applyBorder="1" applyAlignment="1">
      <alignment horizontal="center" vertical="center"/>
    </xf>
    <xf numFmtId="0" fontId="14" fillId="0" borderId="40" xfId="0" applyFont="1" applyBorder="1" applyAlignment="1">
      <alignment horizontal="center" vertical="center"/>
    </xf>
    <xf numFmtId="0" fontId="16" fillId="0" borderId="12" xfId="0" applyFont="1" applyBorder="1" applyAlignment="1">
      <alignment horizontal="center" vertical="top"/>
    </xf>
    <xf numFmtId="0" fontId="16" fillId="0" borderId="6" xfId="0" applyFont="1" applyBorder="1" applyAlignment="1">
      <alignment horizontal="center" vertical="center"/>
    </xf>
    <xf numFmtId="0" fontId="22" fillId="0" borderId="47" xfId="0" applyFont="1" applyBorder="1" applyAlignment="1">
      <alignment horizontal="center" vertical="center"/>
    </xf>
    <xf numFmtId="0" fontId="14" fillId="0" borderId="17"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29" xfId="0" applyFont="1" applyBorder="1" applyAlignment="1">
      <alignment horizontal="center" vertical="center"/>
    </xf>
    <xf numFmtId="9" fontId="16" fillId="0" borderId="47" xfId="2" applyFont="1" applyFill="1" applyBorder="1" applyAlignment="1">
      <alignment horizontal="center" vertical="center"/>
    </xf>
    <xf numFmtId="0" fontId="16" fillId="0" borderId="48" xfId="0" applyFont="1" applyBorder="1" applyAlignment="1">
      <alignment horizontal="left" vertical="center" wrapText="1"/>
    </xf>
    <xf numFmtId="49" fontId="26" fillId="0" borderId="6" xfId="1" applyNumberFormat="1" applyFont="1" applyBorder="1" applyAlignment="1" applyProtection="1">
      <alignment horizontal="center" vertical="center"/>
      <protection locked="0"/>
    </xf>
    <xf numFmtId="0" fontId="16" fillId="0" borderId="59" xfId="0" applyFont="1" applyBorder="1" applyAlignment="1">
      <alignment horizontal="center" vertical="center"/>
    </xf>
    <xf numFmtId="0" fontId="14" fillId="0" borderId="15" xfId="0" applyFont="1" applyBorder="1" applyAlignment="1">
      <alignment horizontal="center" vertical="center"/>
    </xf>
    <xf numFmtId="0" fontId="22" fillId="0" borderId="47" xfId="0" applyFont="1" applyBorder="1" applyAlignment="1">
      <alignment horizontal="center" vertical="center" wrapText="1"/>
    </xf>
    <xf numFmtId="0" fontId="16" fillId="0" borderId="45" xfId="0" applyFont="1" applyBorder="1" applyAlignment="1">
      <alignment horizontal="left" vertical="center" wrapText="1"/>
    </xf>
    <xf numFmtId="44" fontId="26" fillId="0" borderId="53" xfId="1" applyFont="1" applyBorder="1" applyAlignment="1" applyProtection="1">
      <alignment horizontal="right" vertical="center"/>
      <protection locked="0"/>
    </xf>
    <xf numFmtId="44" fontId="16" fillId="0" borderId="36" xfId="1" applyFont="1" applyBorder="1" applyAlignment="1">
      <alignment vertical="center"/>
    </xf>
    <xf numFmtId="0" fontId="16" fillId="0" borderId="20" xfId="0" applyFont="1" applyBorder="1"/>
    <xf numFmtId="0" fontId="16" fillId="0" borderId="13" xfId="0" applyFont="1" applyBorder="1" applyAlignment="1">
      <alignment horizontal="center" vertical="center"/>
    </xf>
    <xf numFmtId="0" fontId="14" fillId="0" borderId="12" xfId="0" applyFont="1" applyBorder="1" applyAlignment="1">
      <alignment horizontal="center" vertical="center" wrapText="1"/>
    </xf>
    <xf numFmtId="0" fontId="14" fillId="0" borderId="12" xfId="0" applyFont="1" applyBorder="1" applyAlignment="1">
      <alignment horizontal="center" vertical="center"/>
    </xf>
    <xf numFmtId="0" fontId="14" fillId="0" borderId="6" xfId="0" applyFont="1" applyBorder="1" applyAlignment="1">
      <alignment vertical="center"/>
    </xf>
    <xf numFmtId="0" fontId="14" fillId="0" borderId="16" xfId="0" applyFont="1" applyBorder="1" applyAlignment="1">
      <alignment horizontal="left" vertical="center"/>
    </xf>
    <xf numFmtId="0" fontId="16" fillId="0" borderId="16" xfId="0" applyFont="1" applyBorder="1" applyAlignment="1">
      <alignment vertical="center"/>
    </xf>
    <xf numFmtId="0" fontId="16" fillId="0" borderId="16" xfId="0" applyFont="1" applyBorder="1"/>
    <xf numFmtId="0" fontId="24" fillId="0" borderId="15" xfId="0" applyFont="1" applyBorder="1" applyAlignment="1">
      <alignment horizontal="center" vertical="center"/>
    </xf>
    <xf numFmtId="0" fontId="16" fillId="0" borderId="13" xfId="0" applyFont="1" applyBorder="1"/>
    <xf numFmtId="0" fontId="22" fillId="0" borderId="15" xfId="0" applyFont="1" applyBorder="1" applyAlignment="1">
      <alignment horizontal="center" vertical="center"/>
    </xf>
    <xf numFmtId="0" fontId="16" fillId="0" borderId="17" xfId="0" applyFont="1" applyBorder="1"/>
    <xf numFmtId="0" fontId="16" fillId="0" borderId="19"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18" xfId="0" applyFont="1" applyBorder="1" applyAlignment="1">
      <alignment horizontal="center" vertical="center"/>
    </xf>
    <xf numFmtId="0" fontId="16" fillId="0" borderId="18" xfId="0" applyFont="1" applyBorder="1" applyAlignment="1">
      <alignment vertical="center"/>
    </xf>
    <xf numFmtId="0" fontId="16" fillId="0" borderId="19" xfId="0" applyFont="1" applyBorder="1" applyAlignment="1">
      <alignment horizontal="center" vertical="center"/>
    </xf>
    <xf numFmtId="9" fontId="16" fillId="0" borderId="15" xfId="2" applyFont="1" applyFill="1" applyBorder="1" applyAlignment="1">
      <alignment horizontal="center" vertical="center"/>
    </xf>
    <xf numFmtId="9" fontId="16" fillId="0" borderId="6" xfId="2" applyFont="1" applyBorder="1"/>
    <xf numFmtId="0" fontId="16" fillId="0" borderId="20" xfId="0" applyFont="1" applyBorder="1" applyAlignment="1">
      <alignment vertical="center"/>
    </xf>
    <xf numFmtId="0" fontId="26" fillId="0" borderId="6" xfId="0" applyFont="1" applyBorder="1" applyAlignment="1" applyProtection="1">
      <alignment horizontal="center" vertical="center"/>
      <protection locked="0"/>
    </xf>
    <xf numFmtId="0" fontId="16" fillId="0" borderId="21" xfId="0" applyFont="1" applyBorder="1" applyAlignment="1">
      <alignment horizontal="center" vertical="center"/>
    </xf>
    <xf numFmtId="0" fontId="16" fillId="0" borderId="15" xfId="0" applyFont="1" applyBorder="1" applyAlignment="1">
      <alignment horizontal="center" vertical="center"/>
    </xf>
    <xf numFmtId="9" fontId="22" fillId="0" borderId="47" xfId="2" applyFont="1" applyFill="1" applyBorder="1" applyAlignment="1">
      <alignment horizontal="center" vertical="center" wrapText="1"/>
    </xf>
    <xf numFmtId="9" fontId="22" fillId="0" borderId="15" xfId="2" applyFont="1" applyFill="1" applyBorder="1" applyAlignment="1">
      <alignment horizontal="center" vertical="center"/>
    </xf>
    <xf numFmtId="0" fontId="16" fillId="0" borderId="20" xfId="0" applyFont="1" applyBorder="1" applyAlignment="1">
      <alignment vertical="center" wrapText="1"/>
    </xf>
    <xf numFmtId="3" fontId="26" fillId="0" borderId="6" xfId="0" applyNumberFormat="1" applyFont="1" applyBorder="1" applyAlignment="1" applyProtection="1">
      <alignment vertical="center"/>
      <protection locked="0"/>
    </xf>
    <xf numFmtId="0" fontId="26" fillId="0" borderId="21" xfId="0" applyFont="1" applyBorder="1" applyAlignment="1" applyProtection="1">
      <alignment vertical="center"/>
      <protection locked="0"/>
    </xf>
    <xf numFmtId="0" fontId="26" fillId="0" borderId="15" xfId="0" applyFont="1" applyBorder="1" applyAlignment="1">
      <alignment vertical="center"/>
    </xf>
    <xf numFmtId="0" fontId="16" fillId="0" borderId="6" xfId="0" applyFont="1" applyBorder="1" applyAlignment="1">
      <alignment horizontal="center" vertical="center" wrapText="1"/>
    </xf>
    <xf numFmtId="0" fontId="26" fillId="0" borderId="13"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21" xfId="0" applyFont="1" applyBorder="1" applyAlignment="1">
      <alignment vertical="center"/>
    </xf>
    <xf numFmtId="0" fontId="16" fillId="0" borderId="42" xfId="0" applyFont="1" applyBorder="1" applyAlignment="1">
      <alignment horizontal="center" vertical="center"/>
    </xf>
    <xf numFmtId="0" fontId="16" fillId="0" borderId="22" xfId="0" applyFont="1" applyBorder="1" applyAlignment="1">
      <alignment vertical="center" wrapText="1"/>
    </xf>
    <xf numFmtId="3" fontId="26" fillId="0" borderId="23" xfId="0" applyNumberFormat="1" applyFont="1" applyBorder="1" applyAlignment="1" applyProtection="1">
      <alignment vertical="center"/>
      <protection locked="0"/>
    </xf>
    <xf numFmtId="0" fontId="26" fillId="0" borderId="24" xfId="0" applyFont="1" applyBorder="1" applyAlignment="1" applyProtection="1">
      <alignment vertical="center"/>
      <protection locked="0"/>
    </xf>
    <xf numFmtId="0" fontId="26" fillId="0" borderId="39" xfId="0" applyFont="1" applyBorder="1" applyAlignment="1">
      <alignment vertical="center"/>
    </xf>
    <xf numFmtId="0" fontId="16" fillId="0" borderId="16" xfId="0" applyFont="1" applyBorder="1" applyAlignment="1">
      <alignment horizontal="center" vertical="center" wrapText="1"/>
    </xf>
    <xf numFmtId="0" fontId="26" fillId="0" borderId="37" xfId="0" applyFont="1" applyBorder="1" applyAlignment="1">
      <alignment horizontal="center" vertical="center" wrapText="1"/>
    </xf>
    <xf numFmtId="0" fontId="16" fillId="0" borderId="23" xfId="0" applyFont="1" applyBorder="1" applyAlignment="1">
      <alignment vertical="center"/>
    </xf>
    <xf numFmtId="0" fontId="16" fillId="0" borderId="23" xfId="0" applyFont="1" applyBorder="1" applyAlignment="1">
      <alignment horizontal="center" vertical="center"/>
    </xf>
    <xf numFmtId="0" fontId="16" fillId="0" borderId="24" xfId="0" applyFont="1" applyBorder="1" applyAlignment="1">
      <alignment vertical="center"/>
    </xf>
    <xf numFmtId="0" fontId="16" fillId="0" borderId="12" xfId="0" applyFont="1" applyBorder="1" applyAlignment="1">
      <alignment vertical="center"/>
    </xf>
    <xf numFmtId="0" fontId="16" fillId="0" borderId="12" xfId="0" applyFont="1" applyBorder="1"/>
    <xf numFmtId="0" fontId="27" fillId="0" borderId="15" xfId="0" applyFont="1" applyBorder="1" applyAlignment="1">
      <alignment horizontal="center" vertical="center"/>
    </xf>
    <xf numFmtId="0" fontId="16" fillId="0" borderId="15" xfId="0" applyFont="1" applyBorder="1" applyAlignment="1">
      <alignment vertical="center"/>
    </xf>
    <xf numFmtId="0" fontId="16" fillId="0" borderId="28" xfId="0" applyFont="1" applyBorder="1"/>
    <xf numFmtId="0" fontId="28" fillId="0" borderId="6" xfId="0" applyFont="1" applyBorder="1" applyAlignment="1" applyProtection="1">
      <alignment horizontal="center" vertical="center"/>
      <protection locked="0"/>
    </xf>
    <xf numFmtId="44" fontId="26" fillId="0" borderId="6" xfId="1" applyFont="1" applyFill="1" applyBorder="1" applyAlignment="1" applyProtection="1">
      <alignment vertical="center"/>
      <protection locked="0"/>
    </xf>
    <xf numFmtId="3" fontId="29" fillId="0" borderId="6" xfId="0" applyNumberFormat="1" applyFont="1" applyBorder="1" applyAlignment="1" applyProtection="1">
      <alignment vertical="center"/>
      <protection locked="0"/>
    </xf>
    <xf numFmtId="0" fontId="16" fillId="0" borderId="21" xfId="0" applyFont="1" applyBorder="1" applyAlignment="1">
      <alignment horizontal="left" vertical="center"/>
    </xf>
    <xf numFmtId="0" fontId="16" fillId="0" borderId="20" xfId="0" applyFont="1" applyBorder="1" applyAlignment="1">
      <alignment horizontal="left" vertical="center" wrapText="1"/>
    </xf>
    <xf numFmtId="3" fontId="16" fillId="0" borderId="6" xfId="0" applyNumberFormat="1" applyFont="1" applyBorder="1"/>
    <xf numFmtId="0" fontId="28" fillId="0" borderId="23" xfId="0" applyFont="1" applyBorder="1" applyAlignment="1" applyProtection="1">
      <alignment horizontal="center" vertical="center"/>
      <protection locked="0"/>
    </xf>
    <xf numFmtId="1" fontId="26" fillId="0" borderId="23" xfId="2" applyNumberFormat="1" applyFont="1" applyFill="1" applyBorder="1" applyAlignment="1" applyProtection="1">
      <alignment vertical="center"/>
      <protection locked="0"/>
    </xf>
    <xf numFmtId="0" fontId="16" fillId="0" borderId="24" xfId="0" applyFont="1" applyBorder="1" applyAlignment="1">
      <alignment horizontal="left" vertical="center"/>
    </xf>
    <xf numFmtId="0" fontId="16" fillId="0" borderId="33" xfId="0" applyFont="1" applyBorder="1" applyAlignment="1">
      <alignment vertical="center"/>
    </xf>
    <xf numFmtId="0" fontId="16" fillId="0" borderId="33" xfId="0" applyFont="1" applyBorder="1"/>
    <xf numFmtId="0" fontId="0" fillId="0" borderId="13" xfId="0" applyBorder="1" applyAlignment="1">
      <alignment horizontal="center" vertical="center"/>
    </xf>
    <xf numFmtId="0" fontId="14" fillId="0" borderId="15" xfId="0" applyFont="1" applyBorder="1" applyAlignment="1">
      <alignment vertical="center"/>
    </xf>
    <xf numFmtId="0" fontId="22" fillId="0" borderId="15" xfId="0" applyFont="1" applyBorder="1" applyAlignment="1">
      <alignment vertical="center"/>
    </xf>
    <xf numFmtId="0" fontId="22" fillId="0" borderId="6" xfId="0" applyFont="1" applyBorder="1" applyAlignment="1">
      <alignment vertical="center"/>
    </xf>
    <xf numFmtId="0" fontId="24" fillId="0" borderId="28" xfId="0" applyFont="1" applyBorder="1" applyAlignment="1">
      <alignment vertical="center"/>
    </xf>
    <xf numFmtId="0" fontId="16" fillId="0" borderId="29" xfId="0" applyFont="1" applyBorder="1" applyAlignment="1">
      <alignment horizontal="center" vertical="center" wrapText="1"/>
    </xf>
    <xf numFmtId="0" fontId="16" fillId="0" borderId="34" xfId="0" applyFont="1" applyBorder="1"/>
    <xf numFmtId="9" fontId="16" fillId="0" borderId="55" xfId="2" applyFont="1" applyBorder="1" applyAlignment="1">
      <alignment horizontal="center" vertical="center"/>
    </xf>
    <xf numFmtId="9" fontId="16" fillId="0" borderId="15" xfId="2" applyFont="1" applyBorder="1" applyAlignment="1">
      <alignment vertical="center"/>
    </xf>
    <xf numFmtId="9" fontId="16" fillId="0" borderId="6" xfId="2" applyFont="1" applyBorder="1" applyAlignment="1">
      <alignment vertical="center"/>
    </xf>
    <xf numFmtId="0" fontId="16" fillId="0" borderId="35" xfId="0" applyFont="1" applyBorder="1"/>
    <xf numFmtId="9" fontId="22" fillId="0" borderId="47" xfId="2" applyFont="1" applyBorder="1" applyAlignment="1">
      <alignment horizontal="center" vertical="center" wrapText="1"/>
    </xf>
    <xf numFmtId="9" fontId="22" fillId="0" borderId="15" xfId="2" applyFont="1" applyBorder="1" applyAlignment="1">
      <alignment vertical="center"/>
    </xf>
    <xf numFmtId="9" fontId="22" fillId="0" borderId="6" xfId="2" applyFont="1" applyBorder="1" applyAlignment="1">
      <alignment vertical="center"/>
    </xf>
    <xf numFmtId="0" fontId="16" fillId="0" borderId="15" xfId="0" applyFont="1" applyBorder="1" applyAlignment="1">
      <alignment vertical="center" wrapText="1"/>
    </xf>
    <xf numFmtId="0" fontId="16" fillId="0" borderId="6" xfId="0" applyFont="1" applyBorder="1" applyAlignment="1">
      <alignment vertical="center" wrapText="1"/>
    </xf>
    <xf numFmtId="0" fontId="16" fillId="0" borderId="31" xfId="0" applyFont="1" applyBorder="1" applyAlignment="1">
      <alignment vertical="top"/>
    </xf>
    <xf numFmtId="0" fontId="16" fillId="0" borderId="30" xfId="0" applyFont="1" applyBorder="1" applyAlignment="1">
      <alignment horizontal="left" vertical="center" wrapText="1"/>
    </xf>
    <xf numFmtId="1" fontId="26" fillId="0" borderId="15" xfId="1" applyNumberFormat="1" applyFont="1" applyBorder="1" applyAlignment="1">
      <alignment vertical="center"/>
    </xf>
    <xf numFmtId="0" fontId="25" fillId="0" borderId="20" xfId="0" applyFont="1" applyBorder="1" applyAlignment="1">
      <alignment horizontal="left" vertical="top" wrapText="1"/>
    </xf>
    <xf numFmtId="0" fontId="16" fillId="0" borderId="32" xfId="0" applyFont="1" applyBorder="1" applyAlignment="1">
      <alignment vertical="top"/>
    </xf>
    <xf numFmtId="0" fontId="14" fillId="0" borderId="14" xfId="0" applyFont="1" applyBorder="1" applyAlignment="1">
      <alignment vertical="center"/>
    </xf>
    <xf numFmtId="0" fontId="16" fillId="0" borderId="37" xfId="0" applyFont="1" applyBorder="1" applyAlignment="1">
      <alignment vertical="center"/>
    </xf>
    <xf numFmtId="0" fontId="16" fillId="0" borderId="11" xfId="0" applyFont="1" applyBorder="1" applyAlignment="1">
      <alignment vertical="center"/>
    </xf>
    <xf numFmtId="0" fontId="16" fillId="0" borderId="13" xfId="0" applyFont="1" applyBorder="1" applyAlignment="1">
      <alignment vertical="center"/>
    </xf>
    <xf numFmtId="0" fontId="16" fillId="0" borderId="39" xfId="0" applyFont="1" applyBorder="1" applyAlignment="1">
      <alignment vertical="center"/>
    </xf>
    <xf numFmtId="1" fontId="26" fillId="0" borderId="6" xfId="1" applyNumberFormat="1" applyFont="1" applyBorder="1" applyAlignment="1" applyProtection="1">
      <alignment vertical="center"/>
      <protection locked="0"/>
    </xf>
    <xf numFmtId="0" fontId="16" fillId="0" borderId="35" xfId="0" applyFont="1" applyBorder="1" applyAlignment="1">
      <alignment horizontal="center" vertical="center" wrapText="1"/>
    </xf>
    <xf numFmtId="0" fontId="26" fillId="0" borderId="6" xfId="0" applyFont="1" applyBorder="1" applyAlignment="1" applyProtection="1">
      <alignment vertical="center"/>
      <protection locked="0"/>
    </xf>
    <xf numFmtId="0" fontId="26" fillId="0" borderId="23" xfId="0" applyFont="1" applyBorder="1" applyAlignment="1" applyProtection="1">
      <alignment vertical="center"/>
      <protection locked="0"/>
    </xf>
    <xf numFmtId="0" fontId="16" fillId="0" borderId="42" xfId="0" applyFont="1" applyBorder="1"/>
    <xf numFmtId="0" fontId="16" fillId="0" borderId="6" xfId="0" applyFont="1" applyBorder="1" applyAlignment="1">
      <alignment horizontal="center"/>
    </xf>
    <xf numFmtId="0" fontId="16" fillId="0" borderId="42" xfId="0" applyFont="1" applyBorder="1" applyAlignment="1">
      <alignment horizontal="center" vertical="center" wrapText="1"/>
    </xf>
    <xf numFmtId="0" fontId="26" fillId="0" borderId="6" xfId="0" applyFont="1" applyBorder="1" applyAlignment="1">
      <alignment horizontal="center" vertical="center" wrapText="1"/>
    </xf>
    <xf numFmtId="0" fontId="18" fillId="0" borderId="6" xfId="0" applyFont="1" applyBorder="1" applyAlignment="1">
      <alignment horizontal="center" vertical="center"/>
    </xf>
    <xf numFmtId="0" fontId="19" fillId="0" borderId="6" xfId="0" applyFont="1" applyBorder="1" applyAlignment="1">
      <alignment horizontal="center" vertical="center"/>
    </xf>
    <xf numFmtId="0" fontId="19" fillId="0" borderId="13" xfId="0" applyFont="1" applyBorder="1" applyAlignment="1">
      <alignment horizontal="center" vertical="center"/>
    </xf>
    <xf numFmtId="0" fontId="15" fillId="0" borderId="6" xfId="0" applyFont="1" applyBorder="1" applyAlignment="1">
      <alignment horizontal="center"/>
    </xf>
    <xf numFmtId="3" fontId="32" fillId="0" borderId="6" xfId="0" applyNumberFormat="1" applyFont="1" applyBorder="1" applyAlignment="1">
      <alignment horizontal="center" vertical="center" wrapText="1"/>
    </xf>
    <xf numFmtId="0" fontId="33" fillId="0" borderId="6" xfId="0" applyFont="1" applyBorder="1" applyAlignment="1">
      <alignment vertical="center"/>
    </xf>
    <xf numFmtId="0" fontId="34" fillId="0" borderId="13" xfId="0" applyFont="1" applyBorder="1" applyAlignment="1">
      <alignment vertical="center"/>
    </xf>
    <xf numFmtId="9" fontId="35" fillId="0" borderId="13" xfId="0" applyNumberFormat="1" applyFont="1" applyBorder="1"/>
    <xf numFmtId="0" fontId="36" fillId="0" borderId="6" xfId="0" applyFont="1" applyBorder="1" applyAlignment="1">
      <alignment vertical="top" wrapText="1" shrinkToFit="1"/>
    </xf>
    <xf numFmtId="0" fontId="36" fillId="0" borderId="6" xfId="0" applyFont="1" applyBorder="1" applyAlignment="1">
      <alignment vertical="top" wrapText="1"/>
    </xf>
    <xf numFmtId="9" fontId="22" fillId="0" borderId="54" xfId="2" applyFont="1" applyFill="1" applyBorder="1" applyAlignment="1">
      <alignment horizontal="center" vertical="center"/>
    </xf>
    <xf numFmtId="0" fontId="18" fillId="0" borderId="6" xfId="0" applyFont="1" applyBorder="1"/>
    <xf numFmtId="0" fontId="16" fillId="0" borderId="20" xfId="0" applyFont="1" applyBorder="1" applyAlignment="1">
      <alignment horizontal="left" vertical="center"/>
    </xf>
    <xf numFmtId="0" fontId="16" fillId="0" borderId="22" xfId="0" applyFont="1" applyBorder="1" applyAlignment="1">
      <alignment horizontal="left" vertical="center" wrapText="1"/>
    </xf>
    <xf numFmtId="0" fontId="19" fillId="0" borderId="6" xfId="0" applyFont="1" applyBorder="1"/>
    <xf numFmtId="0" fontId="38" fillId="0" borderId="6" xfId="3" applyFont="1" applyBorder="1"/>
    <xf numFmtId="0" fontId="26" fillId="0" borderId="6" xfId="0" applyFont="1" applyBorder="1"/>
    <xf numFmtId="0" fontId="13" fillId="0" borderId="6" xfId="3" applyFont="1" applyBorder="1" applyAlignment="1">
      <alignment horizontal="left" wrapText="1"/>
    </xf>
    <xf numFmtId="0" fontId="0" fillId="0" borderId="13" xfId="0" applyBorder="1" applyAlignment="1">
      <alignment horizontal="left" vertical="top" wrapText="1"/>
    </xf>
    <xf numFmtId="0" fontId="0" fillId="0" borderId="15" xfId="0" applyBorder="1" applyAlignment="1">
      <alignment horizontal="left" vertical="top" wrapText="1"/>
    </xf>
    <xf numFmtId="0" fontId="14" fillId="4" borderId="6" xfId="0" applyFont="1" applyFill="1" applyBorder="1" applyAlignment="1">
      <alignment horizontal="center" vertical="center" wrapText="1"/>
    </xf>
    <xf numFmtId="0" fontId="14" fillId="4" borderId="6" xfId="0" applyFont="1" applyFill="1" applyBorder="1" applyAlignment="1">
      <alignment horizontal="center" vertical="center"/>
    </xf>
    <xf numFmtId="0" fontId="17" fillId="5" borderId="6" xfId="0" applyFont="1" applyFill="1" applyBorder="1" applyAlignment="1">
      <alignment horizontal="center" vertical="center" wrapText="1"/>
    </xf>
    <xf numFmtId="0" fontId="17" fillId="5" borderId="6" xfId="0" applyFont="1" applyFill="1" applyBorder="1" applyAlignment="1">
      <alignment horizontal="center" vertical="center"/>
    </xf>
    <xf numFmtId="0" fontId="24" fillId="0" borderId="25" xfId="0" applyFont="1" applyBorder="1" applyAlignment="1">
      <alignment horizontal="center" vertical="center"/>
    </xf>
    <xf numFmtId="0" fontId="24" fillId="0" borderId="26" xfId="0" applyFont="1" applyBorder="1" applyAlignment="1">
      <alignment horizontal="center" vertical="center"/>
    </xf>
    <xf numFmtId="0" fontId="24" fillId="0" borderId="27" xfId="0" applyFont="1" applyBorder="1" applyAlignment="1">
      <alignment horizontal="center" vertical="center"/>
    </xf>
    <xf numFmtId="0" fontId="24" fillId="0" borderId="57" xfId="0" applyFont="1" applyBorder="1" applyAlignment="1">
      <alignment horizontal="center" vertical="center"/>
    </xf>
    <xf numFmtId="0" fontId="24" fillId="0" borderId="58" xfId="0" applyFont="1" applyBorder="1" applyAlignment="1">
      <alignment horizontal="center" vertical="center"/>
    </xf>
    <xf numFmtId="0" fontId="24" fillId="0" borderId="56" xfId="0" applyFont="1" applyBorder="1" applyAlignment="1">
      <alignment horizontal="center" vertical="center"/>
    </xf>
    <xf numFmtId="0" fontId="26" fillId="0" borderId="11" xfId="0" applyFont="1" applyBorder="1" applyAlignment="1" applyProtection="1">
      <alignment horizontal="left" vertical="center" wrapText="1"/>
      <protection locked="0"/>
    </xf>
    <xf numFmtId="0" fontId="26" fillId="0" borderId="36" xfId="0" applyFont="1" applyBorder="1" applyAlignment="1" applyProtection="1">
      <alignment horizontal="left" vertical="center" wrapText="1"/>
      <protection locked="0"/>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24" fillId="0" borderId="10" xfId="0" applyFont="1" applyBorder="1" applyAlignment="1">
      <alignment horizontal="center" vertical="center"/>
    </xf>
    <xf numFmtId="0" fontId="24" fillId="0" borderId="51" xfId="0" applyFont="1" applyBorder="1" applyAlignment="1">
      <alignment horizontal="center" vertical="center"/>
    </xf>
    <xf numFmtId="0" fontId="24" fillId="0" borderId="49" xfId="0" applyFont="1" applyBorder="1" applyAlignment="1">
      <alignment horizontal="center" vertical="center"/>
    </xf>
    <xf numFmtId="0" fontId="24" fillId="0" borderId="50" xfId="0" applyFont="1" applyBorder="1" applyAlignment="1">
      <alignment horizontal="center" vertical="center"/>
    </xf>
    <xf numFmtId="0" fontId="26" fillId="0" borderId="13" xfId="0" applyFont="1" applyBorder="1" applyAlignment="1" applyProtection="1">
      <alignment horizontal="left" vertical="center" wrapText="1"/>
      <protection locked="0"/>
    </xf>
    <xf numFmtId="0" fontId="26" fillId="0" borderId="35" xfId="0" applyFont="1" applyBorder="1" applyAlignment="1" applyProtection="1">
      <alignment horizontal="left" vertical="center" wrapText="1"/>
      <protection locked="0"/>
    </xf>
    <xf numFmtId="0" fontId="27" fillId="0" borderId="25" xfId="0" applyFont="1" applyBorder="1" applyAlignment="1">
      <alignment horizontal="center" vertical="center"/>
    </xf>
    <xf numFmtId="0" fontId="27" fillId="0" borderId="26" xfId="0" applyFont="1" applyBorder="1" applyAlignment="1">
      <alignment horizontal="center" vertical="center"/>
    </xf>
    <xf numFmtId="0" fontId="27" fillId="0" borderId="27" xfId="0" applyFont="1" applyBorder="1" applyAlignment="1">
      <alignment horizontal="center" vertical="center"/>
    </xf>
    <xf numFmtId="0" fontId="0" fillId="0" borderId="37" xfId="0" applyBorder="1" applyAlignment="1">
      <alignment horizontal="left" vertical="top" wrapText="1"/>
    </xf>
    <xf numFmtId="0" fontId="0" fillId="0" borderId="38" xfId="0" applyBorder="1" applyAlignment="1">
      <alignment horizontal="left" vertical="top" wrapText="1"/>
    </xf>
    <xf numFmtId="0" fontId="0" fillId="0" borderId="39" xfId="0" applyBorder="1" applyAlignment="1">
      <alignment horizontal="left" vertical="top" wrapText="1"/>
    </xf>
    <xf numFmtId="0" fontId="0" fillId="0" borderId="40" xfId="0" applyBorder="1" applyAlignment="1">
      <alignment horizontal="left" vertical="top" wrapText="1"/>
    </xf>
    <xf numFmtId="0" fontId="0" fillId="0" borderId="0" xfId="0" applyAlignment="1">
      <alignment horizontal="left" vertical="top" wrapText="1"/>
    </xf>
    <xf numFmtId="0" fontId="0" fillId="0" borderId="41" xfId="0" applyBorder="1" applyAlignment="1">
      <alignment horizontal="left" vertical="top" wrapText="1"/>
    </xf>
    <xf numFmtId="0" fontId="0" fillId="0" borderId="42" xfId="0" applyBorder="1" applyAlignment="1">
      <alignment horizontal="left" vertical="top" wrapText="1"/>
    </xf>
    <xf numFmtId="0" fontId="0" fillId="0" borderId="43" xfId="0" applyBorder="1" applyAlignment="1">
      <alignment horizontal="left" vertical="top" wrapText="1"/>
    </xf>
    <xf numFmtId="0" fontId="0" fillId="0" borderId="44" xfId="0" applyBorder="1" applyAlignment="1">
      <alignment horizontal="left" vertical="top" wrapText="1"/>
    </xf>
    <xf numFmtId="9" fontId="4" fillId="0" borderId="6" xfId="0" applyNumberFormat="1" applyFont="1" applyBorder="1" applyAlignment="1">
      <alignment horizontal="center" vertical="center"/>
    </xf>
    <xf numFmtId="0" fontId="4" fillId="0" borderId="6" xfId="0" applyFont="1" applyBorder="1" applyAlignment="1">
      <alignment horizontal="center" vertical="center"/>
    </xf>
    <xf numFmtId="9" fontId="4" fillId="0" borderId="6" xfId="0" applyNumberFormat="1" applyFont="1" applyBorder="1" applyAlignment="1">
      <alignment horizontal="center" vertical="top"/>
    </xf>
    <xf numFmtId="0" fontId="4" fillId="0" borderId="6" xfId="0" applyFont="1" applyBorder="1" applyAlignment="1">
      <alignment horizontal="center" vertical="top"/>
    </xf>
    <xf numFmtId="0" fontId="4" fillId="0" borderId="6" xfId="0" applyFont="1" applyBorder="1" applyAlignment="1">
      <alignment horizontal="center" vertical="top" wrapText="1"/>
    </xf>
    <xf numFmtId="0" fontId="4" fillId="0" borderId="6" xfId="0" applyFont="1" applyBorder="1" applyAlignment="1">
      <alignment horizontal="center" vertical="center" wrapText="1"/>
    </xf>
    <xf numFmtId="0" fontId="0" fillId="0" borderId="13" xfId="0" applyBorder="1" applyAlignment="1">
      <alignment horizontal="left" vertical="center" wrapText="1"/>
    </xf>
    <xf numFmtId="0" fontId="0" fillId="0" borderId="15" xfId="0" applyBorder="1" applyAlignment="1">
      <alignment horizontal="left" vertical="center" wrapText="1"/>
    </xf>
    <xf numFmtId="0" fontId="15" fillId="0" borderId="17"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22" xfId="0" applyFont="1" applyBorder="1" applyAlignment="1">
      <alignment horizontal="center" vertical="center" wrapText="1"/>
    </xf>
  </cellXfs>
  <cellStyles count="4">
    <cellStyle name="Currency" xfId="1" builtinId="4"/>
    <cellStyle name="Hyperlink" xfId="3" builtinId="8"/>
    <cellStyle name="Normal" xfId="0" builtinId="0" customBuiltin="1"/>
    <cellStyle name="Per cent" xfId="2" builtinId="5"/>
  </cellStyles>
  <dxfs count="106">
    <dxf>
      <font>
        <color theme="0"/>
      </font>
      <fill>
        <patternFill>
          <bgColor rgb="FFFF3B30"/>
        </patternFill>
      </fill>
    </dxf>
    <dxf>
      <font>
        <color theme="3"/>
      </font>
      <fill>
        <patternFill>
          <bgColor rgb="FFFFCC00"/>
        </patternFill>
      </fill>
    </dxf>
    <dxf>
      <font>
        <color theme="0"/>
      </font>
      <fill>
        <patternFill>
          <bgColor rgb="FF28CD41"/>
        </patternFill>
      </fill>
    </dxf>
    <dxf>
      <fill>
        <patternFill patternType="none">
          <bgColor auto="1"/>
        </patternFill>
      </fill>
    </dxf>
    <dxf>
      <fill>
        <patternFill>
          <bgColor rgb="FFFFCC00"/>
        </patternFill>
      </fill>
    </dxf>
    <dxf>
      <fill>
        <patternFill>
          <bgColor rgb="FFFF3B30"/>
        </patternFill>
      </fill>
    </dxf>
    <dxf>
      <fill>
        <patternFill>
          <bgColor rgb="FF28CD41"/>
        </patternFill>
      </fill>
    </dxf>
    <dxf>
      <font>
        <color theme="3"/>
      </font>
      <fill>
        <patternFill>
          <bgColor rgb="FFFFCC00"/>
        </patternFill>
      </fill>
    </dxf>
    <dxf>
      <font>
        <color theme="0"/>
      </font>
      <fill>
        <patternFill>
          <bgColor rgb="FF28CD41"/>
        </patternFill>
      </fill>
    </dxf>
    <dxf>
      <font>
        <color theme="0"/>
      </font>
      <fill>
        <patternFill>
          <bgColor rgb="FF28CD41"/>
        </patternFill>
      </fill>
    </dxf>
    <dxf>
      <font>
        <color theme="0"/>
      </font>
      <fill>
        <patternFill>
          <bgColor rgb="FFFF3B30"/>
        </patternFill>
      </fill>
    </dxf>
    <dxf>
      <fill>
        <patternFill>
          <bgColor rgb="FF28CD41"/>
        </patternFill>
      </fill>
    </dxf>
    <dxf>
      <fill>
        <patternFill>
          <bgColor rgb="FFFF3B30"/>
        </patternFill>
      </fill>
    </dxf>
    <dxf>
      <fill>
        <patternFill>
          <bgColor rgb="FFFFCC00"/>
        </patternFill>
      </fill>
    </dxf>
    <dxf>
      <fill>
        <patternFill>
          <bgColor theme="7" tint="0.59996337778862885"/>
        </patternFill>
      </fill>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fill>
        <patternFill>
          <bgColor theme="8" tint="0.59996337778862885"/>
        </patternFill>
      </fill>
    </dxf>
    <dxf>
      <numFmt numFmtId="169" formatCode="0.0%"/>
    </dxf>
    <dxf>
      <numFmt numFmtId="169" formatCode="0.0%"/>
    </dxf>
    <dxf>
      <numFmt numFmtId="169" formatCode="0.0%"/>
    </dxf>
    <dxf>
      <numFmt numFmtId="169" formatCode="0.0%"/>
    </dxf>
    <dxf>
      <numFmt numFmtId="169" formatCode="0.0%"/>
    </dxf>
    <dxf>
      <numFmt numFmtId="169" formatCode="0.0%"/>
    </dxf>
    <dxf>
      <numFmt numFmtId="169" formatCode="0.0%"/>
    </dxf>
    <dxf>
      <numFmt numFmtId="169" formatCode="0.0%"/>
    </dxf>
    <dxf>
      <font>
        <b val="0"/>
        <i val="0"/>
        <strike val="0"/>
        <condense val="0"/>
        <extend val="0"/>
        <outline val="0"/>
        <shadow val="0"/>
        <u val="none"/>
        <vertAlign val="baseline"/>
        <sz val="12"/>
        <color theme="1"/>
        <name val="Avenir"/>
        <family val="2"/>
        <scheme val="none"/>
      </font>
      <numFmt numFmtId="0" formatCode="Genera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theme="1"/>
        <name val="Avenir"/>
        <family val="2"/>
        <scheme val="none"/>
      </font>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theme="1"/>
        <name val="Avenir"/>
        <family val="2"/>
        <scheme val="none"/>
      </font>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theme="1"/>
        <name val="Avenir"/>
        <family val="2"/>
        <scheme val="none"/>
      </font>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theme="1"/>
        <name val="Avenir"/>
        <family val="2"/>
        <scheme val="none"/>
      </font>
      <numFmt numFmtId="0" formatCode="Genera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theme="1"/>
        <name val="Avenir"/>
        <family val="2"/>
        <scheme val="none"/>
      </font>
      <numFmt numFmtId="0" formatCode="Genera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theme="1"/>
        <name val="Avenir"/>
        <family val="2"/>
        <scheme val="none"/>
      </font>
      <numFmt numFmtId="0" formatCode="Genera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theme="1"/>
        <name val="Avenir"/>
        <family val="2"/>
        <scheme val="none"/>
      </font>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top style="thin">
          <color theme="4" tint="0.39997558519241921"/>
        </top>
        <bottom style="thin">
          <color theme="4" tint="0.39997558519241921"/>
        </bottom>
      </border>
    </dxf>
    <dxf>
      <font>
        <b val="0"/>
        <i val="0"/>
        <strike val="0"/>
        <condense val="0"/>
        <extend val="0"/>
        <outline val="0"/>
        <shadow val="0"/>
        <u val="none"/>
        <vertAlign val="baseline"/>
        <sz val="12"/>
        <color theme="1"/>
        <name val="Avenir"/>
        <family val="2"/>
        <scheme val="none"/>
      </font>
    </dxf>
    <dxf>
      <border outline="0">
        <bottom style="thin">
          <color theme="4" tint="0.39997558519241921"/>
        </bottom>
      </border>
    </dxf>
    <dxf>
      <font>
        <b/>
        <i val="0"/>
        <strike val="0"/>
        <condense val="0"/>
        <extend val="0"/>
        <outline val="0"/>
        <shadow val="0"/>
        <u val="none"/>
        <vertAlign val="baseline"/>
        <sz val="12"/>
        <color theme="0"/>
        <name val="Avenir"/>
        <family val="2"/>
        <scheme val="none"/>
      </font>
      <fill>
        <patternFill patternType="solid">
          <fgColor indexed="64"/>
          <bgColor theme="8"/>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2"/>
        <color theme="0"/>
        <name val="Avenir"/>
        <family val="2"/>
        <scheme val="none"/>
      </font>
      <fill>
        <patternFill patternType="solid">
          <fgColor theme="4"/>
          <bgColor theme="4"/>
        </patternFill>
      </fill>
      <alignment horizontal="general" vertical="bottom" textRotation="0" wrapText="1" indent="0" justifyLastLine="0" shrinkToFit="0" readingOrder="0"/>
    </dxf>
    <dxf>
      <numFmt numFmtId="166" formatCode="0.0000"/>
    </dxf>
    <dxf>
      <numFmt numFmtId="166" formatCode="0.0000"/>
    </dxf>
    <dxf>
      <numFmt numFmtId="166" formatCode="0.0000"/>
    </dxf>
    <dxf>
      <numFmt numFmtId="166" formatCode="0.0000"/>
    </dxf>
    <dxf>
      <numFmt numFmtId="166" formatCode="0.0000"/>
    </dxf>
    <dxf>
      <numFmt numFmtId="166" formatCode="0.0000"/>
    </dxf>
    <dxf>
      <numFmt numFmtId="166" formatCode="0.0000"/>
    </dxf>
    <dxf>
      <numFmt numFmtId="167" formatCode="_(&quot;£&quot;* #,##0_);_(&quot;£&quot;* \(#,##0\);_(&quot;£&quot;* &quot;-&quot;??_);_(@_)"/>
    </dxf>
    <dxf>
      <numFmt numFmtId="0" formatCode="General"/>
    </dxf>
    <dxf>
      <alignment horizontal="general" vertical="bottom" textRotation="0" wrapText="1" indent="0" justifyLastLine="0" shrinkToFit="0" readingOrder="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34" formatCode="_(&quot;£&quot;* #,##0.00_);_(&quot;£&quot;* \(#,##0.00\);_(&quot;£&quot;* &quot;-&quot;??_);_(@_)"/>
    </dxf>
    <dxf>
      <numFmt numFmtId="0" formatCode="General"/>
    </dxf>
    <dxf>
      <numFmt numFmtId="0" formatCode="General"/>
    </dxf>
    <dxf>
      <numFmt numFmtId="0" formatCode="General"/>
    </dxf>
    <dxf>
      <numFmt numFmtId="164" formatCode="0.000"/>
    </dxf>
    <dxf>
      <numFmt numFmtId="2" formatCode="0.00"/>
    </dxf>
    <dxf>
      <numFmt numFmtId="2" formatCode="0.00"/>
    </dxf>
    <dxf>
      <numFmt numFmtId="2" formatCode="0.00"/>
    </dxf>
    <dxf>
      <numFmt numFmtId="168" formatCode="0.000000"/>
    </dxf>
    <dxf>
      <numFmt numFmtId="0" formatCode="General"/>
    </dxf>
    <dxf>
      <numFmt numFmtId="0" formatCode="General"/>
    </dxf>
    <dxf>
      <numFmt numFmtId="0" formatCode="General"/>
    </dxf>
    <dxf>
      <numFmt numFmtId="0" formatCode="General"/>
    </dxf>
    <dxf>
      <numFmt numFmtId="0" formatCode="Genera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164" formatCode="0.000"/>
    </dxf>
    <dxf>
      <numFmt numFmtId="0" formatCode="General"/>
    </dxf>
    <dxf>
      <numFmt numFmtId="3" formatCode="#,##0"/>
    </dxf>
    <dxf>
      <numFmt numFmtId="3" formatCode="#,##0"/>
    </dxf>
    <dxf>
      <numFmt numFmtId="3" formatCode="#,##0"/>
    </dxf>
    <dxf>
      <alignment horizontal="general" vertical="bottom" textRotation="0" wrapText="1" indent="0" justifyLastLine="0" shrinkToFit="0" readingOrder="0"/>
    </dxf>
    <dxf>
      <numFmt numFmtId="0" formatCode="General"/>
    </dxf>
    <dxf>
      <numFmt numFmtId="0" formatCode="General"/>
    </dxf>
    <dxf>
      <numFmt numFmtId="0" formatCode="General"/>
    </dxf>
    <dxf>
      <numFmt numFmtId="0" formatCode="General"/>
    </dxf>
    <dxf>
      <border diagonalUp="0" diagonalDown="0" outline="0">
        <left/>
        <right style="thin">
          <color theme="3"/>
        </right>
        <top/>
        <bottom/>
      </border>
    </dxf>
    <dxf>
      <numFmt numFmtId="169" formatCode="0.0%"/>
    </dxf>
    <dxf>
      <numFmt numFmtId="3" formatCode="#,##0"/>
    </dxf>
    <dxf>
      <border diagonalUp="0" diagonalDown="0">
        <left style="thin">
          <color theme="3"/>
        </left>
        <right/>
        <top/>
        <bottom/>
        <vertical/>
        <horizontal/>
      </border>
    </dxf>
    <dxf>
      <border diagonalUp="0" diagonalDown="0">
        <left style="thin">
          <color theme="0"/>
        </left>
        <right style="thin">
          <color theme="0"/>
        </right>
        <top style="thin">
          <color theme="0"/>
        </top>
        <bottom style="thin">
          <color theme="0"/>
        </bottom>
        <vertical style="thin">
          <color theme="0"/>
        </vertical>
        <horizontal style="thin">
          <color theme="0"/>
        </horizontal>
      </border>
    </dxf>
    <dxf>
      <border diagonalUp="0" diagonalDown="0">
        <left style="thin">
          <color theme="0"/>
        </left>
        <right style="thin">
          <color theme="0"/>
        </right>
        <top style="thin">
          <color theme="0"/>
        </top>
        <bottom style="thin">
          <color theme="0"/>
        </bottom>
        <vertical style="thin">
          <color theme="0"/>
        </vertical>
        <horizontal style="thin">
          <color theme="0"/>
        </horizontal>
      </border>
    </dxf>
    <dxf>
      <border diagonalUp="0" diagonalDown="0">
        <left/>
        <right style="thin">
          <color theme="0"/>
        </right>
        <top style="thin">
          <color theme="0"/>
        </top>
        <bottom style="thin">
          <color theme="0"/>
        </bottom>
        <vertical style="thin">
          <color theme="0"/>
        </vertical>
        <horizontal style="thin">
          <color theme="0"/>
        </horizontal>
      </border>
    </dxf>
    <dxf>
      <border diagonalUp="0" diagonalDown="0">
        <left style="thin">
          <color theme="0"/>
        </left>
        <right style="thin">
          <color theme="0"/>
        </right>
        <top/>
        <bottom/>
        <vertical style="thin">
          <color theme="0"/>
        </vertical>
        <horizontal style="thin">
          <color theme="0"/>
        </horizontal>
      </border>
    </dxf>
    <dxf>
      <fill>
        <patternFill patternType="solid">
          <fgColor rgb="FFD9E2F3"/>
          <bgColor rgb="FFD9E2F3"/>
        </patternFill>
      </fill>
    </dxf>
    <dxf>
      <fill>
        <patternFill patternType="solid">
          <fgColor rgb="FFFBE4D5"/>
          <bgColor rgb="FFFBE4D5"/>
        </patternFill>
      </fill>
    </dxf>
    <dxf>
      <fill>
        <patternFill patternType="solid">
          <fgColor theme="5"/>
          <bgColor theme="5"/>
        </patternFill>
      </fill>
    </dxf>
  </dxfs>
  <tableStyles count="1" defaultTableStyle="TableStyleMedium2" defaultPivotStyle="PivotStyleLight16">
    <tableStyle name="v1.0-style" pivot="0" count="3" xr9:uid="{577186A2-17C9-244D-9300-93405743CADB}">
      <tableStyleElement type="headerRow" dxfId="105"/>
      <tableStyleElement type="firstRowStripe" dxfId="104"/>
      <tableStyleElement type="secondRowStripe" dxfId="103"/>
    </tableStyle>
  </tableStyles>
  <colors>
    <mruColors>
      <color rgb="FF329BCE"/>
      <color rgb="FFFF9300"/>
      <color rgb="FFA250A2"/>
      <color rgb="FF0EB69F"/>
      <color rgb="FFA63859"/>
      <color rgb="FF28CD41"/>
      <color rgb="FFFFCC00"/>
      <color rgb="FFFF3B30"/>
      <color rgb="FF2A6E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26" Type="http://schemas.openxmlformats.org/officeDocument/2006/relationships/customXml" Target="../customXml/item2.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Types" Target="richData/rdRichValueTyp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'HIDE - Summary Chart Data'!$A$35</c:f>
          <c:strCache>
            <c:ptCount val="1"/>
            <c:pt idx="0">
              <c:v> total estimated emissions</c:v>
            </c:pt>
          </c:strCache>
        </c:strRef>
      </c:tx>
      <c:overlay val="0"/>
      <c:spPr>
        <a:noFill/>
        <a:ln>
          <a:noFill/>
        </a:ln>
        <a:effectLst/>
      </c:spPr>
      <c:txPr>
        <a:bodyPr rot="0" spcFirstLastPara="1" vertOverflow="ellipsis" vert="horz" wrap="square" anchor="ctr" anchorCtr="1"/>
        <a:lstStyle/>
        <a:p>
          <a:pPr>
            <a:defRPr sz="2000" b="0"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doughnutChart>
        <c:varyColors val="1"/>
        <c:ser>
          <c:idx val="0"/>
          <c:order val="0"/>
          <c:tx>
            <c:strRef>
              <c:f>'HIDE - Summary Chart Data'!$B$28</c:f>
              <c:strCache>
                <c:ptCount val="1"/>
                <c:pt idx="0">
                  <c:v>0</c:v>
                </c:pt>
              </c:strCache>
            </c:strRef>
          </c:tx>
          <c:spPr>
            <a:ln>
              <a:noFill/>
            </a:ln>
          </c:spPr>
          <c:dPt>
            <c:idx val="0"/>
            <c:bubble3D val="0"/>
            <c:spPr>
              <a:solidFill>
                <a:srgbClr val="A63859"/>
              </a:solidFill>
              <a:ln w="19050">
                <a:noFill/>
              </a:ln>
              <a:effectLst/>
            </c:spPr>
            <c:extLst>
              <c:ext xmlns:c16="http://schemas.microsoft.com/office/drawing/2014/chart" uri="{C3380CC4-5D6E-409C-BE32-E72D297353CC}">
                <c16:uniqueId val="{00000001-098F-404E-9FAE-BF00A6F203CB}"/>
              </c:ext>
            </c:extLst>
          </c:dPt>
          <c:dPt>
            <c:idx val="1"/>
            <c:bubble3D val="0"/>
            <c:spPr>
              <a:solidFill>
                <a:srgbClr val="A250A2"/>
              </a:solidFill>
              <a:ln w="19050">
                <a:noFill/>
              </a:ln>
              <a:effectLst/>
            </c:spPr>
            <c:extLst>
              <c:ext xmlns:c16="http://schemas.microsoft.com/office/drawing/2014/chart" uri="{C3380CC4-5D6E-409C-BE32-E72D297353CC}">
                <c16:uniqueId val="{00000002-6BB4-7A4A-93DA-8E9310D5F773}"/>
              </c:ext>
            </c:extLst>
          </c:dPt>
          <c:dPt>
            <c:idx val="2"/>
            <c:bubble3D val="0"/>
            <c:spPr>
              <a:solidFill>
                <a:srgbClr val="FF9300"/>
              </a:solidFill>
              <a:ln w="19050">
                <a:noFill/>
              </a:ln>
              <a:effectLst/>
            </c:spPr>
            <c:extLst>
              <c:ext xmlns:c16="http://schemas.microsoft.com/office/drawing/2014/chart" uri="{C3380CC4-5D6E-409C-BE32-E72D297353CC}">
                <c16:uniqueId val="{00000003-6BB4-7A4A-93DA-8E9310D5F773}"/>
              </c:ext>
            </c:extLst>
          </c:dPt>
          <c:dPt>
            <c:idx val="3"/>
            <c:bubble3D val="0"/>
            <c:spPr>
              <a:solidFill>
                <a:srgbClr val="329BCE"/>
              </a:solidFill>
              <a:ln w="19050">
                <a:noFill/>
              </a:ln>
              <a:effectLst/>
            </c:spPr>
            <c:extLst>
              <c:ext xmlns:c16="http://schemas.microsoft.com/office/drawing/2014/chart" uri="{C3380CC4-5D6E-409C-BE32-E72D297353CC}">
                <c16:uniqueId val="{00000004-6BB4-7A4A-93DA-8E9310D5F773}"/>
              </c:ext>
            </c:extLst>
          </c:dPt>
          <c:cat>
            <c:strRef>
              <c:f>[0]!chart_summary_pie_labels</c:f>
              <c:strCache>
                <c:ptCount val="4"/>
                <c:pt idx="0">
                  <c:v>Value Chain</c:v>
                </c:pt>
                <c:pt idx="1">
                  <c:v>Logistics</c:v>
                </c:pt>
                <c:pt idx="2">
                  <c:v>Buildings &amp; Electricity</c:v>
                </c:pt>
                <c:pt idx="3">
                  <c:v>Refrigerants</c:v>
                </c:pt>
              </c:strCache>
            </c:strRef>
          </c:cat>
          <c:val>
            <c:numRef>
              <c:f>[0]!chart_summary_pie_values</c:f>
              <c:numCache>
                <c:formatCode>#,##0</c:formatCode>
                <c:ptCount val="4"/>
                <c:pt idx="0">
                  <c:v>0</c:v>
                </c:pt>
                <c:pt idx="1">
                  <c:v>0</c:v>
                </c:pt>
                <c:pt idx="2">
                  <c:v>0</c:v>
                </c:pt>
                <c:pt idx="3" formatCode="General">
                  <c:v>0</c:v>
                </c:pt>
              </c:numCache>
            </c:numRef>
          </c:val>
          <c:extLst>
            <c:ext xmlns:c16="http://schemas.microsoft.com/office/drawing/2014/chart" uri="{C3380CC4-5D6E-409C-BE32-E72D297353CC}">
              <c16:uniqueId val="{00000000-098F-404E-9FAE-BF00A6F203CB}"/>
            </c:ext>
          </c:extLst>
        </c:ser>
        <c:dLbls>
          <c:showLegendKey val="0"/>
          <c:showVal val="0"/>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14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'HIDE - Summary Chart Data'!$A$43</c:f>
          <c:strCache>
            <c:ptCount val="1"/>
            <c:pt idx="0">
              <c:v> scope 1 &amp; 2 emissions vs sector average</c:v>
            </c:pt>
          </c:strCache>
        </c:strRef>
      </c:tx>
      <c:overlay val="0"/>
      <c:spPr>
        <a:noFill/>
        <a:ln>
          <a:noFill/>
        </a:ln>
        <a:effectLst/>
      </c:spPr>
      <c:txPr>
        <a:bodyPr rot="0" spcFirstLastPara="1" vertOverflow="ellipsis" vert="horz" wrap="square" anchor="ctr" anchorCtr="1"/>
        <a:lstStyle/>
        <a:p>
          <a:pPr>
            <a:defRPr sz="2000" b="0"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bar"/>
        <c:grouping val="stacked"/>
        <c:varyColors val="0"/>
        <c:ser>
          <c:idx val="0"/>
          <c:order val="0"/>
          <c:tx>
            <c:strRef>
              <c:f>'HIDE - Summary Chart Data'!$A$45</c:f>
              <c:strCache>
                <c:ptCount val="1"/>
                <c:pt idx="0">
                  <c:v>Logistics</c:v>
                </c:pt>
              </c:strCache>
            </c:strRef>
          </c:tx>
          <c:spPr>
            <a:solidFill>
              <a:srgbClr val="A250A2"/>
            </a:solidFill>
            <a:ln>
              <a:noFill/>
            </a:ln>
            <a:effectLst/>
          </c:spPr>
          <c:invertIfNegative val="0"/>
          <c:cat>
            <c:strRef>
              <c:f>'HIDE - Summary Chart Data'!$B$44:$C$44</c:f>
              <c:strCache>
                <c:ptCount val="2"/>
                <c:pt idx="0">
                  <c:v>0</c:v>
                </c:pt>
                <c:pt idx="1">
                  <c:v>Sector Average</c:v>
                </c:pt>
              </c:strCache>
            </c:strRef>
          </c:cat>
          <c:val>
            <c:numRef>
              <c:f>'HIDE - Summary Chart Data'!$B$45:$C$45</c:f>
              <c:numCache>
                <c:formatCode>#,##0</c:formatCode>
                <c:ptCount val="2"/>
                <c:pt idx="0">
                  <c:v>0</c:v>
                </c:pt>
                <c:pt idx="1">
                  <c:v>0</c:v>
                </c:pt>
              </c:numCache>
            </c:numRef>
          </c:val>
          <c:extLst>
            <c:ext xmlns:c16="http://schemas.microsoft.com/office/drawing/2014/chart" uri="{C3380CC4-5D6E-409C-BE32-E72D297353CC}">
              <c16:uniqueId val="{00000000-18CC-1647-8BC8-D1096A2CB697}"/>
            </c:ext>
          </c:extLst>
        </c:ser>
        <c:ser>
          <c:idx val="1"/>
          <c:order val="1"/>
          <c:tx>
            <c:strRef>
              <c:f>'HIDE - Summary Chart Data'!$A$46</c:f>
              <c:strCache>
                <c:ptCount val="1"/>
                <c:pt idx="0">
                  <c:v>Buildings &amp; Electricity</c:v>
                </c:pt>
              </c:strCache>
            </c:strRef>
          </c:tx>
          <c:spPr>
            <a:solidFill>
              <a:srgbClr val="FF9300"/>
            </a:solidFill>
            <a:ln>
              <a:noFill/>
            </a:ln>
            <a:effectLst/>
          </c:spPr>
          <c:invertIfNegative val="0"/>
          <c:cat>
            <c:strRef>
              <c:f>'HIDE - Summary Chart Data'!$B$44:$C$44</c:f>
              <c:strCache>
                <c:ptCount val="2"/>
                <c:pt idx="0">
                  <c:v>0</c:v>
                </c:pt>
                <c:pt idx="1">
                  <c:v>Sector Average</c:v>
                </c:pt>
              </c:strCache>
            </c:strRef>
          </c:cat>
          <c:val>
            <c:numRef>
              <c:f>'HIDE - Summary Chart Data'!$B$46:$C$46</c:f>
              <c:numCache>
                <c:formatCode>#,##0</c:formatCode>
                <c:ptCount val="2"/>
                <c:pt idx="0">
                  <c:v>0</c:v>
                </c:pt>
                <c:pt idx="1">
                  <c:v>0</c:v>
                </c:pt>
              </c:numCache>
            </c:numRef>
          </c:val>
          <c:extLst>
            <c:ext xmlns:c16="http://schemas.microsoft.com/office/drawing/2014/chart" uri="{C3380CC4-5D6E-409C-BE32-E72D297353CC}">
              <c16:uniqueId val="{00000001-18CC-1647-8BC8-D1096A2CB697}"/>
            </c:ext>
          </c:extLst>
        </c:ser>
        <c:ser>
          <c:idx val="2"/>
          <c:order val="2"/>
          <c:tx>
            <c:strRef>
              <c:f>'HIDE - Summary Chart Data'!$A$47</c:f>
              <c:strCache>
                <c:ptCount val="1"/>
                <c:pt idx="0">
                  <c:v>Refrigerants</c:v>
                </c:pt>
              </c:strCache>
            </c:strRef>
          </c:tx>
          <c:spPr>
            <a:solidFill>
              <a:srgbClr val="329BCE"/>
            </a:solidFill>
            <a:ln>
              <a:noFill/>
            </a:ln>
            <a:effectLst/>
          </c:spPr>
          <c:invertIfNegative val="0"/>
          <c:cat>
            <c:strRef>
              <c:f>'HIDE - Summary Chart Data'!$B$44:$C$44</c:f>
              <c:strCache>
                <c:ptCount val="2"/>
                <c:pt idx="0">
                  <c:v>0</c:v>
                </c:pt>
                <c:pt idx="1">
                  <c:v>Sector Average</c:v>
                </c:pt>
              </c:strCache>
            </c:strRef>
          </c:cat>
          <c:val>
            <c:numRef>
              <c:f>'HIDE - Summary Chart Data'!$B$47:$C$47</c:f>
              <c:numCache>
                <c:formatCode>#,##0</c:formatCode>
                <c:ptCount val="2"/>
                <c:pt idx="0">
                  <c:v>0</c:v>
                </c:pt>
                <c:pt idx="1">
                  <c:v>0</c:v>
                </c:pt>
              </c:numCache>
            </c:numRef>
          </c:val>
          <c:extLst>
            <c:ext xmlns:c16="http://schemas.microsoft.com/office/drawing/2014/chart" uri="{C3380CC4-5D6E-409C-BE32-E72D297353CC}">
              <c16:uniqueId val="{00000000-423D-E24B-8EB5-7CF867C43ECD}"/>
            </c:ext>
          </c:extLst>
        </c:ser>
        <c:dLbls>
          <c:showLegendKey val="0"/>
          <c:showVal val="0"/>
          <c:showCatName val="0"/>
          <c:showSerName val="0"/>
          <c:showPercent val="0"/>
          <c:showBubbleSize val="0"/>
        </c:dLbls>
        <c:gapWidth val="219"/>
        <c:overlap val="100"/>
        <c:axId val="1912842848"/>
        <c:axId val="1913235424"/>
      </c:barChart>
      <c:catAx>
        <c:axId val="19128428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913235424"/>
        <c:crosses val="autoZero"/>
        <c:auto val="1"/>
        <c:lblAlgn val="ctr"/>
        <c:lblOffset val="100"/>
        <c:noMultiLvlLbl val="0"/>
      </c:catAx>
      <c:valAx>
        <c:axId val="1913235424"/>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400" b="0" i="0" u="none" strike="noStrike" kern="1200" baseline="0">
                    <a:solidFill>
                      <a:schemeClr val="tx1"/>
                    </a:solidFill>
                    <a:latin typeface="Arial" panose="020B0604020202020204" pitchFamily="34" charset="0"/>
                    <a:ea typeface="+mn-ea"/>
                    <a:cs typeface="Arial" panose="020B0604020202020204" pitchFamily="34" charset="0"/>
                  </a:defRPr>
                </a:pPr>
                <a:r>
                  <a:rPr lang="en-GB" sz="1400">
                    <a:latin typeface="Arial" panose="020B0604020202020204" pitchFamily="34" charset="0"/>
                    <a:cs typeface="Arial" panose="020B0604020202020204" pitchFamily="34" charset="0"/>
                  </a:rPr>
                  <a:t>tCO2e</a:t>
                </a:r>
              </a:p>
            </c:rich>
          </c:tx>
          <c:overlay val="0"/>
          <c:spPr>
            <a:noFill/>
            <a:ln>
              <a:noFill/>
            </a:ln>
            <a:effectLst/>
          </c:spPr>
          <c:txPr>
            <a:bodyPr rot="0" spcFirstLastPara="1" vertOverflow="ellipsis" vert="horz" wrap="square" anchor="ctr" anchorCtr="1"/>
            <a:lstStyle/>
            <a:p>
              <a:pPr>
                <a:defRPr sz="14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9128428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4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solidFill>
            <a:schemeClr val="tx1"/>
          </a:solidFill>
          <a:latin typeface="Avenir Book" panose="02000503020000020003" pitchFamily="2"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'HIDE - Summary Chart Data'!$D$67</c:f>
              <c:strCache>
                <c:ptCount val="1"/>
                <c:pt idx="0">
                  <c:v>#DIV/0!</c:v>
                </c:pt>
              </c:strCache>
            </c:strRef>
          </c:tx>
          <c:spPr>
            <a:ln>
              <a:noFill/>
            </a:ln>
          </c:spPr>
          <c:dPt>
            <c:idx val="0"/>
            <c:bubble3D val="0"/>
            <c:spPr>
              <a:solidFill>
                <a:schemeClr val="accent1"/>
              </a:solidFill>
              <a:ln w="19050">
                <a:noFill/>
              </a:ln>
              <a:effectLst/>
            </c:spPr>
            <c:extLst>
              <c:ext xmlns:c16="http://schemas.microsoft.com/office/drawing/2014/chart" uri="{C3380CC4-5D6E-409C-BE32-E72D297353CC}">
                <c16:uniqueId val="{00000001-B58A-8A46-B83B-CF2011C4ABBD}"/>
              </c:ext>
            </c:extLst>
          </c:dPt>
          <c:cat>
            <c:numRef>
              <c:f>[0]!hotspot_1_chart_labels</c:f>
              <c:numCache>
                <c:formatCode>General</c:formatCode>
                <c:ptCount val="1"/>
                <c:pt idx="0">
                  <c:v>0</c:v>
                </c:pt>
              </c:numCache>
            </c:numRef>
          </c:cat>
          <c:val>
            <c:numRef>
              <c:f>[0]!hotspot_1_chart_values</c:f>
              <c:numCache>
                <c:formatCode>#,##0</c:formatCode>
                <c:ptCount val="1"/>
                <c:pt idx="0">
                  <c:v>0</c:v>
                </c:pt>
              </c:numCache>
            </c:numRef>
          </c:val>
          <c:extLst>
            <c:ext xmlns:c16="http://schemas.microsoft.com/office/drawing/2014/chart" uri="{C3380CC4-5D6E-409C-BE32-E72D297353CC}">
              <c16:uniqueId val="{00000004-B58A-8A46-B83B-CF2011C4ABBD}"/>
            </c:ext>
          </c:extLst>
        </c:ser>
        <c:dLbls>
          <c:showLegendKey val="0"/>
          <c:showVal val="0"/>
          <c:showCatName val="0"/>
          <c:showSerName val="0"/>
          <c:showPercent val="0"/>
          <c:showBubbleSize val="0"/>
          <c:showLeaderLines val="0"/>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'HIDE - Summary Chart Data'!$C$81</c:f>
              <c:strCache>
                <c:ptCount val="1"/>
                <c:pt idx="0">
                  <c:v>#DIV/0!</c:v>
                </c:pt>
              </c:strCache>
            </c:strRef>
          </c:tx>
          <c:spPr>
            <a:ln>
              <a:noFill/>
            </a:ln>
          </c:spPr>
          <c:dPt>
            <c:idx val="0"/>
            <c:bubble3D val="0"/>
            <c:spPr>
              <a:solidFill>
                <a:schemeClr val="accent1"/>
              </a:solidFill>
              <a:ln w="19050">
                <a:noFill/>
              </a:ln>
              <a:effectLst/>
            </c:spPr>
            <c:extLst>
              <c:ext xmlns:c16="http://schemas.microsoft.com/office/drawing/2014/chart" uri="{C3380CC4-5D6E-409C-BE32-E72D297353CC}">
                <c16:uniqueId val="{00000001-1413-A048-A288-2B379682FA86}"/>
              </c:ext>
            </c:extLst>
          </c:dPt>
          <c:cat>
            <c:numRef>
              <c:f>[0]!hotspot_2_chart_labels</c:f>
              <c:numCache>
                <c:formatCode>General</c:formatCode>
                <c:ptCount val="1"/>
                <c:pt idx="0">
                  <c:v>0</c:v>
                </c:pt>
              </c:numCache>
            </c:numRef>
          </c:cat>
          <c:val>
            <c:numRef>
              <c:f>[0]!hotspot_2_chart_values</c:f>
              <c:numCache>
                <c:formatCode>#,##0</c:formatCode>
                <c:ptCount val="1"/>
                <c:pt idx="0">
                  <c:v>0</c:v>
                </c:pt>
              </c:numCache>
            </c:numRef>
          </c:val>
          <c:extLst>
            <c:ext xmlns:c16="http://schemas.microsoft.com/office/drawing/2014/chart" uri="{C3380CC4-5D6E-409C-BE32-E72D297353CC}">
              <c16:uniqueId val="{00000004-1413-A048-A288-2B379682FA86}"/>
            </c:ext>
          </c:extLst>
        </c:ser>
        <c:dLbls>
          <c:showLegendKey val="0"/>
          <c:showVal val="0"/>
          <c:showCatName val="0"/>
          <c:showSerName val="0"/>
          <c:showPercent val="0"/>
          <c:showBubbleSize val="0"/>
          <c:showLeaderLines val="0"/>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'HIDE - Summary Chart Data'!$C$93</c:f>
              <c:strCache>
                <c:ptCount val="1"/>
                <c:pt idx="0">
                  <c:v>#DIV/0!</c:v>
                </c:pt>
              </c:strCache>
            </c:strRef>
          </c:tx>
          <c:spPr>
            <a:ln>
              <a:noFill/>
            </a:ln>
          </c:spPr>
          <c:dPt>
            <c:idx val="0"/>
            <c:bubble3D val="0"/>
            <c:spPr>
              <a:solidFill>
                <a:schemeClr val="accent1"/>
              </a:solidFill>
              <a:ln w="19050">
                <a:noFill/>
              </a:ln>
              <a:effectLst/>
            </c:spPr>
            <c:extLst>
              <c:ext xmlns:c16="http://schemas.microsoft.com/office/drawing/2014/chart" uri="{C3380CC4-5D6E-409C-BE32-E72D297353CC}">
                <c16:uniqueId val="{00000001-E8F8-5441-BA73-2DDCEEB6609F}"/>
              </c:ext>
            </c:extLst>
          </c:dPt>
          <c:cat>
            <c:numRef>
              <c:f>[0]!hotspot_3_chart_labels</c:f>
              <c:numCache>
                <c:formatCode>General</c:formatCode>
                <c:ptCount val="1"/>
                <c:pt idx="0">
                  <c:v>0</c:v>
                </c:pt>
              </c:numCache>
            </c:numRef>
          </c:cat>
          <c:val>
            <c:numRef>
              <c:f>[0]!hotspot_3_chart_values</c:f>
              <c:numCache>
                <c:formatCode>#,##0</c:formatCode>
                <c:ptCount val="1"/>
                <c:pt idx="0">
                  <c:v>0</c:v>
                </c:pt>
              </c:numCache>
            </c:numRef>
          </c:val>
          <c:extLst>
            <c:ext xmlns:c16="http://schemas.microsoft.com/office/drawing/2014/chart" uri="{C3380CC4-5D6E-409C-BE32-E72D297353CC}">
              <c16:uniqueId val="{00000004-E8F8-5441-BA73-2DDCEEB6609F}"/>
            </c:ext>
          </c:extLst>
        </c:ser>
        <c:dLbls>
          <c:showLegendKey val="0"/>
          <c:showVal val="0"/>
          <c:showCatName val="0"/>
          <c:showSerName val="0"/>
          <c:showPercent val="0"/>
          <c:showBubbleSize val="0"/>
          <c:showLeaderLines val="0"/>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'HIDE - Summary Chart Data'!$A$134</c:f>
              <c:strCache>
                <c:ptCount val="1"/>
                <c:pt idx="0">
                  <c:v>GHG Protocol Summary</c:v>
                </c:pt>
              </c:strCache>
            </c:strRef>
          </c:tx>
          <c:spPr>
            <a:ln>
              <a:noFill/>
            </a:ln>
          </c:spPr>
          <c:dPt>
            <c:idx val="0"/>
            <c:bubble3D val="0"/>
            <c:spPr>
              <a:solidFill>
                <a:schemeClr val="accent1"/>
              </a:solidFill>
              <a:ln w="19050">
                <a:noFill/>
              </a:ln>
              <a:effectLst/>
            </c:spPr>
            <c:extLst>
              <c:ext xmlns:c16="http://schemas.microsoft.com/office/drawing/2014/chart" uri="{C3380CC4-5D6E-409C-BE32-E72D297353CC}">
                <c16:uniqueId val="{00000001-57B3-2F4C-9E4F-0E298ACC9FAF}"/>
              </c:ext>
            </c:extLst>
          </c:dPt>
          <c:cat>
            <c:numRef>
              <c:f>[0]!chart_ghg_labels</c:f>
              <c:numCache>
                <c:formatCode>General</c:formatCode>
                <c:ptCount val="1"/>
                <c:pt idx="0">
                  <c:v>0</c:v>
                </c:pt>
              </c:numCache>
            </c:numRef>
          </c:cat>
          <c:val>
            <c:numRef>
              <c:f>[0]!chart_ghg_values</c:f>
              <c:numCache>
                <c:formatCode>#,##0</c:formatCode>
                <c:ptCount val="1"/>
                <c:pt idx="0">
                  <c:v>0</c:v>
                </c:pt>
              </c:numCache>
            </c:numRef>
          </c:val>
          <c:extLst>
            <c:ext xmlns:c16="http://schemas.microsoft.com/office/drawing/2014/chart" uri="{C3380CC4-5D6E-409C-BE32-E72D297353CC}">
              <c16:uniqueId val="{00000008-57B3-2F4C-9E4F-0E298ACC9FAF}"/>
            </c:ext>
          </c:extLst>
        </c:ser>
        <c:dLbls>
          <c:showLegendKey val="0"/>
          <c:showVal val="0"/>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6197180938837934"/>
          <c:y val="0.19226328736741688"/>
          <c:w val="0.37340598117141782"/>
          <c:h val="0.60522350476258113"/>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chemeClr val="tx1"/>
          </a:solidFill>
          <a:latin typeface="Avenir Book" panose="02000503020000020003" pitchFamily="2"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4.png"/><Relationship Id="rId5" Type="http://schemas.openxmlformats.org/officeDocument/2006/relationships/image" Target="../media/image3.svg"/><Relationship Id="rId4"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7" Type="http://schemas.openxmlformats.org/officeDocument/2006/relationships/image" Target="../media/image5.png"/><Relationship Id="rId2" Type="http://schemas.openxmlformats.org/officeDocument/2006/relationships/chart" Target="../charts/chart3.xml"/><Relationship Id="rId1" Type="http://schemas.openxmlformats.org/officeDocument/2006/relationships/image" Target="../media/image1.png"/><Relationship Id="rId6" Type="http://schemas.openxmlformats.org/officeDocument/2006/relationships/image" Target="../media/image3.svg"/><Relationship Id="rId5" Type="http://schemas.openxmlformats.org/officeDocument/2006/relationships/image" Target="../media/image2.png"/><Relationship Id="rId4"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6</xdr:col>
      <xdr:colOff>1574800</xdr:colOff>
      <xdr:row>35</xdr:row>
      <xdr:rowOff>13276</xdr:rowOff>
    </xdr:from>
    <xdr:to>
      <xdr:col>6</xdr:col>
      <xdr:colOff>2171700</xdr:colOff>
      <xdr:row>39</xdr:row>
      <xdr:rowOff>500036</xdr:rowOff>
    </xdr:to>
    <xdr:sp macro="" textlink="">
      <xdr:nvSpPr>
        <xdr:cNvPr id="2" name="Left Brace 1">
          <a:extLst>
            <a:ext uri="{FF2B5EF4-FFF2-40B4-BE49-F238E27FC236}">
              <a16:creationId xmlns:a16="http://schemas.microsoft.com/office/drawing/2014/main" id="{809C72D0-1C8B-ABDF-CD10-86A9EFA164D0}"/>
            </a:ext>
          </a:extLst>
        </xdr:cNvPr>
        <xdr:cNvSpPr/>
      </xdr:nvSpPr>
      <xdr:spPr>
        <a:xfrm>
          <a:off x="8534400" y="18529876"/>
          <a:ext cx="596900" cy="2518760"/>
        </a:xfrm>
        <a:prstGeom prst="leftBrace">
          <a:avLst>
            <a:gd name="adj1" fmla="val 65244"/>
            <a:gd name="adj2" fmla="val 50000"/>
          </a:avLst>
        </a:prstGeom>
        <a:ln w="12700">
          <a:solidFill>
            <a:schemeClr val="tx2"/>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139700</xdr:colOff>
      <xdr:row>10</xdr:row>
      <xdr:rowOff>60660</xdr:rowOff>
    </xdr:from>
    <xdr:to>
      <xdr:col>7</xdr:col>
      <xdr:colOff>625300</xdr:colOff>
      <xdr:row>29</xdr:row>
      <xdr:rowOff>65660</xdr:rowOff>
    </xdr:to>
    <xdr:graphicFrame macro="">
      <xdr:nvGraphicFramePr>
        <xdr:cNvPr id="2" name="Chart 1">
          <a:extLst>
            <a:ext uri="{FF2B5EF4-FFF2-40B4-BE49-F238E27FC236}">
              <a16:creationId xmlns:a16="http://schemas.microsoft.com/office/drawing/2014/main" id="{C8B70795-DA8D-2153-7160-E4760AB9D3D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158750</xdr:colOff>
      <xdr:row>10</xdr:row>
      <xdr:rowOff>62160</xdr:rowOff>
    </xdr:from>
    <xdr:to>
      <xdr:col>14</xdr:col>
      <xdr:colOff>923750</xdr:colOff>
      <xdr:row>29</xdr:row>
      <xdr:rowOff>64160</xdr:rowOff>
    </xdr:to>
    <xdr:graphicFrame macro="">
      <xdr:nvGraphicFramePr>
        <xdr:cNvPr id="3" name="Chart 2">
          <a:extLst>
            <a:ext uri="{FF2B5EF4-FFF2-40B4-BE49-F238E27FC236}">
              <a16:creationId xmlns:a16="http://schemas.microsoft.com/office/drawing/2014/main" id="{6670ECBB-835D-F303-1601-F9E76D6C03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63499</xdr:colOff>
      <xdr:row>0</xdr:row>
      <xdr:rowOff>139700</xdr:rowOff>
    </xdr:from>
    <xdr:to>
      <xdr:col>4</xdr:col>
      <xdr:colOff>526600</xdr:colOff>
      <xdr:row>6</xdr:row>
      <xdr:rowOff>500</xdr:rowOff>
    </xdr:to>
    <xdr:pic>
      <xdr:nvPicPr>
        <xdr:cNvPr id="4" name="Picture 3">
          <a:extLst>
            <a:ext uri="{FF2B5EF4-FFF2-40B4-BE49-F238E27FC236}">
              <a16:creationId xmlns:a16="http://schemas.microsoft.com/office/drawing/2014/main" id="{320040AC-B7EB-2BCC-3119-606A7B8FE1E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15899" y="139700"/>
          <a:ext cx="3600001" cy="108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135466</xdr:colOff>
      <xdr:row>34</xdr:row>
      <xdr:rowOff>29633</xdr:rowOff>
    </xdr:from>
    <xdr:to>
      <xdr:col>14</xdr:col>
      <xdr:colOff>850900</xdr:colOff>
      <xdr:row>36</xdr:row>
      <xdr:rowOff>40570</xdr:rowOff>
    </xdr:to>
    <xdr:pic>
      <xdr:nvPicPr>
        <xdr:cNvPr id="6" name="Graphic 5">
          <a:extLst>
            <a:ext uri="{FF2B5EF4-FFF2-40B4-BE49-F238E27FC236}">
              <a16:creationId xmlns:a16="http://schemas.microsoft.com/office/drawing/2014/main" id="{72D388EC-CDD0-83A9-9429-688CED11522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12797366" y="8144933"/>
          <a:ext cx="715434" cy="417337"/>
        </a:xfrm>
        <a:prstGeom prst="rect">
          <a:avLst/>
        </a:prstGeom>
      </xdr:spPr>
    </xdr:pic>
    <xdr:clientData/>
  </xdr:twoCellAnchor>
  <xdr:oneCellAnchor>
    <xdr:from>
      <xdr:col>10</xdr:col>
      <xdr:colOff>304800</xdr:colOff>
      <xdr:row>0</xdr:row>
      <xdr:rowOff>139700</xdr:rowOff>
    </xdr:from>
    <xdr:ext cx="4343400" cy="1358900"/>
    <xdr:sp macro="" textlink="">
      <xdr:nvSpPr>
        <xdr:cNvPr id="7" name="TextBox 6">
          <a:extLst>
            <a:ext uri="{FF2B5EF4-FFF2-40B4-BE49-F238E27FC236}">
              <a16:creationId xmlns:a16="http://schemas.microsoft.com/office/drawing/2014/main" id="{EFC487EE-C2C8-6758-33AF-F758944BA75D}"/>
            </a:ext>
          </a:extLst>
        </xdr:cNvPr>
        <xdr:cNvSpPr txBox="1"/>
      </xdr:nvSpPr>
      <xdr:spPr>
        <a:xfrm>
          <a:off x="9309100" y="139700"/>
          <a:ext cx="4343400" cy="1358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lang="en-GB" sz="3600" b="1">
              <a:solidFill>
                <a:schemeClr val="tx2"/>
              </a:solidFill>
              <a:latin typeface="Arial" panose="020B0604020202020204" pitchFamily="34" charset="0"/>
              <a:cs typeface="Arial" panose="020B0604020202020204" pitchFamily="34" charset="0"/>
            </a:rPr>
            <a:t>Emissions Hotspot</a:t>
          </a:r>
          <a:r>
            <a:rPr lang="en-GB" sz="3600" b="1" baseline="0">
              <a:solidFill>
                <a:schemeClr val="tx2"/>
              </a:solidFill>
              <a:latin typeface="Arial" panose="020B0604020202020204" pitchFamily="34" charset="0"/>
              <a:cs typeface="Arial" panose="020B0604020202020204" pitchFamily="34" charset="0"/>
            </a:rPr>
            <a:t> </a:t>
          </a:r>
          <a:r>
            <a:rPr lang="en-GB" sz="3600" b="1">
              <a:solidFill>
                <a:schemeClr val="tx2"/>
              </a:solidFill>
              <a:latin typeface="Arial" panose="020B0604020202020204" pitchFamily="34" charset="0"/>
              <a:cs typeface="Arial" panose="020B0604020202020204" pitchFamily="34" charset="0"/>
            </a:rPr>
            <a:t>Calculator</a:t>
          </a:r>
        </a:p>
      </xdr:txBody>
    </xdr:sp>
    <xdr:clientData/>
  </xdr:oneCellAnchor>
  <xdr:twoCellAnchor editAs="oneCell">
    <xdr:from>
      <xdr:col>4</xdr:col>
      <xdr:colOff>926665</xdr:colOff>
      <xdr:row>0</xdr:row>
      <xdr:rowOff>139700</xdr:rowOff>
    </xdr:from>
    <xdr:to>
      <xdr:col>10</xdr:col>
      <xdr:colOff>222233</xdr:colOff>
      <xdr:row>6</xdr:row>
      <xdr:rowOff>500</xdr:rowOff>
    </xdr:to>
    <xdr:pic>
      <xdr:nvPicPr>
        <xdr:cNvPr id="5" name="Picture 4">
          <a:extLst>
            <a:ext uri="{FF2B5EF4-FFF2-40B4-BE49-F238E27FC236}">
              <a16:creationId xmlns:a16="http://schemas.microsoft.com/office/drawing/2014/main" id="{50203937-ADEE-784B-BBD0-7973E46808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215965" y="139700"/>
          <a:ext cx="5010568" cy="108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338589</xdr:colOff>
      <xdr:row>0</xdr:row>
      <xdr:rowOff>280416</xdr:rowOff>
    </xdr:from>
    <xdr:to>
      <xdr:col>12</xdr:col>
      <xdr:colOff>206310</xdr:colOff>
      <xdr:row>4</xdr:row>
      <xdr:rowOff>118016</xdr:rowOff>
    </xdr:to>
    <xdr:pic>
      <xdr:nvPicPr>
        <xdr:cNvPr id="5" name="Picture 4">
          <a:extLst>
            <a:ext uri="{FF2B5EF4-FFF2-40B4-BE49-F238E27FC236}">
              <a16:creationId xmlns:a16="http://schemas.microsoft.com/office/drawing/2014/main" id="{9AD05EFF-ECC6-904C-80A5-1D64999420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589" y="280416"/>
          <a:ext cx="4134921" cy="12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23</xdr:col>
      <xdr:colOff>2314223</xdr:colOff>
      <xdr:row>1</xdr:row>
      <xdr:rowOff>95716</xdr:rowOff>
    </xdr:from>
    <xdr:ext cx="7056026" cy="918200"/>
    <xdr:sp macro="" textlink="">
      <xdr:nvSpPr>
        <xdr:cNvPr id="7" name="TextBox 6">
          <a:extLst>
            <a:ext uri="{FF2B5EF4-FFF2-40B4-BE49-F238E27FC236}">
              <a16:creationId xmlns:a16="http://schemas.microsoft.com/office/drawing/2014/main" id="{CD148AFB-53F2-9249-AA6C-0C39DF5D1247}"/>
            </a:ext>
          </a:extLst>
        </xdr:cNvPr>
        <xdr:cNvSpPr txBox="1"/>
      </xdr:nvSpPr>
      <xdr:spPr>
        <a:xfrm>
          <a:off x="10428112" y="448494"/>
          <a:ext cx="7056026" cy="918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lang="en-GB" sz="3600" b="1">
              <a:solidFill>
                <a:schemeClr val="tx2"/>
              </a:solidFill>
              <a:latin typeface="Arial" panose="020B0604020202020204" pitchFamily="34" charset="0"/>
              <a:cs typeface="Arial" panose="020B0604020202020204" pitchFamily="34" charset="0"/>
            </a:rPr>
            <a:t>Emissions Hotspot Calculator</a:t>
          </a:r>
        </a:p>
        <a:p>
          <a:pPr algn="ctr"/>
          <a:r>
            <a:rPr lang="en-GB" sz="2000" b="1">
              <a:solidFill>
                <a:schemeClr val="tx2"/>
              </a:solidFill>
              <a:latin typeface="Arial" panose="020B0604020202020204" pitchFamily="34" charset="0"/>
              <a:cs typeface="Arial" panose="020B0604020202020204" pitchFamily="34" charset="0"/>
            </a:rPr>
            <a:t>Detailed Summary</a:t>
          </a:r>
        </a:p>
      </xdr:txBody>
    </xdr:sp>
    <xdr:clientData/>
  </xdr:oneCellAnchor>
  <xdr:twoCellAnchor>
    <xdr:from>
      <xdr:col>0</xdr:col>
      <xdr:colOff>293982</xdr:colOff>
      <xdr:row>6</xdr:row>
      <xdr:rowOff>90387</xdr:rowOff>
    </xdr:from>
    <xdr:to>
      <xdr:col>21</xdr:col>
      <xdr:colOff>26382</xdr:colOff>
      <xdr:row>15</xdr:row>
      <xdr:rowOff>206687</xdr:rowOff>
    </xdr:to>
    <xdr:graphicFrame macro="">
      <xdr:nvGraphicFramePr>
        <xdr:cNvPr id="9" name="Chart 8">
          <a:extLst>
            <a:ext uri="{FF2B5EF4-FFF2-40B4-BE49-F238E27FC236}">
              <a16:creationId xmlns:a16="http://schemas.microsoft.com/office/drawing/2014/main" id="{5CCBE581-C6CD-CB41-B972-B3D277B079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293982</xdr:colOff>
      <xdr:row>17</xdr:row>
      <xdr:rowOff>160497</xdr:rowOff>
    </xdr:from>
    <xdr:to>
      <xdr:col>21</xdr:col>
      <xdr:colOff>26382</xdr:colOff>
      <xdr:row>26</xdr:row>
      <xdr:rowOff>238697</xdr:rowOff>
    </xdr:to>
    <xdr:graphicFrame macro="">
      <xdr:nvGraphicFramePr>
        <xdr:cNvPr id="10" name="Chart 9">
          <a:extLst>
            <a:ext uri="{FF2B5EF4-FFF2-40B4-BE49-F238E27FC236}">
              <a16:creationId xmlns:a16="http://schemas.microsoft.com/office/drawing/2014/main" id="{19433100-03B5-1F44-A422-4FFCE9106A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293982</xdr:colOff>
      <xdr:row>28</xdr:row>
      <xdr:rowOff>286454</xdr:rowOff>
    </xdr:from>
    <xdr:to>
      <xdr:col>21</xdr:col>
      <xdr:colOff>26382</xdr:colOff>
      <xdr:row>38</xdr:row>
      <xdr:rowOff>250354</xdr:rowOff>
    </xdr:to>
    <xdr:graphicFrame macro="">
      <xdr:nvGraphicFramePr>
        <xdr:cNvPr id="11" name="Chart 10">
          <a:extLst>
            <a:ext uri="{FF2B5EF4-FFF2-40B4-BE49-F238E27FC236}">
              <a16:creationId xmlns:a16="http://schemas.microsoft.com/office/drawing/2014/main" id="{1A9A9F85-70FB-5441-A11A-C1CE6DC3D2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30</xdr:col>
      <xdr:colOff>1392903</xdr:colOff>
      <xdr:row>35</xdr:row>
      <xdr:rowOff>684294</xdr:rowOff>
    </xdr:from>
    <xdr:to>
      <xdr:col>32</xdr:col>
      <xdr:colOff>292903</xdr:colOff>
      <xdr:row>38</xdr:row>
      <xdr:rowOff>229422</xdr:rowOff>
    </xdr:to>
    <xdr:pic>
      <xdr:nvPicPr>
        <xdr:cNvPr id="13" name="Graphic 12">
          <a:extLst>
            <a:ext uri="{FF2B5EF4-FFF2-40B4-BE49-F238E27FC236}">
              <a16:creationId xmlns:a16="http://schemas.microsoft.com/office/drawing/2014/main" id="{C1134732-659A-FF4D-A1CF-8AE5E69BF78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8537903" y="15658004"/>
          <a:ext cx="1440000" cy="815128"/>
        </a:xfrm>
        <a:prstGeom prst="rect">
          <a:avLst/>
        </a:prstGeom>
      </xdr:spPr>
    </xdr:pic>
    <xdr:clientData/>
  </xdr:twoCellAnchor>
  <xdr:twoCellAnchor editAs="oneCell">
    <xdr:from>
      <xdr:col>13</xdr:col>
      <xdr:colOff>72200</xdr:colOff>
      <xdr:row>0</xdr:row>
      <xdr:rowOff>280416</xdr:rowOff>
    </xdr:from>
    <xdr:to>
      <xdr:col>23</xdr:col>
      <xdr:colOff>2298755</xdr:colOff>
      <xdr:row>4</xdr:row>
      <xdr:rowOff>118016</xdr:rowOff>
    </xdr:to>
    <xdr:pic>
      <xdr:nvPicPr>
        <xdr:cNvPr id="18" name="Picture 17">
          <a:extLst>
            <a:ext uri="{FF2B5EF4-FFF2-40B4-BE49-F238E27FC236}">
              <a16:creationId xmlns:a16="http://schemas.microsoft.com/office/drawing/2014/main" id="{6618E4D2-6CF0-BB43-B8DF-E4764EB988B1}"/>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4695000" y="280416"/>
          <a:ext cx="5782555" cy="126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23</xdr:row>
      <xdr:rowOff>21166</xdr:rowOff>
    </xdr:from>
    <xdr:to>
      <xdr:col>8</xdr:col>
      <xdr:colOff>366889</xdr:colOff>
      <xdr:row>45</xdr:row>
      <xdr:rowOff>148166</xdr:rowOff>
    </xdr:to>
    <xdr:graphicFrame macro="">
      <xdr:nvGraphicFramePr>
        <xdr:cNvPr id="2" name="Chart 1">
          <a:extLst>
            <a:ext uri="{FF2B5EF4-FFF2-40B4-BE49-F238E27FC236}">
              <a16:creationId xmlns:a16="http://schemas.microsoft.com/office/drawing/2014/main" id="{245AA6F3-8346-0C44-8974-A5D3253730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Laura Watson" id="{2ADB1552-2EB2-164E-A89D-5735C5E66C1B}" userId="S::Laura.Watson@3keel.com::f34d0c1e-1914-4d26-9a1b-831ec1a1027d"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AB75F83-6244-1846-B0D2-F8BDB9A6599C}" name="GHG_categories" displayName="GHG_categories" ref="A6:H18" totalsRowShown="0" headerRowDxfId="102">
  <autoFilter ref="A6:H18" xr:uid="{2AB75F83-6244-1846-B0D2-F8BDB9A6599C}"/>
  <sortState xmlns:xlrd2="http://schemas.microsoft.com/office/spreadsheetml/2017/richdata2" ref="A7:H18">
    <sortCondition ref="D6:D18"/>
  </sortState>
  <tableColumns count="8">
    <tableColumn id="1" xr3:uid="{6015BD81-51A7-474F-B4DA-BFE551EAB76C}" name="Scope" dataDxfId="101"/>
    <tableColumn id="2" xr3:uid="{E55D2258-C03B-004C-BB5A-3F7C8BEDF1A5}" name="Scop Sub Category" dataDxfId="100"/>
    <tableColumn id="3" xr3:uid="{1E0C4387-91E7-234B-8E32-DB3EEE251668}" name="Name" dataDxfId="99"/>
    <tableColumn id="4" xr3:uid="{C00A987C-78BE-D34B-B602-61E778D02EEF}" name="Scope Full Name" dataDxfId="98" dataCellStyle="Normal"/>
    <tableColumn id="8" xr3:uid="{462CA6F0-7C4D-C045-A30E-D6BE031A97AB}" name="Description" dataCellStyle="Normal"/>
    <tableColumn id="5" xr3:uid="{36DDFB72-5455-D94B-95F6-0F813EB5B48C}" name="Emissions (tCO2e)" dataDxfId="97" dataCellStyle="Normal">
      <calculatedColumnFormula>SUMIF(calcs_emissions[GHG Protocol Category Name],GHG_categories[[#This Row],[Name]],calcs_emissions[Emissions (tCO2e)])</calculatedColumnFormula>
    </tableColumn>
    <tableColumn id="7" xr3:uid="{B6C5A54C-D732-584F-8252-9A822F48DBD3}" name="% of total" dataDxfId="96" dataCellStyle="Per cent">
      <calculatedColumnFormula>IFERROR(GHG_categories[[#This Row],[Emissions (tCO2e)]]/SUM(GHG_categories[Emissions (tCO2e)]),"")</calculatedColumnFormula>
    </tableColumn>
    <tableColumn id="6" xr3:uid="{1C6A63A6-6CB4-8C48-8559-680E07E78707}" name="Data Source for estimate" dataDxfId="95" dataCellStyle="Normal"/>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9FFEDEF6-6AF7-E74B-AFF0-510D03D2E9D0}" name="Table29" displayName="Table29" ref="A103:H104" totalsRowShown="0">
  <autoFilter ref="A103:H104" xr:uid="{9FFEDEF6-6AF7-E74B-AFF0-510D03D2E9D0}"/>
  <tableColumns count="8">
    <tableColumn id="1" xr3:uid="{AC742621-586F-4946-96F1-75469D5A2EC1}" name="Electricity EF"/>
    <tableColumn id="2" xr3:uid="{EAE77F7D-314A-6A46-BA35-05306D9E2CCC}" name="Renewable Input" dataDxfId="70">
      <calculatedColumnFormula>IF(inputs_energy_renew_Key_or_Adv="← Use key input",inputs_energy_key_renewable_yn,inputs_energy_adv_renewable_percent)</calculatedColumnFormula>
    </tableColumn>
    <tableColumn id="6" xr3:uid="{32B9A0A9-E4C5-9F4D-B7F5-6C3EB461C8C0}" name="Renewable %" dataCellStyle="Per cent">
      <calculatedColumnFormula array="1">_xlfn.IFS(Table29[[#This Row],[Renewable Input]]="Yes",100%,Table29[[#This Row],[Renewable Input]]="No",0%,TRUE,Table29[[#This Row],[Renewable Input]]/100)</calculatedColumnFormula>
    </tableColumn>
    <tableColumn id="3" xr3:uid="{2FA86C93-9A26-9E43-908D-D6B7D6327587}" name="T&amp;D- UK electricity"/>
    <tableColumn id="4" xr3:uid="{7866FFA3-B7C8-244A-A3DC-35CE158E20CD}" name="WTT- UK electricity (T&amp;D)"/>
    <tableColumn id="5" xr3:uid="{E207EA4C-8E96-E047-8A1F-4CAD48FCE2F9}" name="WTT- UK electricity (generation)"/>
    <tableColumn id="7" xr3:uid="{2A841339-D335-784C-A584-86C56812B8FA}" name="Total WTT kgCO2e/kWh">
      <calculatedColumnFormula>Table29[[#This Row],[T&amp;D- UK electricity]]+Table29[[#This Row],[WTT- UK electricity (T&amp;D)]]+Table29[[#This Row],[WTT- UK electricity (generation)]]*(1-Table29[[#This Row],[Renewable %]])</calculatedColumnFormula>
    </tableColumn>
    <tableColumn id="8" xr3:uid="{9AC3BFAA-761D-A344-9A04-437F87FE43ED}" name="WTT Uplift %">
      <calculatedColumnFormula>Table29[[#This Row],[Total WTT kgCO2e/kWh]]/Table29[[#This Row],[Electricity EF]]</calculatedColumnFormula>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83B121A-231C-7C4C-8812-3D6F9F4CEA67}" name="calcs_total_est" displayName="calcs_total_est" ref="A106:D107" totalsRowShown="0">
  <autoFilter ref="A106:D107" xr:uid="{B83B121A-231C-7C4C-8812-3D6F9F4CEA67}"/>
  <tableColumns count="4">
    <tableColumn id="1" xr3:uid="{1057B4E3-69BC-2D43-99B0-7B731E9008F6}" name="Total Vehicle (£/km/miles)">
      <calculatedColumnFormula>inputs_log_key_total_value</calculatedColumnFormula>
    </tableColumn>
    <tableColumn id="2" xr3:uid="{0B3C45D7-EC51-BE43-9424-4C1CB2203678}" name="HGV">
      <calculatedColumnFormula array="1">calcs_total_est[[#This Row],[Total Vehicle (£/km/miles)]]*Table68[HGV avg % of emissions (normalised)]</calculatedColumnFormula>
    </tableColumn>
    <tableColumn id="3" xr3:uid="{2F5C87BB-4AE4-8E4F-A7C0-B68D912CA848}" name="LGV">
      <calculatedColumnFormula array="1">calcs_total_est[[#This Row],[Total Vehicle (£/km/miles)]]*Table68[LGV avg % of emissions (normalised)]</calculatedColumnFormula>
    </tableColumn>
    <tableColumn id="4" xr3:uid="{1DEB2194-25A3-DE48-B21B-2A52DFA5BD2E}" name="Company Cars">
      <calculatedColumnFormula array="1">calcs_total_est[[#This Row],[Total Vehicle (£/km/miles)]]*Table68[Company Car avg % of emissions (normalised)]</calculatedColumnFormula>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EF21026-E079-F943-8044-33F035544492}" name="calcs_EFs" displayName="calcs_EFs" ref="A1:H189" totalsRowShown="0">
  <autoFilter ref="A1:H189" xr:uid="{8EF21026-E079-F943-8044-33F035544492}"/>
  <tableColumns count="8">
    <tableColumn id="6" xr3:uid="{3D0A7571-71F2-BB4D-AD50-4C11E51A4858}" name="Category" dataCellStyle="Normal"/>
    <tableColumn id="1" xr3:uid="{55892B8F-F588-5243-9C86-E477C031A740}" name="Type" dataCellStyle="Normal"/>
    <tableColumn id="2" xr3:uid="{1CF5F3BD-795D-D743-84AF-5F29EEADBA56}" name="Unit"/>
    <tableColumn id="3" xr3:uid="{E2D7097C-17CB-7E48-B25F-7BDD20906B2E}" name="EF ID"/>
    <tableColumn id="5" xr3:uid="{7EA45DC6-A299-F641-BD10-9BDE94C7F0DE}" name="Conversion" dataDxfId="69">
      <calculatedColumnFormula array="1">_xlfn.IFS(OR(calcs_EFs[[#This Row],[Unit]]="miles",calcs_EFs[[#This Row],[Unit]]="car miles"),CONVERT(1, "mi","km"),TRUE,1)</calculatedColumnFormula>
    </tableColumn>
    <tableColumn id="7" xr3:uid="{FC33E79C-4EBB-BF48-B4DE-EE5C1226B147}" name="XLOOKUP?" dataDxfId="68"/>
    <tableColumn id="8" xr3:uid="{343F720A-CC8B-D04E-9618-1BB7B17A5435}" name="Manual Value" dataDxfId="67"/>
    <tableColumn id="4" xr3:uid="{D7A6E26D-B2E6-124A-8D57-9F63A177D90D}" name="EF (kgCO2e/unit)" dataDxfId="66">
      <calculatedColumnFormula>IF(calcs_EFs[[#This Row],[XLOOKUP?]],_xlfn.XLOOKUP(calcs_EFs[[#This Row],[EF ID]],EF_DB_short[EF ID],EF_DB_short[EF (kgCO2e/unit)])*calcs_EFs[[#This Row],[Conversion]],calcs_EFs[[#This Row],[Manual Value]])</calculatedColumnFormula>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9B17572D-FCC4-1B4D-8EB8-CCA05255E515}" name="EF_DB_short" displayName="EF_DB_short" ref="A191:B367" totalsRowShown="0">
  <autoFilter ref="A191:B367" xr:uid="{9B17572D-FCC4-1B4D-8EB8-CCA05255E515}"/>
  <tableColumns count="2">
    <tableColumn id="1" xr3:uid="{A2C26A3C-A678-1B4B-A322-12297974B0CE}" name="EF ID"/>
    <tableColumn id="2" xr3:uid="{555B6518-88E1-6F4D-8197-A0472C6ADC46}" name="EF (kgCO2e/unit)" dataDxfId="65"/>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672D5F2-95F7-944A-B943-E82A266FFBF3}" name="Table16" displayName="Table16" ref="C5:BG34" totalsRowShown="0">
  <autoFilter ref="C5:BG34" xr:uid="{C672D5F2-95F7-944A-B943-E82A266FFBF3}"/>
  <tableColumns count="57">
    <tableColumn id="1" xr3:uid="{FE0753F2-C84D-7B49-9B65-A8E2A3807426}" name="Name"/>
    <tableColumn id="2" xr3:uid="{AB615CAD-1FA2-BB4B-9A88-0224B0693074}" name="Business name"/>
    <tableColumn id="3" xr3:uid="{95D656C8-9FD4-AA42-B45E-76E533D96266}" name="Contact name"/>
    <tableColumn id="4" xr3:uid="{B670DC8E-E68A-3341-AC3D-EFFCBED0AFA9}" name="Contact email address"/>
    <tableColumn id="5" xr3:uid="{0A3D1914-65C9-BE4D-93E9-767AB4452BA5}" name="Data year for information below (start date to end date)"/>
    <tableColumn id="6" xr3:uid="{71B931BB-D3BA-BE4C-A729-CBF7D124C335}" name="Business turnover during data year (United Kingdom) (£)"/>
    <tableColumn id="7" xr3:uid="{C48E2F0A-7793-9C4A-938F-7B86AE7DD33D}" name="Business turnover during data year (Scotland only)"/>
    <tableColumn id="8" xr3:uid="{DC4C6270-6B20-B045-8FE0-3089DDFAFC8F}" name="Square footage of depots during data year  (United Kingdom) (sq ft)"/>
    <tableColumn id="9" xr3:uid="{F5C848CA-04A8-0C42-9522-DBC1EF434054}" name="Square footage of depots during data year (Scotland only) (sq ft)"/>
    <tableColumn id="58" xr3:uid="{7F7F99A4-B3E3-E541-A695-05BB3E34AE80}" name="Please estimate the % depot footage dedicated to ambient storage, chilled storage and frozen storage (United Kingdom) (sq ft)" dataDxfId="64"/>
    <tableColumn id="10" xr3:uid="{CC5F8BCE-CA83-3E45-8BB0-03E88DE21E8C}" name="If you have operations in Scotland, and can provide data split between Scotland and the rest of UK, please duplicate the survey, and complete a version for each (sq ft)"/>
    <tableColumn id="11" xr3:uid="{FA3A6BC5-9595-1140-8168-82585ADC8096}" name="Number of cases sold during data year (Scotland only) - please clarify how you define case count in the notes section"/>
    <tableColumn id="12" xr3:uid="{2481F4BF-B21F-9640-99AD-F93FE8E97CF7}" name="Please define your principle business location (i.e council area)"/>
    <tableColumn id="13" xr3:uid="{EBC1EF35-11B6-C14D-A77D-89DAAD31F77F}" name="Please estimate the % split of the areas you serve between urban, rural, islands, highlands, other (please explain)"/>
    <tableColumn id="14" xr3:uid="{8592AB97-C06E-0942-9FDF-70071F8BD1FF}" name="Are you covered by any mandatory GHG reporting? If so, under which regulation"/>
    <tableColumn id="15" xr3:uid="{4F8B516A-0F82-0C42-BE0C-CE0FB199DD95}" name="Which corporate GHG accounting and reporting standard do you use? "/>
    <tableColumn id="16" xr3:uid="{D8796F6E-093D-F646-B58C-FDEFAEBFADCA}" name="Which consolidation approach was used for your GHG inventory? "/>
    <tableColumn id="17" xr3:uid="{E0A4F1FD-5CB9-EA49-B0E5-EA28020B026D}" name="Do you have your GHG inventory assured or verified by a 3rd party? If you have GHG data assured/verified, please describe level of assurance."/>
    <tableColumn id="18" xr3:uid="{236363B1-66DB-F444-8F65-67574750876F}" name="Please describe any subsidiaries covered by your Scope 1 &amp; 2 inventory"/>
    <tableColumn id="19" xr3:uid="{687D89F6-7E0E-B247-89FB-3D142E13B620}" name="Please describe the business operations covered by your Scope 1 &amp; 2 inventory"/>
    <tableColumn id="20" xr3:uid="{FFF60B02-2AA8-FA41-B5E8-541E441E8D57}" name="Total Scope 1 emissions (tCO2e)"/>
    <tableColumn id="21" xr3:uid="{84C65D77-6073-0140-9164-6C9F196684CF}" name="Total Scope 2 emissions (tCO2e) – Location based"/>
    <tableColumn id="22" xr3:uid="{55BECFBC-5F43-0D4E-88E5-336180631A7E}" name="Total Scope 2 emissions (tCO2e) – Market-based (if applicable)"/>
    <tableColumn id="23" xr3:uid="{4ADB0196-F665-0E4C-BE93-2B9657C92434}" name="Where do you disclose your Scope 1 &amp; 2 data?"/>
    <tableColumn id="24" xr3:uid="{700720DE-77B2-E547-A6AE-09A9DB4ACD77}" name="We are conscious that there are still effects of the pandemic and other disruptions affecting the sector. Please explain how this year was unusual for you, if it was."/>
    <tableColumn id="25" xr3:uid="{705AE743-1FAE-5945-915B-D39BB3560EB5}" name="Vehicle fuel: HGVs (tCO2e)"/>
    <tableColumn id="26" xr3:uid="{2BFE134A-926A-F34F-89E9-43D08306BC1E}" name="Vehicle fuel: Vans / LGVs (tCO2e)"/>
    <tableColumn id="27" xr3:uid="{385B163A-9850-8D43-BA51-47FEA9F81ABB}" name="Vehicle fuel: Cars (tCO2e)"/>
    <tableColumn id="28" xr3:uid="{0F66D039-99F9-4E42-B9F5-4B50FD868A94}" name="Vehicle fuel: Other (tCO2e)"/>
    <tableColumn id="29" xr3:uid="{699F5CEB-C137-B544-AD90-94F894BCDB61}" name="Refrigerant leaks: Buildings – please describe key refrigerant gases (tCO2e)"/>
    <tableColumn id="30" xr3:uid="{C1AA1BBC-2AFC-264C-B537-C78CAC3EA01C}" name="Refrigerant leaks: Vehicles – please describe key refrigerant gases (tCO2e)"/>
    <tableColumn id="31" xr3:uid="{2E5BAF6F-EF23-294B-AB09-DDE126DC6A79}" name="Building fuel use: please describe key fuel type (e.g., natural gas, heating oil, etc) (tCO2e)"/>
    <tableColumn id="32" xr3:uid="{5EA87324-0D67-8E48-B417-E0F373EDD05E}" name="Are there any other scope 1 sources? If so, please specify (tCO2e)"/>
    <tableColumn id="33" xr3:uid="{7C3DAA3D-605A-9D4A-B10F-530D92A09063}" name="Have you quantified your Scope 3 emissions?"/>
    <tableColumn id="34" xr3:uid="{6B23D0B0-C681-BD42-97DD-A44AAE2C4263}" name="If so, which categories of Scope 3 emissions?"/>
    <tableColumn id="35" xr3:uid="{52016398-9ABD-354D-86FA-D4A4FC769F36}" name="Would you be willing to share your Scope 3 data with the project?"/>
    <tableColumn id="36" xr3:uid="{D4B3B9E3-2019-944C-8588-089CF0E8D57F}" name="What actions are you currently taking to address Scope 3 emissions?"/>
    <tableColumn id="37" xr3:uid="{A2CB8CA8-28F0-6147-9862-835A942A990E}" name="What proportion of your electricity use is from on-site renewables? (%)"/>
    <tableColumn id="38" xr3:uid="{CFBAACBE-330A-C64F-82B7-42659FC1F7C9}" name="What proportion of your electricity use is from 3rd party renewable sources (%)"/>
    <tableColumn id="39" xr3:uid="{EF93F7C3-A5E0-5747-81E2-2033E8E156E0}" name="What proportion of your car fleet is electric? (%)"/>
    <tableColumn id="40" xr3:uid="{FE05F617-B10D-8E4C-80D5-42894AEE791B}" name="What proportion of your van fleet is electric? (%)"/>
    <tableColumn id="41" xr3:uid="{353674F4-6829-EA49-8F53-B1471E58BD24}" name="What proportion of your HGV fleet uses one of the following lower carbon energy sources"/>
    <tableColumn id="42" xr3:uid="{DB55AAF4-D90F-E740-BAE8-BC8C8F7ABDFF}" name="Electricity (%)"/>
    <tableColumn id="43" xr3:uid="{0AFDBE96-1069-4F4A-B719-F3F15AA62ABE}" name="HVO (Hydrated vegetable oil) (%)"/>
    <tableColumn id="44" xr3:uid="{54098EFC-5465-364A-B77A-CADC2E319745}" name="CNG (Compressed natural gas) (%)"/>
    <tableColumn id="45" xr3:uid="{44084A65-1B0D-3947-BA68-70C32EFD7FCF}" name="Other (please specify) (%)"/>
    <tableColumn id="46" xr3:uid="{9E6F81B7-746F-D54C-B65C-51F94595892A}" name="Has your business publicly committed to a near-term or long-term emissions reductions target? If so, please describe scope, target date, base year date and level of reduction. If not, why have you not done this?"/>
    <tableColumn id="47" xr3:uid="{158D1F61-098D-084D-BB73-6D75027C4968}" name="Do you have a detailed Scope 1 &amp; 2 decarbonisation plan for your business? If so, are you able to share details of the plan your priorities with any key milestones? If not, why have you not done this?"/>
    <tableColumn id="48" xr3:uid="{E4C56001-8ED3-614E-8608-B50F1030DB7F}" name="Do you have specific targets and target dates for the actions listed in the advice column? If so, please describe."/>
    <tableColumn id="49" xr3:uid="{AF7BA7D7-B3E7-8D41-9007-21F792C0E9CA}" name="Comments on Cleaning status"/>
    <tableColumn id="50" xr3:uid="{AF01E3E5-6AA4-CF45-B83D-A3538D90258C}" name="3Keel notes (case study, interesting aspects)"/>
    <tableColumn id="51" xr3:uid="{DAD5AA7D-B0BA-8040-86F3-8C0FC3F3B1C7}" name="Clarification for member"/>
    <tableColumn id="52" xr3:uid="{095B04B9-79F5-004F-AAE6-BAE114EA3A49}" name="Number of clarification Qs"/>
    <tableColumn id="53" xr3:uid="{DF890CC2-DD62-8046-BB26-DB2A8F96EF4E}" name="Checks against info online"/>
    <tableColumn id="54" xr3:uid="{731CB198-41DF-5841-8AA6-EFA011F7F67F}" name="Clarifications sent"/>
    <tableColumn id="55" xr3:uid="{1FCE5238-FB44-2245-8086-F673BF467C48}" name="Response"/>
    <tableColumn id="56" xr3:uid="{D37BE92B-C498-3B4E-BDFE-013178A58D82}" name="Response2"/>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71A84E8-55B0-3F4A-A0AF-7D8A00E0E35B}" name="Table17" displayName="Table17" ref="A38:L67" totalsRowShown="0">
  <autoFilter ref="A38:L67" xr:uid="{B71A84E8-55B0-3F4A-A0AF-7D8A00E0E35B}"/>
  <tableColumns count="12">
    <tableColumn id="1" xr3:uid="{3915B766-A20F-4A40-B956-2CC4D0485D0E}" name="Name"/>
    <tableColumn id="2" xr3:uid="{67675FAB-4281-8646-8948-AAD08F5885EB}" name="Revenue" dataCellStyle="Currency">
      <calculatedColumnFormula>_xlfn.XLOOKUP(Table17[[#This Row],[Name]],Table16[Name],Table16[Business turnover during data year (United Kingdom) (£)])</calculatedColumnFormula>
    </tableColumn>
    <tableColumn id="3" xr3:uid="{763BEB82-79D9-0948-9755-9D431BE97249}" name="Area (sq ft)" dataDxfId="63">
      <calculatedColumnFormula>_xlfn.XLOOKUP(Table17[[#This Row],[Name]],Table16[Name],Table16[Please estimate the % depot footage dedicated to ambient storage, chilled storage and frozen storage (United Kingdom) (sq ft)])</calculatedColumnFormula>
    </tableColumn>
    <tableColumn id="10" xr3:uid="{14055530-A84B-8A43-8C34-43801CEE7952}" name="£ rev per sq ft" dataDxfId="62">
      <calculatedColumnFormula>IFERROR(Table17[[#This Row],[Revenue]]/Table17[[#This Row],[Area (sq ft)]],"")</calculatedColumnFormula>
    </tableColumn>
    <tableColumn id="4" xr3:uid="{1D47D22A-E1E7-2E43-A3E8-211C027CF62C}" name="% ambient" dataDxfId="61">
      <calculatedColumnFormula>_xlfn.XLOOKUP(Table17[[#This Row],[Name]],Table14[Member name],Table14[Ambient %],"")</calculatedColumnFormula>
    </tableColumn>
    <tableColumn id="5" xr3:uid="{46D77912-04E0-4048-998D-840C3DD109B4}" name="% chilled" dataDxfId="60">
      <calculatedColumnFormula>_xlfn.XLOOKUP(Table17[[#This Row],[Name]],Table14[Member name],Table14[Chilled %],"")</calculatedColumnFormula>
    </tableColumn>
    <tableColumn id="6" xr3:uid="{3FC96782-2ADB-9641-91C1-1F92629045B9}" name="% frozen" dataDxfId="59">
      <calculatedColumnFormula>_xlfn.XLOOKUP(Table17[[#This Row],[Name]],Table14[Member name],Table14[Frozen %],"")</calculatedColumnFormula>
    </tableColumn>
    <tableColumn id="7" xr3:uid="{971AFD83-0713-594A-A8A9-0A4B952968D7}" name="Fridge/frozen area (sq ft)" dataDxfId="58">
      <calculatedColumnFormula>IF(SUM(Table17[[#This Row],[% ambient]:[% frozen]])=1,(Table17[[#This Row],[% chilled]]+Table17[[#This Row],[% frozen]])*Table17[[#This Row],[Area (sq ft)]],"")</calculatedColumnFormula>
    </tableColumn>
    <tableColumn id="8" xr3:uid="{0EC48658-2293-9A4D-BEB1-AFA3CC97FC07}" name="Refridge Emissions (tCO2e)" dataDxfId="57">
      <calculatedColumnFormula>_xlfn.XLOOKUP(Table17[[#This Row],[Name]],Table16[Name],Table16[Refrigerant leaks: Vehicles – please describe key refrigerant gases (tCO2e)])</calculatedColumnFormula>
    </tableColumn>
    <tableColumn id="9" xr3:uid="{A97DD58B-B5C2-4C48-A04B-E73734DA09B3}" name="Emissions per sq ft (inc 0s)" dataDxfId="56">
      <calculatedColumnFormula>IFERROR(Table17[[#This Row],[Refridge Emissions (tCO2e)]]/Table17[[#This Row],[Fridge/frozen area (sq ft)]],"")</calculatedColumnFormula>
    </tableColumn>
    <tableColumn id="11" xr3:uid="{0F993152-E65C-8D45-BDAB-8E2CD2F660FE}" name="Emissions per sq ft (exc 0s)" dataDxfId="55">
      <calculatedColumnFormula>IF(Table17[[#This Row],[Emissions per sq ft (inc 0s)]]&lt;&gt;0,Table17[[#This Row],[Emissions per sq ft (inc 0s)]],"")</calculatedColumnFormula>
    </tableColumn>
    <tableColumn id="12" xr3:uid="{9155326C-90FC-0848-A4A5-F7A1BD6EBB26}" name="Avg ref emissions tTCO2e / sq ft" dataDxfId="54">
      <calculatedColumnFormula>AVERAGE(Table17[Emissions per sq ft (exc 0s)])</calculatedColumnFormula>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90E6D410-123E-AC4E-8080-9800CB86D682}" name="survey_data_reliable" displayName="survey_data_reliable" ref="A71:P81" totalsRowShown="0" headerRowDxfId="53">
  <autoFilter ref="A71:P81" xr:uid="{90E6D410-123E-AC4E-8080-9800CB86D682}"/>
  <sortState xmlns:xlrd2="http://schemas.microsoft.com/office/spreadsheetml/2017/richdata2" ref="A72:N81">
    <sortCondition descending="1" ref="I71:I81"/>
  </sortState>
  <tableColumns count="16">
    <tableColumn id="1" xr3:uid="{50A8DB3F-D8A4-4B4D-8422-F373D215A180}" name="Scope 1 detail: Reliable (FWD)"/>
    <tableColumn id="3" xr3:uid="{3773688C-BDF5-8E41-81DD-A2BBC38B8A26}" name="Members"/>
    <tableColumn id="4" xr3:uid="{274EC9D5-A8FF-844B-A32B-B59F60AB9EB5}" name="Vehicle fuel: HGVs"/>
    <tableColumn id="5" xr3:uid="{D9CA9924-90B7-9645-BBDC-5E7771EB49FF}" name="Vehicle fuel: Cars"/>
    <tableColumn id="6" xr3:uid="{92D84018-5DC4-3E40-ABD2-8494EBCB2073}" name="Refrigerant leaks"/>
    <tableColumn id="7" xr3:uid="{2AB7A955-AC75-984A-94D6-CC8A4BEAF16E}" name="Building fuel use"/>
    <tableColumn id="8" xr3:uid="{C26AB513-62EF-1F48-9D07-1D5E84425EF7}" name="Other scope 1 sources"/>
    <tableColumn id="11" xr3:uid="{AACE8108-D006-2E44-8A1C-CB3039C4AA43}" name="S2 emissions - Location Based (tCO2e)" dataDxfId="52">
      <calculatedColumnFormula>_xlfn.XLOOKUP(survey_data_reliable[[#This Row],[Scope 1 detail: Reliable (FWD)]],Table16[Name],Table16[Total Scope 2 emissions (tCO2e) – Market-based (if applicable)])</calculatedColumnFormula>
    </tableColumn>
    <tableColumn id="9" xr3:uid="{F8EAC988-9FBF-FD47-84A0-27CC031F039B}" name="Revenue UK" dataDxfId="51" dataCellStyle="Currency"/>
    <tableColumn id="10" xr3:uid="{58161A92-7FBD-2045-8FDF-2768AB3F957A}" name="Logistics emissions (kgCO2e/£ revenue)" dataDxfId="50">
      <calculatedColumnFormula>(survey_data_reliable[[#This Row],[Vehicle fuel: HGVs]]+survey_data_reliable[[#This Row],[Vehicle fuel: Cars]])*1000/survey_data_reliable[[#This Row],[Revenue UK]]</calculatedColumnFormula>
    </tableColumn>
    <tableColumn id="14" xr3:uid="{D570A93D-E322-9849-BC2F-992C1A64FAE4}" name="Use in logistics average?" dataDxfId="49"/>
    <tableColumn id="12" xr3:uid="{F920915B-99DA-BA47-B872-FD9712470708}" name="Buildings &amp; Electricity Emissions (kgCO2e/£ revenue)" dataDxfId="48">
      <calculatedColumnFormula>(survey_data_reliable[[#This Row],[Building fuel use]]+survey_data_reliable[[#This Row],[S2 emissions - Location Based (tCO2e)]])*1000/survey_data_reliable[[#This Row],[Revenue UK]]</calculatedColumnFormula>
    </tableColumn>
    <tableColumn id="15" xr3:uid="{B5B6822C-20D8-0248-9A51-582A77BAE970}" name="Use in B&amp;E average?" dataDxfId="47"/>
    <tableColumn id="13" xr3:uid="{11ED3AC4-301A-3F47-91D6-A129A65A230D}" name="Refrigerant emissions (kgCO2e/£ revenue)" dataDxfId="46">
      <calculatedColumnFormula>survey_data_reliable[[#This Row],[Refrigerant leaks]]*1000/survey_data_reliable[[#This Row],[Revenue UK]]</calculatedColumnFormula>
    </tableColumn>
    <tableColumn id="16" xr3:uid="{3BCBA598-DF44-B946-B6F6-A5578298EC1C}" name="Use in refrigerants average?" dataDxfId="45"/>
    <tableColumn id="2" xr3:uid="{77EA1ADA-55FC-564C-AE1D-C3C687C7816A}" name="Column1" dataDxfId="44">
      <calculatedColumnFormula>AVERAGEIF(survey_data_reliable[Use in refrigerants average?],"Y",survey_data_reliable[Refrigerant emissions (kgCO2e/£ revenue)])</calculatedColumnFormula>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5F83D00D-A9D7-4343-A4AA-EC208488FDB4}" name="benchmark_emissions_per_revenue" displayName="benchmark_emissions_per_revenue" ref="A84:D85" totalsRowShown="0" headerRowDxfId="43" headerRowBorderDxfId="42" tableBorderDxfId="41">
  <autoFilter ref="A84:D85" xr:uid="{5F83D00D-A9D7-4343-A4AA-EC208488FDB4}"/>
  <tableColumns count="4">
    <tableColumn id="1" xr3:uid="{CAA3ABD4-52F5-284F-816E-2CCE8D5B5AFE}" name="Logistics emissions (tCO2e/£ revenue)">
      <calculatedColumnFormula array="1">AVERAGE(_xlfn._xlws.FILTER(survey_data_reliable[Logistics emissions (kgCO2e/£ revenue)],survey_data_reliable[Use in logistics average?]="Y"))/1000</calculatedColumnFormula>
    </tableColumn>
    <tableColumn id="2" xr3:uid="{0B6013E0-6CBB-6A4B-9A6B-61EF5CFB7FC5}" name="Buildings &amp; Electricity Emissions (tCO2e/£ revenue)">
      <calculatedColumnFormula array="1">AVERAGE(_xlfn._xlws.FILTER(survey_data_reliable[Buildings &amp; Electricity Emissions (kgCO2e/£ revenue)],survey_data_reliable[Use in B&amp;E average?]="Y"))/1000</calculatedColumnFormula>
    </tableColumn>
    <tableColumn id="3" xr3:uid="{53D1DD9C-9178-F64D-AB40-55D57CB39578}" name="Refrigerant emissions (tCO2e/£ revenue)">
      <calculatedColumnFormula array="1">AVERAGE(_xlfn._xlws.FILTER(survey_data_reliable[Refrigerant emissions (kgCO2e/£ revenue)],survey_data_reliable[Use in refrigerants average?]="Y"))/1000</calculatedColumnFormula>
    </tableColumn>
    <tableColumn id="4" xr3:uid="{410A8075-F603-EB42-AD0A-717949FC3C68}" name="Value Chain emissions (tCO2e/£ revenue)">
      <calculatedColumnFormula>SUMIF('HIDE - Value Chain %'!A5:A12,"&lt;&gt;Direct",'HIDE - Value Chain %'!D5:D12)*1000000/inputs_valchain_FWD_turnover_GBP</calculatedColumnFormula>
    </tableColumn>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3FDA0DB-5482-7D40-879B-4784470C9EB6}" name="Table14" displayName="Table14" ref="A88:E106" totalsRowShown="0">
  <autoFilter ref="A88:E106" xr:uid="{63FDA0DB-5482-7D40-879B-4784470C9EB6}"/>
  <tableColumns count="5">
    <tableColumn id="1" xr3:uid="{20DD28D3-C080-604B-913E-657DF8CC57F5}" name="Member name"/>
    <tableColumn id="2" xr3:uid="{826228AA-96FD-5440-B212-67F3111760E9}" name="% depot storage breakdown"/>
    <tableColumn id="3" xr3:uid="{5523E729-7525-0644-AB23-A2B79A7979A8}" name="Ambient %"/>
    <tableColumn id="4" xr3:uid="{828D16BD-B772-0A43-9A51-65F11F7E1B42}" name="Chilled %"/>
    <tableColumn id="5" xr3:uid="{FF8B3AB5-EED8-D947-B7E9-9EEE26BC2318}" name="Frozen %"/>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47A3AB2-F4FA-FF41-917D-506238EBFFD2}" name="Table2" displayName="Table2" ref="G87:H91" totalsRowShown="0">
  <autoFilter ref="G87:H91" xr:uid="{247A3AB2-F4FA-FF41-917D-506238EBFFD2}"/>
  <tableColumns count="2">
    <tableColumn id="1" xr3:uid="{DA9A31B3-7E18-E249-BA9F-BB387957C7D0}" name="Category"/>
    <tableColumn id="2" xr3:uid="{FBAB8DB0-C4BE-7642-8776-CF5DCF962A59}" name="Emissions (tCO2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4E84D63-8ED2-A344-91C6-DB0E81554915}" name="summary_tips" displayName="summary_tips" ref="A106:G125" totalsRowShown="0">
  <autoFilter ref="A106:G125" xr:uid="{F4E84D63-8ED2-A344-91C6-DB0E81554915}"/>
  <tableColumns count="7">
    <tableColumn id="1" xr3:uid="{6CABC727-C7AE-5C46-A3E9-1D3B3F78B044}" name="Category"/>
    <tableColumn id="2" xr3:uid="{D4039C31-6F62-8B45-A9EB-43DB9A0A8131}" name="Sub-Category"/>
    <tableColumn id="4" xr3:uid="{595C4BC5-71C7-9943-B8D3-860F147E1DB2}" name="Page Start" dataDxfId="94">
      <calculatedColumnFormula>_xlfn.XLOOKUP(summary_tips[[#This Row],[Category]],Table1[Category],Table1[Page Start])</calculatedColumnFormula>
    </tableColumn>
    <tableColumn id="5" xr3:uid="{CA48917E-417A-C944-B7D9-CE7503A6AF9C}" name="Page End" dataDxfId="93">
      <calculatedColumnFormula>_xlfn.XLOOKUP(summary_tips[[#This Row],[Category]],Table1[Category],Table1[Page End])</calculatedColumnFormula>
    </tableColumn>
    <tableColumn id="6" xr3:uid="{616FD7CB-36F7-6642-9914-42474F6D4C18}" name="Tip Text" dataDxfId="92"/>
    <tableColumn id="7" xr3:uid="{23BCBAF7-C2C2-1A46-9A5F-526E581843D9}" name="Page Text" dataDxfId="91">
      <calculatedColumnFormula>"See pages "&amp;summary_tips[[#This Row],[Page Start]]&amp;"-"&amp;summary_tips[[#This Row],[Page End]]&amp;" of the Wholesale Sector Roadmap for more details."</calculatedColumnFormula>
    </tableColumn>
    <tableColumn id="3" xr3:uid="{039A7704-9030-2745-846A-3A00A7E7F535}" name="Tip" dataCellStyle="Normal">
      <calculatedColumnFormula>summary_tips[[#This Row],[Tip Text]]&amp;" "&amp;summary_tips[[#This Row],[Page Text]]</calculatedColumnFormula>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BB6773C-1D71-2C45-8BA8-B43A3179C3D5}" name="Table5" displayName="Table5" ref="A109:H138" totalsRowShown="0" headerRowDxfId="40" dataDxfId="38" headerRowBorderDxfId="39" tableBorderDxfId="37" totalsRowBorderDxfId="36">
  <autoFilter ref="A109:H138" xr:uid="{9BB6773C-1D71-2C45-8BA8-B43A3179C3D5}"/>
  <tableColumns count="8">
    <tableColumn id="4" xr3:uid="{B1ED1DDB-9DEF-7647-9B03-80010A844289}" name="Name" dataDxfId="35"/>
    <tableColumn id="5" xr3:uid="{98147F14-4675-644B-A143-636CE99D30E3}" name="Vehicle fuel: HGVs (tCO2e)" dataDxfId="34">
      <calculatedColumnFormula>_xlfn.XLOOKUP(Table5[[#This Row],[Name]],Table16[Name],Table16[Vehicle fuel: HGVs (tCO2e)])</calculatedColumnFormula>
    </tableColumn>
    <tableColumn id="6" xr3:uid="{636BA6D8-65C4-9F41-AD78-D0AB49018A04}" name="Vehicle fuel: Vans / LGVs (tCO2e)" dataDxfId="33">
      <calculatedColumnFormula>_xlfn.XLOOKUP(Table5[[#This Row],[Name]],Table16[Name],Table16[Vehicle fuel: Vans / LGVs (tCO2e)])</calculatedColumnFormula>
    </tableColumn>
    <tableColumn id="7" xr3:uid="{37006AAC-B327-1C4E-A172-3370486E6CE9}" name="Vehicle fuel: Cars (tCO2e)" dataDxfId="32">
      <calculatedColumnFormula>_xlfn.XLOOKUP(Table5[[#This Row],[Name]],Table16[Name],Table16[Vehicle fuel: Cars (tCO2e)])</calculatedColumnFormula>
    </tableColumn>
    <tableColumn id="1" xr3:uid="{983258D0-6B71-1744-86D8-5CF39D83BF3B}" name="HGV emissions %" dataDxfId="31" dataCellStyle="Per cent">
      <calculatedColumnFormula>IFERROR(Table5[[#This Row],[Vehicle fuel: HGVs (tCO2e)]]/SUM(Table5[[#This Row],[Vehicle fuel: HGVs (tCO2e)]:[Vehicle fuel: Cars (tCO2e)]]),"")</calculatedColumnFormula>
    </tableColumn>
    <tableColumn id="2" xr3:uid="{DC391A48-DA80-A043-8ED1-0BFD5C4151B7}" name="LGVs emissions %" dataDxfId="30" dataCellStyle="Per cent">
      <calculatedColumnFormula>IFERROR(Table5[[#This Row],[Vehicle fuel: Vans / LGVs (tCO2e)]]/SUM(Table5[[#This Row],[Vehicle fuel: HGVs (tCO2e)]:[Vehicle fuel: Cars (tCO2e)]]),"")</calculatedColumnFormula>
    </tableColumn>
    <tableColumn id="3" xr3:uid="{4F68AB2C-9B42-2041-A5D9-7F36400AE750}" name="Company Car emissions %" dataDxfId="29" dataCellStyle="Per cent">
      <calculatedColumnFormula>IFERROR(Table5[[#This Row],[Vehicle fuel: Cars (tCO2e)]]/SUM(Table5[[#This Row],[Vehicle fuel: HGVs (tCO2e)]:[Vehicle fuel: Cars (tCO2e)]]),"")</calculatedColumnFormula>
    </tableColumn>
    <tableColumn id="8" xr3:uid="{F21FFAB0-7BA1-CB4E-B8FC-EAD988D464D1}" name="Include in stats?" dataDxfId="28"/>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EBBF4C2-456F-4440-B176-FDFD6660C238}" name="Table6" displayName="Table6" ref="A141:C142" totalsRowShown="0" dataDxfId="27" dataCellStyle="Per cent">
  <autoFilter ref="A141:C142" xr:uid="{2EBBF4C2-456F-4440-B176-FDFD6660C238}"/>
  <tableColumns count="3">
    <tableColumn id="1" xr3:uid="{965A74FE-C5B3-394C-9A47-6F43FB0D6661}" name="HGV avg % of emissions (not normalised)" dataDxfId="26" dataCellStyle="Per cent">
      <calculatedColumnFormula>AVERAGEIF(Table5[Include in stats?],"Y",Table5[HGV emissions %])</calculatedColumnFormula>
    </tableColumn>
    <tableColumn id="2" xr3:uid="{30392255-D12F-F649-8942-6838AAD6AB75}" name="LGV avg % of emissions (not normalised)" dataDxfId="25" dataCellStyle="Per cent">
      <calculatedColumnFormula>AVERAGEIF(Table5[Include in stats?],"Y",Table5[LGVs emissions %])</calculatedColumnFormula>
    </tableColumn>
    <tableColumn id="3" xr3:uid="{A39166D2-C4A5-C740-86C8-9BC519833145}" name="Company Car avg % of emissions (not normalised)" dataDxfId="24" dataCellStyle="Per cent">
      <calculatedColumnFormula>AVERAGEIF(Table5[Include in stats?],"Y",Table5[Company Car emissions %])</calculatedColumnFormula>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AA13DD5-DD99-574A-A804-1F791A813C67}" name="Table68" displayName="Table68" ref="A144:C145" totalsRowShown="0" dataDxfId="23" dataCellStyle="Per cent">
  <autoFilter ref="A144:C145" xr:uid="{6AA13DD5-DD99-574A-A804-1F791A813C67}"/>
  <tableColumns count="3">
    <tableColumn id="1" xr3:uid="{BA1B9271-02D7-AA46-9745-1E9DDA8B79A8}" name="HGV avg % of emissions (normalised)" dataDxfId="22" dataCellStyle="Per cent">
      <calculatedColumnFormula array="1">Table6[HGV avg % of emissions (not normalised)]/SUM(Table6[])</calculatedColumnFormula>
    </tableColumn>
    <tableColumn id="2" xr3:uid="{C08AC13F-D28F-9249-8653-4B8DB1147231}" name="LGV avg % of emissions (normalised)" dataDxfId="21" dataCellStyle="Per cent">
      <calculatedColumnFormula array="1">Table6[LGV avg % of emissions (not normalised)]/SUM(Table6[])</calculatedColumnFormula>
    </tableColumn>
    <tableColumn id="3" xr3:uid="{AD04F258-B84B-344A-A8F5-DA5777CA8F72}" name="Company Car avg % of emissions (normalised)" dataDxfId="20" dataCellStyle="Per cent">
      <calculatedColumnFormula array="1">Table6[Company Car avg % of emissions (not normalised)]/SUM(Table6[])</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6DAEEB2-770F-7644-8334-10B7C462DF02}" name="Table15" displayName="Table15" ref="F29:G33" totalsRowShown="0">
  <autoFilter ref="F29:G33" xr:uid="{E6DAEEB2-770F-7644-8334-10B7C462DF02}"/>
  <tableColumns count="2">
    <tableColumn id="1" xr3:uid="{40EA3830-36AE-BE45-8DBE-43AAC5FFDFDA}" name="Category"/>
    <tableColumn id="2" xr3:uid="{247D3E68-91E6-D14E-BF31-8557E65F1779}" name="Order"/>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0A1FC9B-2B9C-D44A-AE58-8B8158BFF6F7}" name="Table1" displayName="Table1" ref="A127:C132" totalsRowShown="0">
  <autoFilter ref="A127:C132" xr:uid="{B0A1FC9B-2B9C-D44A-AE58-8B8158BFF6F7}"/>
  <tableColumns count="3">
    <tableColumn id="1" xr3:uid="{4217A570-EC36-2741-AA61-E13806769134}" name="Category"/>
    <tableColumn id="2" xr3:uid="{7E2CCD46-29BE-1741-BB18-C6A31B155719}" name="Page Start"/>
    <tableColumn id="3" xr3:uid="{B1ECFD49-9E97-9443-AD20-8C7FE979B73A}" name="Page End"/>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88B1FF7-25BF-D740-B380-FF54BE6AA0B7}" name="calcs_emissions" displayName="calcs_emissions" ref="A32:R64" totalsRowShown="0" headerRowDxfId="90">
  <autoFilter ref="A32:R64" xr:uid="{688B1FF7-25BF-D740-B380-FF54BE6AA0B7}"/>
  <tableColumns count="18">
    <tableColumn id="12" xr3:uid="{22392022-3951-FF4D-AA37-B7B118128220}" name="Category" dataDxfId="89"/>
    <tableColumn id="11" xr3:uid="{F1BBC954-51CC-2346-A736-E058AF32B97B}" name="Key/Adv/Est" dataDxfId="88"/>
    <tableColumn id="1" xr3:uid="{BBCC4438-DA94-DA43-8F4C-8F92C7086BC9}" name="Type"/>
    <tableColumn id="10" xr3:uid="{5F3AF817-5FC0-114A-9A15-40E1D8342067}" name="GHG Protocol Category Name"/>
    <tableColumn id="5" xr3:uid="{A3A7F7F2-EC5F-E54A-A3FE-62BFD5F1555A}" name="Input Value Name"/>
    <tableColumn id="3" xr3:uid="{53050774-AA21-7346-8D1D-93DB98AD9193}" name="Input Unit Name"/>
    <tableColumn id="2" xr3:uid="{BC2A6877-8B6C-1E42-949C-2F83DD50404A}" name="Input Value" dataDxfId="87">
      <calculatedColumnFormula array="1">INDIRECT(calcs_emissions[[#This Row],[Input Value Name]])</calculatedColumnFormula>
    </tableColumn>
    <tableColumn id="6" xr3:uid="{0C15716F-9866-8249-833A-433933CE15E8}" name="Input Unit" dataDxfId="86">
      <calculatedColumnFormula array="1">IFERROR( INDEX(_xlfn.TEXTSPLIT(calcs_emissions[[#This Row],[Input Value Name]],"_"),,6), INDIRECT(calcs_emissions[[#This Row],[Input Unit Name]]))</calculatedColumnFormula>
    </tableColumn>
    <tableColumn id="4" xr3:uid="{943AB35D-44ED-1F46-8ECD-4CCA16F7E622}" name="Emissions Factor for Unit (kgCO2e/unit)" dataDxfId="85">
      <calculatedColumnFormula array="1">_xlfn.XLOOKUP(calcs_emissions[[#This Row],[Type]]&amp;calcs_emissions[[#This Row],[Input Unit]],calcs_EFs[Type]&amp;calcs_EFs[Unit],calcs_EFs[EF (kgCO2e/unit)],0)</calculatedColumnFormula>
    </tableColumn>
    <tableColumn id="7" xr3:uid="{C8C982EE-C634-5143-91E5-2C34500D97FC}" name="Emissions (kgCO2e)" dataDxfId="84">
      <calculatedColumnFormula>calcs_emissions[[#This Row],[Input Value]]*calcs_emissions[[#This Row],[Emissions Factor for Unit (kgCO2e/unit)]]</calculatedColumnFormula>
    </tableColumn>
    <tableColumn id="13" xr3:uid="{8B960973-47E3-AF47-92B7-759C0CB5F0ED}" name="Reporting period name" dataDxfId="83"/>
    <tableColumn id="15" xr3:uid="{5BCF1582-BC74-DC48-AAEE-10D0B3F2C293}" name="Reporting period multiplier" dataDxfId="82">
      <calculatedColumnFormula array="1">IFERROR(_xlfn.XLOOKUP(INDIRECT(calcs_emissions[[#This Row],[Reporting period name]]),calcs_reporting_period_multiplier[Reporting period],calcs_reporting_period_multiplier[Multiplier to get to annual]),1)</calculatedColumnFormula>
    </tableColumn>
    <tableColumn id="9" xr3:uid="{34D0E36D-6D94-EB49-9B5A-C3C047E5F31D}" name="Emissions adjusted for reporting period (kgCO2e)" dataDxfId="81">
      <calculatedColumnFormula>calcs_emissions[[#This Row],[Emissions (kgCO2e)]]*calcs_emissions[[#This Row],[Reporting period multiplier]]</calculatedColumnFormula>
    </tableColumn>
    <tableColumn id="8" xr3:uid="{053D92E8-87A3-DC4B-8697-277AD52C5B72}" name="Emissions (tCO2e)" dataDxfId="80">
      <calculatedColumnFormula>calcs_emissions[[#This Row],[Emissions adjusted for reporting period (kgCO2e)]]/1000</calculatedColumnFormula>
    </tableColumn>
    <tableColumn id="16" xr3:uid="{F3C35FE7-8EF5-BD45-A625-E023DF1A4B60}" name="Key or Adv Name" dataDxfId="79"/>
    <tableColumn id="18" xr3:uid="{41FC5F8B-660F-A841-AFCE-96C890F268FE}" name="Key or Adv Value" dataDxfId="78">
      <calculatedColumnFormula array="1">IFERROR(INDIRECT(calcs_emissions[[#This Row],[Key or Adv Name]]),"")</calculatedColumnFormula>
    </tableColumn>
    <tableColumn id="17" xr3:uid="{3E4ED760-A130-5942-87E4-1256C71F8CDC}" name="Key, Adv or Est" dataDxfId="77">
      <calculatedColumnFormula array="1">_xlfn.IFS(calcs_emissions[[#This Row],[Key or Adv Value]]=text_using_advanced_input,"Adv",calcs_emissions[[#This Row],[Key or Adv Value]]=text_using_key_input,"Key",TRUE,"Est")</calculatedColumnFormula>
    </tableColumn>
    <tableColumn id="14" xr3:uid="{0C0C02AD-E1FF-6642-BEFC-E44C4CA684FA}" name="Use in charts?" dataDxfId="76">
      <calculatedColumnFormula>IF(calcs_emissions[[#This Row],[Key/Adv/Est]]=calcs_emissions[[#This Row],[Key, Adv or Est]],TRUE,FALSE)</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F7771102-7A98-1642-A2F6-BCEE645B896B}" name="calcs_reporting_period_multiplier" displayName="calcs_reporting_period_multiplier" ref="A67:B70" totalsRowShown="0">
  <autoFilter ref="A67:B70" xr:uid="{F7771102-7A98-1642-A2F6-BCEE645B896B}"/>
  <tableColumns count="2">
    <tableColumn id="1" xr3:uid="{590D4157-1872-8646-BF4E-EB105CCC1C34}" name="Reporting period"/>
    <tableColumn id="2" xr3:uid="{F5B80911-DC8F-F64F-8050-928A33C8CAF1}" name="Multiplier to get to annual"/>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EC1BA17-89E4-174F-9EE5-1211F153FD92}" name="calcs_data_scores" displayName="calcs_data_scores" ref="A72:C76" totalsRowShown="0">
  <autoFilter ref="A72:C76" xr:uid="{8EC1BA17-89E4-174F-9EE5-1211F153FD92}"/>
  <tableColumns count="3">
    <tableColumn id="1" xr3:uid="{A34F203C-749E-3F46-B911-9E68A31D44F0}" name="Category"/>
    <tableColumn id="3" xr3:uid="{53C19BA2-CE69-4640-ADBC-7C365E61624E}" name="Data Quality Score Name"/>
    <tableColumn id="2" xr3:uid="{99BAA318-1F67-1740-9C8E-54BF3BFA7E4C}" name="Data Quality Score" dataCellStyle="Per cent">
      <calculatedColumnFormula array="1">INDIRECT(calcs_data_scores[[#This Row],[Data Quality Score Name]])</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CE2AF9B9-8CB4-BB43-BA41-926A030FD1F0}" name="calcs_WTT" displayName="calcs_WTT" ref="A79:F85" totalsRowShown="0" dataCellStyle="Normal">
  <autoFilter ref="A79:F85" xr:uid="{CE2AF9B9-8CB4-BB43-BA41-926A030FD1F0}"/>
  <tableColumns count="6">
    <tableColumn id="6" xr3:uid="{AB91C18F-E36B-A749-82B8-62C4443542F6}" name="Energy" dataCellStyle="Normal"/>
    <tableColumn id="1" xr3:uid="{64439F9B-B65C-E14A-9CA7-1D40B910F984}" name="Combustion EF ID" dataCellStyle="Normal"/>
    <tableColumn id="2" xr3:uid="{E791E10A-0651-9E40-9100-1CDBCC856266}" name="Combustion EF (kgCO2e/kWh)" dataDxfId="75" dataCellStyle="Normal">
      <calculatedColumnFormula>_xlfn.XLOOKUP(calcs_WTT[[#This Row],[Combustion EF ID]],EF_DB_short[EF ID],EF_DB_short[EF (kgCO2e/unit)])</calculatedColumnFormula>
    </tableColumn>
    <tableColumn id="3" xr3:uid="{E568E72D-9329-9B43-9C54-69FBDB1757F5}" name="WTT EF ID" dataCellStyle="Normal"/>
    <tableColumn id="4" xr3:uid="{3C137E5B-CEA6-2244-B16E-997740422E1D}" name="WTT EF (kgCO2e/kWh)" dataDxfId="74" dataCellStyle="Normal">
      <calculatedColumnFormula>_xlfn.XLOOKUP(calcs_WTT[[#This Row],[WTT EF ID]],EF_DB_short[EF ID],EF_DB_short[EF (kgCO2e/unit)])</calculatedColumnFormula>
    </tableColumn>
    <tableColumn id="5" xr3:uid="{540064FC-4013-2740-B364-457E8FDB21F3}" name="WTT / Combustion" dataDxfId="73" dataCellStyle="Normal">
      <calculatedColumnFormula>calcs_WTT[[#This Row],[WTT EF (kgCO2e/kWh)]]/calcs_WTT[[#This Row],[Combustion EF (kgCO2e/kWh)]]</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FF41FC32-1E65-9347-811A-457449D6812E}" name="Table28" displayName="Table28" ref="A89:E99" totalsRowShown="0" headerRowCellStyle="Normal" dataCellStyle="Normal">
  <autoFilter ref="A89:E99" xr:uid="{FF41FC32-1E65-9347-811A-457449D6812E}"/>
  <tableColumns count="5">
    <tableColumn id="1" xr3:uid="{3F93D553-CE78-C54C-9AC5-84A55D6C5B05}" name="Type" dataCellStyle="Normal"/>
    <tableColumn id="2" xr3:uid="{494E0303-7AF8-E24C-9599-3BDCD6A25948}" name="Energy" dataCellStyle="Normal"/>
    <tableColumn id="3" xr3:uid="{F1419681-1940-FA4D-BAD8-A4360420CD36}" name="WTT Uplift (%)" dataCellStyle="Per cent">
      <calculatedColumnFormula>_xlfn.XLOOKUP(Table28[[#This Row],[Energy]],calcs_WTT[Energy],calcs_WTT[WTT / Combustion])</calculatedColumnFormula>
    </tableColumn>
    <tableColumn id="4" xr3:uid="{203A46A7-FF7F-514F-9A46-0416FB2ADC3A}" name="Emissions if using category (tCO2e)" dataDxfId="72" dataCellStyle="Normal">
      <calculatedColumnFormula array="1">_xlfn._xlws.FILTER(calcs_emissions[Emissions (tCO2e)],(calcs_emissions[Use in charts?]=TRUE)*(calcs_emissions[Type]=Table28[[#This Row],[Type]]),0)</calculatedColumnFormula>
    </tableColumn>
    <tableColumn id="5" xr3:uid="{A3ADB79F-0898-C945-9E4F-745F45150105}" name="WTT Emissions (tCO2e)" dataDxfId="71" dataCellStyle="Normal">
      <calculatedColumnFormula>Table28[[#This Row],[WTT Uplift (%)]]*Table28[[#This Row],[Emissions if using category (tCO2e)]]</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3Keel">
      <a:dk1>
        <a:srgbClr val="151515"/>
      </a:dk1>
      <a:lt1>
        <a:srgbClr val="FFFFFF"/>
      </a:lt1>
      <a:dk2>
        <a:srgbClr val="154888"/>
      </a:dk2>
      <a:lt2>
        <a:srgbClr val="A0A0A0"/>
      </a:lt2>
      <a:accent1>
        <a:srgbClr val="2A80BF"/>
      </a:accent1>
      <a:accent2>
        <a:srgbClr val="5FC4EC"/>
      </a:accent2>
      <a:accent3>
        <a:srgbClr val="E2EFF8"/>
      </a:accent3>
      <a:accent4>
        <a:srgbClr val="30C7C7"/>
      </a:accent4>
      <a:accent5>
        <a:srgbClr val="FB8A22"/>
      </a:accent5>
      <a:accent6>
        <a:srgbClr val="154888"/>
      </a:accent6>
      <a:hlink>
        <a:srgbClr val="2A80BF"/>
      </a:hlink>
      <a:folHlink>
        <a:srgbClr val="2A80BF"/>
      </a:folHlink>
    </a:clrScheme>
    <a:fontScheme name="Test">
      <a:majorFont>
        <a:latin typeface="Avenir Black"/>
        <a:ea typeface=""/>
        <a:cs typeface=""/>
      </a:majorFont>
      <a:minorFont>
        <a:latin typeface="Avenir Book"/>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5" dT="2023-05-15T15:11:03.64" personId="{2ADB1552-2EB2-164E-A89D-5735C5E66C1B}" id="{5A8460CE-21F2-7C43-B50B-58258E531EFC}">
    <text>https://www.fwd.co.uk/wp-content/uploads/2022/12/Report_Cebr_260722.pdf</text>
    <extLst>
      <x:ext xmlns:xltc2="http://schemas.microsoft.com/office/spreadsheetml/2020/threadedcomments2" uri="{F7C98A9C-CBB3-438F-8F68-D28B6AF4A901}">
        <xltc2:checksum>372954156</xltc2:checksum>
        <xltc2:hyperlink startIndex="0" length="71" url="https://www.fwd.co.uk/wp-content/uploads/2022/12/Report_Cebr_260722.pdf"/>
      </x:ext>
    </extLst>
  </threadedComment>
  <threadedComment ref="H5" dT="2023-05-15T15:12:04.44" personId="{2ADB1552-2EB2-164E-A89D-5735C5E66C1B}" id="{D57062B2-7391-874D-BF0F-C4B5382B19E1}" parentId="{5A8460CE-21F2-7C43-B50B-58258E531EFC}">
    <text>Page 6 of report</text>
  </threadedComment>
</ThreadedComments>
</file>

<file path=xl/worksheets/_rels/sheet10.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table" Target="../tables/table2.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7.xml"/><Relationship Id="rId7" Type="http://schemas.openxmlformats.org/officeDocument/2006/relationships/table" Target="../tables/table11.xml"/><Relationship Id="rId2" Type="http://schemas.openxmlformats.org/officeDocument/2006/relationships/table" Target="../tables/table6.xml"/><Relationship Id="rId1" Type="http://schemas.openxmlformats.org/officeDocument/2006/relationships/table" Target="../tables/table5.xml"/><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table" Target="../tables/table12.xml"/></Relationships>
</file>

<file path=xl/worksheets/_rels/sheet1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5.xml.rels><?xml version="1.0" encoding="UTF-8" standalone="yes"?>
<Relationships xmlns="http://schemas.openxmlformats.org/package/2006/relationships"><Relationship Id="rId8" Type="http://schemas.openxmlformats.org/officeDocument/2006/relationships/table" Target="../tables/table21.xml"/><Relationship Id="rId3" Type="http://schemas.openxmlformats.org/officeDocument/2006/relationships/table" Target="../tables/table16.xml"/><Relationship Id="rId7" Type="http://schemas.openxmlformats.org/officeDocument/2006/relationships/table" Target="../tables/table20.xml"/><Relationship Id="rId2" Type="http://schemas.openxmlformats.org/officeDocument/2006/relationships/table" Target="../tables/table15.xml"/><Relationship Id="rId1" Type="http://schemas.openxmlformats.org/officeDocument/2006/relationships/table" Target="../tables/table14.xml"/><Relationship Id="rId6" Type="http://schemas.openxmlformats.org/officeDocument/2006/relationships/table" Target="../tables/table19.xml"/><Relationship Id="rId5" Type="http://schemas.openxmlformats.org/officeDocument/2006/relationships/table" Target="../tables/table18.xml"/><Relationship Id="rId4" Type="http://schemas.openxmlformats.org/officeDocument/2006/relationships/table" Target="../tables/table17.xml"/><Relationship Id="rId9" Type="http://schemas.openxmlformats.org/officeDocument/2006/relationships/table" Target="../tables/table2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hyperlink" Target="mailto:office@3kee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14792-CDBC-7546-82F5-6AEE6A34D812}">
  <sheetPr codeName="Sheet1">
    <tabColor theme="3"/>
  </sheetPr>
  <dimension ref="A1:C31"/>
  <sheetViews>
    <sheetView tabSelected="1" workbookViewId="0">
      <selection activeCell="B16" sqref="B16"/>
    </sheetView>
  </sheetViews>
  <sheetFormatPr baseColWidth="10" defaultRowHeight="16"/>
  <cols>
    <col min="1" max="1" width="2.140625" style="10" customWidth="1"/>
    <col min="2" max="2" width="75.7109375" style="10" customWidth="1"/>
    <col min="3" max="3" width="18.5703125" style="10" customWidth="1"/>
    <col min="4" max="16384" width="10.7109375" style="10"/>
  </cols>
  <sheetData>
    <row r="1" spans="1:3" ht="92">
      <c r="B1" s="86" t="s">
        <v>1066</v>
      </c>
    </row>
    <row r="2" spans="1:3" ht="26">
      <c r="B2" s="87" t="s">
        <v>1054</v>
      </c>
    </row>
    <row r="4" spans="1:3" ht="155" customHeight="1">
      <c r="A4" s="45"/>
      <c r="B4" s="238" t="s">
        <v>1143</v>
      </c>
      <c r="C4" s="239"/>
    </row>
    <row r="5" spans="1:3">
      <c r="B5" s="62"/>
    </row>
    <row r="6" spans="1:3" ht="26">
      <c r="B6" s="87" t="s">
        <v>1052</v>
      </c>
    </row>
    <row r="8" spans="1:3" ht="34">
      <c r="B8" s="62" t="s">
        <v>1120</v>
      </c>
    </row>
    <row r="9" spans="1:3">
      <c r="B9" s="62"/>
    </row>
    <row r="10" spans="1:3" ht="17">
      <c r="B10" s="62" t="s">
        <v>1053</v>
      </c>
    </row>
    <row r="11" spans="1:3" ht="51">
      <c r="B11" s="62" t="s">
        <v>1199</v>
      </c>
      <c r="C11" s="74" t="s">
        <v>1063</v>
      </c>
    </row>
    <row r="12" spans="1:3" ht="34">
      <c r="B12" s="62" t="s">
        <v>1198</v>
      </c>
      <c r="C12" s="75" t="s">
        <v>1064</v>
      </c>
    </row>
    <row r="13" spans="1:3" ht="17">
      <c r="B13" s="62" t="s">
        <v>1065</v>
      </c>
      <c r="C13" s="19"/>
    </row>
    <row r="14" spans="1:3" ht="17">
      <c r="B14" s="62"/>
      <c r="C14" s="19"/>
    </row>
    <row r="15" spans="1:3" ht="17">
      <c r="B15" s="62" t="s">
        <v>1006</v>
      </c>
    </row>
    <row r="17" spans="1:3" ht="26">
      <c r="B17" s="87" t="s">
        <v>1005</v>
      </c>
    </row>
    <row r="19" spans="1:3" ht="229" customHeight="1">
      <c r="A19" s="45"/>
      <c r="B19" s="238" t="s">
        <v>1144</v>
      </c>
      <c r="C19" s="239"/>
    </row>
    <row r="20" spans="1:3">
      <c r="B20" s="62"/>
    </row>
    <row r="30" spans="1:3" s="50" customFormat="1"/>
    <row r="31" spans="1:3">
      <c r="B31" s="62"/>
    </row>
  </sheetData>
  <sheetProtection algorithmName="SHA-512" hashValue="wLVql81Gtwce3gv07NnMZ5O62HIpCUz/lBlTVFEjsMaEMbM3QCpd09nOCWqfhUqQuRxWbk/qFRVj50h5W14iUA==" saltValue="V0Ld7cJQmgT4IJ7qqHFxow==" spinCount="100000" sheet="1" objects="1" scenarios="1" formatColumns="0" formatRows="0" selectLockedCells="1" selectUnlockedCells="1"/>
  <mergeCells count="2">
    <mergeCell ref="B4:C4"/>
    <mergeCell ref="B19:C19"/>
  </mergeCells>
  <pageMargins left="0.7" right="0.7" top="0.75" bottom="0.75" header="0.3" footer="0.3"/>
  <pageSetup paperSize="9" orientation="portrait"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E0BE2-72C5-A64E-84CB-30556DFE2000}">
  <sheetPr codeName="Sheet6"/>
  <dimension ref="A1:L165"/>
  <sheetViews>
    <sheetView topLeftCell="A24" workbookViewId="0">
      <selection activeCell="D51" sqref="D51"/>
    </sheetView>
  </sheetViews>
  <sheetFormatPr baseColWidth="10" defaultRowHeight="16"/>
  <cols>
    <col min="1" max="1" width="37" customWidth="1"/>
    <col min="2" max="2" width="21" customWidth="1"/>
    <col min="3" max="3" width="20.140625" customWidth="1"/>
    <col min="4" max="4" width="28.5703125" customWidth="1"/>
    <col min="5" max="5" width="67.42578125" customWidth="1"/>
    <col min="8" max="8" width="10.7109375" style="3"/>
    <col min="12" max="12" width="13.7109375" customWidth="1"/>
  </cols>
  <sheetData>
    <row r="1" spans="1:3" ht="28">
      <c r="A1" s="39" t="s">
        <v>1048</v>
      </c>
    </row>
    <row r="3" spans="1:3">
      <c r="A3" t="s">
        <v>36</v>
      </c>
      <c r="B3" t="s">
        <v>37</v>
      </c>
      <c r="C3" t="s">
        <v>454</v>
      </c>
    </row>
    <row r="4" spans="1:3">
      <c r="A4" s="3" t="e" cm="1" vm="1">
        <f t="array" aca="1" ref="A4" ca="1">_xlfn.SORTBY(_xlfn.ANCHORARRAY('HIDE - Calculations'!A2),_xlfn.ANCHORARRAY('HIDE - Calculations'!C2),-1)</f>
        <v>#VALUE!</v>
      </c>
      <c r="B4" t="e" cm="1" vm="1">
        <f t="array" aca="1" ref="B4" ca="1">_xlfn.SORTBY(_xlfn.ANCHORARRAY('HIDE - Calculations'!B2),_xlfn.ANCHORARRAY('HIDE - Calculations'!C2),-1)</f>
        <v>#VALUE!</v>
      </c>
      <c r="C4" s="4" t="e" cm="1" vm="1">
        <f t="array" aca="1" ref="C4" ca="1">_xlfn.SORTBY(_xlfn.ANCHORARRAY('HIDE - Calculations'!C2),_xlfn.ANCHORARRAY('HIDE - Calculations'!C2),-1)</f>
        <v>#VALUE!</v>
      </c>
    </row>
    <row r="5" spans="1:3">
      <c r="A5" s="3"/>
      <c r="C5" s="4"/>
    </row>
    <row r="6" spans="1:3">
      <c r="A6" s="3"/>
      <c r="C6" s="4"/>
    </row>
    <row r="7" spans="1:3">
      <c r="A7" s="3"/>
      <c r="C7" s="4"/>
    </row>
    <row r="8" spans="1:3">
      <c r="A8" s="3"/>
      <c r="C8" s="4"/>
    </row>
    <row r="9" spans="1:3">
      <c r="A9" s="3"/>
      <c r="C9" s="4"/>
    </row>
    <row r="10" spans="1:3">
      <c r="A10" s="3"/>
      <c r="C10" s="4"/>
    </row>
    <row r="11" spans="1:3">
      <c r="A11" s="3"/>
      <c r="C11" s="4"/>
    </row>
    <row r="12" spans="1:3">
      <c r="C12" s="4"/>
    </row>
    <row r="13" spans="1:3">
      <c r="C13" s="4"/>
    </row>
    <row r="14" spans="1:3">
      <c r="C14" s="4"/>
    </row>
    <row r="15" spans="1:3">
      <c r="C15" s="4"/>
    </row>
    <row r="16" spans="1:3">
      <c r="C16" s="4"/>
    </row>
    <row r="17" spans="1:8">
      <c r="C17" s="4"/>
    </row>
    <row r="18" spans="1:8">
      <c r="C18" s="4"/>
    </row>
    <row r="19" spans="1:8">
      <c r="C19" s="4"/>
    </row>
    <row r="20" spans="1:8">
      <c r="C20" s="4"/>
    </row>
    <row r="21" spans="1:8">
      <c r="C21" s="4"/>
    </row>
    <row r="22" spans="1:8">
      <c r="C22" s="4"/>
    </row>
    <row r="25" spans="1:8" ht="28">
      <c r="A25" s="39" t="s">
        <v>961</v>
      </c>
    </row>
    <row r="27" spans="1:8" ht="17">
      <c r="A27" s="17" t="s">
        <v>1050</v>
      </c>
    </row>
    <row r="28" spans="1:8">
      <c r="A28" t="s">
        <v>36</v>
      </c>
      <c r="B28">
        <f>inputs_username</f>
        <v>0</v>
      </c>
      <c r="C28" t="str">
        <f>text_sector_average</f>
        <v>Sector Average</v>
      </c>
      <c r="D28" t="s">
        <v>1078</v>
      </c>
      <c r="F28" t="s">
        <v>1077</v>
      </c>
    </row>
    <row r="29" spans="1:8">
      <c r="A29" t="s">
        <v>4</v>
      </c>
      <c r="B29" s="4">
        <f ca="1">SUMIF(_xlfn.ANCHORARRAY($A$4),A29,_xlfn.ANCHORARRAY($C$4))</f>
        <v>0</v>
      </c>
      <c r="C29" s="4">
        <f>inputs_revenue_GBP*_xlfn.XLOOKUP(A29,Table2[Category],Table2[Emissions (tCO2e/£)])</f>
        <v>0</v>
      </c>
      <c r="D29">
        <f>_xlfn.XLOOKUP(A29,Table15[Category],Table15[Order])</f>
        <v>1</v>
      </c>
      <c r="F29" t="s">
        <v>36</v>
      </c>
      <c r="G29" t="s">
        <v>1078</v>
      </c>
    </row>
    <row r="30" spans="1:8">
      <c r="A30" t="s">
        <v>0</v>
      </c>
      <c r="B30" s="4">
        <f t="shared" ref="B30:B32" ca="1" si="0">SUMIF(_xlfn.ANCHORARRAY($A$4),A30,_xlfn.ANCHORARRAY($C$4))</f>
        <v>0</v>
      </c>
      <c r="C30" s="4">
        <f>inputs_revenue_GBP*_xlfn.XLOOKUP(A30,Table2[Category],Table2[Emissions (tCO2e/£)])</f>
        <v>0</v>
      </c>
      <c r="D30">
        <f>_xlfn.XLOOKUP(A30,Table15[Category],Table15[Order])</f>
        <v>2</v>
      </c>
      <c r="F30" t="s">
        <v>4</v>
      </c>
      <c r="G30">
        <v>1</v>
      </c>
    </row>
    <row r="31" spans="1:8">
      <c r="A31" t="s">
        <v>469</v>
      </c>
      <c r="B31" s="4">
        <f t="shared" ca="1" si="0"/>
        <v>0</v>
      </c>
      <c r="C31" s="4">
        <f>inputs_revenue_GBP*_xlfn.XLOOKUP(A31,Table2[Category],Table2[Emissions (tCO2e/£)])</f>
        <v>0</v>
      </c>
      <c r="D31">
        <f>_xlfn.XLOOKUP(A31,Table15[Category],Table15[Order])</f>
        <v>3</v>
      </c>
      <c r="F31" t="s">
        <v>0</v>
      </c>
      <c r="G31">
        <v>2</v>
      </c>
      <c r="H31" s="2"/>
    </row>
    <row r="32" spans="1:8">
      <c r="A32" t="s">
        <v>3</v>
      </c>
      <c r="B32" s="4">
        <f t="shared" ca="1" si="0"/>
        <v>0</v>
      </c>
      <c r="C32" s="4">
        <f>inputs_revenue_GBP*_xlfn.XLOOKUP(A32,Table2[Category],Table2[Emissions (tCO2e/£)])</f>
        <v>0</v>
      </c>
      <c r="D32">
        <f>_xlfn.XLOOKUP(A32,Table15[Category],Table15[Order])</f>
        <v>4</v>
      </c>
      <c r="F32" t="s">
        <v>469</v>
      </c>
      <c r="G32">
        <v>3</v>
      </c>
      <c r="H32" s="2"/>
    </row>
    <row r="33" spans="1:8">
      <c r="F33" t="s">
        <v>3</v>
      </c>
      <c r="G33">
        <v>4</v>
      </c>
      <c r="H33" s="2"/>
    </row>
    <row r="34" spans="1:8" ht="17">
      <c r="A34" s="17" t="s">
        <v>1079</v>
      </c>
      <c r="H34" s="2"/>
    </row>
    <row r="35" spans="1:8">
      <c r="A35" t="str">
        <f>inputs_username &amp; " total estimated emissions"</f>
        <v xml:space="preserve"> total estimated emissions</v>
      </c>
    </row>
    <row r="36" spans="1:8">
      <c r="A36" t="s">
        <v>36</v>
      </c>
      <c r="B36">
        <f>inputs_username</f>
        <v>0</v>
      </c>
      <c r="C36" t="str">
        <f>text_sector_average</f>
        <v>Sector Average</v>
      </c>
    </row>
    <row r="37" spans="1:8">
      <c r="A37" t="str" cm="1">
        <f t="array" ref="A37:A40">IFERROR(_xlfn.SORTBY($A$29:$A$32,$D$29:$D$32,1),"")</f>
        <v>Value Chain</v>
      </c>
      <c r="B37" s="4" cm="1">
        <f t="array" aca="1" ref="B37:B40" ca="1">IFERROR(_xlfn.SORTBY($B$29:$B$32,$D$29:$D$32,1),"")</f>
        <v>0</v>
      </c>
      <c r="C37" s="4" cm="1">
        <f t="array" ref="C37:C40">IFERROR(_xlfn.SORTBY($C$29:$C$32,$D$29:$D$32,1),"")</f>
        <v>0</v>
      </c>
    </row>
    <row r="38" spans="1:8">
      <c r="A38" t="str">
        <v>Logistics</v>
      </c>
      <c r="B38" s="4">
        <f ca="1"/>
        <v>0</v>
      </c>
      <c r="C38" s="4">
        <v>0</v>
      </c>
    </row>
    <row r="39" spans="1:8">
      <c r="A39" t="str">
        <v>Buildings &amp; Electricity</v>
      </c>
      <c r="B39" s="4">
        <f ca="1"/>
        <v>0</v>
      </c>
      <c r="C39" s="4">
        <v>0</v>
      </c>
    </row>
    <row r="40" spans="1:8">
      <c r="A40" t="str">
        <v>Refrigerants</v>
      </c>
      <c r="B40">
        <f ca="1"/>
        <v>0</v>
      </c>
      <c r="C40" s="4">
        <v>0</v>
      </c>
    </row>
    <row r="42" spans="1:8" ht="17">
      <c r="A42" s="17" t="s">
        <v>1080</v>
      </c>
    </row>
    <row r="43" spans="1:8">
      <c r="A43" t="str">
        <f>inputs_username&amp; " scope 1 &amp; 2 emissions vs sector average"</f>
        <v xml:space="preserve"> scope 1 &amp; 2 emissions vs sector average</v>
      </c>
    </row>
    <row r="44" spans="1:8">
      <c r="A44" t="s">
        <v>36</v>
      </c>
      <c r="B44">
        <f>inputs_username</f>
        <v>0</v>
      </c>
      <c r="C44" t="str">
        <f>text_sector_average</f>
        <v>Sector Average</v>
      </c>
    </row>
    <row r="45" spans="1:8">
      <c r="A45" t="str" cm="1">
        <f t="array" ref="A45:A47">IFERROR(_xlfn._xlws.FILTER(_xlfn.ANCHORARRAY(A37),_xlfn.ANCHORARRAY(A37)&lt;&gt;"Value Chain"),"")</f>
        <v>Logistics</v>
      </c>
      <c r="B45" s="4" cm="1">
        <f t="array" aca="1" ref="B45:B47" ca="1">IFERROR(_xlfn.XLOOKUP(_xlfn.ANCHORARRAY(A45),_xlfn.ANCHORARRAY(A37),_xlfn.ANCHORARRAY(B37)),"")</f>
        <v>0</v>
      </c>
      <c r="C45" s="4" cm="1">
        <f t="array" ref="C45:C47">IFERROR(_xlfn.XLOOKUP(_xlfn.ANCHORARRAY(A45),_xlfn.ANCHORARRAY(A37),_xlfn.ANCHORARRAY(C37)),"")</f>
        <v>0</v>
      </c>
    </row>
    <row r="46" spans="1:8">
      <c r="A46" t="str">
        <v>Buildings &amp; Electricity</v>
      </c>
      <c r="B46" s="4">
        <f ca="1"/>
        <v>0</v>
      </c>
      <c r="C46" s="4">
        <v>0</v>
      </c>
    </row>
    <row r="47" spans="1:8">
      <c r="A47" t="str">
        <v>Refrigerants</v>
      </c>
      <c r="B47" s="4">
        <f ca="1"/>
        <v>0</v>
      </c>
      <c r="C47" s="4">
        <v>0</v>
      </c>
    </row>
    <row r="48" spans="1:8">
      <c r="B48" s="4"/>
      <c r="C48" s="4"/>
    </row>
    <row r="49" spans="1:11">
      <c r="A49" t="s">
        <v>1081</v>
      </c>
      <c r="B49" s="4"/>
      <c r="C49" s="4"/>
    </row>
    <row r="50" spans="1:11">
      <c r="A50" t="s">
        <v>36</v>
      </c>
      <c r="B50">
        <f>inputs_username</f>
        <v>0</v>
      </c>
      <c r="C50" s="4"/>
    </row>
    <row r="51" spans="1:11">
      <c r="A51" t="str" cm="1">
        <f t="array" aca="1" ref="A51:A54" ca="1">IFERROR(_xlfn.SORTBY($A$29:$A$32,$B$29:$B$32,-1),"")</f>
        <v>Value Chain</v>
      </c>
      <c r="B51" s="4" cm="1">
        <f t="array" aca="1" ref="B51:B54" ca="1">IFERROR(_xlfn._xlws.SORT($B$29:$B$32,,-1),"")</f>
        <v>0</v>
      </c>
      <c r="C51" s="4"/>
    </row>
    <row r="52" spans="1:11">
      <c r="A52" t="str">
        <f ca="1"/>
        <v>Logistics</v>
      </c>
      <c r="B52" s="4">
        <f ca="1"/>
        <v>0</v>
      </c>
      <c r="C52" s="4"/>
    </row>
    <row r="53" spans="1:11">
      <c r="A53" t="str">
        <f ca="1"/>
        <v>Buildings &amp; Electricity</v>
      </c>
      <c r="B53" s="4">
        <f ca="1"/>
        <v>0</v>
      </c>
      <c r="C53" s="4"/>
    </row>
    <row r="54" spans="1:11">
      <c r="A54" t="str">
        <f ca="1"/>
        <v>Refrigerants</v>
      </c>
      <c r="B54">
        <f ca="1"/>
        <v>0</v>
      </c>
    </row>
    <row r="58" spans="1:11">
      <c r="K58" s="4"/>
    </row>
    <row r="59" spans="1:11" ht="28">
      <c r="A59" s="39" t="s">
        <v>962</v>
      </c>
      <c r="B59" s="4"/>
      <c r="K59" s="4"/>
    </row>
    <row r="60" spans="1:11">
      <c r="B60" s="11"/>
      <c r="K60" s="4"/>
    </row>
    <row r="61" spans="1:11">
      <c r="A61" t="s">
        <v>1014</v>
      </c>
      <c r="B61" t="str" cm="1">
        <f t="array" aca="1" ref="B61:B64" ca="1">_xlfn.ANCHORARRAY(A51)</f>
        <v>Value Chain</v>
      </c>
      <c r="C61" s="2" t="e" cm="1">
        <f t="array" aca="1" ref="C61:C64" ca="1">_xlfn.XLOOKUP(_xlfn.ANCHORARRAY(B61),_xlfn.ANCHORARRAY(A51),_xlfn.ANCHORARRAY(B51))/SUM(_xlfn.ANCHORARRAY(B51))</f>
        <v>#DIV/0!</v>
      </c>
      <c r="K61" s="4"/>
    </row>
    <row r="62" spans="1:11">
      <c r="A62" t="s">
        <v>1015</v>
      </c>
      <c r="B62" t="str">
        <f ca="1"/>
        <v>Logistics</v>
      </c>
      <c r="C62" s="2" t="e">
        <f ca="1"/>
        <v>#DIV/0!</v>
      </c>
      <c r="G62" s="4"/>
    </row>
    <row r="63" spans="1:11">
      <c r="A63" t="s">
        <v>1016</v>
      </c>
      <c r="B63" t="str">
        <f ca="1"/>
        <v>Buildings &amp; Electricity</v>
      </c>
      <c r="C63" s="2" t="e">
        <f ca="1"/>
        <v>#DIV/0!</v>
      </c>
      <c r="G63" s="4"/>
    </row>
    <row r="64" spans="1:11">
      <c r="A64" t="s">
        <v>1017</v>
      </c>
      <c r="B64" t="str">
        <f ca="1"/>
        <v>Refrigerants</v>
      </c>
      <c r="C64" s="2" t="e">
        <f ca="1"/>
        <v>#DIV/0!</v>
      </c>
      <c r="G64" s="4"/>
    </row>
    <row r="65" spans="1:8">
      <c r="B65" s="6"/>
      <c r="G65" s="4"/>
    </row>
    <row r="66" spans="1:8">
      <c r="B66" s="6"/>
      <c r="G66" s="4"/>
    </row>
    <row r="67" spans="1:8" ht="17">
      <c r="A67" s="17" t="s">
        <v>43</v>
      </c>
      <c r="B67" s="6" t="str">
        <f ca="1">INDEX(_xlfn.ANCHORARRAY(B61),1)</f>
        <v>Value Chain</v>
      </c>
      <c r="C67" s="2" t="e" cm="1">
        <f t="array" aca="1" ref="C67" ca="1">_xlfn.XLOOKUP(B67,_xlfn.ANCHORARRAY($B$61),_xlfn.ANCHORARRAY($C$61))</f>
        <v>#DIV/0!</v>
      </c>
      <c r="D67" t="e">
        <f ca="1">"#1 Hotspot: "&amp;B67&amp;" (~"&amp;TEXT(C67,"0%")&amp;" of total emissions)"</f>
        <v>#DIV/0!</v>
      </c>
      <c r="F67" t="s">
        <v>898</v>
      </c>
      <c r="G67" s="2">
        <f ca="1">_xlfn.XLOOKUP(B67,calcs_data_scores[Category],calcs_data_scores[Data Quality Score])</f>
        <v>0</v>
      </c>
      <c r="H67" s="3" t="s">
        <v>1100</v>
      </c>
    </row>
    <row r="68" spans="1:8">
      <c r="B68" s="6"/>
      <c r="G68" s="4"/>
    </row>
    <row r="69" spans="1:8">
      <c r="A69" t="e" cm="1" vm="1">
        <f t="array" aca="1" ref="A69" ca="1">_xlfn._xlws.FILTER(_xlfn.ANCHORARRAY($B$4),_xlfn.ANCHORARRAY($A$4)=B67)</f>
        <v>#VALUE!</v>
      </c>
      <c r="B69" s="4" t="e" cm="1" vm="1">
        <f t="array" aca="1" ref="B69" ca="1">_xlfn._xlws.FILTER(_xlfn.ANCHORARRAY($C$4),_xlfn.ANCHORARRAY($A$4)=B67)</f>
        <v>#VALUE!</v>
      </c>
      <c r="C69" s="2" t="e" cm="1" vm="1">
        <f t="array" aca="1" ref="C69" ca="1">_xlfn.ANCHORARRAY(A69)</f>
        <v>#VALUE!</v>
      </c>
      <c r="D69" t="e" vm="1">
        <f ca="1">_xlfn.XLOOKUP(IF(AND(B67="Refrigerants",NOT(ISBLANK(A69))),"Refrigerants",A69),summary_tips[Sub-Category],summary_tips[Tip],"")</f>
        <v>#VALUE!</v>
      </c>
    </row>
    <row r="70" spans="1:8">
      <c r="B70" s="4"/>
      <c r="C70" s="2"/>
      <c r="D70" t="str">
        <f>_xlfn.XLOOKUP(A70,summary_tips[Sub-Category],summary_tips[Tip],"")</f>
        <v/>
      </c>
    </row>
    <row r="71" spans="1:8">
      <c r="B71" s="4"/>
      <c r="C71" s="2"/>
      <c r="D71" t="str">
        <f>_xlfn.XLOOKUP(A71,summary_tips[Sub-Category],summary_tips[Tip],"")</f>
        <v/>
      </c>
    </row>
    <row r="72" spans="1:8">
      <c r="B72" s="4"/>
    </row>
    <row r="73" spans="1:8">
      <c r="B73" s="4"/>
    </row>
    <row r="74" spans="1:8">
      <c r="B74" s="4"/>
    </row>
    <row r="75" spans="1:8">
      <c r="B75" s="4"/>
    </row>
    <row r="76" spans="1:8">
      <c r="B76" s="4"/>
    </row>
    <row r="77" spans="1:8">
      <c r="B77" s="6"/>
    </row>
    <row r="78" spans="1:8">
      <c r="B78" s="6"/>
    </row>
    <row r="79" spans="1:8">
      <c r="B79" s="6"/>
    </row>
    <row r="80" spans="1:8">
      <c r="B80" s="6"/>
    </row>
    <row r="81" spans="1:7" ht="17">
      <c r="A81" s="17" t="s">
        <v>41</v>
      </c>
      <c r="B81" s="6" t="str">
        <f ca="1">INDEX(_xlfn.ANCHORARRAY(B61),2)</f>
        <v>Logistics</v>
      </c>
      <c r="C81" s="2" t="e" cm="1">
        <f t="array" aca="1" ref="C81" ca="1">_xlfn.XLOOKUP(B81,_xlfn.ANCHORARRAY($B$61),_xlfn.ANCHORARRAY($C$61))</f>
        <v>#DIV/0!</v>
      </c>
      <c r="D81" t="e">
        <f ca="1">"#2 Hotspot: "&amp;B81&amp;" (~"&amp;TEXT(C81,"0%")&amp;" of total emissions)"</f>
        <v>#DIV/0!</v>
      </c>
      <c r="F81" t="s">
        <v>898</v>
      </c>
      <c r="G81" s="2">
        <f ca="1">_xlfn.XLOOKUP(B81,calcs_data_scores[Category],calcs_data_scores[Data Quality Score])</f>
        <v>0</v>
      </c>
    </row>
    <row r="82" spans="1:7">
      <c r="B82" s="6"/>
    </row>
    <row r="83" spans="1:7">
      <c r="A83" t="e" cm="1" vm="1">
        <f t="array" aca="1" ref="A83" ca="1">_xlfn._xlws.FILTER(_xlfn.ANCHORARRAY($B$4),_xlfn.ANCHORARRAY($A$4)=B81)</f>
        <v>#VALUE!</v>
      </c>
      <c r="B83" s="4" t="e" cm="1" vm="1">
        <f t="array" aca="1" ref="B83" ca="1">_xlfn._xlws.FILTER(_xlfn.ANCHORARRAY($C$4),_xlfn.ANCHORARRAY($A$4)=B81)</f>
        <v>#VALUE!</v>
      </c>
      <c r="C83" s="2" t="e" cm="1" vm="1">
        <f t="array" aca="1" ref="C83" ca="1">_xlfn.ANCHORARRAY(A83)</f>
        <v>#VALUE!</v>
      </c>
      <c r="D83" t="e" vm="1">
        <f ca="1">_xlfn.XLOOKUP(IF(AND(B81="Refrigerants",NOT(ISBLANK(A83))),"Refrigerants",A83),summary_tips[Sub-Category],summary_tips[Tip],"")</f>
        <v>#VALUE!</v>
      </c>
    </row>
    <row r="84" spans="1:7">
      <c r="B84" s="4"/>
      <c r="C84" s="2"/>
      <c r="D84" t="str">
        <f>_xlfn.XLOOKUP(A84,summary_tips[Sub-Category],summary_tips[Tip],"")</f>
        <v/>
      </c>
    </row>
    <row r="85" spans="1:7">
      <c r="B85" s="4"/>
      <c r="C85" s="2"/>
      <c r="D85" t="str">
        <f>_xlfn.XLOOKUP(A85,summary_tips[Sub-Category],summary_tips[Tip],"")</f>
        <v/>
      </c>
    </row>
    <row r="86" spans="1:7">
      <c r="B86" s="6"/>
    </row>
    <row r="87" spans="1:7">
      <c r="B87" s="6"/>
    </row>
    <row r="88" spans="1:7">
      <c r="B88" s="6"/>
    </row>
    <row r="89" spans="1:7">
      <c r="B89" s="6"/>
    </row>
    <row r="90" spans="1:7">
      <c r="B90" s="6"/>
    </row>
    <row r="91" spans="1:7">
      <c r="B91" s="6"/>
    </row>
    <row r="92" spans="1:7">
      <c r="B92" s="6"/>
    </row>
    <row r="93" spans="1:7" ht="17">
      <c r="A93" s="17" t="s">
        <v>42</v>
      </c>
      <c r="B93" s="6" t="str">
        <f ca="1">INDEX(_xlfn.ANCHORARRAY(B61),3)</f>
        <v>Buildings &amp; Electricity</v>
      </c>
      <c r="C93" s="2" t="e" cm="1">
        <f t="array" aca="1" ref="C93" ca="1">_xlfn.XLOOKUP(B93,_xlfn.ANCHORARRAY($B$61),_xlfn.ANCHORARRAY($C$61))</f>
        <v>#DIV/0!</v>
      </c>
      <c r="D93" t="e">
        <f ca="1">"#3 Hotspot: "&amp;B93&amp;" (~"&amp;TEXT(C93,"0%")&amp;" of total emissions)"</f>
        <v>#DIV/0!</v>
      </c>
      <c r="F93" t="s">
        <v>898</v>
      </c>
      <c r="G93" s="2">
        <f ca="1">_xlfn.XLOOKUP(B93,calcs_data_scores[Category],calcs_data_scores[Data Quality Score])</f>
        <v>0</v>
      </c>
    </row>
    <row r="94" spans="1:7">
      <c r="B94" s="6"/>
    </row>
    <row r="95" spans="1:7">
      <c r="A95" t="e" cm="1" vm="1">
        <f t="array" aca="1" ref="A95" ca="1">_xlfn._xlws.FILTER(_xlfn.ANCHORARRAY($B$4),_xlfn.ANCHORARRAY($A$4)=B93)</f>
        <v>#VALUE!</v>
      </c>
      <c r="B95" s="4" t="e" cm="1" vm="1">
        <f t="array" aca="1" ref="B95" ca="1">_xlfn._xlws.FILTER(_xlfn.ANCHORARRAY($C$4),_xlfn.ANCHORARRAY($A$4)=B93)</f>
        <v>#VALUE!</v>
      </c>
      <c r="C95" s="2" t="e" cm="1" vm="1">
        <f t="array" aca="1" ref="C95" ca="1">_xlfn.ANCHORARRAY(A95)</f>
        <v>#VALUE!</v>
      </c>
      <c r="D95" t="e" vm="1">
        <f ca="1">_xlfn.XLOOKUP(IF(AND(B93="Refrigerants",NOT(ISBLANK(A95))),"Refrigerants",A95),summary_tips[Sub-Category],summary_tips[Tip],"")</f>
        <v>#VALUE!</v>
      </c>
    </row>
    <row r="96" spans="1:7">
      <c r="B96" s="4"/>
      <c r="C96" s="2"/>
      <c r="D96" t="str">
        <f>_xlfn.XLOOKUP(A96,summary_tips[Sub-Category],summary_tips[Tip],"")</f>
        <v/>
      </c>
    </row>
    <row r="97" spans="1:10">
      <c r="B97" s="4"/>
      <c r="C97" s="2"/>
    </row>
    <row r="99" spans="1:10">
      <c r="E99" s="53"/>
    </row>
    <row r="106" spans="1:10">
      <c r="A106" t="s">
        <v>36</v>
      </c>
      <c r="B106" t="s">
        <v>37</v>
      </c>
      <c r="C106" t="s">
        <v>1153</v>
      </c>
      <c r="D106" t="s">
        <v>1154</v>
      </c>
      <c r="E106" t="s">
        <v>1156</v>
      </c>
      <c r="F106" t="s">
        <v>1155</v>
      </c>
      <c r="G106" t="s">
        <v>1047</v>
      </c>
      <c r="H106"/>
      <c r="J106" s="3"/>
    </row>
    <row r="107" spans="1:10">
      <c r="A107" t="s">
        <v>0</v>
      </c>
      <c r="B107" t="s">
        <v>94</v>
      </c>
      <c r="C107">
        <f>_xlfn.XLOOKUP(summary_tips[[#This Row],[Category]],Table1[Category],Table1[Page Start])</f>
        <v>17</v>
      </c>
      <c r="D107">
        <f>_xlfn.XLOOKUP(summary_tips[[#This Row],[Category]],Table1[Category],Table1[Page End])</f>
        <v>19</v>
      </c>
      <c r="E107" t="s">
        <v>1157</v>
      </c>
      <c r="F107" t="str">
        <f>"See pages "&amp;summary_tips[[#This Row],[Page Start]]&amp;"-"&amp;summary_tips[[#This Row],[Page End]]&amp;" of the Wholesale Sector Roadmap for more details."</f>
        <v>See pages 17-19 of the Wholesale Sector Roadmap for more details.</v>
      </c>
      <c r="G107" t="str">
        <f>summary_tips[[#This Row],[Tip Text]]&amp;" "&amp;summary_tips[[#This Row],[Page Text]]</f>
        <v>Reduce demand and increase efficiency of existing network and fleet. See pages 17-19 of the Wholesale Sector Roadmap for more details.</v>
      </c>
      <c r="H107"/>
      <c r="J107" s="3"/>
    </row>
    <row r="108" spans="1:10">
      <c r="A108" t="s">
        <v>0</v>
      </c>
      <c r="B108" t="s">
        <v>95</v>
      </c>
      <c r="C108">
        <f>_xlfn.XLOOKUP(summary_tips[[#This Row],[Category]],Table1[Category],Table1[Page Start])</f>
        <v>17</v>
      </c>
      <c r="D108">
        <f>_xlfn.XLOOKUP(summary_tips[[#This Row],[Category]],Table1[Category],Table1[Page End])</f>
        <v>19</v>
      </c>
      <c r="E108" t="s">
        <v>1158</v>
      </c>
      <c r="F108" t="str">
        <f>"See pages "&amp;summary_tips[[#This Row],[Page Start]]&amp;"-"&amp;summary_tips[[#This Row],[Page End]]&amp;" of the Wholesale Sector Roadmap for more details."</f>
        <v>See pages 17-19 of the Wholesale Sector Roadmap for more details.</v>
      </c>
      <c r="G108" t="str">
        <f>summary_tips[[#This Row],[Tip Text]]&amp;" "&amp;summary_tips[[#This Row],[Page Text]]</f>
        <v>Transition LGVs from fossil fuels to electric. See pages 17-19 of the Wholesale Sector Roadmap for more details.</v>
      </c>
      <c r="H108"/>
      <c r="J108" s="3"/>
    </row>
    <row r="109" spans="1:10">
      <c r="A109" t="s">
        <v>0</v>
      </c>
      <c r="B109" t="s">
        <v>486</v>
      </c>
      <c r="C109">
        <f>_xlfn.XLOOKUP(summary_tips[[#This Row],[Category]],Table1[Category],Table1[Page Start])</f>
        <v>17</v>
      </c>
      <c r="D109">
        <f>_xlfn.XLOOKUP(summary_tips[[#This Row],[Category]],Table1[Category],Table1[Page End])</f>
        <v>19</v>
      </c>
      <c r="E109" t="s">
        <v>1158</v>
      </c>
      <c r="F109" t="str">
        <f>"See pages "&amp;summary_tips[[#This Row],[Page Start]]&amp;"-"&amp;summary_tips[[#This Row],[Page End]]&amp;" of the Wholesale Sector Roadmap for more details."</f>
        <v>See pages 17-19 of the Wholesale Sector Roadmap for more details.</v>
      </c>
      <c r="G109" t="str">
        <f>summary_tips[[#This Row],[Tip Text]]&amp;" "&amp;summary_tips[[#This Row],[Page Text]]</f>
        <v>Transition LGVs from fossil fuels to electric. See pages 17-19 of the Wholesale Sector Roadmap for more details.</v>
      </c>
      <c r="H109"/>
      <c r="J109" s="3"/>
    </row>
    <row r="110" spans="1:10">
      <c r="A110" t="s">
        <v>0</v>
      </c>
      <c r="B110" t="s">
        <v>487</v>
      </c>
      <c r="C110">
        <f>_xlfn.XLOOKUP(summary_tips[[#This Row],[Category]],Table1[Category],Table1[Page Start])</f>
        <v>17</v>
      </c>
      <c r="D110">
        <f>_xlfn.XLOOKUP(summary_tips[[#This Row],[Category]],Table1[Category],Table1[Page End])</f>
        <v>19</v>
      </c>
      <c r="E110" t="s">
        <v>1158</v>
      </c>
      <c r="F110" t="str">
        <f>"See pages "&amp;summary_tips[[#This Row],[Page Start]]&amp;"-"&amp;summary_tips[[#This Row],[Page End]]&amp;" of the Wholesale Sector Roadmap for more details."</f>
        <v>See pages 17-19 of the Wholesale Sector Roadmap for more details.</v>
      </c>
      <c r="G110" t="str">
        <f>summary_tips[[#This Row],[Tip Text]]&amp;" "&amp;summary_tips[[#This Row],[Page Text]]</f>
        <v>Transition LGVs from fossil fuels to electric. See pages 17-19 of the Wholesale Sector Roadmap for more details.</v>
      </c>
      <c r="H110"/>
      <c r="J110" s="3"/>
    </row>
    <row r="111" spans="1:10">
      <c r="A111" t="s">
        <v>0</v>
      </c>
      <c r="B111" t="s">
        <v>40</v>
      </c>
      <c r="C111">
        <f>_xlfn.XLOOKUP(summary_tips[[#This Row],[Category]],Table1[Category],Table1[Page Start])</f>
        <v>17</v>
      </c>
      <c r="D111">
        <f>_xlfn.XLOOKUP(summary_tips[[#This Row],[Category]],Table1[Category],Table1[Page End])</f>
        <v>19</v>
      </c>
      <c r="E111" t="s">
        <v>1159</v>
      </c>
      <c r="F111" t="str">
        <f>"See pages "&amp;summary_tips[[#This Row],[Page Start]]&amp;"-"&amp;summary_tips[[#This Row],[Page End]]&amp;" of the Wholesale Sector Roadmap for more details."</f>
        <v>See pages 17-19 of the Wholesale Sector Roadmap for more details.</v>
      </c>
      <c r="G111" t="str">
        <f>summary_tips[[#This Row],[Tip Text]]&amp;" "&amp;summary_tips[[#This Row],[Page Text]]</f>
        <v>Transition company cars to electric vehicles. See pages 17-19 of the Wholesale Sector Roadmap for more details.</v>
      </c>
      <c r="H111"/>
      <c r="J111" s="3"/>
    </row>
    <row r="112" spans="1:10">
      <c r="A112" t="s">
        <v>0</v>
      </c>
      <c r="B112" t="s">
        <v>40</v>
      </c>
      <c r="C112">
        <f>_xlfn.XLOOKUP(summary_tips[[#This Row],[Category]],Table1[Category],Table1[Page Start])</f>
        <v>17</v>
      </c>
      <c r="D112">
        <f>_xlfn.XLOOKUP(summary_tips[[#This Row],[Category]],Table1[Category],Table1[Page End])</f>
        <v>19</v>
      </c>
      <c r="E112" t="s">
        <v>1159</v>
      </c>
      <c r="F112" t="str">
        <f>"See pages "&amp;summary_tips[[#This Row],[Page Start]]&amp;"-"&amp;summary_tips[[#This Row],[Page End]]&amp;" of the Wholesale Sector Roadmap for more details."</f>
        <v>See pages 17-19 of the Wholesale Sector Roadmap for more details.</v>
      </c>
      <c r="G112" t="str">
        <f>summary_tips[[#This Row],[Tip Text]]&amp;" "&amp;summary_tips[[#This Row],[Page Text]]</f>
        <v>Transition company cars to electric vehicles. See pages 17-19 of the Wholesale Sector Roadmap for more details.</v>
      </c>
      <c r="H112"/>
      <c r="J112" s="3"/>
    </row>
    <row r="113" spans="1:12">
      <c r="A113" t="s">
        <v>0</v>
      </c>
      <c r="B113" t="s">
        <v>40</v>
      </c>
      <c r="C113">
        <f>_xlfn.XLOOKUP(summary_tips[[#This Row],[Category]],Table1[Category],Table1[Page Start])</f>
        <v>17</v>
      </c>
      <c r="D113">
        <f>_xlfn.XLOOKUP(summary_tips[[#This Row],[Category]],Table1[Category],Table1[Page End])</f>
        <v>19</v>
      </c>
      <c r="E113" t="s">
        <v>1159</v>
      </c>
      <c r="F113" t="str">
        <f>"See pages "&amp;summary_tips[[#This Row],[Page Start]]&amp;"-"&amp;summary_tips[[#This Row],[Page End]]&amp;" of the Wholesale Sector Roadmap for more details."</f>
        <v>See pages 17-19 of the Wholesale Sector Roadmap for more details.</v>
      </c>
      <c r="G113" t="str">
        <f>summary_tips[[#This Row],[Tip Text]]&amp;" "&amp;summary_tips[[#This Row],[Page Text]]</f>
        <v>Transition company cars to electric vehicles. See pages 17-19 of the Wholesale Sector Roadmap for more details.</v>
      </c>
      <c r="H113"/>
      <c r="J113" s="3"/>
    </row>
    <row r="114" spans="1:12">
      <c r="A114" t="s">
        <v>1</v>
      </c>
      <c r="B114" t="s">
        <v>38</v>
      </c>
      <c r="C114">
        <f>_xlfn.XLOOKUP(summary_tips[[#This Row],[Category]],Table1[Category],Table1[Page Start])</f>
        <v>30</v>
      </c>
      <c r="D114">
        <f>_xlfn.XLOOKUP(summary_tips[[#This Row],[Category]],Table1[Category],Table1[Page End])</f>
        <v>32</v>
      </c>
      <c r="E114" t="s">
        <v>1160</v>
      </c>
      <c r="F114" t="str">
        <f>"See pages "&amp;summary_tips[[#This Row],[Page Start]]&amp;"-"&amp;summary_tips[[#This Row],[Page End]]&amp;" of the Wholesale Sector Roadmap for more details."</f>
        <v>See pages 30-32 of the Wholesale Sector Roadmap for more details.</v>
      </c>
      <c r="G114" t="str">
        <f>summary_tips[[#This Row],[Tip Text]]&amp;" "&amp;summary_tips[[#This Row],[Page Text]]</f>
        <v>Transition to zero carbon energy sources, reduce energy demand and increase building efficiency. See pages 30-32 of the Wholesale Sector Roadmap for more details.</v>
      </c>
      <c r="H114"/>
      <c r="J114" s="3"/>
    </row>
    <row r="115" spans="1:12">
      <c r="A115" t="s">
        <v>1</v>
      </c>
      <c r="B115" t="s">
        <v>471</v>
      </c>
      <c r="C115">
        <f>_xlfn.XLOOKUP(summary_tips[[#This Row],[Category]],Table1[Category],Table1[Page Start])</f>
        <v>30</v>
      </c>
      <c r="D115">
        <f>_xlfn.XLOOKUP(summary_tips[[#This Row],[Category]],Table1[Category],Table1[Page End])</f>
        <v>32</v>
      </c>
      <c r="E115" t="s">
        <v>1160</v>
      </c>
      <c r="F115" t="str">
        <f>"See pages "&amp;summary_tips[[#This Row],[Page Start]]&amp;"-"&amp;summary_tips[[#This Row],[Page End]]&amp;" of the Wholesale Sector Roadmap for more details."</f>
        <v>See pages 30-32 of the Wholesale Sector Roadmap for more details.</v>
      </c>
      <c r="G115" t="str">
        <f>summary_tips[[#This Row],[Tip Text]]&amp;" "&amp;summary_tips[[#This Row],[Page Text]]</f>
        <v>Transition to zero carbon energy sources, reduce energy demand and increase building efficiency. See pages 30-32 of the Wholesale Sector Roadmap for more details.</v>
      </c>
      <c r="H115"/>
      <c r="J115" s="3"/>
    </row>
    <row r="116" spans="1:12">
      <c r="A116" t="s">
        <v>2</v>
      </c>
      <c r="B116" t="s">
        <v>2</v>
      </c>
      <c r="C116">
        <f>_xlfn.XLOOKUP(summary_tips[[#This Row],[Category]],Table1[Category],Table1[Page Start])</f>
        <v>22</v>
      </c>
      <c r="D116">
        <f>_xlfn.XLOOKUP(summary_tips[[#This Row],[Category]],Table1[Category],Table1[Page End])</f>
        <v>24</v>
      </c>
      <c r="E116" t="s">
        <v>1161</v>
      </c>
      <c r="F116" t="str">
        <f>"See pages "&amp;summary_tips[[#This Row],[Page Start]]&amp;"-"&amp;summary_tips[[#This Row],[Page End]]&amp;" of the Wholesale Sector Roadmap for more details."</f>
        <v>See pages 22-24 of the Wholesale Sector Roadmap for more details.</v>
      </c>
      <c r="G116" t="str">
        <f>summary_tips[[#This Row],[Tip Text]]&amp;" "&amp;summary_tips[[#This Row],[Page Text]]</f>
        <v>Purchase high quality renewable electricity, invest in renewable generation on-site and make a plan to accomodate flexibility in energy demand. See pages 22-24 of the Wholesale Sector Roadmap for more details.</v>
      </c>
      <c r="H116"/>
      <c r="J116" s="3"/>
    </row>
    <row r="117" spans="1:12">
      <c r="A117" t="s">
        <v>3</v>
      </c>
      <c r="B117" t="s">
        <v>3</v>
      </c>
      <c r="C117">
        <f>_xlfn.XLOOKUP(summary_tips[[#This Row],[Category]],Table1[Category],Table1[Page Start])</f>
        <v>27</v>
      </c>
      <c r="D117">
        <f>_xlfn.XLOOKUP(summary_tips[[#This Row],[Category]],Table1[Category],Table1[Page End])</f>
        <v>29</v>
      </c>
      <c r="E117" t="s">
        <v>1162</v>
      </c>
      <c r="F117" t="str">
        <f>"See pages "&amp;summary_tips[[#This Row],[Page Start]]&amp;"-"&amp;summary_tips[[#This Row],[Page End]]&amp;" of the Wholesale Sector Roadmap for more details."</f>
        <v>See pages 27-29 of the Wholesale Sector Roadmap for more details.</v>
      </c>
      <c r="G117" t="str">
        <f>summary_tips[[#This Row],[Tip Text]]&amp;" "&amp;summary_tips[[#This Row],[Page Text]]</f>
        <v>Replace refrigerants with lower GWP alternatives, reduce refrigerant leaks through better monitoring and reduce cooling energy requirements. See pages 27-29 of the Wholesale Sector Roadmap for more details.</v>
      </c>
      <c r="H117"/>
      <c r="J117" s="3"/>
    </row>
    <row r="118" spans="1:12">
      <c r="A118" t="s">
        <v>4</v>
      </c>
      <c r="B118" t="s">
        <v>935</v>
      </c>
      <c r="C118">
        <f>_xlfn.XLOOKUP(summary_tips[[#This Row],[Category]],Table1[Category],Table1[Page Start])</f>
        <v>33</v>
      </c>
      <c r="D118">
        <f>_xlfn.XLOOKUP(summary_tips[[#This Row],[Category]],Table1[Category],Table1[Page End])</f>
        <v>35</v>
      </c>
      <c r="E118" t="s">
        <v>1163</v>
      </c>
      <c r="F118" t="str">
        <f>"See pages "&amp;summary_tips[[#This Row],[Page Start]]&amp;"-"&amp;summary_tips[[#This Row],[Page End]]&amp;" of the Wholesale Sector Roadmap for more details."</f>
        <v>See pages 33-35 of the Wholesale Sector Roadmap for more details.</v>
      </c>
      <c r="G118" t="str">
        <f>summary_tips[[#This Row],[Tip Text]]&amp;" "&amp;summary_tips[[#This Row],[Page Text]]</f>
        <v>Improve visibility of value chain emissions, make a zero deforestation sourcing commitment and collaborate with customers to shift demand. See pages 33-35 of the Wholesale Sector Roadmap for more details.</v>
      </c>
      <c r="H118"/>
      <c r="J118" s="3"/>
    </row>
    <row r="119" spans="1:12">
      <c r="A119" t="s">
        <v>4</v>
      </c>
      <c r="B119" t="s">
        <v>941</v>
      </c>
      <c r="C119">
        <f>_xlfn.XLOOKUP(summary_tips[[#This Row],[Category]],Table1[Category],Table1[Page Start])</f>
        <v>33</v>
      </c>
      <c r="D119">
        <f>_xlfn.XLOOKUP(summary_tips[[#This Row],[Category]],Table1[Category],Table1[Page End])</f>
        <v>35</v>
      </c>
      <c r="E119" t="s">
        <v>1164</v>
      </c>
      <c r="F119" t="str">
        <f>"See pages "&amp;summary_tips[[#This Row],[Page Start]]&amp;"-"&amp;summary_tips[[#This Row],[Page End]]&amp;" of the Wholesale Sector Roadmap for more details."</f>
        <v>See pages 33-35 of the Wholesale Sector Roadmap for more details.</v>
      </c>
      <c r="G119" t="str">
        <f>summary_tips[[#This Row],[Tip Text]]&amp;" "&amp;summary_tips[[#This Row],[Page Text]]</f>
        <v>Work with customers downstream in the supply chain to jointly drive behaviour changes. See pages 33-35 of the Wholesale Sector Roadmap for more details.</v>
      </c>
      <c r="H119"/>
      <c r="J119" s="3"/>
    </row>
    <row r="120" spans="1:12">
      <c r="A120" t="s">
        <v>4</v>
      </c>
      <c r="B120" t="s">
        <v>940</v>
      </c>
      <c r="C120">
        <f>_xlfn.XLOOKUP(summary_tips[[#This Row],[Category]],Table1[Category],Table1[Page Start])</f>
        <v>33</v>
      </c>
      <c r="D120">
        <f>_xlfn.XLOOKUP(summary_tips[[#This Row],[Category]],Table1[Category],Table1[Page End])</f>
        <v>35</v>
      </c>
      <c r="E120" t="s">
        <v>1164</v>
      </c>
      <c r="F120" t="str">
        <f>"See pages "&amp;summary_tips[[#This Row],[Page Start]]&amp;"-"&amp;summary_tips[[#This Row],[Page End]]&amp;" of the Wholesale Sector Roadmap for more details."</f>
        <v>See pages 33-35 of the Wholesale Sector Roadmap for more details.</v>
      </c>
      <c r="G120" t="str">
        <f>summary_tips[[#This Row],[Tip Text]]&amp;" "&amp;summary_tips[[#This Row],[Page Text]]</f>
        <v>Work with customers downstream in the supply chain to jointly drive behaviour changes. See pages 33-35 of the Wholesale Sector Roadmap for more details.</v>
      </c>
      <c r="H120"/>
      <c r="J120" s="3"/>
    </row>
    <row r="121" spans="1:12">
      <c r="A121" t="s">
        <v>4</v>
      </c>
      <c r="B121" t="s">
        <v>937</v>
      </c>
      <c r="C121">
        <f>_xlfn.XLOOKUP(summary_tips[[#This Row],[Category]],Table1[Category],Table1[Page Start])</f>
        <v>33</v>
      </c>
      <c r="D121">
        <f>_xlfn.XLOOKUP(summary_tips[[#This Row],[Category]],Table1[Category],Table1[Page End])</f>
        <v>35</v>
      </c>
      <c r="E121" t="s">
        <v>1146</v>
      </c>
      <c r="F121" t="str">
        <f>"See pages "&amp;summary_tips[[#This Row],[Page Start]]&amp;"-"&amp;summary_tips[[#This Row],[Page End]]&amp;" of the Wholesale Sector Roadmap for more details."</f>
        <v>See pages 33-35 of the Wholesale Sector Roadmap for more details.</v>
      </c>
      <c r="G121" t="str">
        <f>summary_tips[[#This Row],[Tip Text]]&amp;" "&amp;summary_tips[[#This Row],[Page Text]]</f>
        <v>Work with suppliers to reduce their emissions in the manufacturing process. See pages 33-35 of the Wholesale Sector Roadmap for more details.</v>
      </c>
      <c r="H121"/>
      <c r="J121" s="3"/>
    </row>
    <row r="122" spans="1:12">
      <c r="A122" t="s">
        <v>4</v>
      </c>
      <c r="B122" t="s">
        <v>936</v>
      </c>
      <c r="C122">
        <f>_xlfn.XLOOKUP(summary_tips[[#This Row],[Category]],Table1[Category],Table1[Page Start])</f>
        <v>33</v>
      </c>
      <c r="D122">
        <f>_xlfn.XLOOKUP(summary_tips[[#This Row],[Category]],Table1[Category],Table1[Page End])</f>
        <v>35</v>
      </c>
      <c r="E122" t="s">
        <v>1147</v>
      </c>
      <c r="F122" t="str">
        <f>"See pages "&amp;summary_tips[[#This Row],[Page Start]]&amp;"-"&amp;summary_tips[[#This Row],[Page End]]&amp;" of the Wholesale Sector Roadmap for more details."</f>
        <v>See pages 33-35 of the Wholesale Sector Roadmap for more details.</v>
      </c>
      <c r="G122" t="str">
        <f>summary_tips[[#This Row],[Tip Text]]&amp;" "&amp;summary_tips[[#This Row],[Page Text]]</f>
        <v>Work with suppliers to reduce the amount of packaging and/or increase the recycled content of packaging. See pages 33-35 of the Wholesale Sector Roadmap for more details.</v>
      </c>
      <c r="H122"/>
      <c r="L122" s="3"/>
    </row>
    <row r="123" spans="1:12">
      <c r="A123" t="s">
        <v>4</v>
      </c>
      <c r="B123" t="s">
        <v>109</v>
      </c>
      <c r="C123">
        <f>_xlfn.XLOOKUP(summary_tips[[#This Row],[Category]],Table1[Category],Table1[Page Start])</f>
        <v>33</v>
      </c>
      <c r="D123">
        <f>_xlfn.XLOOKUP(summary_tips[[#This Row],[Category]],Table1[Category],Table1[Page End])</f>
        <v>35</v>
      </c>
      <c r="E123" t="s">
        <v>1148</v>
      </c>
      <c r="F123" t="str">
        <f>"See pages "&amp;summary_tips[[#This Row],[Page Start]]&amp;"-"&amp;summary_tips[[#This Row],[Page End]]&amp;" of the Wholesale Sector Roadmap for more details."</f>
        <v>See pages 33-35 of the Wholesale Sector Roadmap for more details.</v>
      </c>
      <c r="G123" t="str">
        <f>summary_tips[[#This Row],[Tip Text]]&amp;" "&amp;summary_tips[[#This Row],[Page Text]]</f>
        <v>Work with suppliers and customers to reduce transport emissions throughout the value chain. See pages 33-35 of the Wholesale Sector Roadmap for more details.</v>
      </c>
      <c r="H123"/>
      <c r="L123" s="3"/>
    </row>
    <row r="124" spans="1:12">
      <c r="A124" t="s">
        <v>4</v>
      </c>
      <c r="B124" t="s">
        <v>922</v>
      </c>
      <c r="C124">
        <f>_xlfn.XLOOKUP(summary_tips[[#This Row],[Category]],Table1[Category],Table1[Page Start])</f>
        <v>33</v>
      </c>
      <c r="D124">
        <f>_xlfn.XLOOKUP(summary_tips[[#This Row],[Category]],Table1[Category],Table1[Page End])</f>
        <v>35</v>
      </c>
      <c r="E124" t="s">
        <v>1126</v>
      </c>
      <c r="F124" t="str">
        <f>"See pages "&amp;summary_tips[[#This Row],[Page Start]]&amp;"-"&amp;summary_tips[[#This Row],[Page End]]&amp;" of the Wholesale Sector Roadmap for more details."</f>
        <v>See pages 33-35 of the Wholesale Sector Roadmap for more details.</v>
      </c>
      <c r="G124" t="str">
        <f>summary_tips[[#This Row],[Tip Text]]&amp;" "&amp;summary_tips[[#This Row],[Page Text]]</f>
        <v>Work with employees to encourage low carbon commuting. See pages 33-35 of the Wholesale Sector Roadmap for more details.</v>
      </c>
      <c r="H124"/>
      <c r="L124" s="3"/>
    </row>
    <row r="125" spans="1:12">
      <c r="A125" t="s">
        <v>4</v>
      </c>
      <c r="B125" t="s">
        <v>910</v>
      </c>
      <c r="C125">
        <f>_xlfn.XLOOKUP(summary_tips[[#This Row],[Category]],Table1[Category],Table1[Page Start])</f>
        <v>33</v>
      </c>
      <c r="D125">
        <f>_xlfn.XLOOKUP(summary_tips[[#This Row],[Category]],Table1[Category],Table1[Page End])</f>
        <v>35</v>
      </c>
      <c r="E125" t="s">
        <v>1165</v>
      </c>
      <c r="F125" t="str">
        <f>"See pages "&amp;summary_tips[[#This Row],[Page Start]]&amp;"-"&amp;summary_tips[[#This Row],[Page End]]&amp;" of the Wholesale Sector Roadmap for more details."</f>
        <v>See pages 33-35 of the Wholesale Sector Roadmap for more details.</v>
      </c>
      <c r="G125" t="str">
        <f>summary_tips[[#This Row],[Tip Text]]&amp;" "&amp;summary_tips[[#This Row],[Page Text]]</f>
        <v>Replace fossil fuel derived energy with electricity. See pages 33-35 of the Wholesale Sector Roadmap for more details.</v>
      </c>
      <c r="H125"/>
      <c r="L125" s="3"/>
    </row>
    <row r="127" spans="1:12">
      <c r="A127" t="s">
        <v>36</v>
      </c>
      <c r="B127" t="s">
        <v>1153</v>
      </c>
      <c r="C127" t="s">
        <v>1154</v>
      </c>
    </row>
    <row r="128" spans="1:12">
      <c r="A128" t="s">
        <v>0</v>
      </c>
      <c r="B128">
        <v>17</v>
      </c>
      <c r="C128">
        <v>19</v>
      </c>
    </row>
    <row r="129" spans="1:3">
      <c r="A129" t="s">
        <v>1</v>
      </c>
      <c r="B129">
        <v>30</v>
      </c>
      <c r="C129">
        <v>32</v>
      </c>
    </row>
    <row r="130" spans="1:3">
      <c r="A130" t="s">
        <v>2</v>
      </c>
      <c r="B130">
        <v>22</v>
      </c>
      <c r="C130">
        <v>24</v>
      </c>
    </row>
    <row r="131" spans="1:3">
      <c r="A131" t="s">
        <v>3</v>
      </c>
      <c r="B131">
        <v>27</v>
      </c>
      <c r="C131">
        <v>29</v>
      </c>
    </row>
    <row r="132" spans="1:3">
      <c r="A132" t="s">
        <v>4</v>
      </c>
      <c r="B132">
        <v>33</v>
      </c>
      <c r="C132">
        <v>35</v>
      </c>
    </row>
    <row r="134" spans="1:3" ht="28">
      <c r="A134" s="39" t="s">
        <v>963</v>
      </c>
    </row>
    <row r="136" spans="1:3">
      <c r="A136" t="s">
        <v>36</v>
      </c>
      <c r="B136" t="s">
        <v>454</v>
      </c>
    </row>
    <row r="137" spans="1:3">
      <c r="A137" t="str" cm="1">
        <f t="array" aca="1" ref="A137:A148" ca="1">_xlfn.SORTBY(GHG_categories[Scope Full Name],GHG_categories[Emissions (tCO2e)],-1)</f>
        <v>Scope 1 - Fuels - Facilities</v>
      </c>
      <c r="B137" cm="1">
        <f t="array" aca="1" ref="B137:B148" ca="1">_xlfn.SORTBY(GHG_categories[Emissions (tCO2e)],GHG_categories[Emissions (tCO2e)],-1)</f>
        <v>0</v>
      </c>
    </row>
    <row r="138" spans="1:3">
      <c r="A138" t="str">
        <f ca="1"/>
        <v>Scope 1 - Fuels - Company vehicles</v>
      </c>
      <c r="B138">
        <f ca="1"/>
        <v>0</v>
      </c>
    </row>
    <row r="139" spans="1:3">
      <c r="A139" t="str">
        <f ca="1"/>
        <v>Scope 1 - Refrigerants</v>
      </c>
      <c r="B139">
        <f ca="1"/>
        <v>0</v>
      </c>
    </row>
    <row r="140" spans="1:3">
      <c r="A140" t="str">
        <f ca="1"/>
        <v>Scope 2 - Electricity</v>
      </c>
      <c r="B140">
        <f ca="1"/>
        <v>0</v>
      </c>
    </row>
    <row r="141" spans="1:3">
      <c r="A141" t="str">
        <f ca="1"/>
        <v>Scope 3 Category 1 - Procured Goods &amp; Services</v>
      </c>
      <c r="B141">
        <f ca="1"/>
        <v>0</v>
      </c>
    </row>
    <row r="142" spans="1:3">
      <c r="A142" t="str">
        <f ca="1"/>
        <v>Scope 3 Category 3 - Fuel- and energy-related activities</v>
      </c>
      <c r="B142">
        <f ca="1"/>
        <v>0</v>
      </c>
    </row>
    <row r="143" spans="1:3">
      <c r="A143" t="str">
        <f ca="1"/>
        <v>Scope 3 Category 4 - Upstream transportation &amp; distribution</v>
      </c>
      <c r="B143">
        <f ca="1"/>
        <v>0</v>
      </c>
    </row>
    <row r="144" spans="1:3">
      <c r="A144" t="str">
        <f ca="1"/>
        <v>Scope 3 Category 5 - Waste generated in operations</v>
      </c>
      <c r="B144">
        <f ca="1"/>
        <v>0</v>
      </c>
    </row>
    <row r="145" spans="1:2">
      <c r="A145" t="str">
        <f ca="1"/>
        <v>Scope 3 Category 6 - Business Travel</v>
      </c>
      <c r="B145">
        <f ca="1"/>
        <v>0</v>
      </c>
    </row>
    <row r="146" spans="1:2">
      <c r="A146" t="str">
        <f ca="1"/>
        <v>Scope 3 Category 7 - Employee commuting</v>
      </c>
      <c r="B146">
        <f ca="1"/>
        <v>0</v>
      </c>
    </row>
    <row r="147" spans="1:2">
      <c r="A147" t="str">
        <f ca="1"/>
        <v>Scope 3 Category 9 - Downstream transportation &amp; distribution</v>
      </c>
      <c r="B147">
        <f ca="1"/>
        <v>0</v>
      </c>
    </row>
    <row r="148" spans="1:2">
      <c r="A148" t="str">
        <f ca="1"/>
        <v>Scope 3 Category 12 - End-of-life of sold products</v>
      </c>
      <c r="B148">
        <f ca="1"/>
        <v>0</v>
      </c>
    </row>
    <row r="158" spans="1:2">
      <c r="A158" t="s">
        <v>36</v>
      </c>
      <c r="B158" t="s">
        <v>454</v>
      </c>
    </row>
    <row r="159" spans="1:2">
      <c r="A159" t="e" cm="1" vm="2">
        <f t="array" aca="1" ref="A159" ca="1">_xlfn._xlws.FILTER(_xlfn.ANCHORARRAY(A137),_xlfn.ANCHORARRAY(B137)&gt;0)</f>
        <v>#VALUE!</v>
      </c>
      <c r="B159" s="4" t="e" cm="1" vm="2">
        <f t="array" aca="1" ref="B159" ca="1">_xlfn._xlws.FILTER(_xlfn.ANCHORARRAY(B137),_xlfn.ANCHORARRAY(B137)&gt;0)</f>
        <v>#VALUE!</v>
      </c>
    </row>
    <row r="160" spans="1:2">
      <c r="B160" s="4"/>
    </row>
    <row r="161" spans="2:2">
      <c r="B161" s="4"/>
    </row>
    <row r="162" spans="2:2">
      <c r="B162" s="4"/>
    </row>
    <row r="163" spans="2:2">
      <c r="B163" s="4"/>
    </row>
    <row r="164" spans="2:2">
      <c r="B164" s="4"/>
    </row>
    <row r="165" spans="2:2">
      <c r="B165" s="4"/>
    </row>
  </sheetData>
  <phoneticPr fontId="2" type="noConversion"/>
  <pageMargins left="0.7" right="0.7" top="0.75" bottom="0.75" header="0.3" footer="0.3"/>
  <pageSetup paperSize="9" orientation="portrait" horizontalDpi="0" verticalDpi="0"/>
  <tableParts count="3">
    <tablePart r:id="rId1"/>
    <tablePart r:id="rId2"/>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EA686-90A3-FF44-ABE1-8A42A074FD0A}">
  <sheetPr codeName="Sheet8"/>
  <dimension ref="A1:R107"/>
  <sheetViews>
    <sheetView topLeftCell="A32" workbookViewId="0">
      <selection activeCell="C58" sqref="C58"/>
    </sheetView>
  </sheetViews>
  <sheetFormatPr baseColWidth="10" defaultRowHeight="16"/>
  <cols>
    <col min="1" max="1" width="23.28515625" customWidth="1"/>
    <col min="2" max="2" width="20.85546875" customWidth="1"/>
    <col min="3" max="3" width="22" customWidth="1"/>
    <col min="4" max="4" width="16.7109375" customWidth="1"/>
    <col min="5" max="5" width="41" customWidth="1"/>
    <col min="6" max="6" width="37.140625" customWidth="1"/>
    <col min="7" max="7" width="22.85546875" customWidth="1"/>
    <col min="8" max="8" width="33.140625" customWidth="1"/>
    <col min="9" max="10" width="20.7109375" customWidth="1"/>
    <col min="11" max="11" width="40.7109375" customWidth="1"/>
    <col min="12" max="12" width="27.28515625" customWidth="1"/>
    <col min="13" max="13" width="15.7109375" customWidth="1"/>
    <col min="14" max="14" width="27.42578125" customWidth="1"/>
    <col min="15" max="15" width="16.42578125" customWidth="1"/>
    <col min="16" max="16" width="14.85546875" customWidth="1"/>
    <col min="18" max="18" width="30.7109375" customWidth="1"/>
  </cols>
  <sheetData>
    <row r="1" spans="1:3" ht="17">
      <c r="A1" s="17" t="s">
        <v>36</v>
      </c>
      <c r="B1" s="17" t="s">
        <v>37</v>
      </c>
      <c r="C1" s="17" t="s">
        <v>454</v>
      </c>
    </row>
    <row r="2" spans="1:3">
      <c r="A2" t="e" cm="1" vm="2">
        <f t="array" aca="1" ref="A2" ca="1">_xlfn._xlws.FILTER(calcs_emissions[Category],(calcs_emissions[Use in charts?]=TRUE)*(calcs_emissions[Emissions (tCO2e)]&gt;0))</f>
        <v>#VALUE!</v>
      </c>
      <c r="B2" t="e" cm="1" vm="2">
        <f t="array" aca="1" ref="B2" ca="1">_xlfn._xlws.FILTER(calcs_emissions[Type],(calcs_emissions[Use in charts?]=TRUE)*(calcs_emissions[Emissions (tCO2e)]&gt;0))</f>
        <v>#VALUE!</v>
      </c>
      <c r="C2" s="4" t="e" cm="1" vm="2">
        <f t="array" aca="1" ref="C2" ca="1">_xlfn._xlws.FILTER(calcs_emissions[Emissions (tCO2e)],(calcs_emissions[Use in charts?]=TRUE)*(calcs_emissions[Emissions (tCO2e)]&gt;0))</f>
        <v>#VALUE!</v>
      </c>
    </row>
    <row r="3" spans="1:3">
      <c r="C3" s="4"/>
    </row>
    <row r="4" spans="1:3">
      <c r="C4" s="4"/>
    </row>
    <row r="5" spans="1:3">
      <c r="C5" s="4"/>
    </row>
    <row r="6" spans="1:3">
      <c r="C6" s="4"/>
    </row>
    <row r="7" spans="1:3">
      <c r="C7" s="4"/>
    </row>
    <row r="8" spans="1:3">
      <c r="C8" s="4"/>
    </row>
    <row r="9" spans="1:3">
      <c r="C9" s="4"/>
    </row>
    <row r="10" spans="1:3">
      <c r="C10" s="4"/>
    </row>
    <row r="11" spans="1:3">
      <c r="C11" s="4"/>
    </row>
    <row r="12" spans="1:3">
      <c r="C12" s="4"/>
    </row>
    <row r="13" spans="1:3">
      <c r="C13" s="4"/>
    </row>
    <row r="14" spans="1:3">
      <c r="C14" s="4"/>
    </row>
    <row r="15" spans="1:3">
      <c r="C15" s="4"/>
    </row>
    <row r="16" spans="1:3">
      <c r="C16" s="4"/>
    </row>
    <row r="17" spans="1:18">
      <c r="C17" s="4"/>
    </row>
    <row r="18" spans="1:18">
      <c r="C18" s="4"/>
    </row>
    <row r="19" spans="1:18">
      <c r="C19" s="4"/>
    </row>
    <row r="20" spans="1:18">
      <c r="C20" s="4"/>
    </row>
    <row r="21" spans="1:18">
      <c r="C21" s="4"/>
    </row>
    <row r="22" spans="1:18">
      <c r="C22" s="4"/>
    </row>
    <row r="23" spans="1:18">
      <c r="C23" s="4"/>
    </row>
    <row r="24" spans="1:18">
      <c r="C24" s="4"/>
    </row>
    <row r="25" spans="1:18">
      <c r="C25" s="4"/>
    </row>
    <row r="26" spans="1:18">
      <c r="C26" s="4"/>
    </row>
    <row r="27" spans="1:18">
      <c r="C27" s="4"/>
    </row>
    <row r="28" spans="1:18">
      <c r="C28" s="4"/>
    </row>
    <row r="29" spans="1:18">
      <c r="C29" s="4"/>
    </row>
    <row r="30" spans="1:18">
      <c r="C30" s="4"/>
    </row>
    <row r="32" spans="1:18" s="14" customFormat="1" ht="68">
      <c r="A32" s="14" t="s">
        <v>36</v>
      </c>
      <c r="B32" s="14" t="s">
        <v>958</v>
      </c>
      <c r="C32" s="14" t="s">
        <v>444</v>
      </c>
      <c r="D32" s="14" t="s">
        <v>921</v>
      </c>
      <c r="E32" s="14" t="s">
        <v>447</v>
      </c>
      <c r="F32" s="14" t="s">
        <v>448</v>
      </c>
      <c r="G32" s="14" t="s">
        <v>445</v>
      </c>
      <c r="H32" s="14" t="s">
        <v>446</v>
      </c>
      <c r="I32" s="14" t="s">
        <v>452</v>
      </c>
      <c r="J32" s="14" t="s">
        <v>453</v>
      </c>
      <c r="K32" s="14" t="s">
        <v>456</v>
      </c>
      <c r="L32" s="14" t="s">
        <v>860</v>
      </c>
      <c r="M32" s="14" t="s">
        <v>455</v>
      </c>
      <c r="N32" s="14" t="s">
        <v>454</v>
      </c>
      <c r="O32" s="14" t="s">
        <v>884</v>
      </c>
      <c r="P32" s="14" t="s">
        <v>960</v>
      </c>
      <c r="Q32" s="14" t="s">
        <v>959</v>
      </c>
      <c r="R32" s="14" t="s">
        <v>485</v>
      </c>
    </row>
    <row r="33" spans="1:18">
      <c r="A33" s="4" t="s">
        <v>0</v>
      </c>
      <c r="B33" s="4" t="s">
        <v>441</v>
      </c>
      <c r="C33" t="s">
        <v>94</v>
      </c>
      <c r="D33" t="s">
        <v>912</v>
      </c>
      <c r="E33" t="s">
        <v>458</v>
      </c>
      <c r="F33" t="s">
        <v>459</v>
      </c>
      <c r="G33" s="4" cm="1">
        <f t="array" aca="1" ref="G33" ca="1">INDIRECT(calcs_emissions[[#This Row],[Input Value Name]])</f>
        <v>0</v>
      </c>
      <c r="H33" cm="1">
        <f t="array" aca="1" ref="H33" ca="1">IFERROR( INDEX(_xlfn.TEXTSPLIT(calcs_emissions[[#This Row],[Input Value Name]],"_"),,6), INDIRECT(calcs_emissions[[#This Row],[Input Unit Name]]))</f>
        <v>0</v>
      </c>
      <c r="I33" s="5" cm="1">
        <f t="array" aca="1" ref="I33" ca="1">_xlfn.XLOOKUP(calcs_emissions[[#This Row],[Type]]&amp;calcs_emissions[[#This Row],[Input Unit]],calcs_EFs[Type]&amp;calcs_EFs[Unit],calcs_EFs[EF (kgCO2e/unit)],0)</f>
        <v>0</v>
      </c>
      <c r="J33" s="4">
        <f ca="1">calcs_emissions[[#This Row],[Input Value]]*calcs_emissions[[#This Row],[Emissions Factor for Unit (kgCO2e/unit)]]</f>
        <v>0</v>
      </c>
      <c r="K33" s="4" t="s">
        <v>467</v>
      </c>
      <c r="L33" s="4" cm="1">
        <f t="array" aca="1" ref="L33" ca="1">IFERROR(_xlfn.XLOOKUP(INDIRECT(calcs_emissions[[#This Row],[Reporting period name]]),calcs_reporting_period_multiplier[Reporting period],calcs_reporting_period_multiplier[Multiplier to get to annual]),1)</f>
        <v>1</v>
      </c>
      <c r="M33" s="4">
        <f ca="1">calcs_emissions[[#This Row],[Emissions (kgCO2e)]]*calcs_emissions[[#This Row],[Reporting period multiplier]]</f>
        <v>0</v>
      </c>
      <c r="N33" s="4">
        <f ca="1">calcs_emissions[[#This Row],[Emissions adjusted for reporting period (kgCO2e)]]/1000</f>
        <v>0</v>
      </c>
      <c r="O33" s="4" t="s">
        <v>885</v>
      </c>
      <c r="P33" s="4" t="str" cm="1">
        <f t="array" aca="1" ref="P33" ca="1">IFERROR(INDIRECT(calcs_emissions[[#This Row],[Key or Adv Name]]),"")</f>
        <v/>
      </c>
      <c r="Q33" s="4" t="str" cm="1">
        <f t="array" aca="1" ref="Q33" ca="1">_xlfn.IFS(calcs_emissions[[#This Row],[Key or Adv Value]]=text_using_advanced_input,"Adv",calcs_emissions[[#This Row],[Key or Adv Value]]=text_using_key_input,"Key",TRUE,"Est")</f>
        <v>Est</v>
      </c>
      <c r="R33" s="4" t="b">
        <f ca="1">IF(calcs_emissions[[#This Row],[Key/Adv/Est]]=calcs_emissions[[#This Row],[Key, Adv or Est]],TRUE,FALSE)</f>
        <v>0</v>
      </c>
    </row>
    <row r="34" spans="1:18">
      <c r="A34" s="4" t="s">
        <v>0</v>
      </c>
      <c r="B34" s="4" t="s">
        <v>441</v>
      </c>
      <c r="C34" t="s">
        <v>95</v>
      </c>
      <c r="D34" t="s">
        <v>912</v>
      </c>
      <c r="E34" t="s">
        <v>1018</v>
      </c>
      <c r="F34" t="s">
        <v>460</v>
      </c>
      <c r="G34" s="4" cm="1">
        <f t="array" aca="1" ref="G34" ca="1">INDIRECT(calcs_emissions[[#This Row],[Input Value Name]])</f>
        <v>0</v>
      </c>
      <c r="H34" cm="1">
        <f t="array" aca="1" ref="H34" ca="1">IFERROR( INDEX(_xlfn.TEXTSPLIT(calcs_emissions[[#This Row],[Input Value Name]],"_"),,6), INDIRECT(calcs_emissions[[#This Row],[Input Unit Name]]))</f>
        <v>0</v>
      </c>
      <c r="I34" s="5" cm="1">
        <f t="array" aca="1" ref="I34" ca="1">_xlfn.XLOOKUP(calcs_emissions[[#This Row],[Type]]&amp;calcs_emissions[[#This Row],[Input Unit]],calcs_EFs[Type]&amp;calcs_EFs[Unit],calcs_EFs[EF (kgCO2e/unit)],0)</f>
        <v>0</v>
      </c>
      <c r="J34" s="4">
        <f ca="1">calcs_emissions[[#This Row],[Input Value]]*calcs_emissions[[#This Row],[Emissions Factor for Unit (kgCO2e/unit)]]</f>
        <v>0</v>
      </c>
      <c r="K34" s="4" t="s">
        <v>467</v>
      </c>
      <c r="L34" s="4" cm="1">
        <f t="array" aca="1" ref="L34" ca="1">IFERROR(_xlfn.XLOOKUP(INDIRECT(calcs_emissions[[#This Row],[Reporting period name]]),calcs_reporting_period_multiplier[Reporting period],calcs_reporting_period_multiplier[Multiplier to get to annual]),1)</f>
        <v>1</v>
      </c>
      <c r="M34" s="4">
        <f ca="1">calcs_emissions[[#This Row],[Emissions (kgCO2e)]]*calcs_emissions[[#This Row],[Reporting period multiplier]]</f>
        <v>0</v>
      </c>
      <c r="N34" s="4">
        <f ca="1">calcs_emissions[[#This Row],[Emissions adjusted for reporting period (kgCO2e)]]/1000</f>
        <v>0</v>
      </c>
      <c r="O34" s="4" t="s">
        <v>886</v>
      </c>
      <c r="P34" s="4" t="str" cm="1">
        <f t="array" aca="1" ref="P34" ca="1">IFERROR(INDIRECT(calcs_emissions[[#This Row],[Key or Adv Name]]),"")</f>
        <v/>
      </c>
      <c r="Q34" s="4" t="str" cm="1">
        <f t="array" aca="1" ref="Q34" ca="1">_xlfn.IFS(calcs_emissions[[#This Row],[Key or Adv Value]]=text_using_advanced_input,"Adv",calcs_emissions[[#This Row],[Key or Adv Value]]=text_using_key_input,"Key",TRUE,"Est")</f>
        <v>Est</v>
      </c>
      <c r="R34" s="4" t="b">
        <f ca="1">IF(calcs_emissions[[#This Row],[Key/Adv/Est]]=calcs_emissions[[#This Row],[Key, Adv or Est]],TRUE,FALSE)</f>
        <v>0</v>
      </c>
    </row>
    <row r="35" spans="1:18">
      <c r="A35" s="4" t="s">
        <v>0</v>
      </c>
      <c r="B35" s="4" t="s">
        <v>441</v>
      </c>
      <c r="C35" t="s">
        <v>40</v>
      </c>
      <c r="D35" t="s">
        <v>912</v>
      </c>
      <c r="E35" t="s">
        <v>1019</v>
      </c>
      <c r="F35" t="s">
        <v>461</v>
      </c>
      <c r="G35" s="4" cm="1">
        <f t="array" aca="1" ref="G35" ca="1">INDIRECT(calcs_emissions[[#This Row],[Input Value Name]])</f>
        <v>0</v>
      </c>
      <c r="H35" cm="1">
        <f t="array" aca="1" ref="H35" ca="1">IFERROR( INDEX(_xlfn.TEXTSPLIT(calcs_emissions[[#This Row],[Input Value Name]],"_"),,6), INDIRECT(calcs_emissions[[#This Row],[Input Unit Name]]))</f>
        <v>0</v>
      </c>
      <c r="I35" s="5" cm="1">
        <f t="array" aca="1" ref="I35" ca="1">_xlfn.XLOOKUP(calcs_emissions[[#This Row],[Type]]&amp;calcs_emissions[[#This Row],[Input Unit]],calcs_EFs[Type]&amp;calcs_EFs[Unit],calcs_EFs[EF (kgCO2e/unit)],0)</f>
        <v>0</v>
      </c>
      <c r="J35" s="4">
        <f ca="1">calcs_emissions[[#This Row],[Input Value]]*calcs_emissions[[#This Row],[Emissions Factor for Unit (kgCO2e/unit)]]</f>
        <v>0</v>
      </c>
      <c r="K35" s="4" t="s">
        <v>467</v>
      </c>
      <c r="L35" s="4" cm="1">
        <f t="array" aca="1" ref="L35" ca="1">IFERROR(_xlfn.XLOOKUP(INDIRECT(calcs_emissions[[#This Row],[Reporting period name]]),calcs_reporting_period_multiplier[Reporting period],calcs_reporting_period_multiplier[Multiplier to get to annual]),1)</f>
        <v>1</v>
      </c>
      <c r="M35" s="4">
        <f ca="1">calcs_emissions[[#This Row],[Emissions (kgCO2e)]]*calcs_emissions[[#This Row],[Reporting period multiplier]]</f>
        <v>0</v>
      </c>
      <c r="N35" s="4">
        <f ca="1">calcs_emissions[[#This Row],[Emissions adjusted for reporting period (kgCO2e)]]/1000</f>
        <v>0</v>
      </c>
      <c r="O35" s="4" t="s">
        <v>887</v>
      </c>
      <c r="P35" s="4" t="str" cm="1">
        <f t="array" aca="1" ref="P35" ca="1">IFERROR(INDIRECT(calcs_emissions[[#This Row],[Key or Adv Name]]),"")</f>
        <v/>
      </c>
      <c r="Q35" s="4" t="str" cm="1">
        <f t="array" aca="1" ref="Q35" ca="1">_xlfn.IFS(calcs_emissions[[#This Row],[Key or Adv Value]]=text_using_advanced_input,"Adv",calcs_emissions[[#This Row],[Key or Adv Value]]=text_using_key_input,"Key",TRUE,"Est")</f>
        <v>Est</v>
      </c>
      <c r="R35" s="4" t="b">
        <f ca="1">IF(calcs_emissions[[#This Row],[Key/Adv/Est]]=calcs_emissions[[#This Row],[Key, Adv or Est]],TRUE,FALSE)</f>
        <v>0</v>
      </c>
    </row>
    <row r="36" spans="1:18">
      <c r="A36" s="4" t="s">
        <v>0</v>
      </c>
      <c r="B36" s="4" t="s">
        <v>457</v>
      </c>
      <c r="C36" t="s">
        <v>94</v>
      </c>
      <c r="D36" t="s">
        <v>912</v>
      </c>
      <c r="E36" t="s">
        <v>462</v>
      </c>
      <c r="G36" s="4" cm="1">
        <f t="array" aca="1" ref="G36" ca="1">INDIRECT(calcs_emissions[[#This Row],[Input Value Name]])</f>
        <v>0</v>
      </c>
      <c r="H36" t="str" cm="1">
        <f t="array" aca="1" ref="H36" ca="1">IFERROR( INDEX(_xlfn.TEXTSPLIT(calcs_emissions[[#This Row],[Input Value Name]],"_"),,6), INDIRECT(calcs_emissions[[#This Row],[Input Unit Name]]))</f>
        <v>Litres</v>
      </c>
      <c r="I36" s="5" cm="1">
        <f t="array" aca="1" ref="I36" ca="1">_xlfn.XLOOKUP(calcs_emissions[[#This Row],[Type]]&amp;calcs_emissions[[#This Row],[Input Unit]],calcs_EFs[Type]&amp;calcs_EFs[Unit],calcs_EFs[EF (kgCO2e/unit)],0)</f>
        <v>2.5578399999999997</v>
      </c>
      <c r="J36" s="4">
        <f ca="1">calcs_emissions[[#This Row],[Input Value]]*calcs_emissions[[#This Row],[Emissions Factor for Unit (kgCO2e/unit)]]</f>
        <v>0</v>
      </c>
      <c r="K36" s="4" t="s">
        <v>468</v>
      </c>
      <c r="L36" s="4" cm="1">
        <f t="array" aca="1" ref="L36" ca="1">IFERROR(_xlfn.XLOOKUP(INDIRECT(calcs_emissions[[#This Row],[Reporting period name]]),calcs_reporting_period_multiplier[Reporting period],calcs_reporting_period_multiplier[Multiplier to get to annual]),1)</f>
        <v>1</v>
      </c>
      <c r="M36" s="4">
        <f ca="1">calcs_emissions[[#This Row],[Emissions (kgCO2e)]]*calcs_emissions[[#This Row],[Reporting period multiplier]]</f>
        <v>0</v>
      </c>
      <c r="N36" s="4">
        <f ca="1">calcs_emissions[[#This Row],[Emissions adjusted for reporting period (kgCO2e)]]/1000</f>
        <v>0</v>
      </c>
      <c r="O36" s="4" t="s">
        <v>885</v>
      </c>
      <c r="P36" s="4" t="str" cm="1">
        <f t="array" aca="1" ref="P36" ca="1">IFERROR(INDIRECT(calcs_emissions[[#This Row],[Key or Adv Name]]),"")</f>
        <v/>
      </c>
      <c r="Q36" s="4" t="str" cm="1">
        <f t="array" aca="1" ref="Q36" ca="1">_xlfn.IFS(calcs_emissions[[#This Row],[Key or Adv Value]]=text_using_advanced_input,"Adv",calcs_emissions[[#This Row],[Key or Adv Value]]=text_using_key_input,"Key",TRUE,"Est")</f>
        <v>Est</v>
      </c>
      <c r="R36" s="4" t="b">
        <f ca="1">IF(calcs_emissions[[#This Row],[Key/Adv/Est]]=calcs_emissions[[#This Row],[Key, Adv or Est]],TRUE,FALSE)</f>
        <v>0</v>
      </c>
    </row>
    <row r="37" spans="1:18">
      <c r="A37" s="4" t="s">
        <v>0</v>
      </c>
      <c r="B37" s="4" t="s">
        <v>457</v>
      </c>
      <c r="C37" t="s">
        <v>486</v>
      </c>
      <c r="D37" t="s">
        <v>912</v>
      </c>
      <c r="E37" t="s">
        <v>463</v>
      </c>
      <c r="G37" s="4" cm="1">
        <f t="array" aca="1" ref="G37" ca="1">INDIRECT(calcs_emissions[[#This Row],[Input Value Name]])</f>
        <v>0</v>
      </c>
      <c r="H37" t="str" cm="1">
        <f t="array" aca="1" ref="H37" ca="1">IFERROR( INDEX(_xlfn.TEXTSPLIT(calcs_emissions[[#This Row],[Input Value Name]],"_"),,6), INDIRECT(calcs_emissions[[#This Row],[Input Unit Name]]))</f>
        <v>Litres</v>
      </c>
      <c r="I37" s="5" cm="1">
        <f t="array" aca="1" ref="I37" ca="1">_xlfn.XLOOKUP(calcs_emissions[[#This Row],[Type]]&amp;calcs_emissions[[#This Row],[Input Unit]],calcs_EFs[Type]&amp;calcs_EFs[Unit],calcs_EFs[EF (kgCO2e/unit)],0)</f>
        <v>2.5578399999999997</v>
      </c>
      <c r="J37" s="4">
        <f ca="1">calcs_emissions[[#This Row],[Input Value]]*calcs_emissions[[#This Row],[Emissions Factor for Unit (kgCO2e/unit)]]</f>
        <v>0</v>
      </c>
      <c r="K37" s="4" t="s">
        <v>468</v>
      </c>
      <c r="L37" s="4" cm="1">
        <f t="array" aca="1" ref="L37" ca="1">IFERROR(_xlfn.XLOOKUP(INDIRECT(calcs_emissions[[#This Row],[Reporting period name]]),calcs_reporting_period_multiplier[Reporting period],calcs_reporting_period_multiplier[Multiplier to get to annual]),1)</f>
        <v>1</v>
      </c>
      <c r="M37" s="4">
        <f ca="1">calcs_emissions[[#This Row],[Emissions (kgCO2e)]]*calcs_emissions[[#This Row],[Reporting period multiplier]]</f>
        <v>0</v>
      </c>
      <c r="N37" s="4">
        <f ca="1">calcs_emissions[[#This Row],[Emissions adjusted for reporting period (kgCO2e)]]/1000</f>
        <v>0</v>
      </c>
      <c r="O37" s="4" t="s">
        <v>886</v>
      </c>
      <c r="P37" s="4" t="str" cm="1">
        <f t="array" aca="1" ref="P37" ca="1">IFERROR(INDIRECT(calcs_emissions[[#This Row],[Key or Adv Name]]),"")</f>
        <v/>
      </c>
      <c r="Q37" s="4" t="str" cm="1">
        <f t="array" aca="1" ref="Q37" ca="1">_xlfn.IFS(calcs_emissions[[#This Row],[Key or Adv Value]]=text_using_advanced_input,"Adv",calcs_emissions[[#This Row],[Key or Adv Value]]=text_using_key_input,"Key",TRUE,"Est")</f>
        <v>Est</v>
      </c>
      <c r="R37" s="4" t="b">
        <f ca="1">IF(calcs_emissions[[#This Row],[Key/Adv/Est]]=calcs_emissions[[#This Row],[Key, Adv or Est]],TRUE,FALSE)</f>
        <v>0</v>
      </c>
    </row>
    <row r="38" spans="1:18">
      <c r="A38" s="4" t="s">
        <v>0</v>
      </c>
      <c r="B38" s="4" t="s">
        <v>457</v>
      </c>
      <c r="C38" t="s">
        <v>487</v>
      </c>
      <c r="D38" t="s">
        <v>912</v>
      </c>
      <c r="E38" t="s">
        <v>464</v>
      </c>
      <c r="G38" s="4" cm="1">
        <f t="array" aca="1" ref="G38" ca="1">INDIRECT(calcs_emissions[[#This Row],[Input Value Name]])</f>
        <v>0</v>
      </c>
      <c r="H38" t="str" cm="1">
        <f t="array" aca="1" ref="H38" ca="1">IFERROR( INDEX(_xlfn.TEXTSPLIT(calcs_emissions[[#This Row],[Input Value Name]],"_"),,6), INDIRECT(calcs_emissions[[#This Row],[Input Unit Name]]))</f>
        <v>Litres</v>
      </c>
      <c r="I38" s="5" cm="1">
        <f t="array" aca="1" ref="I38" ca="1">_xlfn.XLOOKUP(calcs_emissions[[#This Row],[Type]]&amp;calcs_emissions[[#This Row],[Input Unit]],calcs_EFs[Type]&amp;calcs_EFs[Unit],calcs_EFs[EF (kgCO2e/unit)],0)</f>
        <v>2.1618500000000003</v>
      </c>
      <c r="J38" s="4">
        <f ca="1">calcs_emissions[[#This Row],[Input Value]]*calcs_emissions[[#This Row],[Emissions Factor for Unit (kgCO2e/unit)]]</f>
        <v>0</v>
      </c>
      <c r="K38" s="4" t="s">
        <v>468</v>
      </c>
      <c r="L38" s="4" cm="1">
        <f t="array" aca="1" ref="L38" ca="1">IFERROR(_xlfn.XLOOKUP(INDIRECT(calcs_emissions[[#This Row],[Reporting period name]]),calcs_reporting_period_multiplier[Reporting period],calcs_reporting_period_multiplier[Multiplier to get to annual]),1)</f>
        <v>1</v>
      </c>
      <c r="M38" s="4">
        <f ca="1">calcs_emissions[[#This Row],[Emissions (kgCO2e)]]*calcs_emissions[[#This Row],[Reporting period multiplier]]</f>
        <v>0</v>
      </c>
      <c r="N38" s="4">
        <f ca="1">calcs_emissions[[#This Row],[Emissions adjusted for reporting period (kgCO2e)]]/1000</f>
        <v>0</v>
      </c>
      <c r="O38" s="4" t="s">
        <v>886</v>
      </c>
      <c r="P38" s="4" t="str" cm="1">
        <f t="array" aca="1" ref="P38" ca="1">IFERROR(INDIRECT(calcs_emissions[[#This Row],[Key or Adv Name]]),"")</f>
        <v/>
      </c>
      <c r="Q38" s="4" t="str" cm="1">
        <f t="array" aca="1" ref="Q38" ca="1">_xlfn.IFS(calcs_emissions[[#This Row],[Key or Adv Value]]=text_using_advanced_input,"Adv",calcs_emissions[[#This Row],[Key or Adv Value]]=text_using_key_input,"Key",TRUE,"Est")</f>
        <v>Est</v>
      </c>
      <c r="R38" s="4" t="b">
        <f ca="1">IF(calcs_emissions[[#This Row],[Key/Adv/Est]]=calcs_emissions[[#This Row],[Key, Adv or Est]],TRUE,FALSE)</f>
        <v>0</v>
      </c>
    </row>
    <row r="39" spans="1:18">
      <c r="A39" s="4" t="s">
        <v>0</v>
      </c>
      <c r="B39" s="4" t="s">
        <v>457</v>
      </c>
      <c r="C39" t="s">
        <v>488</v>
      </c>
      <c r="D39" t="s">
        <v>912</v>
      </c>
      <c r="E39" t="s">
        <v>465</v>
      </c>
      <c r="G39" s="4" cm="1">
        <f t="array" aca="1" ref="G39" ca="1">INDIRECT(calcs_emissions[[#This Row],[Input Value Name]])</f>
        <v>0</v>
      </c>
      <c r="H39" t="str" cm="1">
        <f t="array" aca="1" ref="H39" ca="1">IFERROR( INDEX(_xlfn.TEXTSPLIT(calcs_emissions[[#This Row],[Input Value Name]],"_"),,6), INDIRECT(calcs_emissions[[#This Row],[Input Unit Name]]))</f>
        <v>Litres</v>
      </c>
      <c r="I39" s="5" cm="1">
        <f t="array" aca="1" ref="I39" ca="1">_xlfn.XLOOKUP(calcs_emissions[[#This Row],[Type]]&amp;calcs_emissions[[#This Row],[Input Unit]],calcs_EFs[Type]&amp;calcs_EFs[Unit],calcs_EFs[EF (kgCO2e/unit)],0)</f>
        <v>2.5578399999999997</v>
      </c>
      <c r="J39" s="4">
        <f ca="1">calcs_emissions[[#This Row],[Input Value]]*calcs_emissions[[#This Row],[Emissions Factor for Unit (kgCO2e/unit)]]</f>
        <v>0</v>
      </c>
      <c r="K39" s="4" t="s">
        <v>468</v>
      </c>
      <c r="L39" s="4" cm="1">
        <f t="array" aca="1" ref="L39" ca="1">IFERROR(_xlfn.XLOOKUP(INDIRECT(calcs_emissions[[#This Row],[Reporting period name]]),calcs_reporting_period_multiplier[Reporting period],calcs_reporting_period_multiplier[Multiplier to get to annual]),1)</f>
        <v>1</v>
      </c>
      <c r="M39" s="4">
        <f ca="1">calcs_emissions[[#This Row],[Emissions (kgCO2e)]]*calcs_emissions[[#This Row],[Reporting period multiplier]]</f>
        <v>0</v>
      </c>
      <c r="N39" s="4">
        <f ca="1">calcs_emissions[[#This Row],[Emissions adjusted for reporting period (kgCO2e)]]/1000</f>
        <v>0</v>
      </c>
      <c r="O39" s="4" t="s">
        <v>887</v>
      </c>
      <c r="P39" s="4" t="str" cm="1">
        <f t="array" aca="1" ref="P39" ca="1">IFERROR(INDIRECT(calcs_emissions[[#This Row],[Key or Adv Name]]),"")</f>
        <v/>
      </c>
      <c r="Q39" s="4" t="str" cm="1">
        <f t="array" aca="1" ref="Q39" ca="1">_xlfn.IFS(calcs_emissions[[#This Row],[Key or Adv Value]]=text_using_advanced_input,"Adv",calcs_emissions[[#This Row],[Key or Adv Value]]=text_using_key_input,"Key",TRUE,"Est")</f>
        <v>Est</v>
      </c>
      <c r="R39" s="4" t="b">
        <f ca="1">IF(calcs_emissions[[#This Row],[Key/Adv/Est]]=calcs_emissions[[#This Row],[Key, Adv or Est]],TRUE,FALSE)</f>
        <v>0</v>
      </c>
    </row>
    <row r="40" spans="1:18">
      <c r="A40" s="4" t="s">
        <v>0</v>
      </c>
      <c r="B40" s="4" t="s">
        <v>457</v>
      </c>
      <c r="C40" t="s">
        <v>489</v>
      </c>
      <c r="D40" t="s">
        <v>912</v>
      </c>
      <c r="E40" t="s">
        <v>466</v>
      </c>
      <c r="G40" s="4" cm="1">
        <f t="array" aca="1" ref="G40" ca="1">INDIRECT(calcs_emissions[[#This Row],[Input Value Name]])</f>
        <v>0</v>
      </c>
      <c r="H40" t="str" cm="1">
        <f t="array" aca="1" ref="H40" ca="1">IFERROR( INDEX(_xlfn.TEXTSPLIT(calcs_emissions[[#This Row],[Input Value Name]],"_"),,6), INDIRECT(calcs_emissions[[#This Row],[Input Unit Name]]))</f>
        <v>Litres</v>
      </c>
      <c r="I40" s="5" cm="1">
        <f t="array" aca="1" ref="I40" ca="1">_xlfn.XLOOKUP(calcs_emissions[[#This Row],[Type]]&amp;calcs_emissions[[#This Row],[Input Unit]],calcs_EFs[Type]&amp;calcs_EFs[Unit],calcs_EFs[EF (kgCO2e/unit)],0)</f>
        <v>2.1618500000000003</v>
      </c>
      <c r="J40" s="4">
        <f ca="1">calcs_emissions[[#This Row],[Input Value]]*calcs_emissions[[#This Row],[Emissions Factor for Unit (kgCO2e/unit)]]</f>
        <v>0</v>
      </c>
      <c r="K40" s="4" t="s">
        <v>468</v>
      </c>
      <c r="L40" s="4" cm="1">
        <f t="array" aca="1" ref="L40" ca="1">IFERROR(_xlfn.XLOOKUP(INDIRECT(calcs_emissions[[#This Row],[Reporting period name]]),calcs_reporting_period_multiplier[Reporting period],calcs_reporting_period_multiplier[Multiplier to get to annual]),1)</f>
        <v>1</v>
      </c>
      <c r="M40" s="4">
        <f ca="1">calcs_emissions[[#This Row],[Emissions (kgCO2e)]]*calcs_emissions[[#This Row],[Reporting period multiplier]]</f>
        <v>0</v>
      </c>
      <c r="N40" s="4">
        <f ca="1">calcs_emissions[[#This Row],[Emissions adjusted for reporting period (kgCO2e)]]/1000</f>
        <v>0</v>
      </c>
      <c r="O40" s="4" t="s">
        <v>887</v>
      </c>
      <c r="P40" s="4" t="str" cm="1">
        <f t="array" aca="1" ref="P40" ca="1">IFERROR(INDIRECT(calcs_emissions[[#This Row],[Key or Adv Name]]),"")</f>
        <v/>
      </c>
      <c r="Q40" s="4" t="str" cm="1">
        <f t="array" aca="1" ref="Q40" ca="1">_xlfn.IFS(calcs_emissions[[#This Row],[Key or Adv Value]]=text_using_advanced_input,"Adv",calcs_emissions[[#This Row],[Key or Adv Value]]=text_using_key_input,"Key",TRUE,"Est")</f>
        <v>Est</v>
      </c>
      <c r="R40" s="4" t="b">
        <f ca="1">IF(calcs_emissions[[#This Row],[Key/Adv/Est]]=calcs_emissions[[#This Row],[Key, Adv or Est]],TRUE,FALSE)</f>
        <v>0</v>
      </c>
    </row>
    <row r="41" spans="1:18">
      <c r="A41" s="15" t="s">
        <v>469</v>
      </c>
      <c r="B41" s="4" t="s">
        <v>441</v>
      </c>
      <c r="C41" t="s">
        <v>38</v>
      </c>
      <c r="D41" t="s">
        <v>911</v>
      </c>
      <c r="E41" t="s">
        <v>474</v>
      </c>
      <c r="G41" s="4" cm="1">
        <f t="array" aca="1" ref="G41" ca="1">INDIRECT(calcs_emissions[[#This Row],[Input Value Name]])</f>
        <v>0</v>
      </c>
      <c r="H41" t="str" cm="1">
        <f t="array" aca="1" ref="H41" ca="1">IFERROR( INDEX(_xlfn.TEXTSPLIT(calcs_emissions[[#This Row],[Input Value Name]],"_"),,6), INDIRECT(calcs_emissions[[#This Row],[Input Unit Name]]))</f>
        <v>GBP</v>
      </c>
      <c r="I41" s="5" cm="1">
        <f t="array" aca="1" ref="I41" ca="1">_xlfn.XLOOKUP(calcs_emissions[[#This Row],[Type]]&amp;calcs_emissions[[#This Row],[Input Unit]],calcs_EFs[Type]&amp;calcs_EFs[Unit],calcs_EFs[EF (kgCO2e/unit)],0)</f>
        <v>1.3638287255229466</v>
      </c>
      <c r="J41" s="4">
        <f ca="1">calcs_emissions[[#This Row],[Input Value]]*calcs_emissions[[#This Row],[Emissions Factor for Unit (kgCO2e/unit)]]</f>
        <v>0</v>
      </c>
      <c r="K41" t="s">
        <v>479</v>
      </c>
      <c r="L41" cm="1">
        <f t="array" aca="1" ref="L41" ca="1">IFERROR(_xlfn.XLOOKUP(INDIRECT(calcs_emissions[[#This Row],[Reporting period name]]),calcs_reporting_period_multiplier[Reporting period],calcs_reporting_period_multiplier[Multiplier to get to annual]),1)</f>
        <v>1</v>
      </c>
      <c r="M41" s="4">
        <f ca="1">calcs_emissions[[#This Row],[Emissions (kgCO2e)]]*calcs_emissions[[#This Row],[Reporting period multiplier]]</f>
        <v>0</v>
      </c>
      <c r="N41" s="4">
        <f ca="1">calcs_emissions[[#This Row],[Emissions adjusted for reporting period (kgCO2e)]]/1000</f>
        <v>0</v>
      </c>
      <c r="O41" s="4" t="s">
        <v>888</v>
      </c>
      <c r="P41" s="4" t="str" cm="1">
        <f t="array" aca="1" ref="P41" ca="1">IFERROR(INDIRECT(calcs_emissions[[#This Row],[Key or Adv Name]]),"")</f>
        <v/>
      </c>
      <c r="Q41" s="4" t="str" cm="1">
        <f t="array" aca="1" ref="Q41" ca="1">_xlfn.IFS(calcs_emissions[[#This Row],[Key or Adv Value]]=text_using_advanced_input,"Adv",calcs_emissions[[#This Row],[Key or Adv Value]]=text_using_key_input,"Key",TRUE,"Est")</f>
        <v>Est</v>
      </c>
      <c r="R41" s="4" t="b">
        <f ca="1">IF(calcs_emissions[[#This Row],[Key/Adv/Est]]=calcs_emissions[[#This Row],[Key, Adv or Est]],TRUE,FALSE)</f>
        <v>0</v>
      </c>
    </row>
    <row r="42" spans="1:18">
      <c r="A42" s="4" t="s">
        <v>469</v>
      </c>
      <c r="B42" s="4" t="s">
        <v>441</v>
      </c>
      <c r="C42" t="s">
        <v>471</v>
      </c>
      <c r="D42" t="s">
        <v>911</v>
      </c>
      <c r="E42" t="s">
        <v>481</v>
      </c>
      <c r="G42" s="4" cm="1">
        <f t="array" aca="1" ref="G42" ca="1">INDIRECT(calcs_emissions[[#This Row],[Input Value Name]])</f>
        <v>0</v>
      </c>
      <c r="H42" t="str" cm="1">
        <f t="array" aca="1" ref="H42" ca="1">IFERROR( INDEX(_xlfn.TEXTSPLIT(calcs_emissions[[#This Row],[Input Value Name]],"_"),,6), INDIRECT(calcs_emissions[[#This Row],[Input Unit Name]]))</f>
        <v>GBP</v>
      </c>
      <c r="I42" s="5" cm="1">
        <f t="array" aca="1" ref="I42" ca="1">_xlfn.XLOOKUP(calcs_emissions[[#This Row],[Type]]&amp;calcs_emissions[[#This Row],[Input Unit]],calcs_EFs[Type]&amp;calcs_EFs[Unit],calcs_EFs[EF (kgCO2e/unit)],0)</f>
        <v>1.1022366534678727</v>
      </c>
      <c r="J42" s="4">
        <f ca="1">calcs_emissions[[#This Row],[Input Value]]*calcs_emissions[[#This Row],[Emissions Factor for Unit (kgCO2e/unit)]]</f>
        <v>0</v>
      </c>
      <c r="K42" t="s">
        <v>479</v>
      </c>
      <c r="L42" cm="1">
        <f t="array" aca="1" ref="L42" ca="1">IFERROR(_xlfn.XLOOKUP(INDIRECT(calcs_emissions[[#This Row],[Reporting period name]]),calcs_reporting_period_multiplier[Reporting period],calcs_reporting_period_multiplier[Multiplier to get to annual]),1)</f>
        <v>1</v>
      </c>
      <c r="M42" s="4">
        <f ca="1">calcs_emissions[[#This Row],[Emissions (kgCO2e)]]*calcs_emissions[[#This Row],[Reporting period multiplier]]</f>
        <v>0</v>
      </c>
      <c r="N42" s="4">
        <f ca="1">calcs_emissions[[#This Row],[Emissions adjusted for reporting period (kgCO2e)]]/1000</f>
        <v>0</v>
      </c>
      <c r="O42" s="4" t="s">
        <v>889</v>
      </c>
      <c r="P42" s="4" t="str" cm="1">
        <f t="array" aca="1" ref="P42" ca="1">IFERROR(INDIRECT(calcs_emissions[[#This Row],[Key or Adv Name]]),"")</f>
        <v/>
      </c>
      <c r="Q42" s="4" t="str" cm="1">
        <f t="array" aca="1" ref="Q42" ca="1">_xlfn.IFS(calcs_emissions[[#This Row],[Key or Adv Value]]=text_using_advanced_input,"Adv",calcs_emissions[[#This Row],[Key or Adv Value]]=text_using_key_input,"Key",TRUE,"Est")</f>
        <v>Est</v>
      </c>
      <c r="R42" s="4" t="b">
        <f ca="1">IF(calcs_emissions[[#This Row],[Key/Adv/Est]]=calcs_emissions[[#This Row],[Key, Adv or Est]],TRUE,FALSE)</f>
        <v>0</v>
      </c>
    </row>
    <row r="43" spans="1:18">
      <c r="A43" s="4" t="s">
        <v>469</v>
      </c>
      <c r="B43" s="4" t="s">
        <v>441</v>
      </c>
      <c r="C43" t="s">
        <v>2</v>
      </c>
      <c r="D43" t="s">
        <v>2</v>
      </c>
      <c r="E43" t="s">
        <v>475</v>
      </c>
      <c r="G43" s="4" cm="1">
        <f t="array" aca="1" ref="G43" ca="1">INDIRECT(calcs_emissions[[#This Row],[Input Value Name]])</f>
        <v>0</v>
      </c>
      <c r="H43" t="str" cm="1">
        <f t="array" aca="1" ref="H43" ca="1">IFERROR( INDEX(_xlfn.TEXTSPLIT(calcs_emissions[[#This Row],[Input Value Name]],"_"),,6), INDIRECT(calcs_emissions[[#This Row],[Input Unit Name]]))</f>
        <v>GBP</v>
      </c>
      <c r="I43" s="5" cm="1">
        <f t="array" aca="1" ref="I43" ca="1">_xlfn.XLOOKUP(calcs_emissions[[#This Row],[Type]]&amp;calcs_emissions[[#This Row],[Input Unit]],calcs_EFs[Type]&amp;calcs_EFs[Unit],calcs_EFs[EF (kgCO2e/unit)],0)</f>
        <v>1.7241370713687931</v>
      </c>
      <c r="J43" s="4">
        <f ca="1">calcs_emissions[[#This Row],[Input Value]]*calcs_emissions[[#This Row],[Emissions Factor for Unit (kgCO2e/unit)]]</f>
        <v>0</v>
      </c>
      <c r="K43" t="s">
        <v>479</v>
      </c>
      <c r="L43" cm="1">
        <f t="array" aca="1" ref="L43" ca="1">IFERROR(_xlfn.XLOOKUP(INDIRECT(calcs_emissions[[#This Row],[Reporting period name]]),calcs_reporting_period_multiplier[Reporting period],calcs_reporting_period_multiplier[Multiplier to get to annual]),1)</f>
        <v>1</v>
      </c>
      <c r="M43" s="4">
        <f ca="1">calcs_emissions[[#This Row],[Emissions (kgCO2e)]]*calcs_emissions[[#This Row],[Reporting period multiplier]]</f>
        <v>0</v>
      </c>
      <c r="N43" s="4">
        <f ca="1">calcs_emissions[[#This Row],[Emissions adjusted for reporting period (kgCO2e)]]/1000</f>
        <v>0</v>
      </c>
      <c r="O43" s="4" t="s">
        <v>890</v>
      </c>
      <c r="P43" s="4" t="str" cm="1">
        <f t="array" aca="1" ref="P43" ca="1">IFERROR(INDIRECT(calcs_emissions[[#This Row],[Key or Adv Name]]),"")</f>
        <v/>
      </c>
      <c r="Q43" s="4" t="str" cm="1">
        <f t="array" aca="1" ref="Q43" ca="1">_xlfn.IFS(calcs_emissions[[#This Row],[Key or Adv Value]]=text_using_advanced_input,"Adv",calcs_emissions[[#This Row],[Key or Adv Value]]=text_using_key_input,"Key",TRUE,"Est")</f>
        <v>Est</v>
      </c>
      <c r="R43" s="4" t="b">
        <f ca="1">IF(calcs_emissions[[#This Row],[Key/Adv/Est]]=calcs_emissions[[#This Row],[Key, Adv or Est]],TRUE,FALSE)</f>
        <v>0</v>
      </c>
    </row>
    <row r="44" spans="1:18">
      <c r="A44" s="4" t="s">
        <v>469</v>
      </c>
      <c r="B44" s="4" t="s">
        <v>457</v>
      </c>
      <c r="C44" t="s">
        <v>38</v>
      </c>
      <c r="D44" t="s">
        <v>911</v>
      </c>
      <c r="E44" t="s">
        <v>476</v>
      </c>
      <c r="G44" s="4" cm="1">
        <f t="array" aca="1" ref="G44" ca="1">INDIRECT(calcs_emissions[[#This Row],[Input Value Name]])</f>
        <v>0</v>
      </c>
      <c r="H44" t="str" cm="1">
        <f t="array" aca="1" ref="H44" ca="1">IFERROR( INDEX(_xlfn.TEXTSPLIT(calcs_emissions[[#This Row],[Input Value Name]],"_"),,6), INDIRECT(calcs_emissions[[#This Row],[Input Unit Name]]))</f>
        <v>kWh</v>
      </c>
      <c r="I44" s="5" cm="1">
        <f t="array" aca="1" ref="I44" ca="1">_xlfn.XLOOKUP(calcs_emissions[[#This Row],[Type]]&amp;calcs_emissions[[#This Row],[Input Unit]],calcs_EFs[Type]&amp;calcs_EFs[Unit],calcs_EFs[EF (kgCO2e/unit)],0)</f>
        <v>0.18253999999999998</v>
      </c>
      <c r="J44" s="4">
        <f ca="1">calcs_emissions[[#This Row],[Input Value]]*calcs_emissions[[#This Row],[Emissions Factor for Unit (kgCO2e/unit)]]</f>
        <v>0</v>
      </c>
      <c r="K44" t="s">
        <v>480</v>
      </c>
      <c r="L44" cm="1">
        <f t="array" aca="1" ref="L44" ca="1">IFERROR(_xlfn.XLOOKUP(INDIRECT(calcs_emissions[[#This Row],[Reporting period name]]),calcs_reporting_period_multiplier[Reporting period],calcs_reporting_period_multiplier[Multiplier to get to annual]),1)</f>
        <v>1</v>
      </c>
      <c r="M44" s="4">
        <f ca="1">calcs_emissions[[#This Row],[Emissions (kgCO2e)]]*calcs_emissions[[#This Row],[Reporting period multiplier]]</f>
        <v>0</v>
      </c>
      <c r="N44" s="4">
        <f ca="1">calcs_emissions[[#This Row],[Emissions adjusted for reporting period (kgCO2e)]]/1000</f>
        <v>0</v>
      </c>
      <c r="O44" s="4" t="s">
        <v>888</v>
      </c>
      <c r="P44" s="4" t="str" cm="1">
        <f t="array" aca="1" ref="P44" ca="1">IFERROR(INDIRECT(calcs_emissions[[#This Row],[Key or Adv Name]]),"")</f>
        <v/>
      </c>
      <c r="Q44" s="4" t="str" cm="1">
        <f t="array" aca="1" ref="Q44" ca="1">_xlfn.IFS(calcs_emissions[[#This Row],[Key or Adv Value]]=text_using_advanced_input,"Adv",calcs_emissions[[#This Row],[Key or Adv Value]]=text_using_key_input,"Key",TRUE,"Est")</f>
        <v>Est</v>
      </c>
      <c r="R44" s="4" t="b">
        <f ca="1">IF(calcs_emissions[[#This Row],[Key/Adv/Est]]=calcs_emissions[[#This Row],[Key, Adv or Est]],TRUE,FALSE)</f>
        <v>0</v>
      </c>
    </row>
    <row r="45" spans="1:18">
      <c r="A45" s="4" t="s">
        <v>469</v>
      </c>
      <c r="B45" s="4" t="s">
        <v>457</v>
      </c>
      <c r="C45" t="s">
        <v>471</v>
      </c>
      <c r="D45" t="s">
        <v>911</v>
      </c>
      <c r="E45" t="s">
        <v>478</v>
      </c>
      <c r="G45" s="4" cm="1">
        <f t="array" aca="1" ref="G45" ca="1">INDIRECT(calcs_emissions[[#This Row],[Input Value Name]])</f>
        <v>0</v>
      </c>
      <c r="H45" t="str" cm="1">
        <f t="array" aca="1" ref="H45" ca="1">IFERROR( INDEX(_xlfn.TEXTSPLIT(calcs_emissions[[#This Row],[Input Value Name]],"_"),,6), INDIRECT(calcs_emissions[[#This Row],[Input Unit Name]]))</f>
        <v>kWh</v>
      </c>
      <c r="I45" s="5" cm="1">
        <f t="array" aca="1" ref="I45" ca="1">_xlfn.XLOOKUP(calcs_emissions[[#This Row],[Type]]&amp;calcs_emissions[[#This Row],[Input Unit]],calcs_EFs[Type]&amp;calcs_EFs[Unit],calcs_EFs[EF (kgCO2e/unit)],0)</f>
        <v>0.24677000000000002</v>
      </c>
      <c r="J45" s="4">
        <f ca="1">calcs_emissions[[#This Row],[Input Value]]*calcs_emissions[[#This Row],[Emissions Factor for Unit (kgCO2e/unit)]]</f>
        <v>0</v>
      </c>
      <c r="K45" t="s">
        <v>480</v>
      </c>
      <c r="L45" cm="1">
        <f t="array" aca="1" ref="L45" ca="1">IFERROR(_xlfn.XLOOKUP(INDIRECT(calcs_emissions[[#This Row],[Reporting period name]]),calcs_reporting_period_multiplier[Reporting period],calcs_reporting_period_multiplier[Multiplier to get to annual]),1)</f>
        <v>1</v>
      </c>
      <c r="M45" s="4">
        <f ca="1">calcs_emissions[[#This Row],[Emissions (kgCO2e)]]*calcs_emissions[[#This Row],[Reporting period multiplier]]</f>
        <v>0</v>
      </c>
      <c r="N45" s="4">
        <f ca="1">calcs_emissions[[#This Row],[Emissions adjusted for reporting period (kgCO2e)]]/1000</f>
        <v>0</v>
      </c>
      <c r="O45" s="24" t="s">
        <v>889</v>
      </c>
      <c r="P45" s="38" t="str" cm="1">
        <f t="array" aca="1" ref="P45" ca="1">IFERROR(INDIRECT(calcs_emissions[[#This Row],[Key or Adv Name]]),"")</f>
        <v/>
      </c>
      <c r="Q45" s="4" t="str" cm="1">
        <f t="array" aca="1" ref="Q45" ca="1">_xlfn.IFS(calcs_emissions[[#This Row],[Key or Adv Value]]=text_using_advanced_input,"Adv",calcs_emissions[[#This Row],[Key or Adv Value]]=text_using_key_input,"Key",TRUE,"Est")</f>
        <v>Est</v>
      </c>
      <c r="R45" s="4" t="b">
        <f ca="1">IF(calcs_emissions[[#This Row],[Key/Adv/Est]]=calcs_emissions[[#This Row],[Key, Adv or Est]],TRUE,FALSE)</f>
        <v>0</v>
      </c>
    </row>
    <row r="46" spans="1:18">
      <c r="A46" s="4" t="s">
        <v>469</v>
      </c>
      <c r="B46" s="4" t="s">
        <v>457</v>
      </c>
      <c r="C46" t="s">
        <v>2</v>
      </c>
      <c r="D46" t="s">
        <v>2</v>
      </c>
      <c r="E46" t="s">
        <v>477</v>
      </c>
      <c r="G46" s="4" cm="1">
        <f t="array" aca="1" ref="G46" ca="1">INDIRECT(calcs_emissions[[#This Row],[Input Value Name]])</f>
        <v>0</v>
      </c>
      <c r="H46" t="str" cm="1">
        <f t="array" aca="1" ref="H46" ca="1">IFERROR( INDEX(_xlfn.TEXTSPLIT(calcs_emissions[[#This Row],[Input Value Name]],"_"),,6), INDIRECT(calcs_emissions[[#This Row],[Input Unit Name]]))</f>
        <v>kWh</v>
      </c>
      <c r="I46" s="5" cm="1">
        <f t="array" aca="1" ref="I46" ca="1">_xlfn.XLOOKUP(calcs_emissions[[#This Row],[Type]]&amp;calcs_emissions[[#This Row],[Input Unit]],calcs_EFs[Type]&amp;calcs_EFs[Unit],calcs_EFs[EF (kgCO2e/unit)],0)</f>
        <v>0.19338</v>
      </c>
      <c r="J46" s="4">
        <f ca="1">calcs_emissions[[#This Row],[Input Value]]*calcs_emissions[[#This Row],[Emissions Factor for Unit (kgCO2e/unit)]]</f>
        <v>0</v>
      </c>
      <c r="K46" t="s">
        <v>480</v>
      </c>
      <c r="L46" cm="1">
        <f t="array" aca="1" ref="L46" ca="1">IFERROR(_xlfn.XLOOKUP(INDIRECT(calcs_emissions[[#This Row],[Reporting period name]]),calcs_reporting_period_multiplier[Reporting period],calcs_reporting_period_multiplier[Multiplier to get to annual]),1)</f>
        <v>1</v>
      </c>
      <c r="M46" s="4">
        <f ca="1">calcs_emissions[[#This Row],[Emissions (kgCO2e)]]*calcs_emissions[[#This Row],[Reporting period multiplier]]</f>
        <v>0</v>
      </c>
      <c r="N46" s="4">
        <f ca="1">calcs_emissions[[#This Row],[Emissions adjusted for reporting period (kgCO2e)]]/1000</f>
        <v>0</v>
      </c>
      <c r="O46" s="4" t="s">
        <v>890</v>
      </c>
      <c r="P46" s="4" t="str" cm="1">
        <f t="array" aca="1" ref="P46" ca="1">IFERROR(INDIRECT(calcs_emissions[[#This Row],[Key or Adv Name]]),"")</f>
        <v/>
      </c>
      <c r="Q46" s="4" t="str" cm="1">
        <f t="array" aca="1" ref="Q46" ca="1">_xlfn.IFS(calcs_emissions[[#This Row],[Key or Adv Value]]=text_using_advanced_input,"Adv",calcs_emissions[[#This Row],[Key or Adv Value]]=text_using_key_input,"Key",TRUE,"Est")</f>
        <v>Est</v>
      </c>
      <c r="R46" s="4" t="b">
        <f ca="1">IF(calcs_emissions[[#This Row],[Key/Adv/Est]]=calcs_emissions[[#This Row],[Key, Adv or Est]],TRUE,FALSE)</f>
        <v>0</v>
      </c>
    </row>
    <row r="47" spans="1:18">
      <c r="A47" s="4" t="s">
        <v>3</v>
      </c>
      <c r="B47" s="4" t="s">
        <v>441</v>
      </c>
      <c r="C47" t="s">
        <v>1051</v>
      </c>
      <c r="D47" t="s">
        <v>3</v>
      </c>
      <c r="E47" t="s">
        <v>491</v>
      </c>
      <c r="F47" t="s">
        <v>492</v>
      </c>
      <c r="G47" s="4" cm="1">
        <f t="array" aca="1" ref="G47" ca="1">INDIRECT(calcs_emissions[[#This Row],[Input Value Name]])</f>
        <v>0</v>
      </c>
      <c r="H47" cm="1">
        <f t="array" aca="1" ref="H47" ca="1">IFERROR( INDEX(_xlfn.TEXTSPLIT(calcs_emissions[[#This Row],[Input Value Name]],"_"),,6), INDIRECT(calcs_emissions[[#This Row],[Input Unit Name]]))</f>
        <v>0</v>
      </c>
      <c r="I47" s="5" cm="1">
        <f t="array" aca="1" ref="I47" ca="1">_xlfn.XLOOKUP(calcs_emissions[[#This Row],[Type]]&amp;calcs_emissions[[#This Row],[Input Unit]],calcs_EFs[Type]&amp;calcs_EFs[Unit],calcs_EFs[EF (kgCO2e/unit)],0)</f>
        <v>0</v>
      </c>
      <c r="J47" s="4">
        <f ca="1">calcs_emissions[[#This Row],[Input Value]]*calcs_emissions[[#This Row],[Emissions Factor for Unit (kgCO2e/unit)]]</f>
        <v>0</v>
      </c>
      <c r="K47" s="18"/>
      <c r="L47" s="18" cm="1">
        <f t="array" aca="1" ref="L47" ca="1">IFERROR(_xlfn.XLOOKUP(INDIRECT(calcs_emissions[[#This Row],[Reporting period name]]),calcs_reporting_period_multiplier[Reporting period],calcs_reporting_period_multiplier[Multiplier to get to annual]),1)</f>
        <v>1</v>
      </c>
      <c r="M47" s="4">
        <f ca="1">calcs_emissions[[#This Row],[Emissions (kgCO2e)]]*calcs_emissions[[#This Row],[Reporting period multiplier]]</f>
        <v>0</v>
      </c>
      <c r="N47" s="4">
        <f ca="1">calcs_emissions[[#This Row],[Emissions adjusted for reporting period (kgCO2e)]]/1000</f>
        <v>0</v>
      </c>
      <c r="O47" s="4" t="s">
        <v>891</v>
      </c>
      <c r="P47" s="4" t="str" cm="1">
        <f t="array" aca="1" ref="P47" ca="1">IFERROR(INDIRECT(calcs_emissions[[#This Row],[Key or Adv Name]]),"")</f>
        <v/>
      </c>
      <c r="Q47" s="4" t="str" cm="1">
        <f t="array" aca="1" ref="Q47" ca="1">_xlfn.IFS(calcs_emissions[[#This Row],[Key or Adv Value]]=text_using_advanced_input,"Adv",calcs_emissions[[#This Row],[Key or Adv Value]]=text_using_key_input,"Key",TRUE,"Est")</f>
        <v>Est</v>
      </c>
      <c r="R47" s="4" t="b">
        <f ca="1">IF(calcs_emissions[[#This Row],[Key/Adv/Est]]=calcs_emissions[[#This Row],[Key, Adv or Est]],TRUE,FALSE)</f>
        <v>0</v>
      </c>
    </row>
    <row r="48" spans="1:18">
      <c r="A48" s="4" t="s">
        <v>3</v>
      </c>
      <c r="B48" s="4" t="s">
        <v>457</v>
      </c>
      <c r="C48">
        <f>inputs_refrig_1</f>
        <v>0</v>
      </c>
      <c r="D48" t="s">
        <v>3</v>
      </c>
      <c r="E48" t="s">
        <v>893</v>
      </c>
      <c r="G48" s="4" cm="1">
        <f t="array" aca="1" ref="G48" ca="1">INDIRECT(calcs_emissions[[#This Row],[Input Value Name]])</f>
        <v>0</v>
      </c>
      <c r="H48" t="str" cm="1">
        <f t="array" aca="1" ref="H48" ca="1">IFERROR( INDEX(_xlfn.TEXTSPLIT(calcs_emissions[[#This Row],[Input Value Name]],"_"),,6), INDIRECT(calcs_emissions[[#This Row],[Input Unit Name]]))</f>
        <v>kg</v>
      </c>
      <c r="I48" s="5" cm="1">
        <f t="array" aca="1" ref="I48" ca="1">_xlfn.XLOOKUP(calcs_emissions[[#This Row],[Type]]&amp;calcs_emissions[[#This Row],[Input Unit]],calcs_EFs[Type]&amp;calcs_EFs[Unit],calcs_EFs[EF (kgCO2e/unit)],0)</f>
        <v>0</v>
      </c>
      <c r="J48" s="4">
        <f ca="1">calcs_emissions[[#This Row],[Input Value]]*calcs_emissions[[#This Row],[Emissions Factor for Unit (kgCO2e/unit)]]</f>
        <v>0</v>
      </c>
      <c r="K48" s="4" t="s">
        <v>892</v>
      </c>
      <c r="L48" s="4" cm="1">
        <f t="array" aca="1" ref="L48" ca="1">IFERROR(_xlfn.XLOOKUP(INDIRECT(calcs_emissions[[#This Row],[Reporting period name]]),calcs_reporting_period_multiplier[Reporting period],calcs_reporting_period_multiplier[Multiplier to get to annual]),1)</f>
        <v>1</v>
      </c>
      <c r="M48" s="4">
        <f ca="1">calcs_emissions[[#This Row],[Emissions (kgCO2e)]]*calcs_emissions[[#This Row],[Reporting period multiplier]]</f>
        <v>0</v>
      </c>
      <c r="N48" s="4">
        <f ca="1">calcs_emissions[[#This Row],[Emissions adjusted for reporting period (kgCO2e)]]/1000</f>
        <v>0</v>
      </c>
      <c r="O48" s="4" t="s">
        <v>891</v>
      </c>
      <c r="P48" s="4" t="str" cm="1">
        <f t="array" aca="1" ref="P48" ca="1">IFERROR(INDIRECT(calcs_emissions[[#This Row],[Key or Adv Name]]),"")</f>
        <v/>
      </c>
      <c r="Q48" s="4" t="str" cm="1">
        <f t="array" aca="1" ref="Q48" ca="1">_xlfn.IFS(calcs_emissions[[#This Row],[Key or Adv Value]]=text_using_advanced_input,"Adv",calcs_emissions[[#This Row],[Key or Adv Value]]=text_using_key_input,"Key",TRUE,"Est")</f>
        <v>Est</v>
      </c>
      <c r="R48" s="4" t="b">
        <f ca="1">IF(calcs_emissions[[#This Row],[Key/Adv/Est]]=calcs_emissions[[#This Row],[Key, Adv or Est]],TRUE,FALSE)</f>
        <v>0</v>
      </c>
    </row>
    <row r="49" spans="1:18">
      <c r="A49" s="4" t="s">
        <v>3</v>
      </c>
      <c r="B49" s="4" t="s">
        <v>457</v>
      </c>
      <c r="C49">
        <f>inputs_refrig_2</f>
        <v>0</v>
      </c>
      <c r="D49" t="s">
        <v>3</v>
      </c>
      <c r="E49" t="s">
        <v>894</v>
      </c>
      <c r="G49" s="4" cm="1">
        <f t="array" aca="1" ref="G49" ca="1">INDIRECT(calcs_emissions[[#This Row],[Input Value Name]])</f>
        <v>0</v>
      </c>
      <c r="H49" t="str" cm="1">
        <f t="array" aca="1" ref="H49" ca="1">IFERROR( INDEX(_xlfn.TEXTSPLIT(calcs_emissions[[#This Row],[Input Value Name]],"_"),,6), INDIRECT(calcs_emissions[[#This Row],[Input Unit Name]]))</f>
        <v>kg</v>
      </c>
      <c r="I49" s="5" cm="1">
        <f t="array" aca="1" ref="I49" ca="1">_xlfn.XLOOKUP(calcs_emissions[[#This Row],[Type]]&amp;calcs_emissions[[#This Row],[Input Unit]],calcs_EFs[Type]&amp;calcs_EFs[Unit],calcs_EFs[EF (kgCO2e/unit)],0)</f>
        <v>0</v>
      </c>
      <c r="J49" s="4">
        <f ca="1">calcs_emissions[[#This Row],[Input Value]]*calcs_emissions[[#This Row],[Emissions Factor for Unit (kgCO2e/unit)]]</f>
        <v>0</v>
      </c>
      <c r="K49" s="4" t="s">
        <v>892</v>
      </c>
      <c r="L49" s="4" cm="1">
        <f t="array" aca="1" ref="L49" ca="1">IFERROR(_xlfn.XLOOKUP(INDIRECT(calcs_emissions[[#This Row],[Reporting period name]]),calcs_reporting_period_multiplier[Reporting period],calcs_reporting_period_multiplier[Multiplier to get to annual]),1)</f>
        <v>1</v>
      </c>
      <c r="M49" s="4">
        <f ca="1">calcs_emissions[[#This Row],[Emissions (kgCO2e)]]*calcs_emissions[[#This Row],[Reporting period multiplier]]</f>
        <v>0</v>
      </c>
      <c r="N49" s="4">
        <f ca="1">calcs_emissions[[#This Row],[Emissions adjusted for reporting period (kgCO2e)]]/1000</f>
        <v>0</v>
      </c>
      <c r="O49" s="4" t="s">
        <v>891</v>
      </c>
      <c r="P49" s="4" t="str" cm="1">
        <f t="array" aca="1" ref="P49" ca="1">IFERROR(INDIRECT(calcs_emissions[[#This Row],[Key or Adv Name]]),"")</f>
        <v/>
      </c>
      <c r="Q49" s="4" t="str" cm="1">
        <f t="array" aca="1" ref="Q49" ca="1">_xlfn.IFS(calcs_emissions[[#This Row],[Key or Adv Value]]=text_using_advanced_input,"Adv",calcs_emissions[[#This Row],[Key or Adv Value]]=text_using_key_input,"Key",TRUE,"Est")</f>
        <v>Est</v>
      </c>
      <c r="R49" s="4" t="b">
        <f ca="1">IF(calcs_emissions[[#This Row],[Key/Adv/Est]]=calcs_emissions[[#This Row],[Key, Adv or Est]],TRUE,FALSE)</f>
        <v>0</v>
      </c>
    </row>
    <row r="50" spans="1:18">
      <c r="A50" s="4" t="s">
        <v>3</v>
      </c>
      <c r="B50" s="4" t="s">
        <v>457</v>
      </c>
      <c r="C50">
        <f>inputs_refrig_3</f>
        <v>0</v>
      </c>
      <c r="D50" t="s">
        <v>3</v>
      </c>
      <c r="E50" t="s">
        <v>895</v>
      </c>
      <c r="G50" s="4" cm="1">
        <f t="array" aca="1" ref="G50" ca="1">INDIRECT(calcs_emissions[[#This Row],[Input Value Name]])</f>
        <v>0</v>
      </c>
      <c r="H50" t="str" cm="1">
        <f t="array" aca="1" ref="H50" ca="1">IFERROR( INDEX(_xlfn.TEXTSPLIT(calcs_emissions[[#This Row],[Input Value Name]],"_"),,6), INDIRECT(calcs_emissions[[#This Row],[Input Unit Name]]))</f>
        <v>kg</v>
      </c>
      <c r="I50" s="5" cm="1">
        <f t="array" aca="1" ref="I50" ca="1">_xlfn.XLOOKUP(calcs_emissions[[#This Row],[Type]]&amp;calcs_emissions[[#This Row],[Input Unit]],calcs_EFs[Type]&amp;calcs_EFs[Unit],calcs_EFs[EF (kgCO2e/unit)],0)</f>
        <v>0</v>
      </c>
      <c r="J50" s="4">
        <f ca="1">calcs_emissions[[#This Row],[Input Value]]*calcs_emissions[[#This Row],[Emissions Factor for Unit (kgCO2e/unit)]]</f>
        <v>0</v>
      </c>
      <c r="K50" s="4" t="s">
        <v>892</v>
      </c>
      <c r="L50" s="4" cm="1">
        <f t="array" aca="1" ref="L50" ca="1">IFERROR(_xlfn.XLOOKUP(INDIRECT(calcs_emissions[[#This Row],[Reporting period name]]),calcs_reporting_period_multiplier[Reporting period],calcs_reporting_period_multiplier[Multiplier to get to annual]),1)</f>
        <v>1</v>
      </c>
      <c r="M50" s="4">
        <f ca="1">calcs_emissions[[#This Row],[Emissions (kgCO2e)]]*calcs_emissions[[#This Row],[Reporting period multiplier]]</f>
        <v>0</v>
      </c>
      <c r="N50" s="4">
        <f ca="1">calcs_emissions[[#This Row],[Emissions adjusted for reporting period (kgCO2e)]]/1000</f>
        <v>0</v>
      </c>
      <c r="O50" s="4" t="s">
        <v>891</v>
      </c>
      <c r="P50" s="4" t="str" cm="1">
        <f t="array" aca="1" ref="P50" ca="1">IFERROR(INDIRECT(calcs_emissions[[#This Row],[Key or Adv Name]]),"")</f>
        <v/>
      </c>
      <c r="Q50" s="4" t="str" cm="1">
        <f t="array" aca="1" ref="Q50" ca="1">_xlfn.IFS(calcs_emissions[[#This Row],[Key or Adv Value]]=text_using_advanced_input,"Adv",calcs_emissions[[#This Row],[Key or Adv Value]]=text_using_key_input,"Key",TRUE,"Est")</f>
        <v>Est</v>
      </c>
      <c r="R50" s="4" t="b">
        <f ca="1">IF(calcs_emissions[[#This Row],[Key/Adv/Est]]=calcs_emissions[[#This Row],[Key, Adv or Est]],TRUE,FALSE)</f>
        <v>0</v>
      </c>
    </row>
    <row r="51" spans="1:18">
      <c r="A51" s="4" t="s">
        <v>3</v>
      </c>
      <c r="B51" s="4" t="s">
        <v>457</v>
      </c>
      <c r="C51">
        <f>inputs_refrig_4</f>
        <v>0</v>
      </c>
      <c r="D51" t="s">
        <v>3</v>
      </c>
      <c r="E51" t="s">
        <v>896</v>
      </c>
      <c r="G51" s="4" cm="1">
        <f t="array" aca="1" ref="G51" ca="1">INDIRECT(calcs_emissions[[#This Row],[Input Value Name]])</f>
        <v>0</v>
      </c>
      <c r="H51" t="str" cm="1">
        <f t="array" aca="1" ref="H51" ca="1">IFERROR( INDEX(_xlfn.TEXTSPLIT(calcs_emissions[[#This Row],[Input Value Name]],"_"),,6), INDIRECT(calcs_emissions[[#This Row],[Input Unit Name]]))</f>
        <v>kg</v>
      </c>
      <c r="I51" s="5" cm="1">
        <f t="array" aca="1" ref="I51" ca="1">_xlfn.XLOOKUP(calcs_emissions[[#This Row],[Type]]&amp;calcs_emissions[[#This Row],[Input Unit]],calcs_EFs[Type]&amp;calcs_EFs[Unit],calcs_EFs[EF (kgCO2e/unit)],0)</f>
        <v>0</v>
      </c>
      <c r="J51" s="4">
        <f ca="1">calcs_emissions[[#This Row],[Input Value]]*calcs_emissions[[#This Row],[Emissions Factor for Unit (kgCO2e/unit)]]</f>
        <v>0</v>
      </c>
      <c r="K51" s="4" t="s">
        <v>892</v>
      </c>
      <c r="L51" s="4" cm="1">
        <f t="array" aca="1" ref="L51" ca="1">IFERROR(_xlfn.XLOOKUP(INDIRECT(calcs_emissions[[#This Row],[Reporting period name]]),calcs_reporting_period_multiplier[Reporting period],calcs_reporting_period_multiplier[Multiplier to get to annual]),1)</f>
        <v>1</v>
      </c>
      <c r="M51" s="4">
        <f ca="1">calcs_emissions[[#This Row],[Emissions (kgCO2e)]]*calcs_emissions[[#This Row],[Reporting period multiplier]]</f>
        <v>0</v>
      </c>
      <c r="N51" s="4">
        <f ca="1">calcs_emissions[[#This Row],[Emissions adjusted for reporting period (kgCO2e)]]/1000</f>
        <v>0</v>
      </c>
      <c r="O51" s="4" t="s">
        <v>891</v>
      </c>
      <c r="P51" s="4" t="str" cm="1">
        <f t="array" aca="1" ref="P51" ca="1">IFERROR(INDIRECT(calcs_emissions[[#This Row],[Key or Adv Name]]),"")</f>
        <v/>
      </c>
      <c r="Q51" s="4" t="str" cm="1">
        <f t="array" aca="1" ref="Q51" ca="1">_xlfn.IFS(calcs_emissions[[#This Row],[Key or Adv Value]]=text_using_advanced_input,"Adv",calcs_emissions[[#This Row],[Key or Adv Value]]=text_using_key_input,"Key",TRUE,"Est")</f>
        <v>Est</v>
      </c>
      <c r="R51" s="4" t="b">
        <f ca="1">IF(calcs_emissions[[#This Row],[Key/Adv/Est]]=calcs_emissions[[#This Row],[Key, Adv or Est]],TRUE,FALSE)</f>
        <v>0</v>
      </c>
    </row>
    <row r="52" spans="1:18">
      <c r="A52" s="4" t="s">
        <v>3</v>
      </c>
      <c r="B52" s="4" t="s">
        <v>457</v>
      </c>
      <c r="C52">
        <f>inputs_refrig_5</f>
        <v>0</v>
      </c>
      <c r="D52" t="s">
        <v>3</v>
      </c>
      <c r="E52" t="s">
        <v>897</v>
      </c>
      <c r="G52" s="4" cm="1">
        <f t="array" aca="1" ref="G52" ca="1">INDIRECT(calcs_emissions[[#This Row],[Input Value Name]])</f>
        <v>0</v>
      </c>
      <c r="H52" t="str" cm="1">
        <f t="array" aca="1" ref="H52" ca="1">IFERROR( INDEX(_xlfn.TEXTSPLIT(calcs_emissions[[#This Row],[Input Value Name]],"_"),,6), INDIRECT(calcs_emissions[[#This Row],[Input Unit Name]]))</f>
        <v>kg</v>
      </c>
      <c r="I52" s="5" cm="1">
        <f t="array" aca="1" ref="I52" ca="1">_xlfn.XLOOKUP(calcs_emissions[[#This Row],[Type]]&amp;calcs_emissions[[#This Row],[Input Unit]],calcs_EFs[Type]&amp;calcs_EFs[Unit],calcs_EFs[EF (kgCO2e/unit)],0)</f>
        <v>0</v>
      </c>
      <c r="J52" s="4">
        <f ca="1">calcs_emissions[[#This Row],[Input Value]]*calcs_emissions[[#This Row],[Emissions Factor for Unit (kgCO2e/unit)]]</f>
        <v>0</v>
      </c>
      <c r="K52" s="4" t="s">
        <v>892</v>
      </c>
      <c r="L52" s="4" cm="1">
        <f t="array" aca="1" ref="L52" ca="1">IFERROR(_xlfn.XLOOKUP(INDIRECT(calcs_emissions[[#This Row],[Reporting period name]]),calcs_reporting_period_multiplier[Reporting period],calcs_reporting_period_multiplier[Multiplier to get to annual]),1)</f>
        <v>1</v>
      </c>
      <c r="M52" s="4">
        <f ca="1">calcs_emissions[[#This Row],[Emissions (kgCO2e)]]*calcs_emissions[[#This Row],[Reporting period multiplier]]</f>
        <v>0</v>
      </c>
      <c r="N52" s="4">
        <f ca="1">calcs_emissions[[#This Row],[Emissions adjusted for reporting period (kgCO2e)]]/1000</f>
        <v>0</v>
      </c>
      <c r="O52" s="4" t="s">
        <v>891</v>
      </c>
      <c r="P52" s="4" t="str" cm="1">
        <f t="array" aca="1" ref="P52" ca="1">IFERROR(INDIRECT(calcs_emissions[[#This Row],[Key or Adv Name]]),"")</f>
        <v/>
      </c>
      <c r="Q52" s="4" t="str" cm="1">
        <f t="array" aca="1" ref="Q52" ca="1">_xlfn.IFS(calcs_emissions[[#This Row],[Key or Adv Value]]=text_using_advanced_input,"Adv",calcs_emissions[[#This Row],[Key or Adv Value]]=text_using_key_input,"Key",TRUE,"Est")</f>
        <v>Est</v>
      </c>
      <c r="R52" s="4" t="b">
        <f ca="1">IF(calcs_emissions[[#This Row],[Key/Adv/Est]]=calcs_emissions[[#This Row],[Key, Adv or Est]],TRUE,FALSE)</f>
        <v>0</v>
      </c>
    </row>
    <row r="53" spans="1:18">
      <c r="A53" s="4" t="s">
        <v>4</v>
      </c>
      <c r="B53" s="4" t="s">
        <v>441</v>
      </c>
      <c r="C53" t="s">
        <v>922</v>
      </c>
      <c r="D53" t="s">
        <v>908</v>
      </c>
      <c r="E53" t="s">
        <v>928</v>
      </c>
      <c r="G53" s="4" cm="1">
        <f t="array" aca="1" ref="G53" ca="1">INDIRECT(calcs_emissions[[#This Row],[Input Value Name]])</f>
        <v>0</v>
      </c>
      <c r="H53" t="str" cm="1">
        <f t="array" aca="1" ref="H53" ca="1">IFERROR( INDEX(_xlfn.TEXTSPLIT(calcs_emissions[[#This Row],[Input Value Name]],"_"),,6), INDIRECT(calcs_emissions[[#This Row],[Input Unit Name]]))</f>
        <v>FTEs</v>
      </c>
      <c r="I53" s="5" cm="1">
        <f t="array" aca="1" ref="I53" ca="1">_xlfn.XLOOKUP(calcs_emissions[[#This Row],[Type]]&amp;calcs_emissions[[#This Row],[Input Unit]],calcs_EFs[Type]&amp;calcs_EFs[Unit],calcs_EFs[EF (kgCO2e/unit)],0)</f>
        <v>540</v>
      </c>
      <c r="J53" s="4">
        <f ca="1">calcs_emissions[[#This Row],[Input Value]]*calcs_emissions[[#This Row],[Emissions Factor for Unit (kgCO2e/unit)]]</f>
        <v>0</v>
      </c>
      <c r="K53" s="4"/>
      <c r="L53" s="4" cm="1">
        <f t="array" aca="1" ref="L53" ca="1">IFERROR(_xlfn.XLOOKUP(INDIRECT(calcs_emissions[[#This Row],[Reporting period name]]),calcs_reporting_period_multiplier[Reporting period],calcs_reporting_period_multiplier[Multiplier to get to annual]),1)</f>
        <v>1</v>
      </c>
      <c r="M53" s="4">
        <f ca="1">calcs_emissions[[#This Row],[Emissions (kgCO2e)]]*calcs_emissions[[#This Row],[Reporting period multiplier]]</f>
        <v>0</v>
      </c>
      <c r="N53" s="4">
        <f ca="1">calcs_emissions[[#This Row],[Emissions adjusted for reporting period (kgCO2e)]]/1000</f>
        <v>0</v>
      </c>
      <c r="O53" s="4" t="s">
        <v>932</v>
      </c>
      <c r="P53" s="4" t="str" cm="1">
        <f t="array" aca="1" ref="P53" ca="1">IFERROR(INDIRECT(calcs_emissions[[#This Row],[Key or Adv Name]]),"")</f>
        <v/>
      </c>
      <c r="Q53" s="4" t="str" cm="1">
        <f t="array" aca="1" ref="Q53" ca="1">_xlfn.IFS(calcs_emissions[[#This Row],[Key or Adv Value]]=text_using_advanced_input,"Adv",calcs_emissions[[#This Row],[Key or Adv Value]]=text_using_key_input,"Key",TRUE,"Est")</f>
        <v>Est</v>
      </c>
      <c r="R53" s="4" t="b">
        <f ca="1">IF(calcs_emissions[[#This Row],[Key/Adv/Est]]=calcs_emissions[[#This Row],[Key, Adv or Est]],TRUE,FALSE)</f>
        <v>0</v>
      </c>
    </row>
    <row r="54" spans="1:18">
      <c r="A54" s="4" t="s">
        <v>4</v>
      </c>
      <c r="B54" s="4" t="s">
        <v>457</v>
      </c>
      <c r="C54" t="s">
        <v>922</v>
      </c>
      <c r="D54" t="s">
        <v>908</v>
      </c>
      <c r="E54" t="s">
        <v>926</v>
      </c>
      <c r="G54" s="4" cm="1">
        <f t="array" aca="1" ref="G54" ca="1">INDIRECT(calcs_emissions[[#This Row],[Input Value Name]])</f>
        <v>0</v>
      </c>
      <c r="H54" t="str" cm="1">
        <f t="array" aca="1" ref="H54" ca="1">IFERROR( INDEX(_xlfn.TEXTSPLIT(calcs_emissions[[#This Row],[Input Value Name]],"_"),,6), INDIRECT(calcs_emissions[[#This Row],[Input Unit Name]]))</f>
        <v>tCO2e</v>
      </c>
      <c r="I54" s="5" cm="1">
        <f t="array" aca="1" ref="I54" ca="1">_xlfn.XLOOKUP(calcs_emissions[[#This Row],[Type]]&amp;calcs_emissions[[#This Row],[Input Unit]],calcs_EFs[Type]&amp;calcs_EFs[Unit],calcs_EFs[EF (kgCO2e/unit)],0)</f>
        <v>1000</v>
      </c>
      <c r="J54" s="4">
        <f ca="1">calcs_emissions[[#This Row],[Input Value]]*calcs_emissions[[#This Row],[Emissions Factor for Unit (kgCO2e/unit)]]</f>
        <v>0</v>
      </c>
      <c r="K54" s="4"/>
      <c r="L54" s="4" cm="1">
        <f t="array" aca="1" ref="L54" ca="1">IFERROR(_xlfn.XLOOKUP(INDIRECT(calcs_emissions[[#This Row],[Reporting period name]]),calcs_reporting_period_multiplier[Reporting period],calcs_reporting_period_multiplier[Multiplier to get to annual]),1)</f>
        <v>1</v>
      </c>
      <c r="M54" s="4">
        <f ca="1">calcs_emissions[[#This Row],[Emissions (kgCO2e)]]*calcs_emissions[[#This Row],[Reporting period multiplier]]</f>
        <v>0</v>
      </c>
      <c r="N54" s="4">
        <f ca="1">calcs_emissions[[#This Row],[Emissions adjusted for reporting period (kgCO2e)]]/1000</f>
        <v>0</v>
      </c>
      <c r="O54" s="4" t="s">
        <v>932</v>
      </c>
      <c r="P54" s="4" t="str" cm="1">
        <f t="array" aca="1" ref="P54" ca="1">IFERROR(INDIRECT(calcs_emissions[[#This Row],[Key or Adv Name]]),"")</f>
        <v/>
      </c>
      <c r="Q54" s="4" t="str" cm="1">
        <f t="array" aca="1" ref="Q54" ca="1">_xlfn.IFS(calcs_emissions[[#This Row],[Key or Adv Value]]=text_using_advanced_input,"Adv",calcs_emissions[[#This Row],[Key or Adv Value]]=text_using_key_input,"Key",TRUE,"Est")</f>
        <v>Est</v>
      </c>
      <c r="R54" s="4" t="b">
        <f ca="1">IF(calcs_emissions[[#This Row],[Key/Adv/Est]]=calcs_emissions[[#This Row],[Key, Adv or Est]],TRUE,FALSE)</f>
        <v>0</v>
      </c>
    </row>
    <row r="55" spans="1:18">
      <c r="A55" s="4" t="s">
        <v>4</v>
      </c>
      <c r="B55" s="4" t="s">
        <v>933</v>
      </c>
      <c r="C55" t="s">
        <v>935</v>
      </c>
      <c r="D55" t="s">
        <v>907</v>
      </c>
      <c r="E55" s="23" t="s">
        <v>952</v>
      </c>
      <c r="G55" s="4" cm="1">
        <f t="array" aca="1" ref="G55" ca="1">INDIRECT(calcs_emissions[[#This Row],[Input Value Name]])</f>
        <v>0</v>
      </c>
      <c r="H55" t="str" cm="1">
        <f t="array" aca="1" ref="H55" ca="1">IFERROR( INDEX(_xlfn.TEXTSPLIT(calcs_emissions[[#This Row],[Input Value Name]],"_"),,6), INDIRECT(calcs_emissions[[#This Row],[Input Unit Name]]))</f>
        <v>tCO2e</v>
      </c>
      <c r="I55" s="5" cm="1">
        <f t="array" aca="1" ref="I55" ca="1">_xlfn.XLOOKUP(calcs_emissions[[#This Row],[Type]]&amp;calcs_emissions[[#This Row],[Input Unit]],calcs_EFs[Type]&amp;calcs_EFs[Unit],calcs_EFs[EF (kgCO2e/unit)],0)</f>
        <v>1000</v>
      </c>
      <c r="J55" s="4">
        <f ca="1">calcs_emissions[[#This Row],[Input Value]]*calcs_emissions[[#This Row],[Emissions Factor for Unit (kgCO2e/unit)]]</f>
        <v>0</v>
      </c>
      <c r="K55" s="4"/>
      <c r="L55" s="4" cm="1">
        <f t="array" aca="1" ref="L55" ca="1">IFERROR(_xlfn.XLOOKUP(INDIRECT(calcs_emissions[[#This Row],[Reporting period name]]),calcs_reporting_period_multiplier[Reporting period],calcs_reporting_period_multiplier[Multiplier to get to annual]),1)</f>
        <v>1</v>
      </c>
      <c r="M55" s="4">
        <f ca="1">calcs_emissions[[#This Row],[Emissions (kgCO2e)]]*calcs_emissions[[#This Row],[Reporting period multiplier]]</f>
        <v>0</v>
      </c>
      <c r="N55" s="4">
        <f ca="1">calcs_emissions[[#This Row],[Emissions adjusted for reporting period (kgCO2e)]]/1000</f>
        <v>0</v>
      </c>
      <c r="O55" s="4"/>
      <c r="P55" s="4" t="str" cm="1">
        <f t="array" aca="1" ref="P55" ca="1">IFERROR(INDIRECT(calcs_emissions[[#This Row],[Key or Adv Name]]),"")</f>
        <v/>
      </c>
      <c r="Q55" s="4" t="str" cm="1">
        <f t="array" aca="1" ref="Q55" ca="1">_xlfn.IFS(calcs_emissions[[#This Row],[Key or Adv Value]]=text_using_advanced_input,"Adv",calcs_emissions[[#This Row],[Key or Adv Value]]=text_using_key_input,"Key",TRUE,"Est")</f>
        <v>Est</v>
      </c>
      <c r="R55" s="4" t="b">
        <f ca="1">IF(calcs_emissions[[#This Row],[Key/Adv/Est]]=calcs_emissions[[#This Row],[Key, Adv or Est]],TRUE,FALSE)</f>
        <v>1</v>
      </c>
    </row>
    <row r="56" spans="1:18">
      <c r="A56" s="4" t="s">
        <v>4</v>
      </c>
      <c r="B56" s="4" t="s">
        <v>933</v>
      </c>
      <c r="C56" t="s">
        <v>941</v>
      </c>
      <c r="D56" t="s">
        <v>950</v>
      </c>
      <c r="E56" s="23" t="s">
        <v>953</v>
      </c>
      <c r="G56" s="4" cm="1">
        <f t="array" aca="1" ref="G56" ca="1">INDIRECT(calcs_emissions[[#This Row],[Input Value Name]])</f>
        <v>0</v>
      </c>
      <c r="H56" t="str" cm="1">
        <f t="array" aca="1" ref="H56" ca="1">IFERROR( INDEX(_xlfn.TEXTSPLIT(calcs_emissions[[#This Row],[Input Value Name]],"_"),,6), INDIRECT(calcs_emissions[[#This Row],[Input Unit Name]]))</f>
        <v>tCO2e</v>
      </c>
      <c r="I56" s="5" cm="1">
        <f t="array" aca="1" ref="I56" ca="1">_xlfn.XLOOKUP(calcs_emissions[[#This Row],[Type]]&amp;calcs_emissions[[#This Row],[Input Unit]],calcs_EFs[Type]&amp;calcs_EFs[Unit],calcs_EFs[EF (kgCO2e/unit)],0)</f>
        <v>1000</v>
      </c>
      <c r="J56" s="4">
        <f ca="1">calcs_emissions[[#This Row],[Input Value]]*calcs_emissions[[#This Row],[Emissions Factor for Unit (kgCO2e/unit)]]</f>
        <v>0</v>
      </c>
      <c r="K56" s="4"/>
      <c r="L56" s="4" cm="1">
        <f t="array" aca="1" ref="L56" ca="1">IFERROR(_xlfn.XLOOKUP(INDIRECT(calcs_emissions[[#This Row],[Reporting period name]]),calcs_reporting_period_multiplier[Reporting period],calcs_reporting_period_multiplier[Multiplier to get to annual]),1)</f>
        <v>1</v>
      </c>
      <c r="M56" s="4">
        <f ca="1">calcs_emissions[[#This Row],[Emissions (kgCO2e)]]*calcs_emissions[[#This Row],[Reporting period multiplier]]</f>
        <v>0</v>
      </c>
      <c r="N56" s="4">
        <f ca="1">calcs_emissions[[#This Row],[Emissions adjusted for reporting period (kgCO2e)]]/1000</f>
        <v>0</v>
      </c>
      <c r="O56" s="4"/>
      <c r="P56" s="4" t="str" cm="1">
        <f t="array" aca="1" ref="P56" ca="1">IFERROR(INDIRECT(calcs_emissions[[#This Row],[Key or Adv Name]]),"")</f>
        <v/>
      </c>
      <c r="Q56" s="4" t="str" cm="1">
        <f t="array" aca="1" ref="Q56" ca="1">_xlfn.IFS(calcs_emissions[[#This Row],[Key or Adv Value]]=text_using_advanced_input,"Adv",calcs_emissions[[#This Row],[Key or Adv Value]]=text_using_key_input,"Key",TRUE,"Est")</f>
        <v>Est</v>
      </c>
      <c r="R56" s="4" t="b">
        <f ca="1">IF(calcs_emissions[[#This Row],[Key/Adv/Est]]=calcs_emissions[[#This Row],[Key, Adv or Est]],TRUE,FALSE)</f>
        <v>1</v>
      </c>
    </row>
    <row r="57" spans="1:18">
      <c r="A57" s="4" t="s">
        <v>4</v>
      </c>
      <c r="B57" s="4" t="s">
        <v>933</v>
      </c>
      <c r="C57" t="s">
        <v>940</v>
      </c>
      <c r="D57" t="s">
        <v>950</v>
      </c>
      <c r="E57" s="23" t="s">
        <v>954</v>
      </c>
      <c r="G57" s="4" cm="1">
        <f t="array" aca="1" ref="G57" ca="1">INDIRECT(calcs_emissions[[#This Row],[Input Value Name]])</f>
        <v>0</v>
      </c>
      <c r="H57" t="str" cm="1">
        <f t="array" aca="1" ref="H57" ca="1">IFERROR( INDEX(_xlfn.TEXTSPLIT(calcs_emissions[[#This Row],[Input Value Name]],"_"),,6), INDIRECT(calcs_emissions[[#This Row],[Input Unit Name]]))</f>
        <v>tCO2e</v>
      </c>
      <c r="I57" s="5" cm="1">
        <f t="array" aca="1" ref="I57" ca="1">_xlfn.XLOOKUP(calcs_emissions[[#This Row],[Type]]&amp;calcs_emissions[[#This Row],[Input Unit]],calcs_EFs[Type]&amp;calcs_EFs[Unit],calcs_EFs[EF (kgCO2e/unit)],0)</f>
        <v>1000</v>
      </c>
      <c r="J57" s="4">
        <f ca="1">calcs_emissions[[#This Row],[Input Value]]*calcs_emissions[[#This Row],[Emissions Factor for Unit (kgCO2e/unit)]]</f>
        <v>0</v>
      </c>
      <c r="K57" s="4"/>
      <c r="L57" s="4" cm="1">
        <f t="array" aca="1" ref="L57" ca="1">IFERROR(_xlfn.XLOOKUP(INDIRECT(calcs_emissions[[#This Row],[Reporting period name]]),calcs_reporting_period_multiplier[Reporting period],calcs_reporting_period_multiplier[Multiplier to get to annual]),1)</f>
        <v>1</v>
      </c>
      <c r="M57" s="4">
        <f ca="1">calcs_emissions[[#This Row],[Emissions (kgCO2e)]]*calcs_emissions[[#This Row],[Reporting period multiplier]]</f>
        <v>0</v>
      </c>
      <c r="N57" s="4">
        <f ca="1">calcs_emissions[[#This Row],[Emissions adjusted for reporting period (kgCO2e)]]/1000</f>
        <v>0</v>
      </c>
      <c r="O57" s="4"/>
      <c r="P57" s="4" t="str" cm="1">
        <f t="array" aca="1" ref="P57" ca="1">IFERROR(INDIRECT(calcs_emissions[[#This Row],[Key or Adv Name]]),"")</f>
        <v/>
      </c>
      <c r="Q57" s="4" t="str" cm="1">
        <f t="array" aca="1" ref="Q57" ca="1">_xlfn.IFS(calcs_emissions[[#This Row],[Key or Adv Value]]=text_using_advanced_input,"Adv",calcs_emissions[[#This Row],[Key or Adv Value]]=text_using_key_input,"Key",TRUE,"Est")</f>
        <v>Est</v>
      </c>
      <c r="R57" s="4" t="b">
        <f ca="1">IF(calcs_emissions[[#This Row],[Key/Adv/Est]]=calcs_emissions[[#This Row],[Key, Adv or Est]],TRUE,FALSE)</f>
        <v>1</v>
      </c>
    </row>
    <row r="58" spans="1:18">
      <c r="A58" s="4" t="s">
        <v>4</v>
      </c>
      <c r="B58" s="4" t="s">
        <v>933</v>
      </c>
      <c r="C58" t="s">
        <v>39</v>
      </c>
      <c r="D58" t="s">
        <v>916</v>
      </c>
      <c r="E58" s="23" t="s">
        <v>1125</v>
      </c>
      <c r="G58" s="4" cm="1">
        <f t="array" aca="1" ref="G58" ca="1">INDIRECT(calcs_emissions[[#This Row],[Input Value Name]])</f>
        <v>0</v>
      </c>
      <c r="H58" t="str" cm="1">
        <f t="array" aca="1" ref="H58" ca="1">IFERROR( INDEX(_xlfn.TEXTSPLIT(calcs_emissions[[#This Row],[Input Value Name]],"_"),,6), INDIRECT(calcs_emissions[[#This Row],[Input Unit Name]]))</f>
        <v>tCO2e</v>
      </c>
      <c r="I58" s="5" cm="1">
        <f t="array" aca="1" ref="I58" ca="1">_xlfn.XLOOKUP(calcs_emissions[[#This Row],[Type]]&amp;calcs_emissions[[#This Row],[Input Unit]],calcs_EFs[Type]&amp;calcs_EFs[Unit],calcs_EFs[EF (kgCO2e/unit)],0)</f>
        <v>1000</v>
      </c>
      <c r="J58" s="4">
        <f ca="1">calcs_emissions[[#This Row],[Input Value]]*calcs_emissions[[#This Row],[Emissions Factor for Unit (kgCO2e/unit)]]</f>
        <v>0</v>
      </c>
      <c r="K58" s="4"/>
      <c r="L58" s="4" cm="1">
        <f t="array" aca="1" ref="L58" ca="1">IFERROR(_xlfn.XLOOKUP(INDIRECT(calcs_emissions[[#This Row],[Reporting period name]]),calcs_reporting_period_multiplier[Reporting period],calcs_reporting_period_multiplier[Multiplier to get to annual]),1)</f>
        <v>1</v>
      </c>
      <c r="M58" s="4">
        <f ca="1">calcs_emissions[[#This Row],[Emissions (kgCO2e)]]*calcs_emissions[[#This Row],[Reporting period multiplier]]</f>
        <v>0</v>
      </c>
      <c r="N58" s="4">
        <f ca="1">calcs_emissions[[#This Row],[Emissions adjusted for reporting period (kgCO2e)]]/1000</f>
        <v>0</v>
      </c>
      <c r="O58" s="4"/>
      <c r="P58" s="4" t="str" cm="1">
        <f t="array" aca="1" ref="P58" ca="1">IFERROR(INDIRECT(calcs_emissions[[#This Row],[Key or Adv Name]]),"")</f>
        <v/>
      </c>
      <c r="Q58" s="4" t="str" cm="1">
        <f t="array" aca="1" ref="Q58" ca="1">_xlfn.IFS(calcs_emissions[[#This Row],[Key or Adv Value]]=text_using_advanced_input,"Adv",calcs_emissions[[#This Row],[Key or Adv Value]]=text_using_key_input,"Key",TRUE,"Est")</f>
        <v>Est</v>
      </c>
      <c r="R58" s="4" t="b">
        <f ca="1">IF(calcs_emissions[[#This Row],[Key/Adv/Est]]=calcs_emissions[[#This Row],[Key, Adv or Est]],TRUE,FALSE)</f>
        <v>1</v>
      </c>
    </row>
    <row r="59" spans="1:18">
      <c r="A59" s="4" t="s">
        <v>4</v>
      </c>
      <c r="B59" s="4" t="s">
        <v>933</v>
      </c>
      <c r="C59" t="s">
        <v>937</v>
      </c>
      <c r="D59" t="s">
        <v>907</v>
      </c>
      <c r="E59" s="23" t="s">
        <v>955</v>
      </c>
      <c r="G59" s="4" cm="1">
        <f t="array" aca="1" ref="G59" ca="1">INDIRECT(calcs_emissions[[#This Row],[Input Value Name]])</f>
        <v>0</v>
      </c>
      <c r="H59" t="str" cm="1">
        <f t="array" aca="1" ref="H59" ca="1">IFERROR( INDEX(_xlfn.TEXTSPLIT(calcs_emissions[[#This Row],[Input Value Name]],"_"),,6), INDIRECT(calcs_emissions[[#This Row],[Input Unit Name]]))</f>
        <v>tCO2e</v>
      </c>
      <c r="I59" s="5" cm="1">
        <f t="array" aca="1" ref="I59" ca="1">_xlfn.XLOOKUP(calcs_emissions[[#This Row],[Type]]&amp;calcs_emissions[[#This Row],[Input Unit]],calcs_EFs[Type]&amp;calcs_EFs[Unit],calcs_EFs[EF (kgCO2e/unit)],0)</f>
        <v>1000</v>
      </c>
      <c r="J59" s="4">
        <f ca="1">calcs_emissions[[#This Row],[Input Value]]*calcs_emissions[[#This Row],[Emissions Factor for Unit (kgCO2e/unit)]]</f>
        <v>0</v>
      </c>
      <c r="K59" s="4"/>
      <c r="L59" s="4" cm="1">
        <f t="array" aca="1" ref="L59" ca="1">IFERROR(_xlfn.XLOOKUP(INDIRECT(calcs_emissions[[#This Row],[Reporting period name]]),calcs_reporting_period_multiplier[Reporting period],calcs_reporting_period_multiplier[Multiplier to get to annual]),1)</f>
        <v>1</v>
      </c>
      <c r="M59" s="4">
        <f ca="1">calcs_emissions[[#This Row],[Emissions (kgCO2e)]]*calcs_emissions[[#This Row],[Reporting period multiplier]]</f>
        <v>0</v>
      </c>
      <c r="N59" s="4">
        <f ca="1">calcs_emissions[[#This Row],[Emissions adjusted for reporting period (kgCO2e)]]/1000</f>
        <v>0</v>
      </c>
      <c r="O59" s="4"/>
      <c r="P59" s="4" t="str" cm="1">
        <f t="array" aca="1" ref="P59" ca="1">IFERROR(INDIRECT(calcs_emissions[[#This Row],[Key or Adv Name]]),"")</f>
        <v/>
      </c>
      <c r="Q59" s="4" t="str" cm="1">
        <f t="array" aca="1" ref="Q59" ca="1">_xlfn.IFS(calcs_emissions[[#This Row],[Key or Adv Value]]=text_using_advanced_input,"Adv",calcs_emissions[[#This Row],[Key or Adv Value]]=text_using_key_input,"Key",TRUE,"Est")</f>
        <v>Est</v>
      </c>
      <c r="R59" s="4" t="b">
        <f ca="1">IF(calcs_emissions[[#This Row],[Key/Adv/Est]]=calcs_emissions[[#This Row],[Key, Adv or Est]],TRUE,FALSE)</f>
        <v>1</v>
      </c>
    </row>
    <row r="60" spans="1:18">
      <c r="A60" s="4" t="s">
        <v>4</v>
      </c>
      <c r="B60" s="4" t="s">
        <v>933</v>
      </c>
      <c r="C60" t="s">
        <v>936</v>
      </c>
      <c r="D60" t="s">
        <v>907</v>
      </c>
      <c r="E60" s="23" t="s">
        <v>956</v>
      </c>
      <c r="G60" s="4" cm="1">
        <f t="array" aca="1" ref="G60" ca="1">INDIRECT(calcs_emissions[[#This Row],[Input Value Name]])</f>
        <v>0</v>
      </c>
      <c r="H60" t="str" cm="1">
        <f t="array" aca="1" ref="H60" ca="1">IFERROR( INDEX(_xlfn.TEXTSPLIT(calcs_emissions[[#This Row],[Input Value Name]],"_"),,6), INDIRECT(calcs_emissions[[#This Row],[Input Unit Name]]))</f>
        <v>tCO2e</v>
      </c>
      <c r="I60" s="5" cm="1">
        <f t="array" aca="1" ref="I60" ca="1">_xlfn.XLOOKUP(calcs_emissions[[#This Row],[Type]]&amp;calcs_emissions[[#This Row],[Input Unit]],calcs_EFs[Type]&amp;calcs_EFs[Unit],calcs_EFs[EF (kgCO2e/unit)],0)</f>
        <v>1000</v>
      </c>
      <c r="J60" s="4">
        <f ca="1">calcs_emissions[[#This Row],[Input Value]]*calcs_emissions[[#This Row],[Emissions Factor for Unit (kgCO2e/unit)]]</f>
        <v>0</v>
      </c>
      <c r="K60" s="4"/>
      <c r="L60" s="4" cm="1">
        <f t="array" aca="1" ref="L60" ca="1">IFERROR(_xlfn.XLOOKUP(INDIRECT(calcs_emissions[[#This Row],[Reporting period name]]),calcs_reporting_period_multiplier[Reporting period],calcs_reporting_period_multiplier[Multiplier to get to annual]),1)</f>
        <v>1</v>
      </c>
      <c r="M60" s="4">
        <f ca="1">calcs_emissions[[#This Row],[Emissions (kgCO2e)]]*calcs_emissions[[#This Row],[Reporting period multiplier]]</f>
        <v>0</v>
      </c>
      <c r="N60" s="4">
        <f ca="1">calcs_emissions[[#This Row],[Emissions adjusted for reporting period (kgCO2e)]]/1000</f>
        <v>0</v>
      </c>
      <c r="O60" s="4"/>
      <c r="P60" s="4" t="str" cm="1">
        <f t="array" aca="1" ref="P60" ca="1">IFERROR(INDIRECT(calcs_emissions[[#This Row],[Key or Adv Name]]),"")</f>
        <v/>
      </c>
      <c r="Q60" s="4" t="str" cm="1">
        <f t="array" aca="1" ref="Q60" ca="1">_xlfn.IFS(calcs_emissions[[#This Row],[Key or Adv Value]]=text_using_advanced_input,"Adv",calcs_emissions[[#This Row],[Key or Adv Value]]=text_using_key_input,"Key",TRUE,"Est")</f>
        <v>Est</v>
      </c>
      <c r="R60" s="4" t="b">
        <f ca="1">IF(calcs_emissions[[#This Row],[Key/Adv/Est]]=calcs_emissions[[#This Row],[Key, Adv or Est]],TRUE,FALSE)</f>
        <v>1</v>
      </c>
    </row>
    <row r="61" spans="1:18">
      <c r="A61" s="4" t="s">
        <v>4</v>
      </c>
      <c r="B61" s="4" t="s">
        <v>933</v>
      </c>
      <c r="C61" t="s">
        <v>1097</v>
      </c>
      <c r="D61" t="s">
        <v>914</v>
      </c>
      <c r="E61" s="23" t="s">
        <v>957</v>
      </c>
      <c r="G61" s="4" cm="1">
        <f t="array" aca="1" ref="G61" ca="1">INDIRECT(calcs_emissions[[#This Row],[Input Value Name]])</f>
        <v>0</v>
      </c>
      <c r="H61" t="str" cm="1">
        <f t="array" aca="1" ref="H61" ca="1">IFERROR( INDEX(_xlfn.TEXTSPLIT(calcs_emissions[[#This Row],[Input Value Name]],"_"),,6), INDIRECT(calcs_emissions[[#This Row],[Input Unit Name]]))</f>
        <v>tCO2e</v>
      </c>
      <c r="I61" s="5" cm="1">
        <f t="array" aca="1" ref="I61" ca="1">_xlfn.XLOOKUP(calcs_emissions[[#This Row],[Type]]&amp;calcs_emissions[[#This Row],[Input Unit]],calcs_EFs[Type]&amp;calcs_EFs[Unit],calcs_EFs[EF (kgCO2e/unit)],0)</f>
        <v>1000</v>
      </c>
      <c r="J61" s="4">
        <f ca="1">calcs_emissions[[#This Row],[Input Value]]*calcs_emissions[[#This Row],[Emissions Factor for Unit (kgCO2e/unit)]]</f>
        <v>0</v>
      </c>
      <c r="K61" s="4"/>
      <c r="L61" s="4" cm="1">
        <f t="array" aca="1" ref="L61" ca="1">IFERROR(_xlfn.XLOOKUP(INDIRECT(calcs_emissions[[#This Row],[Reporting period name]]),calcs_reporting_period_multiplier[Reporting period],calcs_reporting_period_multiplier[Multiplier to get to annual]),1)</f>
        <v>1</v>
      </c>
      <c r="M61" s="4">
        <f ca="1">calcs_emissions[[#This Row],[Emissions (kgCO2e)]]*calcs_emissions[[#This Row],[Reporting period multiplier]]</f>
        <v>0</v>
      </c>
      <c r="N61" s="4">
        <f ca="1">calcs_emissions[[#This Row],[Emissions adjusted for reporting period (kgCO2e)]]/1000</f>
        <v>0</v>
      </c>
      <c r="O61" s="4"/>
      <c r="P61" s="4" t="str" cm="1">
        <f t="array" aca="1" ref="P61" ca="1">IFERROR(INDIRECT(calcs_emissions[[#This Row],[Key or Adv Name]]),"")</f>
        <v/>
      </c>
      <c r="Q61" s="4" t="str" cm="1">
        <f t="array" aca="1" ref="Q61" ca="1">_xlfn.IFS(calcs_emissions[[#This Row],[Key or Adv Value]]=text_using_advanced_input,"Adv",calcs_emissions[[#This Row],[Key or Adv Value]]=text_using_key_input,"Key",TRUE,"Est")</f>
        <v>Est</v>
      </c>
      <c r="R61" s="4" t="b">
        <f ca="1">IF(calcs_emissions[[#This Row],[Key/Adv/Est]]=calcs_emissions[[#This Row],[Key, Adv or Est]],TRUE,FALSE)</f>
        <v>1</v>
      </c>
    </row>
    <row r="62" spans="1:18">
      <c r="A62" s="4" t="s">
        <v>4</v>
      </c>
      <c r="B62" s="4" t="s">
        <v>933</v>
      </c>
      <c r="C62" t="s">
        <v>910</v>
      </c>
      <c r="D62" t="s">
        <v>910</v>
      </c>
      <c r="E62" s="23" t="s">
        <v>987</v>
      </c>
      <c r="G62" s="4" cm="1">
        <f t="array" aca="1" ref="G62" ca="1">INDIRECT(calcs_emissions[[#This Row],[Input Value Name]])</f>
        <v>0</v>
      </c>
      <c r="H62" t="str" cm="1">
        <f t="array" aca="1" ref="H62" ca="1">IFERROR( INDEX(_xlfn.TEXTSPLIT(calcs_emissions[[#This Row],[Input Value Name]],"_"),,6), INDIRECT(calcs_emissions[[#This Row],[Input Unit Name]]))</f>
        <v>tCO2e</v>
      </c>
      <c r="I62" s="5" cm="1">
        <f t="array" aca="1" ref="I62" ca="1">_xlfn.XLOOKUP(calcs_emissions[[#This Row],[Type]]&amp;calcs_emissions[[#This Row],[Input Unit]],calcs_EFs[Type]&amp;calcs_EFs[Unit],calcs_EFs[EF (kgCO2e/unit)],0)</f>
        <v>1000</v>
      </c>
      <c r="J62" s="4">
        <f ca="1">calcs_emissions[[#This Row],[Input Value]]*calcs_emissions[[#This Row],[Emissions Factor for Unit (kgCO2e/unit)]]</f>
        <v>0</v>
      </c>
      <c r="K62" s="4"/>
      <c r="L62" s="4" cm="1">
        <f t="array" aca="1" ref="L62" ca="1">IFERROR(_xlfn.XLOOKUP(INDIRECT(calcs_emissions[[#This Row],[Reporting period name]]),calcs_reporting_period_multiplier[Reporting period],calcs_reporting_period_multiplier[Multiplier to get to annual]),1)</f>
        <v>1</v>
      </c>
      <c r="M62" s="4">
        <f ca="1">calcs_emissions[[#This Row],[Emissions (kgCO2e)]]*calcs_emissions[[#This Row],[Reporting period multiplier]]</f>
        <v>0</v>
      </c>
      <c r="N62" s="4">
        <f ca="1">calcs_emissions[[#This Row],[Emissions adjusted for reporting period (kgCO2e)]]/1000</f>
        <v>0</v>
      </c>
      <c r="O62" s="4"/>
      <c r="P62" s="4" t="str" cm="1">
        <f t="array" aca="1" ref="P62" ca="1">IFERROR(INDIRECT(calcs_emissions[[#This Row],[Key or Adv Name]]),"")</f>
        <v/>
      </c>
      <c r="Q62" s="4" t="str" cm="1">
        <f t="array" aca="1" ref="Q62" ca="1">_xlfn.IFS(calcs_emissions[[#This Row],[Key or Adv Value]]=text_using_advanced_input,"Adv",calcs_emissions[[#This Row],[Key or Adv Value]]=text_using_key_input,"Key",TRUE,"Est")</f>
        <v>Est</v>
      </c>
      <c r="R62" s="4" t="b">
        <f ca="1">IF(calcs_emissions[[#This Row],[Key/Adv/Est]]=calcs_emissions[[#This Row],[Key, Adv or Est]],TRUE,FALSE)</f>
        <v>1</v>
      </c>
    </row>
    <row r="63" spans="1:18">
      <c r="A63" s="4" t="s">
        <v>4</v>
      </c>
      <c r="B63" s="4" t="s">
        <v>441</v>
      </c>
      <c r="C63" t="s">
        <v>909</v>
      </c>
      <c r="D63" t="s">
        <v>909</v>
      </c>
      <c r="E63" t="s">
        <v>988</v>
      </c>
      <c r="F63" t="s">
        <v>989</v>
      </c>
      <c r="G63" s="4" cm="1">
        <f t="array" aca="1" ref="G63" ca="1">INDIRECT(calcs_emissions[[#This Row],[Input Value Name]])</f>
        <v>0</v>
      </c>
      <c r="H63" cm="1">
        <f t="array" aca="1" ref="H63" ca="1">IFERROR( INDEX(_xlfn.TEXTSPLIT(calcs_emissions[[#This Row],[Input Value Name]],"_"),,6), INDIRECT(calcs_emissions[[#This Row],[Input Unit Name]]))</f>
        <v>0</v>
      </c>
      <c r="I63" s="5" cm="1">
        <f t="array" aca="1" ref="I63" ca="1">_xlfn.XLOOKUP(calcs_emissions[[#This Row],[Type]]&amp;calcs_emissions[[#This Row],[Input Unit]],calcs_EFs[Type]&amp;calcs_EFs[Unit],calcs_EFs[EF (kgCO2e/unit)],0)</f>
        <v>0</v>
      </c>
      <c r="J63" s="4">
        <f ca="1">calcs_emissions[[#This Row],[Input Value]]*calcs_emissions[[#This Row],[Emissions Factor for Unit (kgCO2e/unit)]]</f>
        <v>0</v>
      </c>
      <c r="K63" s="4"/>
      <c r="L63" s="4" cm="1">
        <f t="array" aca="1" ref="L63" ca="1">IFERROR(_xlfn.XLOOKUP(INDIRECT(calcs_emissions[[#This Row],[Reporting period name]]),calcs_reporting_period_multiplier[Reporting period],calcs_reporting_period_multiplier[Multiplier to get to annual]),1)</f>
        <v>1</v>
      </c>
      <c r="M63" s="4">
        <f ca="1">calcs_emissions[[#This Row],[Emissions (kgCO2e)]]*calcs_emissions[[#This Row],[Reporting period multiplier]]</f>
        <v>0</v>
      </c>
      <c r="N63" s="4">
        <f ca="1">calcs_emissions[[#This Row],[Emissions adjusted for reporting period (kgCO2e)]]/1000</f>
        <v>0</v>
      </c>
      <c r="O63" s="4" t="s">
        <v>991</v>
      </c>
      <c r="P63" s="4" t="str" cm="1">
        <f t="array" aca="1" ref="P63" ca="1">IFERROR(INDIRECT(calcs_emissions[[#This Row],[Key or Adv Name]]),"")</f>
        <v/>
      </c>
      <c r="Q63" s="4" t="str" cm="1">
        <f t="array" aca="1" ref="Q63" ca="1">_xlfn.IFS(calcs_emissions[[#This Row],[Key or Adv Value]]=text_using_advanced_input,"Adv",calcs_emissions[[#This Row],[Key or Adv Value]]=text_using_key_input,"Key",TRUE,"Est")</f>
        <v>Est</v>
      </c>
      <c r="R63" s="4" t="b">
        <f ca="1">IF(calcs_emissions[[#This Row],[Key/Adv/Est]]=calcs_emissions[[#This Row],[Key, Adv or Est]],TRUE,FALSE)</f>
        <v>0</v>
      </c>
    </row>
    <row r="64" spans="1:18">
      <c r="A64" s="4" t="s">
        <v>4</v>
      </c>
      <c r="B64" s="4" t="s">
        <v>457</v>
      </c>
      <c r="C64" t="s">
        <v>909</v>
      </c>
      <c r="D64" t="s">
        <v>909</v>
      </c>
      <c r="E64" t="s">
        <v>990</v>
      </c>
      <c r="G64" s="4" cm="1">
        <f t="array" aca="1" ref="G64" ca="1">INDIRECT(calcs_emissions[[#This Row],[Input Value Name]])</f>
        <v>0</v>
      </c>
      <c r="H64" t="str" cm="1">
        <f t="array" aca="1" ref="H64" ca="1">IFERROR( INDEX(_xlfn.TEXTSPLIT(calcs_emissions[[#This Row],[Input Value Name]],"_"),,6), INDIRECT(calcs_emissions[[#This Row],[Input Unit Name]]))</f>
        <v>tCO2e</v>
      </c>
      <c r="I64" s="5" cm="1">
        <f t="array" aca="1" ref="I64" ca="1">_xlfn.XLOOKUP(calcs_emissions[[#This Row],[Type]]&amp;calcs_emissions[[#This Row],[Input Unit]],calcs_EFs[Type]&amp;calcs_EFs[Unit],calcs_EFs[EF (kgCO2e/unit)],0)</f>
        <v>1000</v>
      </c>
      <c r="J64" s="4">
        <f ca="1">calcs_emissions[[#This Row],[Input Value]]*calcs_emissions[[#This Row],[Emissions Factor for Unit (kgCO2e/unit)]]</f>
        <v>0</v>
      </c>
      <c r="K64" s="4"/>
      <c r="L64" s="4" cm="1">
        <f t="array" aca="1" ref="L64" ca="1">IFERROR(_xlfn.XLOOKUP(INDIRECT(calcs_emissions[[#This Row],[Reporting period name]]),calcs_reporting_period_multiplier[Reporting period],calcs_reporting_period_multiplier[Multiplier to get to annual]),1)</f>
        <v>1</v>
      </c>
      <c r="M64" s="4">
        <f ca="1">calcs_emissions[[#This Row],[Emissions (kgCO2e)]]*calcs_emissions[[#This Row],[Reporting period multiplier]]</f>
        <v>0</v>
      </c>
      <c r="N64" s="4">
        <f ca="1">calcs_emissions[[#This Row],[Emissions adjusted for reporting period (kgCO2e)]]/1000</f>
        <v>0</v>
      </c>
      <c r="O64" s="4" t="s">
        <v>991</v>
      </c>
      <c r="P64" s="4" t="str" cm="1">
        <f t="array" aca="1" ref="P64" ca="1">IFERROR(INDIRECT(calcs_emissions[[#This Row],[Key or Adv Name]]),"")</f>
        <v/>
      </c>
      <c r="Q64" s="4" t="str" cm="1">
        <f t="array" aca="1" ref="Q64" ca="1">_xlfn.IFS(calcs_emissions[[#This Row],[Key or Adv Value]]=text_using_advanced_input,"Adv",calcs_emissions[[#This Row],[Key or Adv Value]]=text_using_key_input,"Key",TRUE,"Est")</f>
        <v>Est</v>
      </c>
      <c r="R64" s="4" t="b">
        <f ca="1">IF(calcs_emissions[[#This Row],[Key/Adv/Est]]=calcs_emissions[[#This Row],[Key, Adv or Est]],TRUE,FALSE)</f>
        <v>0</v>
      </c>
    </row>
    <row r="67" spans="1:16">
      <c r="A67" t="s">
        <v>97</v>
      </c>
      <c r="B67" t="s">
        <v>470</v>
      </c>
    </row>
    <row r="68" spans="1:16">
      <c r="A68" t="s">
        <v>438</v>
      </c>
      <c r="B68">
        <v>1</v>
      </c>
    </row>
    <row r="69" spans="1:16">
      <c r="A69" t="s">
        <v>437</v>
      </c>
      <c r="B69">
        <v>4</v>
      </c>
      <c r="O69" s="23"/>
      <c r="P69" s="23"/>
    </row>
    <row r="70" spans="1:16">
      <c r="A70" t="s">
        <v>439</v>
      </c>
      <c r="B70">
        <v>12</v>
      </c>
    </row>
    <row r="72" spans="1:16">
      <c r="A72" t="s">
        <v>36</v>
      </c>
      <c r="B72" t="s">
        <v>1039</v>
      </c>
      <c r="C72" t="s">
        <v>899</v>
      </c>
    </row>
    <row r="73" spans="1:16">
      <c r="A73" t="s">
        <v>0</v>
      </c>
      <c r="B73" t="s">
        <v>1040</v>
      </c>
      <c r="C73" s="2" cm="1">
        <f t="array" aca="1" ref="C73" ca="1">INDIRECT(calcs_data_scores[[#This Row],[Data Quality Score Name]])</f>
        <v>0</v>
      </c>
    </row>
    <row r="74" spans="1:16">
      <c r="A74" t="s">
        <v>469</v>
      </c>
      <c r="B74" t="s">
        <v>1041</v>
      </c>
      <c r="C74" s="2" cm="1">
        <f t="array" aca="1" ref="C74" ca="1">INDIRECT(calcs_data_scores[[#This Row],[Data Quality Score Name]])</f>
        <v>0</v>
      </c>
    </row>
    <row r="75" spans="1:16">
      <c r="A75" t="s">
        <v>3</v>
      </c>
      <c r="B75" t="s">
        <v>1042</v>
      </c>
      <c r="C75" s="2" cm="1">
        <f t="array" aca="1" ref="C75" ca="1">INDIRECT(calcs_data_scores[[#This Row],[Data Quality Score Name]])</f>
        <v>0</v>
      </c>
    </row>
    <row r="76" spans="1:16">
      <c r="A76" t="s">
        <v>4</v>
      </c>
      <c r="B76" t="s">
        <v>1043</v>
      </c>
      <c r="C76" s="2" cm="1">
        <f t="array" aca="1" ref="C76" ca="1">INDIRECT(calcs_data_scores[[#This Row],[Data Quality Score Name]])</f>
        <v>0</v>
      </c>
    </row>
    <row r="79" spans="1:16">
      <c r="A79" t="s">
        <v>970</v>
      </c>
      <c r="B79" t="s">
        <v>968</v>
      </c>
      <c r="C79" t="s">
        <v>967</v>
      </c>
      <c r="D79" t="s">
        <v>965</v>
      </c>
      <c r="E79" t="s">
        <v>969</v>
      </c>
      <c r="F79" t="s">
        <v>966</v>
      </c>
    </row>
    <row r="80" spans="1:16">
      <c r="A80" t="s">
        <v>424</v>
      </c>
      <c r="B80" t="s">
        <v>112</v>
      </c>
      <c r="C80">
        <f>_xlfn.XLOOKUP(calcs_WTT[[#This Row],[Combustion EF ID]],EF_DB_short[EF ID],EF_DB_short[EF (kgCO2e/unit)])</f>
        <v>2.1618500000000003</v>
      </c>
      <c r="D80" t="s">
        <v>116</v>
      </c>
      <c r="E80">
        <f>_xlfn.XLOOKUP(calcs_WTT[[#This Row],[WTT EF ID]],EF_DB_short[EF ID],EF_DB_short[EF (kgCO2e/unit)])</f>
        <v>6.4250000000000002E-2</v>
      </c>
      <c r="F80" s="2">
        <f>calcs_WTT[[#This Row],[WTT EF (kgCO2e/kWh)]]/calcs_WTT[[#This Row],[Combustion EF (kgCO2e/kWh)]]</f>
        <v>2.9719915812845478E-2</v>
      </c>
    </row>
    <row r="81" spans="1:6">
      <c r="A81" t="s">
        <v>471</v>
      </c>
      <c r="B81" t="s">
        <v>115</v>
      </c>
      <c r="C81">
        <f>_xlfn.XLOOKUP(calcs_WTT[[#This Row],[Combustion EF ID]],EF_DB_short[EF ID],EF_DB_short[EF (kgCO2e/unit)])</f>
        <v>0.24677000000000002</v>
      </c>
      <c r="D81" t="s">
        <v>119</v>
      </c>
      <c r="E81">
        <f>_xlfn.XLOOKUP(calcs_WTT[[#This Row],[WTT EF ID]],EF_DB_short[EF ID],EF_DB_short[EF (kgCO2e/unit)])</f>
        <v>5.1299999999999998E-2</v>
      </c>
      <c r="F81" s="2">
        <f>calcs_WTT[[#This Row],[WTT EF (kgCO2e/kWh)]]/calcs_WTT[[#This Row],[Combustion EF (kgCO2e/kWh)]]</f>
        <v>0.2078858856425011</v>
      </c>
    </row>
    <row r="82" spans="1:6">
      <c r="A82" t="s">
        <v>101</v>
      </c>
      <c r="B82" t="s">
        <v>114</v>
      </c>
      <c r="C82">
        <f>_xlfn.XLOOKUP(calcs_WTT[[#This Row],[Combustion EF ID]],EF_DB_short[EF ID],EF_DB_short[EF (kgCO2e/unit)])</f>
        <v>2.5578399999999997</v>
      </c>
      <c r="D82" t="s">
        <v>118</v>
      </c>
      <c r="E82">
        <f>_xlfn.XLOOKUP(calcs_WTT[[#This Row],[WTT EF ID]],EF_DB_short[EF ID],EF_DB_short[EF (kgCO2e/unit)])</f>
        <v>5.7500000000000002E-2</v>
      </c>
      <c r="F82" s="2">
        <f>calcs_WTT[[#This Row],[WTT EF (kgCO2e/kWh)]]/calcs_WTT[[#This Row],[Combustion EF (kgCO2e/kWh)]]</f>
        <v>2.2479904919776066E-2</v>
      </c>
    </row>
    <row r="83" spans="1:6">
      <c r="A83" t="s">
        <v>38</v>
      </c>
      <c r="B83" t="s">
        <v>113</v>
      </c>
      <c r="C83">
        <f>_xlfn.XLOOKUP(calcs_WTT[[#This Row],[Combustion EF ID]],EF_DB_short[EF ID],EF_DB_short[EF (kgCO2e/unit)])</f>
        <v>0.18253999999999998</v>
      </c>
      <c r="D83" t="s">
        <v>117</v>
      </c>
      <c r="E83">
        <f>_xlfn.XLOOKUP(calcs_WTT[[#This Row],[WTT EF ID]],EF_DB_short[EF ID],EF_DB_short[EF (kgCO2e/unit)])</f>
        <v>3.1099999999999999E-2</v>
      </c>
      <c r="F83" s="2">
        <f>calcs_WTT[[#This Row],[WTT EF (kgCO2e/kWh)]]/calcs_WTT[[#This Row],[Combustion EF (kgCO2e/kWh)]]</f>
        <v>0.17037361674153612</v>
      </c>
    </row>
    <row r="84" spans="1:6">
      <c r="A84" t="s">
        <v>2</v>
      </c>
      <c r="B84" t="s">
        <v>983</v>
      </c>
      <c r="C84" t="e">
        <f>_xlfn.XLOOKUP(calcs_WTT[[#This Row],[Combustion EF ID]],EF_DB_short[EF ID],EF_DB_short[EF (kgCO2e/unit)])</f>
        <v>#N/A</v>
      </c>
      <c r="D84" t="s">
        <v>983</v>
      </c>
      <c r="E84" t="e">
        <f>_xlfn.XLOOKUP(calcs_WTT[[#This Row],[WTT EF ID]],EF_DB_short[EF ID],EF_DB_short[EF (kgCO2e/unit)])</f>
        <v>#N/A</v>
      </c>
      <c r="F84" cm="1">
        <f t="array" ref="F84">Table29[WTT Uplift %]</f>
        <v>0.35251835763781159</v>
      </c>
    </row>
    <row r="85" spans="1:6">
      <c r="A85" t="s">
        <v>974</v>
      </c>
      <c r="B85" t="s">
        <v>984</v>
      </c>
      <c r="C85" t="e">
        <f>_xlfn.XLOOKUP(calcs_WTT[[#This Row],[Combustion EF ID]],EF_DB_short[EF ID],EF_DB_short[EF (kgCO2e/unit)])</f>
        <v>#N/A</v>
      </c>
      <c r="D85" t="s">
        <v>984</v>
      </c>
      <c r="E85" t="e">
        <f>_xlfn.XLOOKUP(calcs_WTT[[#This Row],[WTT EF ID]],EF_DB_short[EF ID],EF_DB_short[EF (kgCO2e/unit)])</f>
        <v>#N/A</v>
      </c>
      <c r="F85" cm="1">
        <f t="array" ref="F85">AVERAGE(AVERAGEIF(calcs_WTT[Energy],{"Diesel","Petrol"},calcs_WTT[WTT / Combustion]))</f>
        <v>2.609991036631077E-2</v>
      </c>
    </row>
    <row r="89" spans="1:6">
      <c r="A89" t="s">
        <v>444</v>
      </c>
      <c r="B89" t="s">
        <v>970</v>
      </c>
      <c r="C89" t="s">
        <v>975</v>
      </c>
      <c r="D89" t="s">
        <v>986</v>
      </c>
      <c r="E89" t="s">
        <v>985</v>
      </c>
    </row>
    <row r="90" spans="1:6">
      <c r="A90" t="s">
        <v>94</v>
      </c>
      <c r="B90" t="s">
        <v>101</v>
      </c>
      <c r="C90" s="41">
        <f>_xlfn.XLOOKUP(Table28[[#This Row],[Energy]],calcs_WTT[Energy],calcs_WTT[WTT / Combustion])</f>
        <v>2.2479904919776066E-2</v>
      </c>
      <c r="D90" cm="1">
        <f t="array" aca="1" ref="D90" ca="1">_xlfn._xlws.FILTER(calcs_emissions[Emissions (tCO2e)],(calcs_emissions[Use in charts?]=TRUE)*(calcs_emissions[Type]=Table28[[#This Row],[Type]]),0)</f>
        <v>0</v>
      </c>
      <c r="E90">
        <f ca="1">Table28[[#This Row],[WTT Uplift (%)]]*Table28[[#This Row],[Emissions if using category (tCO2e)]]</f>
        <v>0</v>
      </c>
    </row>
    <row r="91" spans="1:6">
      <c r="A91" t="s">
        <v>95</v>
      </c>
      <c r="B91" t="s">
        <v>974</v>
      </c>
      <c r="C91" s="41">
        <f>_xlfn.XLOOKUP(Table28[[#This Row],[Energy]],calcs_WTT[Energy],calcs_WTT[WTT / Combustion])</f>
        <v>2.609991036631077E-2</v>
      </c>
      <c r="D91" cm="1">
        <f t="array" aca="1" ref="D91" ca="1">_xlfn._xlws.FILTER(calcs_emissions[Emissions (tCO2e)],(calcs_emissions[Use in charts?]=TRUE)*(calcs_emissions[Type]=Table28[[#This Row],[Type]]),0)</f>
        <v>0</v>
      </c>
      <c r="E91">
        <f ca="1">Table28[[#This Row],[WTT Uplift (%)]]*Table28[[#This Row],[Emissions if using category (tCO2e)]]</f>
        <v>0</v>
      </c>
    </row>
    <row r="92" spans="1:6">
      <c r="A92" t="s">
        <v>40</v>
      </c>
      <c r="B92" t="s">
        <v>974</v>
      </c>
      <c r="C92" s="41">
        <f>_xlfn.XLOOKUP(Table28[[#This Row],[Energy]],calcs_WTT[Energy],calcs_WTT[WTT / Combustion])</f>
        <v>2.609991036631077E-2</v>
      </c>
      <c r="D92" cm="1">
        <f t="array" aca="1" ref="D92" ca="1">_xlfn._xlws.FILTER(calcs_emissions[Emissions (tCO2e)],(calcs_emissions[Use in charts?]=TRUE)*(calcs_emissions[Type]=Table28[[#This Row],[Type]]),0)</f>
        <v>0</v>
      </c>
      <c r="E92">
        <f ca="1">Table28[[#This Row],[WTT Uplift (%)]]*Table28[[#This Row],[Emissions if using category (tCO2e)]]</f>
        <v>0</v>
      </c>
    </row>
    <row r="93" spans="1:6">
      <c r="A93" t="s">
        <v>486</v>
      </c>
      <c r="B93" t="s">
        <v>101</v>
      </c>
      <c r="C93" s="41">
        <f>_xlfn.XLOOKUP(Table28[[#This Row],[Energy]],calcs_WTT[Energy],calcs_WTT[WTT / Combustion])</f>
        <v>2.2479904919776066E-2</v>
      </c>
      <c r="D93" cm="1">
        <f t="array" aca="1" ref="D93" ca="1">_xlfn._xlws.FILTER(calcs_emissions[Emissions (tCO2e)],(calcs_emissions[Use in charts?]=TRUE)*(calcs_emissions[Type]=Table28[[#This Row],[Type]]),0)</f>
        <v>0</v>
      </c>
      <c r="E93">
        <f ca="1">Table28[[#This Row],[WTT Uplift (%)]]*Table28[[#This Row],[Emissions if using category (tCO2e)]]</f>
        <v>0</v>
      </c>
    </row>
    <row r="94" spans="1:6">
      <c r="A94" t="s">
        <v>487</v>
      </c>
      <c r="B94" t="s">
        <v>424</v>
      </c>
      <c r="C94" s="41">
        <f>_xlfn.XLOOKUP(Table28[[#This Row],[Energy]],calcs_WTT[Energy],calcs_WTT[WTT / Combustion])</f>
        <v>2.9719915812845478E-2</v>
      </c>
      <c r="D94" cm="1">
        <f t="array" aca="1" ref="D94" ca="1">_xlfn._xlws.FILTER(calcs_emissions[Emissions (tCO2e)],(calcs_emissions[Use in charts?]=TRUE)*(calcs_emissions[Type]=Table28[[#This Row],[Type]]),0)</f>
        <v>0</v>
      </c>
      <c r="E94">
        <f ca="1">Table28[[#This Row],[WTT Uplift (%)]]*Table28[[#This Row],[Emissions if using category (tCO2e)]]</f>
        <v>0</v>
      </c>
    </row>
    <row r="95" spans="1:6">
      <c r="A95" t="s">
        <v>488</v>
      </c>
      <c r="B95" t="s">
        <v>101</v>
      </c>
      <c r="C95" s="41">
        <f>_xlfn.XLOOKUP(Table28[[#This Row],[Energy]],calcs_WTT[Energy],calcs_WTT[WTT / Combustion])</f>
        <v>2.2479904919776066E-2</v>
      </c>
      <c r="D95" cm="1">
        <f t="array" aca="1" ref="D95" ca="1">_xlfn._xlws.FILTER(calcs_emissions[Emissions (tCO2e)],(calcs_emissions[Use in charts?]=TRUE)*(calcs_emissions[Type]=Table28[[#This Row],[Type]]),0)</f>
        <v>0</v>
      </c>
      <c r="E95">
        <f ca="1">Table28[[#This Row],[WTT Uplift (%)]]*Table28[[#This Row],[Emissions if using category (tCO2e)]]</f>
        <v>0</v>
      </c>
    </row>
    <row r="96" spans="1:6">
      <c r="A96" t="s">
        <v>489</v>
      </c>
      <c r="B96" t="s">
        <v>424</v>
      </c>
      <c r="C96" s="41">
        <f>_xlfn.XLOOKUP(Table28[[#This Row],[Energy]],calcs_WTT[Energy],calcs_WTT[WTT / Combustion])</f>
        <v>2.9719915812845478E-2</v>
      </c>
      <c r="D96" cm="1">
        <f t="array" aca="1" ref="D96" ca="1">_xlfn._xlws.FILTER(calcs_emissions[Emissions (tCO2e)],(calcs_emissions[Use in charts?]=TRUE)*(calcs_emissions[Type]=Table28[[#This Row],[Type]]),0)</f>
        <v>0</v>
      </c>
      <c r="E96">
        <f ca="1">Table28[[#This Row],[WTT Uplift (%)]]*Table28[[#This Row],[Emissions if using category (tCO2e)]]</f>
        <v>0</v>
      </c>
    </row>
    <row r="97" spans="1:8">
      <c r="A97" t="s">
        <v>38</v>
      </c>
      <c r="B97" t="s">
        <v>38</v>
      </c>
      <c r="C97" s="41">
        <f>_xlfn.XLOOKUP(Table28[[#This Row],[Energy]],calcs_WTT[Energy],calcs_WTT[WTT / Combustion])</f>
        <v>0.17037361674153612</v>
      </c>
      <c r="D97" cm="1">
        <f t="array" aca="1" ref="D97" ca="1">_xlfn._xlws.FILTER(calcs_emissions[Emissions (tCO2e)],(calcs_emissions[Use in charts?]=TRUE)*(calcs_emissions[Type]=Table28[[#This Row],[Type]]),0)</f>
        <v>0</v>
      </c>
      <c r="E97">
        <f ca="1">Table28[[#This Row],[WTT Uplift (%)]]*Table28[[#This Row],[Emissions if using category (tCO2e)]]</f>
        <v>0</v>
      </c>
    </row>
    <row r="98" spans="1:8">
      <c r="A98" t="s">
        <v>471</v>
      </c>
      <c r="B98" t="s">
        <v>471</v>
      </c>
      <c r="C98" s="41">
        <f>_xlfn.XLOOKUP(Table28[[#This Row],[Energy]],calcs_WTT[Energy],calcs_WTT[WTT / Combustion])</f>
        <v>0.2078858856425011</v>
      </c>
      <c r="D98" cm="1">
        <f t="array" aca="1" ref="D98" ca="1">_xlfn._xlws.FILTER(calcs_emissions[Emissions (tCO2e)],(calcs_emissions[Use in charts?]=TRUE)*(calcs_emissions[Type]=Table28[[#This Row],[Type]]),0)</f>
        <v>0</v>
      </c>
      <c r="E98">
        <f ca="1">Table28[[#This Row],[WTT Uplift (%)]]*Table28[[#This Row],[Emissions if using category (tCO2e)]]</f>
        <v>0</v>
      </c>
    </row>
    <row r="99" spans="1:8">
      <c r="A99" t="s">
        <v>2</v>
      </c>
      <c r="B99" t="s">
        <v>2</v>
      </c>
      <c r="C99" s="41">
        <f>_xlfn.XLOOKUP(Table28[[#This Row],[Energy]],calcs_WTT[Energy],calcs_WTT[WTT / Combustion])</f>
        <v>0.35251835763781159</v>
      </c>
      <c r="D99" cm="1">
        <f t="array" aca="1" ref="D99" ca="1">_xlfn._xlws.FILTER(calcs_emissions[Emissions (tCO2e)],(calcs_emissions[Use in charts?]=TRUE)*(calcs_emissions[Type]=Table28[[#This Row],[Type]]),0)</f>
        <v>0</v>
      </c>
      <c r="E99">
        <f ca="1">Table28[[#This Row],[WTT Uplift (%)]]*Table28[[#This Row],[Emissions if using category (tCO2e)]]</f>
        <v>0</v>
      </c>
    </row>
    <row r="101" spans="1:8">
      <c r="D101" t="s">
        <v>992</v>
      </c>
      <c r="E101">
        <f ca="1">SUM(Table28[WTT Emissions (tCO2e)])</f>
        <v>0</v>
      </c>
    </row>
    <row r="103" spans="1:8">
      <c r="A103" t="s">
        <v>979</v>
      </c>
      <c r="B103" t="s">
        <v>980</v>
      </c>
      <c r="C103" t="s">
        <v>482</v>
      </c>
      <c r="D103" t="s">
        <v>976</v>
      </c>
      <c r="E103" t="s">
        <v>977</v>
      </c>
      <c r="F103" t="s">
        <v>978</v>
      </c>
      <c r="G103" t="s">
        <v>981</v>
      </c>
      <c r="H103" t="s">
        <v>982</v>
      </c>
    </row>
    <row r="104" spans="1:8">
      <c r="A104">
        <v>0.19338</v>
      </c>
      <c r="B104" s="42">
        <f>IF(inputs_energy_renew_Key_or_Adv="← Use key input",inputs_energy_key_renewable_yn,inputs_energy_adv_renewable_percent)</f>
        <v>0</v>
      </c>
      <c r="C104" s="2" cm="1">
        <f t="array" ref="C104">_xlfn.IFS(Table29[[#This Row],[Renewable Input]]="Yes",100%,Table29[[#This Row],[Renewable Input]]="No",0%,TRUE,Table29[[#This Row],[Renewable Input]]/100)</f>
        <v>0</v>
      </c>
      <c r="D104">
        <v>1.7690000000000001E-2</v>
      </c>
      <c r="E104">
        <v>4.2300000000000003E-3</v>
      </c>
      <c r="F104">
        <v>4.6249999999999999E-2</v>
      </c>
      <c r="G104">
        <f>Table29[[#This Row],[T&amp;D- UK electricity]]+Table29[[#This Row],[WTT- UK electricity (T&amp;D)]]+Table29[[#This Row],[WTT- UK electricity (generation)]]*(1-Table29[[#This Row],[Renewable %]])</f>
        <v>6.8170000000000008E-2</v>
      </c>
      <c r="H104">
        <f>Table29[[#This Row],[Total WTT kgCO2e/kWh]]/Table29[[#This Row],[Electricity EF]]</f>
        <v>0.35251835763781159</v>
      </c>
    </row>
    <row r="106" spans="1:8">
      <c r="A106" t="s">
        <v>1074</v>
      </c>
      <c r="B106" t="s">
        <v>1025</v>
      </c>
      <c r="C106" t="s">
        <v>1026</v>
      </c>
      <c r="D106" t="s">
        <v>40</v>
      </c>
    </row>
    <row r="107" spans="1:8">
      <c r="A107" t="e">
        <f>inputs_log_key_total_value</f>
        <v>#REF!</v>
      </c>
      <c r="B107" t="e" cm="1">
        <f t="array" ref="B107">calcs_total_est[[#This Row],[Total Vehicle (£/km/miles)]]*Table68[HGV avg % of emissions (normalised)]</f>
        <v>#REF!</v>
      </c>
      <c r="C107" t="e" cm="1">
        <f t="array" ref="C107">calcs_total_est[[#This Row],[Total Vehicle (£/km/miles)]]*Table68[LGV avg % of emissions (normalised)]</f>
        <v>#REF!</v>
      </c>
      <c r="D107" t="e" cm="1">
        <f t="array" ref="D107">calcs_total_est[[#This Row],[Total Vehicle (£/km/miles)]]*Table68[Company Car avg % of emissions (normalised)]</f>
        <v>#REF!</v>
      </c>
    </row>
  </sheetData>
  <phoneticPr fontId="2" type="noConversion"/>
  <pageMargins left="0.7" right="0.7" top="0.75" bottom="0.75" header="0.3" footer="0.3"/>
  <pageSetup paperSize="9" orientation="portrait" horizontalDpi="0" verticalDpi="0"/>
  <tableParts count="7">
    <tablePart r:id="rId1"/>
    <tablePart r:id="rId2"/>
    <tablePart r:id="rId3"/>
    <tablePart r:id="rId4"/>
    <tablePart r:id="rId5"/>
    <tablePart r:id="rId6"/>
    <tablePart r:id="rId7"/>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BB3C7-126E-5C43-A0FB-1EFD0A4B856E}">
  <sheetPr codeName="Sheet9"/>
  <dimension ref="A1:H367"/>
  <sheetViews>
    <sheetView topLeftCell="A172" zoomScale="150" workbookViewId="0">
      <selection activeCell="F182" sqref="F182"/>
    </sheetView>
  </sheetViews>
  <sheetFormatPr baseColWidth="10" defaultRowHeight="16"/>
  <cols>
    <col min="2" max="2" width="15.42578125" customWidth="1"/>
  </cols>
  <sheetData>
    <row r="1" spans="1:8">
      <c r="A1" t="s">
        <v>36</v>
      </c>
      <c r="B1" t="s">
        <v>444</v>
      </c>
      <c r="C1" t="s">
        <v>52</v>
      </c>
      <c r="D1" t="s">
        <v>449</v>
      </c>
      <c r="E1" t="s">
        <v>450</v>
      </c>
      <c r="F1" t="s">
        <v>929</v>
      </c>
      <c r="G1" t="s">
        <v>930</v>
      </c>
      <c r="H1" t="s">
        <v>451</v>
      </c>
    </row>
    <row r="2" spans="1:8">
      <c r="A2" t="s">
        <v>0</v>
      </c>
      <c r="B2" t="s">
        <v>94</v>
      </c>
      <c r="C2" t="s">
        <v>428</v>
      </c>
      <c r="D2" t="s">
        <v>426</v>
      </c>
      <c r="E2" s="3" cm="1">
        <f t="array" ref="E2">_xlfn.IFS(OR(calcs_EFs[[#This Row],[Unit]]="miles",calcs_EFs[[#This Row],[Unit]]="car miles"),CONVERT(1, "mi","km"),TRUE,1)</f>
        <v>1.6093440000000001</v>
      </c>
      <c r="F2" s="3" t="b">
        <v>1</v>
      </c>
      <c r="G2" s="3"/>
      <c r="H2" s="5">
        <f>IF(calcs_EFs[[#This Row],[XLOOKUP?]],_xlfn.XLOOKUP(calcs_EFs[[#This Row],[EF ID]],EF_DB_short[EF ID],EF_DB_short[EF (kgCO2e/unit)])*calcs_EFs[[#This Row],[Conversion]],calcs_EFs[[#This Row],[Manual Value]])</f>
        <v>1.4332978598400001</v>
      </c>
    </row>
    <row r="3" spans="1:8">
      <c r="A3" t="s">
        <v>0</v>
      </c>
      <c r="B3" t="s">
        <v>95</v>
      </c>
      <c r="C3" t="s">
        <v>428</v>
      </c>
      <c r="D3" t="s">
        <v>425</v>
      </c>
      <c r="E3" s="3" cm="1">
        <f t="array" ref="E3">_xlfn.IFS(OR(calcs_EFs[[#This Row],[Unit]]="miles",calcs_EFs[[#This Row],[Unit]]="car miles"),CONVERT(1, "mi","km"),TRUE,1)</f>
        <v>1.6093440000000001</v>
      </c>
      <c r="F3" s="3" t="b">
        <v>1</v>
      </c>
      <c r="G3" s="3"/>
      <c r="H3" s="5">
        <f>IF(calcs_EFs[[#This Row],[XLOOKUP?]],_xlfn.XLOOKUP(calcs_EFs[[#This Row],[EF ID]],EF_DB_short[EF ID],EF_DB_short[EF (kgCO2e/unit)])*calcs_EFs[[#This Row],[Conversion]],calcs_EFs[[#This Row],[Manual Value]])</f>
        <v>0.37174237056000003</v>
      </c>
    </row>
    <row r="4" spans="1:8">
      <c r="A4" t="s">
        <v>0</v>
      </c>
      <c r="B4" t="s">
        <v>40</v>
      </c>
      <c r="C4" t="s">
        <v>428</v>
      </c>
      <c r="D4" t="s">
        <v>427</v>
      </c>
      <c r="E4" s="3" cm="1">
        <f t="array" ref="E4">_xlfn.IFS(OR(calcs_EFs[[#This Row],[Unit]]="miles",calcs_EFs[[#This Row],[Unit]]="car miles"),CONVERT(1, "mi","km"),TRUE,1)</f>
        <v>1.6093440000000001</v>
      </c>
      <c r="F4" s="3" t="b">
        <v>1</v>
      </c>
      <c r="G4" s="3"/>
      <c r="H4" s="5">
        <f>IF(calcs_EFs[[#This Row],[XLOOKUP?]],_xlfn.XLOOKUP(calcs_EFs[[#This Row],[EF ID]],EF_DB_short[EF ID],EF_DB_short[EF (kgCO2e/unit)])*calcs_EFs[[#This Row],[Conversion]],calcs_EFs[[#This Row],[Manual Value]])</f>
        <v>0.27466674048</v>
      </c>
    </row>
    <row r="5" spans="1:8">
      <c r="A5" t="s">
        <v>0</v>
      </c>
      <c r="B5" t="s">
        <v>94</v>
      </c>
      <c r="C5" t="s">
        <v>100</v>
      </c>
      <c r="D5" t="s">
        <v>426</v>
      </c>
      <c r="E5" s="3" cm="1">
        <f t="array" ref="E5">_xlfn.IFS(OR(calcs_EFs[[#This Row],[Unit]]="miles",calcs_EFs[[#This Row],[Unit]]="car miles"),CONVERT(1, "mi","km"),TRUE,1)</f>
        <v>1</v>
      </c>
      <c r="F5" s="3" t="b">
        <v>1</v>
      </c>
      <c r="G5" s="3"/>
      <c r="H5" s="5">
        <f>IF(calcs_EFs[[#This Row],[XLOOKUP?]],_xlfn.XLOOKUP(calcs_EFs[[#This Row],[EF ID]],EF_DB_short[EF ID],EF_DB_short[EF (kgCO2e/unit)])*calcs_EFs[[#This Row],[Conversion]],calcs_EFs[[#This Row],[Manual Value]])</f>
        <v>0.89061000000000001</v>
      </c>
    </row>
    <row r="6" spans="1:8">
      <c r="A6" t="s">
        <v>0</v>
      </c>
      <c r="B6" t="s">
        <v>95</v>
      </c>
      <c r="C6" t="s">
        <v>100</v>
      </c>
      <c r="D6" t="s">
        <v>425</v>
      </c>
      <c r="E6" s="3" cm="1">
        <f t="array" ref="E6">_xlfn.IFS(OR(calcs_EFs[[#This Row],[Unit]]="miles",calcs_EFs[[#This Row],[Unit]]="car miles"),CONVERT(1, "mi","km"),TRUE,1)</f>
        <v>1</v>
      </c>
      <c r="F6" s="3" t="b">
        <v>1</v>
      </c>
      <c r="G6" s="3"/>
      <c r="H6" s="5">
        <f>IF(calcs_EFs[[#This Row],[XLOOKUP?]],_xlfn.XLOOKUP(calcs_EFs[[#This Row],[EF ID]],EF_DB_short[EF ID],EF_DB_short[EF (kgCO2e/unit)])*calcs_EFs[[#This Row],[Conversion]],calcs_EFs[[#This Row],[Manual Value]])</f>
        <v>0.23099</v>
      </c>
    </row>
    <row r="7" spans="1:8">
      <c r="A7" t="s">
        <v>0</v>
      </c>
      <c r="B7" t="s">
        <v>40</v>
      </c>
      <c r="C7" t="s">
        <v>100</v>
      </c>
      <c r="D7" t="s">
        <v>427</v>
      </c>
      <c r="E7" s="3" cm="1">
        <f t="array" ref="E7">_xlfn.IFS(OR(calcs_EFs[[#This Row],[Unit]]="miles",calcs_EFs[[#This Row],[Unit]]="car miles"),CONVERT(1, "mi","km"),TRUE,1)</f>
        <v>1</v>
      </c>
      <c r="F7" s="3" t="b">
        <v>1</v>
      </c>
      <c r="G7" s="3"/>
      <c r="H7" s="5">
        <f>IF(calcs_EFs[[#This Row],[XLOOKUP?]],_xlfn.XLOOKUP(calcs_EFs[[#This Row],[EF ID]],EF_DB_short[EF ID],EF_DB_short[EF (kgCO2e/unit)])*calcs_EFs[[#This Row],[Conversion]],calcs_EFs[[#This Row],[Manual Value]])</f>
        <v>0.17066999999999999</v>
      </c>
    </row>
    <row r="8" spans="1:8">
      <c r="A8" t="s">
        <v>0</v>
      </c>
      <c r="B8" t="s">
        <v>94</v>
      </c>
      <c r="C8" t="s">
        <v>107</v>
      </c>
      <c r="D8" t="s">
        <v>111</v>
      </c>
      <c r="E8" s="3" cm="1">
        <f t="array" ref="E8">_xlfn.IFS(OR(calcs_EFs[[#This Row],[Unit]]="miles",calcs_EFs[[#This Row],[Unit]]="car miles"),CONVERT(1, "mi","km"),TRUE,1)</f>
        <v>1</v>
      </c>
      <c r="F8" s="3" t="b">
        <v>1</v>
      </c>
      <c r="G8" s="3"/>
      <c r="H8" s="5">
        <f>IF(calcs_EFs[[#This Row],[XLOOKUP?]],_xlfn.XLOOKUP(calcs_EFs[[#This Row],[EF ID]],EF_DB_short[EF ID],EF_DB_short[EF (kgCO2e/unit)])*calcs_EFs[[#This Row],[Conversion]],calcs_EFs[[#This Row],[Manual Value]])</f>
        <v>1.1022366534678727</v>
      </c>
    </row>
    <row r="9" spans="1:8">
      <c r="A9" t="s">
        <v>0</v>
      </c>
      <c r="B9" t="s">
        <v>95</v>
      </c>
      <c r="C9" t="s">
        <v>107</v>
      </c>
      <c r="D9" t="s">
        <v>111</v>
      </c>
      <c r="E9" s="3" cm="1">
        <f t="array" ref="E9">_xlfn.IFS(OR(calcs_EFs[[#This Row],[Unit]]="miles",calcs_EFs[[#This Row],[Unit]]="car miles"),CONVERT(1, "mi","km"),TRUE,1)</f>
        <v>1</v>
      </c>
      <c r="F9" s="3" t="b">
        <v>1</v>
      </c>
      <c r="G9" s="3"/>
      <c r="H9" s="5">
        <f>IF(calcs_EFs[[#This Row],[XLOOKUP?]],_xlfn.XLOOKUP(calcs_EFs[[#This Row],[EF ID]],EF_DB_short[EF ID],EF_DB_short[EF (kgCO2e/unit)])*calcs_EFs[[#This Row],[Conversion]],calcs_EFs[[#This Row],[Manual Value]])</f>
        <v>1.1022366534678727</v>
      </c>
    </row>
    <row r="10" spans="1:8">
      <c r="A10" t="s">
        <v>0</v>
      </c>
      <c r="B10" t="s">
        <v>40</v>
      </c>
      <c r="C10" t="s">
        <v>107</v>
      </c>
      <c r="D10" t="s">
        <v>111</v>
      </c>
      <c r="E10" s="3" cm="1">
        <f t="array" ref="E10">_xlfn.IFS(OR(calcs_EFs[[#This Row],[Unit]]="miles",calcs_EFs[[#This Row],[Unit]]="car miles"),CONVERT(1, "mi","km"),TRUE,1)</f>
        <v>1</v>
      </c>
      <c r="F10" s="3" t="b">
        <v>1</v>
      </c>
      <c r="G10" s="3"/>
      <c r="H10" s="5">
        <f>IF(calcs_EFs[[#This Row],[XLOOKUP?]],_xlfn.XLOOKUP(calcs_EFs[[#This Row],[EF ID]],EF_DB_short[EF ID],EF_DB_short[EF (kgCO2e/unit)])*calcs_EFs[[#This Row],[Conversion]],calcs_EFs[[#This Row],[Manual Value]])</f>
        <v>1.1022366534678727</v>
      </c>
    </row>
    <row r="11" spans="1:8">
      <c r="A11" t="s">
        <v>0</v>
      </c>
      <c r="B11" t="s">
        <v>94</v>
      </c>
      <c r="C11" t="s">
        <v>65</v>
      </c>
      <c r="D11" t="s">
        <v>114</v>
      </c>
      <c r="E11" s="3" cm="1">
        <f t="array" ref="E11">_xlfn.IFS(OR(calcs_EFs[[#This Row],[Unit]]="miles",calcs_EFs[[#This Row],[Unit]]="car miles"),CONVERT(1, "mi","km"),TRUE,1)</f>
        <v>1</v>
      </c>
      <c r="F11" s="3" t="b">
        <v>1</v>
      </c>
      <c r="G11" s="3"/>
      <c r="H11" s="5">
        <f>IF(calcs_EFs[[#This Row],[XLOOKUP?]],_xlfn.XLOOKUP(calcs_EFs[[#This Row],[EF ID]],EF_DB_short[EF ID],EF_DB_short[EF (kgCO2e/unit)])*calcs_EFs[[#This Row],[Conversion]],calcs_EFs[[#This Row],[Manual Value]])</f>
        <v>2.5578399999999997</v>
      </c>
    </row>
    <row r="12" spans="1:8">
      <c r="A12" t="s">
        <v>0</v>
      </c>
      <c r="B12" t="s">
        <v>490</v>
      </c>
      <c r="C12" t="s">
        <v>65</v>
      </c>
      <c r="D12" t="s">
        <v>114</v>
      </c>
      <c r="E12" s="3" cm="1">
        <f t="array" ref="E12">_xlfn.IFS(OR(calcs_EFs[[#This Row],[Unit]]="miles",calcs_EFs[[#This Row],[Unit]]="car miles"),CONVERT(1, "mi","km"),TRUE,1)</f>
        <v>1</v>
      </c>
      <c r="F12" s="3" t="b">
        <v>1</v>
      </c>
      <c r="G12" s="3"/>
      <c r="H12" s="5">
        <f>IF(calcs_EFs[[#This Row],[XLOOKUP?]],_xlfn.XLOOKUP(calcs_EFs[[#This Row],[EF ID]],EF_DB_short[EF ID],EF_DB_short[EF (kgCO2e/unit)])*calcs_EFs[[#This Row],[Conversion]],calcs_EFs[[#This Row],[Manual Value]])</f>
        <v>2.5578399999999997</v>
      </c>
    </row>
    <row r="13" spans="1:8">
      <c r="A13" t="s">
        <v>0</v>
      </c>
      <c r="B13" t="s">
        <v>486</v>
      </c>
      <c r="C13" t="s">
        <v>65</v>
      </c>
      <c r="D13" t="s">
        <v>114</v>
      </c>
      <c r="E13" s="3" cm="1">
        <f t="array" ref="E13">_xlfn.IFS(OR(calcs_EFs[[#This Row],[Unit]]="miles",calcs_EFs[[#This Row],[Unit]]="car miles"),CONVERT(1, "mi","km"),TRUE,1)</f>
        <v>1</v>
      </c>
      <c r="F13" s="3" t="b">
        <v>1</v>
      </c>
      <c r="G13" s="3"/>
      <c r="H13" s="5">
        <f>IF(calcs_EFs[[#This Row],[XLOOKUP?]],_xlfn.XLOOKUP(calcs_EFs[[#This Row],[EF ID]],EF_DB_short[EF ID],EF_DB_short[EF (kgCO2e/unit)])*calcs_EFs[[#This Row],[Conversion]],calcs_EFs[[#This Row],[Manual Value]])</f>
        <v>2.5578399999999997</v>
      </c>
    </row>
    <row r="14" spans="1:8">
      <c r="A14" t="s">
        <v>0</v>
      </c>
      <c r="B14" t="s">
        <v>487</v>
      </c>
      <c r="C14" t="s">
        <v>65</v>
      </c>
      <c r="D14" t="s">
        <v>112</v>
      </c>
      <c r="E14" s="3" cm="1">
        <f t="array" ref="E14">_xlfn.IFS(OR(calcs_EFs[[#This Row],[Unit]]="miles",calcs_EFs[[#This Row],[Unit]]="car miles"),CONVERT(1, "mi","km"),TRUE,1)</f>
        <v>1</v>
      </c>
      <c r="F14" s="3" t="b">
        <v>1</v>
      </c>
      <c r="G14" s="3"/>
      <c r="H14" s="5">
        <f>IF(calcs_EFs[[#This Row],[XLOOKUP?]],_xlfn.XLOOKUP(calcs_EFs[[#This Row],[EF ID]],EF_DB_short[EF ID],EF_DB_short[EF (kgCO2e/unit)])*calcs_EFs[[#This Row],[Conversion]],calcs_EFs[[#This Row],[Manual Value]])</f>
        <v>2.1618500000000003</v>
      </c>
    </row>
    <row r="15" spans="1:8">
      <c r="A15" t="s">
        <v>0</v>
      </c>
      <c r="B15" t="s">
        <v>488</v>
      </c>
      <c r="C15" t="s">
        <v>65</v>
      </c>
      <c r="D15" t="s">
        <v>114</v>
      </c>
      <c r="E15" s="3" cm="1">
        <f t="array" ref="E15">_xlfn.IFS(OR(calcs_EFs[[#This Row],[Unit]]="miles",calcs_EFs[[#This Row],[Unit]]="car miles"),CONVERT(1, "mi","km"),TRUE,1)</f>
        <v>1</v>
      </c>
      <c r="F15" s="3" t="b">
        <v>1</v>
      </c>
      <c r="G15" s="3"/>
      <c r="H15" s="5">
        <f>IF(calcs_EFs[[#This Row],[XLOOKUP?]],_xlfn.XLOOKUP(calcs_EFs[[#This Row],[EF ID]],EF_DB_short[EF ID],EF_DB_short[EF (kgCO2e/unit)])*calcs_EFs[[#This Row],[Conversion]],calcs_EFs[[#This Row],[Manual Value]])</f>
        <v>2.5578399999999997</v>
      </c>
    </row>
    <row r="16" spans="1:8">
      <c r="A16" t="s">
        <v>0</v>
      </c>
      <c r="B16" t="s">
        <v>489</v>
      </c>
      <c r="C16" t="s">
        <v>65</v>
      </c>
      <c r="D16" t="s">
        <v>112</v>
      </c>
      <c r="E16" s="3" cm="1">
        <f t="array" ref="E16">_xlfn.IFS(OR(calcs_EFs[[#This Row],[Unit]]="miles",calcs_EFs[[#This Row],[Unit]]="car miles"),CONVERT(1, "mi","km"),TRUE,1)</f>
        <v>1</v>
      </c>
      <c r="F16" s="3" t="b">
        <v>1</v>
      </c>
      <c r="G16" s="3"/>
      <c r="H16" s="5">
        <f>IF(calcs_EFs[[#This Row],[XLOOKUP?]],_xlfn.XLOOKUP(calcs_EFs[[#This Row],[EF ID]],EF_DB_short[EF ID],EF_DB_short[EF (kgCO2e/unit)])*calcs_EFs[[#This Row],[Conversion]],calcs_EFs[[#This Row],[Manual Value]])</f>
        <v>2.1618500000000003</v>
      </c>
    </row>
    <row r="17" spans="1:8">
      <c r="A17" t="s">
        <v>469</v>
      </c>
      <c r="B17" t="s">
        <v>38</v>
      </c>
      <c r="C17" t="s">
        <v>473</v>
      </c>
      <c r="D17" t="s">
        <v>110</v>
      </c>
      <c r="E17" s="3" cm="1">
        <f t="array" ref="E17">_xlfn.IFS(OR(calcs_EFs[[#This Row],[Unit]]="miles",calcs_EFs[[#This Row],[Unit]]="car miles"),CONVERT(1, "mi","km"),TRUE,1)</f>
        <v>1</v>
      </c>
      <c r="F17" s="3" t="b">
        <v>1</v>
      </c>
      <c r="G17" s="3"/>
      <c r="H17" s="5">
        <f>IF(calcs_EFs[[#This Row],[XLOOKUP?]],_xlfn.XLOOKUP(calcs_EFs[[#This Row],[EF ID]],EF_DB_short[EF ID],EF_DB_short[EF (kgCO2e/unit)])*calcs_EFs[[#This Row],[Conversion]],calcs_EFs[[#This Row],[Manual Value]])</f>
        <v>1.3638287255229466</v>
      </c>
    </row>
    <row r="18" spans="1:8">
      <c r="A18" t="s">
        <v>469</v>
      </c>
      <c r="B18" t="s">
        <v>471</v>
      </c>
      <c r="C18" t="s">
        <v>473</v>
      </c>
      <c r="D18" t="s">
        <v>111</v>
      </c>
      <c r="E18" s="3" cm="1">
        <f t="array" ref="E18">_xlfn.IFS(OR(calcs_EFs[[#This Row],[Unit]]="miles",calcs_EFs[[#This Row],[Unit]]="car miles"),CONVERT(1, "mi","km"),TRUE,1)</f>
        <v>1</v>
      </c>
      <c r="F18" s="3" t="b">
        <v>1</v>
      </c>
      <c r="G18" s="3"/>
      <c r="H18" s="5">
        <f>IF(calcs_EFs[[#This Row],[XLOOKUP?]],_xlfn.XLOOKUP(calcs_EFs[[#This Row],[EF ID]],EF_DB_short[EF ID],EF_DB_short[EF (kgCO2e/unit)])*calcs_EFs[[#This Row],[Conversion]],calcs_EFs[[#This Row],[Manual Value]])</f>
        <v>1.1022366534678727</v>
      </c>
    </row>
    <row r="19" spans="1:8">
      <c r="A19" t="s">
        <v>469</v>
      </c>
      <c r="B19" t="s">
        <v>2</v>
      </c>
      <c r="C19" t="s">
        <v>473</v>
      </c>
      <c r="D19" t="s">
        <v>106</v>
      </c>
      <c r="E19" s="3" cm="1">
        <f t="array" ref="E19">_xlfn.IFS(OR(calcs_EFs[[#This Row],[Unit]]="miles",calcs_EFs[[#This Row],[Unit]]="car miles"),CONVERT(1, "mi","km"),TRUE,1)</f>
        <v>1</v>
      </c>
      <c r="F19" s="3" t="b">
        <v>1</v>
      </c>
      <c r="G19" s="3"/>
      <c r="H19" s="5">
        <f>IF(calcs_EFs[[#This Row],[XLOOKUP?]],_xlfn.XLOOKUP(calcs_EFs[[#This Row],[EF ID]],EF_DB_short[EF ID],EF_DB_short[EF (kgCO2e/unit)])*calcs_EFs[[#This Row],[Conversion]],calcs_EFs[[#This Row],[Manual Value]])</f>
        <v>1.7241370713687931</v>
      </c>
    </row>
    <row r="20" spans="1:8">
      <c r="A20" t="s">
        <v>469</v>
      </c>
      <c r="B20" t="s">
        <v>38</v>
      </c>
      <c r="C20" t="s">
        <v>54</v>
      </c>
      <c r="D20" t="s">
        <v>113</v>
      </c>
      <c r="E20" s="3" cm="1">
        <f t="array" ref="E20">_xlfn.IFS(OR(calcs_EFs[[#This Row],[Unit]]="miles",calcs_EFs[[#This Row],[Unit]]="car miles"),CONVERT(1, "mi","km"),TRUE,1)</f>
        <v>1</v>
      </c>
      <c r="F20" s="3" t="b">
        <v>1</v>
      </c>
      <c r="G20" s="3"/>
      <c r="H20" s="5">
        <f>IF(calcs_EFs[[#This Row],[XLOOKUP?]],_xlfn.XLOOKUP(calcs_EFs[[#This Row],[EF ID]],EF_DB_short[EF ID],EF_DB_short[EF (kgCO2e/unit)])*calcs_EFs[[#This Row],[Conversion]],calcs_EFs[[#This Row],[Manual Value]])</f>
        <v>0.18253999999999998</v>
      </c>
    </row>
    <row r="21" spans="1:8">
      <c r="A21" t="s">
        <v>469</v>
      </c>
      <c r="B21" t="s">
        <v>471</v>
      </c>
      <c r="C21" t="s">
        <v>54</v>
      </c>
      <c r="D21" t="s">
        <v>115</v>
      </c>
      <c r="E21" s="3" cm="1">
        <f t="array" ref="E21">_xlfn.IFS(OR(calcs_EFs[[#This Row],[Unit]]="miles",calcs_EFs[[#This Row],[Unit]]="car miles"),CONVERT(1, "mi","km"),TRUE,1)</f>
        <v>1</v>
      </c>
      <c r="F21" s="3" t="b">
        <v>1</v>
      </c>
      <c r="G21" s="3"/>
      <c r="H21" s="5">
        <f>IF(calcs_EFs[[#This Row],[XLOOKUP?]],_xlfn.XLOOKUP(calcs_EFs[[#This Row],[EF ID]],EF_DB_short[EF ID],EF_DB_short[EF (kgCO2e/unit)])*calcs_EFs[[#This Row],[Conversion]],calcs_EFs[[#This Row],[Manual Value]])</f>
        <v>0.24677000000000002</v>
      </c>
    </row>
    <row r="22" spans="1:8">
      <c r="A22" t="s">
        <v>469</v>
      </c>
      <c r="B22" t="s">
        <v>2</v>
      </c>
      <c r="C22" t="s">
        <v>54</v>
      </c>
      <c r="D22" t="s">
        <v>472</v>
      </c>
      <c r="E22" s="3" cm="1">
        <f t="array" ref="E22">_xlfn.IFS(OR(calcs_EFs[[#This Row],[Unit]]="miles",calcs_EFs[[#This Row],[Unit]]="car miles"),CONVERT(1, "mi","km"),TRUE,1)</f>
        <v>1</v>
      </c>
      <c r="F22" s="3" t="b">
        <v>0</v>
      </c>
      <c r="G22" s="3">
        <v>0.19338</v>
      </c>
      <c r="H22" s="5">
        <f>IF(calcs_EFs[[#This Row],[XLOOKUP?]],_xlfn.XLOOKUP(calcs_EFs[[#This Row],[EF ID]],EF_DB_short[EF ID],EF_DB_short[EF (kgCO2e/unit)])*calcs_EFs[[#This Row],[Conversion]],calcs_EFs[[#This Row],[Manual Value]])</f>
        <v>0.19338</v>
      </c>
    </row>
    <row r="23" spans="1:8">
      <c r="A23" t="s">
        <v>3</v>
      </c>
      <c r="B23" t="s">
        <v>1051</v>
      </c>
      <c r="C23" t="s">
        <v>431</v>
      </c>
      <c r="D23" t="s">
        <v>859</v>
      </c>
      <c r="E23" s="3" cm="1">
        <f t="array" ref="E23">_xlfn.IFS(OR(calcs_EFs[[#This Row],[Unit]]="miles",calcs_EFs[[#This Row],[Unit]]="car miles"),CONVERT(1, "mi","km"),TRUE,1)</f>
        <v>1</v>
      </c>
      <c r="F23" s="3" t="b">
        <v>0</v>
      </c>
      <c r="G23" s="3">
        <f>0.00220031419697194*1000</f>
        <v>2.2003141969719402</v>
      </c>
      <c r="H23" s="5">
        <f>IF(calcs_EFs[[#This Row],[XLOOKUP?]],_xlfn.XLOOKUP(calcs_EFs[[#This Row],[EF ID]],EF_DB_short[EF ID],EF_DB_short[EF (kgCO2e/unit)])*calcs_EFs[[#This Row],[Conversion]],calcs_EFs[[#This Row],[Manual Value]])</f>
        <v>2.2003141969719402</v>
      </c>
    </row>
    <row r="24" spans="1:8">
      <c r="A24" t="s">
        <v>3</v>
      </c>
      <c r="B24" t="s">
        <v>1051</v>
      </c>
      <c r="C24" t="s">
        <v>430</v>
      </c>
      <c r="D24" t="s">
        <v>859</v>
      </c>
      <c r="E24" s="3" cm="1">
        <f t="array" ref="E24">_xlfn.IFS(OR(calcs_EFs[[#This Row],[Unit]]="miles",calcs_EFs[[#This Row],[Unit]]="car miles"),CONVERT(1, "mi","km"),TRUE,1)</f>
        <v>1</v>
      </c>
      <c r="F24" s="3" t="b">
        <v>0</v>
      </c>
      <c r="G24" s="3">
        <f>0.00220031419697194*1000/CONVERT(1,"ft2","m2")</f>
        <v>23.683984904820552</v>
      </c>
      <c r="H24" s="5">
        <f>IF(calcs_EFs[[#This Row],[XLOOKUP?]],_xlfn.XLOOKUP(calcs_EFs[[#This Row],[EF ID]],EF_DB_short[EF ID],EF_DB_short[EF (kgCO2e/unit)])*calcs_EFs[[#This Row],[Conversion]],calcs_EFs[[#This Row],[Manual Value]])</f>
        <v>23.683984904820552</v>
      </c>
    </row>
    <row r="25" spans="1:8">
      <c r="A25" t="s">
        <v>3</v>
      </c>
      <c r="B25" t="s">
        <v>122</v>
      </c>
      <c r="C25" t="s">
        <v>108</v>
      </c>
      <c r="D25" t="s">
        <v>260</v>
      </c>
      <c r="E25" s="3" cm="1">
        <f t="array" ref="E25">_xlfn.IFS(OR(calcs_EFs[[#This Row],[Unit]]="miles",calcs_EFs[[#This Row],[Unit]]="car miles"),CONVERT(1, "mi","km"),TRUE,1)</f>
        <v>1</v>
      </c>
      <c r="F25" s="3" t="b">
        <v>1</v>
      </c>
      <c r="G25" s="3"/>
      <c r="H25" s="5">
        <f>IF(calcs_EFs[[#This Row],[XLOOKUP?]],_xlfn.XLOOKUP(calcs_EFs[[#This Row],[EF ID]],EF_DB_short[EF ID],EF_DB_short[EF (kgCO2e/unit)])*calcs_EFs[[#This Row],[Conversion]],calcs_EFs[[#This Row],[Manual Value]])</f>
        <v>1</v>
      </c>
    </row>
    <row r="26" spans="1:8">
      <c r="A26" t="s">
        <v>3</v>
      </c>
      <c r="B26" t="s">
        <v>137</v>
      </c>
      <c r="C26" t="s">
        <v>108</v>
      </c>
      <c r="D26" t="s">
        <v>415</v>
      </c>
      <c r="E26" s="3" cm="1">
        <f t="array" ref="E26">_xlfn.IFS(OR(calcs_EFs[[#This Row],[Unit]]="miles",calcs_EFs[[#This Row],[Unit]]="car miles"),CONVERT(1, "mi","km"),TRUE,1)</f>
        <v>1</v>
      </c>
      <c r="F26" s="3" t="b">
        <v>1</v>
      </c>
      <c r="G26" s="3"/>
      <c r="H26" s="5">
        <f>IF(calcs_EFs[[#This Row],[XLOOKUP?]],_xlfn.XLOOKUP(calcs_EFs[[#This Row],[EF ID]],EF_DB_short[EF ID],EF_DB_short[EF (kgCO2e/unit)])*calcs_EFs[[#This Row],[Conversion]],calcs_EFs[[#This Row],[Manual Value]])</f>
        <v>1400</v>
      </c>
    </row>
    <row r="27" spans="1:8">
      <c r="A27" t="s">
        <v>3</v>
      </c>
      <c r="B27" t="s">
        <v>146</v>
      </c>
      <c r="C27" t="s">
        <v>108</v>
      </c>
      <c r="D27" t="s">
        <v>410</v>
      </c>
      <c r="E27" s="3" cm="1">
        <f t="array" ref="E27">_xlfn.IFS(OR(calcs_EFs[[#This Row],[Unit]]="miles",calcs_EFs[[#This Row],[Unit]]="car miles"),CONVERT(1, "mi","km"),TRUE,1)</f>
        <v>1</v>
      </c>
      <c r="F27" s="3" t="b">
        <v>1</v>
      </c>
      <c r="G27" s="3"/>
      <c r="H27" s="5">
        <f>IF(calcs_EFs[[#This Row],[XLOOKUP?]],_xlfn.XLOOKUP(calcs_EFs[[#This Row],[EF ID]],EF_DB_short[EF ID],EF_DB_short[EF (kgCO2e/unit)])*calcs_EFs[[#This Row],[Conversion]],calcs_EFs[[#This Row],[Manual Value]])</f>
        <v>4750</v>
      </c>
    </row>
    <row r="28" spans="1:8">
      <c r="A28" t="s">
        <v>3</v>
      </c>
      <c r="B28" t="s">
        <v>143</v>
      </c>
      <c r="C28" t="s">
        <v>108</v>
      </c>
      <c r="D28" t="s">
        <v>420</v>
      </c>
      <c r="E28" s="3" cm="1">
        <f t="array" ref="E28">_xlfn.IFS(OR(calcs_EFs[[#This Row],[Unit]]="miles",calcs_EFs[[#This Row],[Unit]]="car miles"),CONVERT(1, "mi","km"),TRUE,1)</f>
        <v>1</v>
      </c>
      <c r="F28" s="3" t="b">
        <v>1</v>
      </c>
      <c r="G28" s="3"/>
      <c r="H28" s="5">
        <f>IF(calcs_EFs[[#This Row],[XLOOKUP?]],_xlfn.XLOOKUP(calcs_EFs[[#This Row],[EF ID]],EF_DB_short[EF ID],EF_DB_short[EF (kgCO2e/unit)])*calcs_EFs[[#This Row],[Conversion]],calcs_EFs[[#This Row],[Manual Value]])</f>
        <v>6130</v>
      </c>
    </row>
    <row r="29" spans="1:8">
      <c r="A29" t="s">
        <v>3</v>
      </c>
      <c r="B29" t="s">
        <v>142</v>
      </c>
      <c r="C29" t="s">
        <v>108</v>
      </c>
      <c r="D29" t="s">
        <v>419</v>
      </c>
      <c r="E29" s="3" cm="1">
        <f t="array" ref="E29">_xlfn.IFS(OR(calcs_EFs[[#This Row],[Unit]]="miles",calcs_EFs[[#This Row],[Unit]]="car miles"),CONVERT(1, "mi","km"),TRUE,1)</f>
        <v>1</v>
      </c>
      <c r="F29" s="3" t="b">
        <v>1</v>
      </c>
      <c r="G29" s="3"/>
      <c r="H29" s="5">
        <f>IF(calcs_EFs[[#This Row],[XLOOKUP?]],_xlfn.XLOOKUP(calcs_EFs[[#This Row],[EF ID]],EF_DB_short[EF ID],EF_DB_short[EF (kgCO2e/unit)])*calcs_EFs[[#This Row],[Conversion]],calcs_EFs[[#This Row],[Manual Value]])</f>
        <v>10000</v>
      </c>
    </row>
    <row r="30" spans="1:8">
      <c r="A30" t="s">
        <v>3</v>
      </c>
      <c r="B30" t="s">
        <v>141</v>
      </c>
      <c r="C30" t="s">
        <v>108</v>
      </c>
      <c r="D30" t="s">
        <v>418</v>
      </c>
      <c r="E30" s="3" cm="1">
        <f t="array" ref="E30">_xlfn.IFS(OR(calcs_EFs[[#This Row],[Unit]]="miles",calcs_EFs[[#This Row],[Unit]]="car miles"),CONVERT(1, "mi","km"),TRUE,1)</f>
        <v>1</v>
      </c>
      <c r="F30" s="3" t="b">
        <v>1</v>
      </c>
      <c r="G30" s="3"/>
      <c r="H30" s="5">
        <f>IF(calcs_EFs[[#This Row],[XLOOKUP?]],_xlfn.XLOOKUP(calcs_EFs[[#This Row],[EF ID]],EF_DB_short[EF ID],EF_DB_short[EF (kgCO2e/unit)])*calcs_EFs[[#This Row],[Conversion]],calcs_EFs[[#This Row],[Manual Value]])</f>
        <v>7370</v>
      </c>
    </row>
    <row r="31" spans="1:8">
      <c r="A31" t="s">
        <v>3</v>
      </c>
      <c r="B31" t="s">
        <v>145</v>
      </c>
      <c r="C31" t="s">
        <v>108</v>
      </c>
      <c r="D31" t="s">
        <v>411</v>
      </c>
      <c r="E31" s="3" cm="1">
        <f t="array" ref="E31">_xlfn.IFS(OR(calcs_EFs[[#This Row],[Unit]]="miles",calcs_EFs[[#This Row],[Unit]]="car miles"),CONVERT(1, "mi","km"),TRUE,1)</f>
        <v>1</v>
      </c>
      <c r="F31" s="3" t="b">
        <v>1</v>
      </c>
      <c r="G31" s="3"/>
      <c r="H31" s="5">
        <f>IF(calcs_EFs[[#This Row],[XLOOKUP?]],_xlfn.XLOOKUP(calcs_EFs[[#This Row],[EF ID]],EF_DB_short[EF ID],EF_DB_short[EF (kgCO2e/unit)])*calcs_EFs[[#This Row],[Conversion]],calcs_EFs[[#This Row],[Manual Value]])</f>
        <v>10900</v>
      </c>
    </row>
    <row r="32" spans="1:8">
      <c r="A32" t="s">
        <v>3</v>
      </c>
      <c r="B32" t="s">
        <v>144</v>
      </c>
      <c r="C32" t="s">
        <v>108</v>
      </c>
      <c r="D32" t="s">
        <v>421</v>
      </c>
      <c r="E32" s="3" cm="1">
        <f t="array" ref="E32">_xlfn.IFS(OR(calcs_EFs[[#This Row],[Unit]]="miles",calcs_EFs[[#This Row],[Unit]]="car miles"),CONVERT(1, "mi","km"),TRUE,1)</f>
        <v>1</v>
      </c>
      <c r="F32" s="3" t="b">
        <v>1</v>
      </c>
      <c r="G32" s="3"/>
      <c r="H32" s="5">
        <f>IF(calcs_EFs[[#This Row],[XLOOKUP?]],_xlfn.XLOOKUP(calcs_EFs[[#This Row],[EF ID]],EF_DB_short[EF ID],EF_DB_short[EF (kgCO2e/unit)])*calcs_EFs[[#This Row],[Conversion]],calcs_EFs[[#This Row],[Manual Value]])</f>
        <v>14400</v>
      </c>
    </row>
    <row r="33" spans="1:8">
      <c r="A33" t="s">
        <v>3</v>
      </c>
      <c r="B33" t="s">
        <v>121</v>
      </c>
      <c r="C33" t="s">
        <v>108</v>
      </c>
      <c r="D33" t="s">
        <v>389</v>
      </c>
      <c r="E33" s="3" cm="1">
        <f t="array" ref="E33">_xlfn.IFS(OR(calcs_EFs[[#This Row],[Unit]]="miles",calcs_EFs[[#This Row],[Unit]]="car miles"),CONVERT(1, "mi","km"),TRUE,1)</f>
        <v>1</v>
      </c>
      <c r="F33" s="3" t="b">
        <v>1</v>
      </c>
      <c r="G33" s="3"/>
      <c r="H33" s="5">
        <f>IF(calcs_EFs[[#This Row],[XLOOKUP?]],_xlfn.XLOOKUP(calcs_EFs[[#This Row],[EF ID]],EF_DB_short[EF ID],EF_DB_short[EF (kgCO2e/unit)])*calcs_EFs[[#This Row],[Conversion]],calcs_EFs[[#This Row],[Manual Value]])</f>
        <v>1</v>
      </c>
    </row>
    <row r="34" spans="1:8">
      <c r="A34" t="s">
        <v>3</v>
      </c>
      <c r="B34" t="s">
        <v>147</v>
      </c>
      <c r="C34" t="s">
        <v>108</v>
      </c>
      <c r="D34" t="s">
        <v>417</v>
      </c>
      <c r="E34" s="3" cm="1">
        <f t="array" ref="E34">_xlfn.IFS(OR(calcs_EFs[[#This Row],[Unit]]="miles",calcs_EFs[[#This Row],[Unit]]="car miles"),CONVERT(1, "mi","km"),TRUE,1)</f>
        <v>1</v>
      </c>
      <c r="F34" s="3" t="b">
        <v>1</v>
      </c>
      <c r="G34" s="3"/>
      <c r="H34" s="5">
        <f>IF(calcs_EFs[[#This Row],[XLOOKUP?]],_xlfn.XLOOKUP(calcs_EFs[[#This Row],[EF ID]],EF_DB_short[EF ID],EF_DB_short[EF (kgCO2e/unit)])*calcs_EFs[[#This Row],[Conversion]],calcs_EFs[[#This Row],[Manual Value]])</f>
        <v>1890</v>
      </c>
    </row>
    <row r="35" spans="1:8">
      <c r="A35" t="s">
        <v>3</v>
      </c>
      <c r="B35" t="s">
        <v>140</v>
      </c>
      <c r="C35" t="s">
        <v>108</v>
      </c>
      <c r="D35" t="s">
        <v>422</v>
      </c>
      <c r="E35" s="3" cm="1">
        <f t="array" ref="E35">_xlfn.IFS(OR(calcs_EFs[[#This Row],[Unit]]="miles",calcs_EFs[[#This Row],[Unit]]="car miles"),CONVERT(1, "mi","km"),TRUE,1)</f>
        <v>1</v>
      </c>
      <c r="F35" s="3" t="b">
        <v>1</v>
      </c>
      <c r="G35" s="3"/>
      <c r="H35" s="5">
        <f>IF(calcs_EFs[[#This Row],[XLOOKUP?]],_xlfn.XLOOKUP(calcs_EFs[[#This Row],[EF ID]],EF_DB_short[EF ID],EF_DB_short[EF (kgCO2e/unit)])*calcs_EFs[[#This Row],[Conversion]],calcs_EFs[[#This Row],[Manual Value]])</f>
        <v>7140</v>
      </c>
    </row>
    <row r="36" spans="1:8">
      <c r="A36" t="s">
        <v>3</v>
      </c>
      <c r="B36" t="s">
        <v>138</v>
      </c>
      <c r="C36" t="s">
        <v>108</v>
      </c>
      <c r="D36" t="s">
        <v>416</v>
      </c>
      <c r="E36" s="3" cm="1">
        <f t="array" ref="E36">_xlfn.IFS(OR(calcs_EFs[[#This Row],[Unit]]="miles",calcs_EFs[[#This Row],[Unit]]="car miles"),CONVERT(1, "mi","km"),TRUE,1)</f>
        <v>1</v>
      </c>
      <c r="F36" s="3" t="b">
        <v>1</v>
      </c>
      <c r="G36" s="3"/>
      <c r="H36" s="5">
        <f>IF(calcs_EFs[[#This Row],[XLOOKUP?]],_xlfn.XLOOKUP(calcs_EFs[[#This Row],[EF ID]],EF_DB_short[EF ID],EF_DB_short[EF (kgCO2e/unit)])*calcs_EFs[[#This Row],[Conversion]],calcs_EFs[[#This Row],[Manual Value]])</f>
        <v>1640</v>
      </c>
    </row>
    <row r="37" spans="1:8">
      <c r="A37" t="s">
        <v>3</v>
      </c>
      <c r="B37" t="s">
        <v>134</v>
      </c>
      <c r="C37" t="s">
        <v>108</v>
      </c>
      <c r="D37" t="s">
        <v>393</v>
      </c>
      <c r="E37" s="3" cm="1">
        <f t="array" ref="E37">_xlfn.IFS(OR(calcs_EFs[[#This Row],[Unit]]="miles",calcs_EFs[[#This Row],[Unit]]="car miles"),CONVERT(1, "mi","km"),TRUE,1)</f>
        <v>1</v>
      </c>
      <c r="F37" s="3" t="b">
        <v>1</v>
      </c>
      <c r="G37" s="3"/>
      <c r="H37" s="5">
        <f>IF(calcs_EFs[[#This Row],[XLOOKUP?]],_xlfn.XLOOKUP(calcs_EFs[[#This Row],[EF ID]],EF_DB_short[EF ID],EF_DB_short[EF (kgCO2e/unit)])*calcs_EFs[[#This Row],[Conversion]],calcs_EFs[[#This Row],[Manual Value]])</f>
        <v>77</v>
      </c>
    </row>
    <row r="38" spans="1:8">
      <c r="A38" t="s">
        <v>3</v>
      </c>
      <c r="B38" t="s">
        <v>133</v>
      </c>
      <c r="C38" t="s">
        <v>108</v>
      </c>
      <c r="D38" t="s">
        <v>392</v>
      </c>
      <c r="E38" s="3" cm="1">
        <f t="array" ref="E38">_xlfn.IFS(OR(calcs_EFs[[#This Row],[Unit]]="miles",calcs_EFs[[#This Row],[Unit]]="car miles"),CONVERT(1, "mi","km"),TRUE,1)</f>
        <v>1</v>
      </c>
      <c r="F38" s="3" t="b">
        <v>1</v>
      </c>
      <c r="G38" s="3"/>
      <c r="H38" s="5">
        <f>IF(calcs_EFs[[#This Row],[XLOOKUP?]],_xlfn.XLOOKUP(calcs_EFs[[#This Row],[EF ID]],EF_DB_short[EF ID],EF_DB_short[EF (kgCO2e/unit)])*calcs_EFs[[#This Row],[Conversion]],calcs_EFs[[#This Row],[Manual Value]])</f>
        <v>609</v>
      </c>
    </row>
    <row r="39" spans="1:8">
      <c r="A39" t="s">
        <v>3</v>
      </c>
      <c r="B39" t="s">
        <v>139</v>
      </c>
      <c r="C39" t="s">
        <v>108</v>
      </c>
      <c r="D39" t="s">
        <v>387</v>
      </c>
      <c r="E39" s="3" cm="1">
        <f t="array" ref="E39">_xlfn.IFS(OR(calcs_EFs[[#This Row],[Unit]]="miles",calcs_EFs[[#This Row],[Unit]]="car miles"),CONVERT(1, "mi","km"),TRUE,1)</f>
        <v>1</v>
      </c>
      <c r="F39" s="3" t="b">
        <v>1</v>
      </c>
      <c r="G39" s="3"/>
      <c r="H39" s="5">
        <f>IF(calcs_EFs[[#This Row],[XLOOKUP?]],_xlfn.XLOOKUP(calcs_EFs[[#This Row],[EF ID]],EF_DB_short[EF ID],EF_DB_short[EF (kgCO2e/unit)])*calcs_EFs[[#This Row],[Conversion]],calcs_EFs[[#This Row],[Manual Value]])</f>
        <v>725</v>
      </c>
    </row>
    <row r="40" spans="1:8">
      <c r="A40" t="s">
        <v>3</v>
      </c>
      <c r="B40" t="s">
        <v>148</v>
      </c>
      <c r="C40" t="s">
        <v>108</v>
      </c>
      <c r="D40" t="s">
        <v>386</v>
      </c>
      <c r="E40" s="3" cm="1">
        <f t="array" ref="E40">_xlfn.IFS(OR(calcs_EFs[[#This Row],[Unit]]="miles",calcs_EFs[[#This Row],[Unit]]="car miles"),CONVERT(1, "mi","km"),TRUE,1)</f>
        <v>1</v>
      </c>
      <c r="F40" s="3" t="b">
        <v>1</v>
      </c>
      <c r="G40" s="3"/>
      <c r="H40" s="5">
        <f>IF(calcs_EFs[[#This Row],[XLOOKUP?]],_xlfn.XLOOKUP(calcs_EFs[[#This Row],[EF ID]],EF_DB_short[EF ID],EF_DB_short[EF (kgCO2e/unit)])*calcs_EFs[[#This Row],[Conversion]],calcs_EFs[[#This Row],[Manual Value]])</f>
        <v>2310</v>
      </c>
    </row>
    <row r="41" spans="1:8">
      <c r="A41" t="s">
        <v>3</v>
      </c>
      <c r="B41" t="s">
        <v>156</v>
      </c>
      <c r="C41" t="s">
        <v>108</v>
      </c>
      <c r="D41" t="s">
        <v>383</v>
      </c>
      <c r="E41" s="3" cm="1">
        <f t="array" ref="E41">_xlfn.IFS(OR(calcs_EFs[[#This Row],[Unit]]="miles",calcs_EFs[[#This Row],[Unit]]="car miles"),CONVERT(1, "mi","km"),TRUE,1)</f>
        <v>1</v>
      </c>
      <c r="F41" s="3" t="b">
        <v>1</v>
      </c>
      <c r="G41" s="3"/>
      <c r="H41" s="5">
        <f>IF(calcs_EFs[[#This Row],[XLOOKUP?]],_xlfn.XLOOKUP(calcs_EFs[[#This Row],[EF ID]],EF_DB_short[EF ID],EF_DB_short[EF (kgCO2e/unit)])*calcs_EFs[[#This Row],[Conversion]],calcs_EFs[[#This Row],[Manual Value]])</f>
        <v>151</v>
      </c>
    </row>
    <row r="42" spans="1:8">
      <c r="A42" t="s">
        <v>3</v>
      </c>
      <c r="B42" t="s">
        <v>135</v>
      </c>
      <c r="C42" t="s">
        <v>108</v>
      </c>
      <c r="D42" t="s">
        <v>412</v>
      </c>
      <c r="E42" s="3" cm="1">
        <f t="array" ref="E42">_xlfn.IFS(OR(calcs_EFs[[#This Row],[Unit]]="miles",calcs_EFs[[#This Row],[Unit]]="car miles"),CONVERT(1, "mi","km"),TRUE,1)</f>
        <v>1</v>
      </c>
      <c r="F42" s="3" t="b">
        <v>1</v>
      </c>
      <c r="G42" s="3"/>
      <c r="H42" s="5">
        <f>IF(calcs_EFs[[#This Row],[XLOOKUP?]],_xlfn.XLOOKUP(calcs_EFs[[#This Row],[EF ID]],EF_DB_short[EF ID],EF_DB_short[EF (kgCO2e/unit)])*calcs_EFs[[#This Row],[Conversion]],calcs_EFs[[#This Row],[Manual Value]])</f>
        <v>1810</v>
      </c>
    </row>
    <row r="43" spans="1:8">
      <c r="A43" t="s">
        <v>3</v>
      </c>
      <c r="B43" t="s">
        <v>149</v>
      </c>
      <c r="C43" t="s">
        <v>108</v>
      </c>
      <c r="D43" t="s">
        <v>385</v>
      </c>
      <c r="E43" s="3" cm="1">
        <f t="array" ref="E43">_xlfn.IFS(OR(calcs_EFs[[#This Row],[Unit]]="miles",calcs_EFs[[#This Row],[Unit]]="car miles"),CONVERT(1, "mi","km"),TRUE,1)</f>
        <v>1</v>
      </c>
      <c r="F43" s="3" t="b">
        <v>1</v>
      </c>
      <c r="G43" s="3"/>
      <c r="H43" s="5">
        <f>IF(calcs_EFs[[#This Row],[XLOOKUP?]],_xlfn.XLOOKUP(calcs_EFs[[#This Row],[EF ID]],EF_DB_short[EF ID],EF_DB_short[EF (kgCO2e/unit)])*calcs_EFs[[#This Row],[Conversion]],calcs_EFs[[#This Row],[Manual Value]])</f>
        <v>122</v>
      </c>
    </row>
    <row r="44" spans="1:8">
      <c r="A44" t="s">
        <v>3</v>
      </c>
      <c r="B44" t="s">
        <v>150</v>
      </c>
      <c r="C44" t="s">
        <v>108</v>
      </c>
      <c r="D44" t="s">
        <v>384</v>
      </c>
      <c r="E44" s="3" cm="1">
        <f t="array" ref="E44">_xlfn.IFS(OR(calcs_EFs[[#This Row],[Unit]]="miles",calcs_EFs[[#This Row],[Unit]]="car miles"),CONVERT(1, "mi","km"),TRUE,1)</f>
        <v>1</v>
      </c>
      <c r="F44" s="3" t="b">
        <v>1</v>
      </c>
      <c r="G44" s="3"/>
      <c r="H44" s="5">
        <f>IF(calcs_EFs[[#This Row],[XLOOKUP?]],_xlfn.XLOOKUP(calcs_EFs[[#This Row],[EF ID]],EF_DB_short[EF ID],EF_DB_short[EF (kgCO2e/unit)])*calcs_EFs[[#This Row],[Conversion]],calcs_EFs[[#This Row],[Manual Value]])</f>
        <v>595</v>
      </c>
    </row>
    <row r="45" spans="1:8">
      <c r="A45" t="s">
        <v>3</v>
      </c>
      <c r="B45" t="s">
        <v>185</v>
      </c>
      <c r="C45" t="s">
        <v>108</v>
      </c>
      <c r="D45" t="s">
        <v>261</v>
      </c>
      <c r="E45" s="3" cm="1">
        <f t="array" ref="E45">_xlfn.IFS(OR(calcs_EFs[[#This Row],[Unit]]="miles",calcs_EFs[[#This Row],[Unit]]="car miles"),CONVERT(1, "mi","km"),TRUE,1)</f>
        <v>1</v>
      </c>
      <c r="F45" s="3" t="b">
        <v>1</v>
      </c>
      <c r="G45" s="3"/>
      <c r="H45" s="5">
        <f>IF(calcs_EFs[[#This Row],[XLOOKUP?]],_xlfn.XLOOKUP(calcs_EFs[[#This Row],[EF ID]],EF_DB_short[EF ID],EF_DB_short[EF (kgCO2e/unit)])*calcs_EFs[[#This Row],[Conversion]],calcs_EFs[[#This Row],[Manual Value]])</f>
        <v>3500</v>
      </c>
    </row>
    <row r="46" spans="1:8">
      <c r="A46" t="s">
        <v>3</v>
      </c>
      <c r="B46" t="s">
        <v>161</v>
      </c>
      <c r="C46" t="s">
        <v>108</v>
      </c>
      <c r="D46" t="s">
        <v>262</v>
      </c>
      <c r="E46" s="3" cm="1">
        <f t="array" ref="E46">_xlfn.IFS(OR(calcs_EFs[[#This Row],[Unit]]="miles",calcs_EFs[[#This Row],[Unit]]="car miles"),CONVERT(1, "mi","km"),TRUE,1)</f>
        <v>1</v>
      </c>
      <c r="F46" s="3" t="b">
        <v>1</v>
      </c>
      <c r="G46" s="3"/>
      <c r="H46" s="5">
        <f>IF(calcs_EFs[[#This Row],[XLOOKUP?]],_xlfn.XLOOKUP(calcs_EFs[[#This Row],[EF ID]],EF_DB_short[EF ID],EF_DB_short[EF (kgCO2e/unit)])*calcs_EFs[[#This Row],[Conversion]],calcs_EFs[[#This Row],[Manual Value]])</f>
        <v>1100</v>
      </c>
    </row>
    <row r="47" spans="1:8">
      <c r="A47" t="s">
        <v>3</v>
      </c>
      <c r="B47" t="s">
        <v>158</v>
      </c>
      <c r="C47" t="s">
        <v>108</v>
      </c>
      <c r="D47" t="s">
        <v>273</v>
      </c>
      <c r="E47" s="3" cm="1">
        <f t="array" ref="E47">_xlfn.IFS(OR(calcs_EFs[[#This Row],[Unit]]="miles",calcs_EFs[[#This Row],[Unit]]="car miles"),CONVERT(1, "mi","km"),TRUE,1)</f>
        <v>1</v>
      </c>
      <c r="F47" s="3" t="b">
        <v>1</v>
      </c>
      <c r="G47" s="3"/>
      <c r="H47" s="5">
        <f>IF(calcs_EFs[[#This Row],[XLOOKUP?]],_xlfn.XLOOKUP(calcs_EFs[[#This Row],[EF ID]],EF_DB_short[EF ID],EF_DB_short[EF (kgCO2e/unit)])*calcs_EFs[[#This Row],[Conversion]],calcs_EFs[[#This Row],[Manual Value]])</f>
        <v>1430</v>
      </c>
    </row>
    <row r="48" spans="1:8">
      <c r="A48" t="s">
        <v>3</v>
      </c>
      <c r="B48" t="s">
        <v>165</v>
      </c>
      <c r="C48" t="s">
        <v>108</v>
      </c>
      <c r="D48" t="s">
        <v>272</v>
      </c>
      <c r="E48" s="3" cm="1">
        <f t="array" ref="E48">_xlfn.IFS(OR(calcs_EFs[[#This Row],[Unit]]="miles",calcs_EFs[[#This Row],[Unit]]="car miles"),CONVERT(1, "mi","km"),TRUE,1)</f>
        <v>1</v>
      </c>
      <c r="F48" s="3" t="b">
        <v>1</v>
      </c>
      <c r="G48" s="3"/>
      <c r="H48" s="5">
        <f>IF(calcs_EFs[[#This Row],[XLOOKUP?]],_xlfn.XLOOKUP(calcs_EFs[[#This Row],[EF ID]],EF_DB_short[EF ID],EF_DB_short[EF (kgCO2e/unit)])*calcs_EFs[[#This Row],[Conversion]],calcs_EFs[[#This Row],[Manual Value]])</f>
        <v>353</v>
      </c>
    </row>
    <row r="49" spans="1:8">
      <c r="A49" t="s">
        <v>3</v>
      </c>
      <c r="B49" t="s">
        <v>170</v>
      </c>
      <c r="C49" t="s">
        <v>108</v>
      </c>
      <c r="D49" t="s">
        <v>271</v>
      </c>
      <c r="E49" s="3" cm="1">
        <f t="array" ref="E49">_xlfn.IFS(OR(calcs_EFs[[#This Row],[Unit]]="miles",calcs_EFs[[#This Row],[Unit]]="car miles"),CONVERT(1, "mi","km"),TRUE,1)</f>
        <v>1</v>
      </c>
      <c r="F49" s="3" t="b">
        <v>1</v>
      </c>
      <c r="G49" s="3"/>
      <c r="H49" s="5">
        <f>IF(calcs_EFs[[#This Row],[XLOOKUP?]],_xlfn.XLOOKUP(calcs_EFs[[#This Row],[EF ID]],EF_DB_short[EF ID],EF_DB_short[EF (kgCO2e/unit)])*calcs_EFs[[#This Row],[Conversion]],calcs_EFs[[#This Row],[Manual Value]])</f>
        <v>4470</v>
      </c>
    </row>
    <row r="50" spans="1:8">
      <c r="A50" t="s">
        <v>3</v>
      </c>
      <c r="B50" t="s">
        <v>191</v>
      </c>
      <c r="C50" t="s">
        <v>108</v>
      </c>
      <c r="D50" t="s">
        <v>207</v>
      </c>
      <c r="E50" s="3" cm="1">
        <f t="array" ref="E50">_xlfn.IFS(OR(calcs_EFs[[#This Row],[Unit]]="miles",calcs_EFs[[#This Row],[Unit]]="car miles"),CONVERT(1, "mi","km"),TRUE,1)</f>
        <v>1</v>
      </c>
      <c r="F50" s="3" t="b">
        <v>1</v>
      </c>
      <c r="G50" s="3"/>
      <c r="H50" s="5">
        <f>IF(calcs_EFs[[#This Row],[XLOOKUP?]],_xlfn.XLOOKUP(calcs_EFs[[#This Row],[EF ID]],EF_DB_short[EF ID],EF_DB_short[EF (kgCO2e/unit)])*calcs_EFs[[#This Row],[Conversion]],calcs_EFs[[#This Row],[Manual Value]])</f>
        <v>53</v>
      </c>
    </row>
    <row r="51" spans="1:8">
      <c r="A51" t="s">
        <v>3</v>
      </c>
      <c r="B51" t="s">
        <v>188</v>
      </c>
      <c r="C51" t="s">
        <v>108</v>
      </c>
      <c r="D51" t="s">
        <v>270</v>
      </c>
      <c r="E51" s="3" cm="1">
        <f t="array" ref="E51">_xlfn.IFS(OR(calcs_EFs[[#This Row],[Unit]]="miles",calcs_EFs[[#This Row],[Unit]]="car miles"),CONVERT(1, "mi","km"),TRUE,1)</f>
        <v>1</v>
      </c>
      <c r="F51" s="3" t="b">
        <v>1</v>
      </c>
      <c r="G51" s="3"/>
      <c r="H51" s="5">
        <f>IF(calcs_EFs[[#This Row],[XLOOKUP?]],_xlfn.XLOOKUP(calcs_EFs[[#This Row],[EF ID]],EF_DB_short[EF ID],EF_DB_short[EF (kgCO2e/unit)])*calcs_EFs[[#This Row],[Conversion]],calcs_EFs[[#This Row],[Manual Value]])</f>
        <v>124</v>
      </c>
    </row>
    <row r="52" spans="1:8">
      <c r="A52" t="s">
        <v>3</v>
      </c>
      <c r="B52" t="s">
        <v>127</v>
      </c>
      <c r="C52" t="s">
        <v>108</v>
      </c>
      <c r="D52" t="s">
        <v>206</v>
      </c>
      <c r="E52" s="3" cm="1">
        <f t="array" ref="E52">_xlfn.IFS(OR(calcs_EFs[[#This Row],[Unit]]="miles",calcs_EFs[[#This Row],[Unit]]="car miles"),CONVERT(1, "mi","km"),TRUE,1)</f>
        <v>1</v>
      </c>
      <c r="F52" s="3" t="b">
        <v>1</v>
      </c>
      <c r="G52" s="3"/>
      <c r="H52" s="5">
        <f>IF(calcs_EFs[[#This Row],[XLOOKUP?]],_xlfn.XLOOKUP(calcs_EFs[[#This Row],[EF ID]],EF_DB_short[EF ID],EF_DB_short[EF (kgCO2e/unit)])*calcs_EFs[[#This Row],[Conversion]],calcs_EFs[[#This Row],[Manual Value]])</f>
        <v>12</v>
      </c>
    </row>
    <row r="53" spans="1:8">
      <c r="A53" t="s">
        <v>3</v>
      </c>
      <c r="B53" t="s">
        <v>186</v>
      </c>
      <c r="C53" t="s">
        <v>108</v>
      </c>
      <c r="D53" t="s">
        <v>269</v>
      </c>
      <c r="E53" s="3" cm="1">
        <f t="array" ref="E53">_xlfn.IFS(OR(calcs_EFs[[#This Row],[Unit]]="miles",calcs_EFs[[#This Row],[Unit]]="car miles"),CONVERT(1, "mi","km"),TRUE,1)</f>
        <v>1</v>
      </c>
      <c r="F53" s="3" t="b">
        <v>1</v>
      </c>
      <c r="G53" s="3"/>
      <c r="H53" s="5">
        <f>IF(calcs_EFs[[#This Row],[XLOOKUP?]],_xlfn.XLOOKUP(calcs_EFs[[#This Row],[EF ID]],EF_DB_short[EF ID],EF_DB_short[EF (kgCO2e/unit)])*calcs_EFs[[#This Row],[Conversion]],calcs_EFs[[#This Row],[Manual Value]])</f>
        <v>3220</v>
      </c>
    </row>
    <row r="54" spans="1:8">
      <c r="A54" t="s">
        <v>3</v>
      </c>
      <c r="B54" t="s">
        <v>176</v>
      </c>
      <c r="C54" t="s">
        <v>108</v>
      </c>
      <c r="D54" t="s">
        <v>257</v>
      </c>
      <c r="E54" s="3" cm="1">
        <f t="array" ref="E54">_xlfn.IFS(OR(calcs_EFs[[#This Row],[Unit]]="miles",calcs_EFs[[#This Row],[Unit]]="car miles"),CONVERT(1, "mi","km"),TRUE,1)</f>
        <v>1</v>
      </c>
      <c r="F54" s="3" t="b">
        <v>1</v>
      </c>
      <c r="G54" s="3"/>
      <c r="H54" s="5">
        <f>IF(calcs_EFs[[#This Row],[XLOOKUP?]],_xlfn.XLOOKUP(calcs_EFs[[#This Row],[EF ID]],EF_DB_short[EF ID],EF_DB_short[EF (kgCO2e/unit)])*calcs_EFs[[#This Row],[Conversion]],calcs_EFs[[#This Row],[Manual Value]])</f>
        <v>14800</v>
      </c>
    </row>
    <row r="55" spans="1:8">
      <c r="A55" t="s">
        <v>3</v>
      </c>
      <c r="B55" t="s">
        <v>160</v>
      </c>
      <c r="C55" t="s">
        <v>108</v>
      </c>
      <c r="D55" t="s">
        <v>205</v>
      </c>
      <c r="E55" s="3" cm="1">
        <f t="array" ref="E55">_xlfn.IFS(OR(calcs_EFs[[#This Row],[Unit]]="miles",calcs_EFs[[#This Row],[Unit]]="car miles"),CONVERT(1, "mi","km"),TRUE,1)</f>
        <v>1</v>
      </c>
      <c r="F55" s="3" t="b">
        <v>1</v>
      </c>
      <c r="G55" s="3"/>
      <c r="H55" s="5">
        <f>IF(calcs_EFs[[#This Row],[XLOOKUP?]],_xlfn.XLOOKUP(calcs_EFs[[#This Row],[EF ID]],EF_DB_short[EF ID],EF_DB_short[EF (kgCO2e/unit)])*calcs_EFs[[#This Row],[Conversion]],calcs_EFs[[#This Row],[Manual Value]])</f>
        <v>1340</v>
      </c>
    </row>
    <row r="56" spans="1:8">
      <c r="A56" t="s">
        <v>3</v>
      </c>
      <c r="B56" t="s">
        <v>159</v>
      </c>
      <c r="C56" t="s">
        <v>108</v>
      </c>
      <c r="D56" t="s">
        <v>204</v>
      </c>
      <c r="E56" s="3" cm="1">
        <f t="array" ref="E56">_xlfn.IFS(OR(calcs_EFs[[#This Row],[Unit]]="miles",calcs_EFs[[#This Row],[Unit]]="car miles"),CONVERT(1, "mi","km"),TRUE,1)</f>
        <v>1</v>
      </c>
      <c r="F56" s="3" t="b">
        <v>1</v>
      </c>
      <c r="G56" s="3"/>
      <c r="H56" s="5">
        <f>IF(calcs_EFs[[#This Row],[XLOOKUP?]],_xlfn.XLOOKUP(calcs_EFs[[#This Row],[EF ID]],EF_DB_short[EF ID],EF_DB_short[EF (kgCO2e/unit)])*calcs_EFs[[#This Row],[Conversion]],calcs_EFs[[#This Row],[Manual Value]])</f>
        <v>1370</v>
      </c>
    </row>
    <row r="57" spans="1:8">
      <c r="A57" t="s">
        <v>3</v>
      </c>
      <c r="B57" t="s">
        <v>179</v>
      </c>
      <c r="C57" t="s">
        <v>108</v>
      </c>
      <c r="D57" t="s">
        <v>268</v>
      </c>
      <c r="E57" s="3" cm="1">
        <f t="array" ref="E57">_xlfn.IFS(OR(calcs_EFs[[#This Row],[Unit]]="miles",calcs_EFs[[#This Row],[Unit]]="car miles"),CONVERT(1, "mi","km"),TRUE,1)</f>
        <v>1</v>
      </c>
      <c r="F57" s="3" t="b">
        <v>1</v>
      </c>
      <c r="G57" s="3"/>
      <c r="H57" s="5">
        <f>IF(calcs_EFs[[#This Row],[XLOOKUP?]],_xlfn.XLOOKUP(calcs_EFs[[#This Row],[EF ID]],EF_DB_short[EF ID],EF_DB_short[EF (kgCO2e/unit)])*calcs_EFs[[#This Row],[Conversion]],calcs_EFs[[#This Row],[Manual Value]])</f>
        <v>9810</v>
      </c>
    </row>
    <row r="58" spans="1:8">
      <c r="A58" t="s">
        <v>3</v>
      </c>
      <c r="B58" t="s">
        <v>163</v>
      </c>
      <c r="C58" t="s">
        <v>108</v>
      </c>
      <c r="D58" t="s">
        <v>203</v>
      </c>
      <c r="E58" s="3" cm="1">
        <f t="array" ref="E58">_xlfn.IFS(OR(calcs_EFs[[#This Row],[Unit]]="miles",calcs_EFs[[#This Row],[Unit]]="car miles"),CONVERT(1, "mi","km"),TRUE,1)</f>
        <v>1</v>
      </c>
      <c r="F58" s="3" t="b">
        <v>1</v>
      </c>
      <c r="G58" s="3"/>
      <c r="H58" s="5">
        <f>IF(calcs_EFs[[#This Row],[XLOOKUP?]],_xlfn.XLOOKUP(calcs_EFs[[#This Row],[EF ID]],EF_DB_short[EF ID],EF_DB_short[EF (kgCO2e/unit)])*calcs_EFs[[#This Row],[Conversion]],calcs_EFs[[#This Row],[Manual Value]])</f>
        <v>693</v>
      </c>
    </row>
    <row r="59" spans="1:8">
      <c r="A59" t="s">
        <v>3</v>
      </c>
      <c r="B59" t="s">
        <v>162</v>
      </c>
      <c r="C59" t="s">
        <v>108</v>
      </c>
      <c r="D59" t="s">
        <v>267</v>
      </c>
      <c r="E59" s="3" cm="1">
        <f t="array" ref="E59">_xlfn.IFS(OR(calcs_EFs[[#This Row],[Unit]]="miles",calcs_EFs[[#This Row],[Unit]]="car miles"),CONVERT(1, "mi","km"),TRUE,1)</f>
        <v>1</v>
      </c>
      <c r="F59" s="3" t="b">
        <v>1</v>
      </c>
      <c r="G59" s="3"/>
      <c r="H59" s="5">
        <f>IF(calcs_EFs[[#This Row],[XLOOKUP?]],_xlfn.XLOOKUP(calcs_EFs[[#This Row],[EF ID]],EF_DB_short[EF ID],EF_DB_short[EF (kgCO2e/unit)])*calcs_EFs[[#This Row],[Conversion]],calcs_EFs[[#This Row],[Manual Value]])</f>
        <v>1030</v>
      </c>
    </row>
    <row r="60" spans="1:8">
      <c r="A60" t="s">
        <v>3</v>
      </c>
      <c r="B60" t="s">
        <v>164</v>
      </c>
      <c r="C60" t="s">
        <v>108</v>
      </c>
      <c r="D60" t="s">
        <v>256</v>
      </c>
      <c r="E60" s="3" cm="1">
        <f t="array" ref="E60">_xlfn.IFS(OR(calcs_EFs[[#This Row],[Unit]]="miles",calcs_EFs[[#This Row],[Unit]]="car miles"),CONVERT(1, "mi","km"),TRUE,1)</f>
        <v>1</v>
      </c>
      <c r="F60" s="3" t="b">
        <v>1</v>
      </c>
      <c r="G60" s="3"/>
      <c r="H60" s="5">
        <f>IF(calcs_EFs[[#This Row],[XLOOKUP?]],_xlfn.XLOOKUP(calcs_EFs[[#This Row],[EF ID]],EF_DB_short[EF ID],EF_DB_short[EF (kgCO2e/unit)])*calcs_EFs[[#This Row],[Conversion]],calcs_EFs[[#This Row],[Manual Value]])</f>
        <v>675</v>
      </c>
    </row>
    <row r="61" spans="1:8">
      <c r="A61" t="s">
        <v>3</v>
      </c>
      <c r="B61" t="s">
        <v>155</v>
      </c>
      <c r="C61" t="s">
        <v>108</v>
      </c>
      <c r="D61" t="s">
        <v>213</v>
      </c>
      <c r="E61" s="3" cm="1">
        <f t="array" ref="E61">_xlfn.IFS(OR(calcs_EFs[[#This Row],[Unit]]="miles",calcs_EFs[[#This Row],[Unit]]="car miles"),CONVERT(1, "mi","km"),TRUE,1)</f>
        <v>1</v>
      </c>
      <c r="F61" s="3" t="b">
        <v>1</v>
      </c>
      <c r="G61" s="3"/>
      <c r="H61" s="5">
        <f>IF(calcs_EFs[[#This Row],[XLOOKUP?]],_xlfn.XLOOKUP(calcs_EFs[[#This Row],[EF ID]],EF_DB_short[EF ID],EF_DB_short[EF (kgCO2e/unit)])*calcs_EFs[[#This Row],[Conversion]],calcs_EFs[[#This Row],[Manual Value]])</f>
        <v>794</v>
      </c>
    </row>
    <row r="62" spans="1:8">
      <c r="A62" t="s">
        <v>3</v>
      </c>
      <c r="B62" t="s">
        <v>189</v>
      </c>
      <c r="C62" t="s">
        <v>108</v>
      </c>
      <c r="D62" t="s">
        <v>255</v>
      </c>
      <c r="E62" s="3" cm="1">
        <f t="array" ref="E62">_xlfn.IFS(OR(calcs_EFs[[#This Row],[Unit]]="miles",calcs_EFs[[#This Row],[Unit]]="car miles"),CONVERT(1, "mi","km"),TRUE,1)</f>
        <v>1</v>
      </c>
      <c r="F62" s="3" t="b">
        <v>1</v>
      </c>
      <c r="G62" s="3"/>
      <c r="H62" s="5">
        <f>IF(calcs_EFs[[#This Row],[XLOOKUP?]],_xlfn.XLOOKUP(calcs_EFs[[#This Row],[EF ID]],EF_DB_short[EF ID],EF_DB_short[EF (kgCO2e/unit)])*calcs_EFs[[#This Row],[Conversion]],calcs_EFs[[#This Row],[Manual Value]])</f>
        <v>92</v>
      </c>
    </row>
    <row r="63" spans="1:8">
      <c r="A63" t="s">
        <v>3</v>
      </c>
      <c r="B63" t="s">
        <v>184</v>
      </c>
      <c r="C63" t="s">
        <v>108</v>
      </c>
      <c r="D63" t="s">
        <v>266</v>
      </c>
      <c r="E63" s="3" cm="1">
        <f t="array" ref="E63">_xlfn.IFS(OR(calcs_EFs[[#This Row],[Unit]]="miles",calcs_EFs[[#This Row],[Unit]]="car miles"),CONVERT(1, "mi","km"),TRUE,1)</f>
        <v>1</v>
      </c>
      <c r="F63" s="3" t="b">
        <v>1</v>
      </c>
      <c r="G63" s="3"/>
      <c r="H63" s="5">
        <f>IF(calcs_EFs[[#This Row],[XLOOKUP?]],_xlfn.XLOOKUP(calcs_EFs[[#This Row],[EF ID]],EF_DB_short[EF ID],EF_DB_short[EF (kgCO2e/unit)])*calcs_EFs[[#This Row],[Conversion]],calcs_EFs[[#This Row],[Manual Value]])</f>
        <v>1640</v>
      </c>
    </row>
    <row r="64" spans="1:8">
      <c r="A64" t="s">
        <v>3</v>
      </c>
      <c r="B64" t="s">
        <v>190</v>
      </c>
      <c r="C64" t="s">
        <v>108</v>
      </c>
      <c r="D64" t="s">
        <v>259</v>
      </c>
      <c r="E64" s="3" cm="1">
        <f t="array" ref="E64">_xlfn.IFS(OR(calcs_EFs[[#This Row],[Unit]]="miles",calcs_EFs[[#This Row],[Unit]]="car miles"),CONVERT(1, "mi","km"),TRUE,1)</f>
        <v>1</v>
      </c>
      <c r="F64" s="3" t="b">
        <v>1</v>
      </c>
      <c r="G64" s="3"/>
      <c r="H64" s="5">
        <f>IF(calcs_EFs[[#This Row],[XLOOKUP?]],_xlfn.XLOOKUP(calcs_EFs[[#This Row],[EF ID]],EF_DB_short[EF ID],EF_DB_short[EF (kgCO2e/unit)])*calcs_EFs[[#This Row],[Conversion]],calcs_EFs[[#This Row],[Manual Value]])</f>
        <v>25</v>
      </c>
    </row>
    <row r="65" spans="1:8">
      <c r="A65" t="s">
        <v>3</v>
      </c>
      <c r="B65" t="s">
        <v>126</v>
      </c>
      <c r="C65" t="s">
        <v>108</v>
      </c>
      <c r="D65" t="s">
        <v>414</v>
      </c>
      <c r="E65" s="3" cm="1">
        <f t="array" ref="E65">_xlfn.IFS(OR(calcs_EFs[[#This Row],[Unit]]="miles",calcs_EFs[[#This Row],[Unit]]="car miles"),CONVERT(1, "mi","km"),TRUE,1)</f>
        <v>1</v>
      </c>
      <c r="F65" s="3" t="b">
        <v>1</v>
      </c>
      <c r="G65" s="3"/>
      <c r="H65" s="5">
        <f>IF(calcs_EFs[[#This Row],[XLOOKUP?]],_xlfn.XLOOKUP(calcs_EFs[[#This Row],[EF ID]],EF_DB_short[EF ID],EF_DB_short[EF (kgCO2e/unit)])*calcs_EFs[[#This Row],[Conversion]],calcs_EFs[[#This Row],[Manual Value]])</f>
        <v>5</v>
      </c>
    </row>
    <row r="66" spans="1:8">
      <c r="A66" t="s">
        <v>3</v>
      </c>
      <c r="B66" t="s">
        <v>130</v>
      </c>
      <c r="C66" t="s">
        <v>108</v>
      </c>
      <c r="D66" t="s">
        <v>380</v>
      </c>
      <c r="E66" s="3" cm="1">
        <f t="array" ref="E66">_xlfn.IFS(OR(calcs_EFs[[#This Row],[Unit]]="miles",calcs_EFs[[#This Row],[Unit]]="car miles"),CONVERT(1, "mi","km"),TRUE,1)</f>
        <v>1</v>
      </c>
      <c r="F66" s="3" t="b">
        <v>1</v>
      </c>
      <c r="G66" s="3"/>
      <c r="H66" s="5">
        <f>IF(calcs_EFs[[#This Row],[XLOOKUP?]],_xlfn.XLOOKUP(calcs_EFs[[#This Row],[EF ID]],EF_DB_short[EF ID],EF_DB_short[EF (kgCO2e/unit)])*calcs_EFs[[#This Row],[Conversion]],calcs_EFs[[#This Row],[Manual Value]])</f>
        <v>13</v>
      </c>
    </row>
    <row r="67" spans="1:8">
      <c r="A67" t="s">
        <v>3</v>
      </c>
      <c r="B67" t="s">
        <v>136</v>
      </c>
      <c r="C67" t="s">
        <v>108</v>
      </c>
      <c r="D67" t="s">
        <v>413</v>
      </c>
      <c r="E67" s="3" cm="1">
        <f t="array" ref="E67">_xlfn.IFS(OR(calcs_EFs[[#This Row],[Unit]]="miles",calcs_EFs[[#This Row],[Unit]]="car miles"),CONVERT(1, "mi","km"),TRUE,1)</f>
        <v>1</v>
      </c>
      <c r="F67" s="3" t="b">
        <v>1</v>
      </c>
      <c r="G67" s="3"/>
      <c r="H67" s="5">
        <f>IF(calcs_EFs[[#This Row],[XLOOKUP?]],_xlfn.XLOOKUP(calcs_EFs[[#This Row],[EF ID]],EF_DB_short[EF ID],EF_DB_short[EF (kgCO2e/unit)])*calcs_EFs[[#This Row],[Conversion]],calcs_EFs[[#This Row],[Manual Value]])</f>
        <v>146</v>
      </c>
    </row>
    <row r="68" spans="1:8">
      <c r="A68" t="s">
        <v>3</v>
      </c>
      <c r="B68" t="s">
        <v>123</v>
      </c>
      <c r="C68" t="s">
        <v>108</v>
      </c>
      <c r="D68" t="s">
        <v>388</v>
      </c>
      <c r="E68" s="3" cm="1">
        <f t="array" ref="E68">_xlfn.IFS(OR(calcs_EFs[[#This Row],[Unit]]="miles",calcs_EFs[[#This Row],[Unit]]="car miles"),CONVERT(1, "mi","km"),TRUE,1)</f>
        <v>1</v>
      </c>
      <c r="F68" s="3" t="b">
        <v>1</v>
      </c>
      <c r="G68" s="3"/>
      <c r="H68" s="5">
        <f>IF(calcs_EFs[[#This Row],[XLOOKUP?]],_xlfn.XLOOKUP(calcs_EFs[[#This Row],[EF ID]],EF_DB_short[EF ID],EF_DB_short[EF (kgCO2e/unit)])*calcs_EFs[[#This Row],[Conversion]],calcs_EFs[[#This Row],[Manual Value]])</f>
        <v>9</v>
      </c>
    </row>
    <row r="69" spans="1:8">
      <c r="A69" t="s">
        <v>3</v>
      </c>
      <c r="B69" t="s">
        <v>154</v>
      </c>
      <c r="C69" t="s">
        <v>108</v>
      </c>
      <c r="D69" t="s">
        <v>214</v>
      </c>
      <c r="E69" s="3" cm="1">
        <f t="array" ref="E69">_xlfn.IFS(OR(calcs_EFs[[#This Row],[Unit]]="miles",calcs_EFs[[#This Row],[Unit]]="car miles"),CONVERT(1, "mi","km"),TRUE,1)</f>
        <v>1</v>
      </c>
      <c r="F69" s="3" t="b">
        <v>1</v>
      </c>
      <c r="G69" s="3"/>
      <c r="H69" s="5">
        <f>IF(calcs_EFs[[#This Row],[XLOOKUP?]],_xlfn.XLOOKUP(calcs_EFs[[#This Row],[EF ID]],EF_DB_short[EF ID],EF_DB_short[EF (kgCO2e/unit)])*calcs_EFs[[#This Row],[Conversion]],calcs_EFs[[#This Row],[Manual Value]])</f>
        <v>17200</v>
      </c>
    </row>
    <row r="70" spans="1:8">
      <c r="A70" t="s">
        <v>3</v>
      </c>
      <c r="B70" t="s">
        <v>187</v>
      </c>
      <c r="C70" t="s">
        <v>108</v>
      </c>
      <c r="D70" t="s">
        <v>258</v>
      </c>
      <c r="E70" s="3" cm="1">
        <f t="array" ref="E70">_xlfn.IFS(OR(calcs_EFs[[#This Row],[Unit]]="miles",calcs_EFs[[#This Row],[Unit]]="car miles"),CONVERT(1, "mi","km"),TRUE,1)</f>
        <v>1</v>
      </c>
      <c r="F70" s="3" t="b">
        <v>1</v>
      </c>
      <c r="G70" s="3"/>
      <c r="H70" s="5">
        <f>IF(calcs_EFs[[#This Row],[XLOOKUP?]],_xlfn.XLOOKUP(calcs_EFs[[#This Row],[EF ID]],EF_DB_short[EF ID],EF_DB_short[EF (kgCO2e/unit)])*calcs_EFs[[#This Row],[Conversion]],calcs_EFs[[#This Row],[Manual Value]])</f>
        <v>298</v>
      </c>
    </row>
    <row r="71" spans="1:8">
      <c r="A71" t="s">
        <v>3</v>
      </c>
      <c r="B71" t="s">
        <v>172</v>
      </c>
      <c r="C71" t="s">
        <v>108</v>
      </c>
      <c r="D71" t="s">
        <v>230</v>
      </c>
      <c r="E71" s="3" cm="1">
        <f t="array" ref="E71">_xlfn.IFS(OR(calcs_EFs[[#This Row],[Unit]]="miles",calcs_EFs[[#This Row],[Unit]]="car miles"),CONVERT(1, "mi","km"),TRUE,1)</f>
        <v>1</v>
      </c>
      <c r="F71" s="3" t="b">
        <v>1</v>
      </c>
      <c r="G71" s="3"/>
      <c r="H71" s="5">
        <f>IF(calcs_EFs[[#This Row],[XLOOKUP?]],_xlfn.XLOOKUP(calcs_EFs[[#This Row],[EF ID]],EF_DB_short[EF ID],EF_DB_short[EF (kgCO2e/unit)])*calcs_EFs[[#This Row],[Conversion]],calcs_EFs[[#This Row],[Manual Value]])</f>
        <v>8860</v>
      </c>
    </row>
    <row r="72" spans="1:8">
      <c r="A72" t="s">
        <v>3</v>
      </c>
      <c r="B72" t="s">
        <v>178</v>
      </c>
      <c r="C72" t="s">
        <v>108</v>
      </c>
      <c r="D72" t="s">
        <v>254</v>
      </c>
      <c r="E72" s="3" cm="1">
        <f t="array" ref="E72">_xlfn.IFS(OR(calcs_EFs[[#This Row],[Unit]]="miles",calcs_EFs[[#This Row],[Unit]]="car miles"),CONVERT(1, "mi","km"),TRUE,1)</f>
        <v>1</v>
      </c>
      <c r="F72" s="3" t="b">
        <v>1</v>
      </c>
      <c r="G72" s="3"/>
      <c r="H72" s="5">
        <f>IF(calcs_EFs[[#This Row],[XLOOKUP?]],_xlfn.XLOOKUP(calcs_EFs[[#This Row],[EF ID]],EF_DB_short[EF ID],EF_DB_short[EF (kgCO2e/unit)])*calcs_EFs[[#This Row],[Conversion]],calcs_EFs[[#This Row],[Manual Value]])</f>
        <v>10300</v>
      </c>
    </row>
    <row r="73" spans="1:8">
      <c r="A73" t="s">
        <v>3</v>
      </c>
      <c r="B73" t="s">
        <v>151</v>
      </c>
      <c r="C73" t="s">
        <v>108</v>
      </c>
      <c r="D73" t="s">
        <v>209</v>
      </c>
      <c r="E73" s="3" cm="1">
        <f t="array" ref="E73">_xlfn.IFS(OR(calcs_EFs[[#This Row],[Unit]]="miles",calcs_EFs[[#This Row],[Unit]]="car miles"),CONVERT(1, "mi","km"),TRUE,1)</f>
        <v>1</v>
      </c>
      <c r="F73" s="3" t="b">
        <v>1</v>
      </c>
      <c r="G73" s="3"/>
      <c r="H73" s="5">
        <f>IF(calcs_EFs[[#This Row],[XLOOKUP?]],_xlfn.XLOOKUP(calcs_EFs[[#This Row],[EF ID]],EF_DB_short[EF ID],EF_DB_short[EF (kgCO2e/unit)])*calcs_EFs[[#This Row],[Conversion]],calcs_EFs[[#This Row],[Manual Value]])</f>
        <v>17340</v>
      </c>
    </row>
    <row r="74" spans="1:8">
      <c r="A74" t="s">
        <v>3</v>
      </c>
      <c r="B74" t="s">
        <v>177</v>
      </c>
      <c r="C74" t="s">
        <v>108</v>
      </c>
      <c r="D74" t="s">
        <v>264</v>
      </c>
      <c r="E74" s="3" cm="1">
        <f t="array" ref="E74">_xlfn.IFS(OR(calcs_EFs[[#This Row],[Unit]]="miles",calcs_EFs[[#This Row],[Unit]]="car miles"),CONVERT(1, "mi","km"),TRUE,1)</f>
        <v>1</v>
      </c>
      <c r="F74" s="3" t="b">
        <v>1</v>
      </c>
      <c r="G74" s="3"/>
      <c r="H74" s="5">
        <f>IF(calcs_EFs[[#This Row],[XLOOKUP?]],_xlfn.XLOOKUP(calcs_EFs[[#This Row],[EF ID]],EF_DB_short[EF ID],EF_DB_short[EF (kgCO2e/unit)])*calcs_EFs[[#This Row],[Conversion]],calcs_EFs[[#This Row],[Manual Value]])</f>
        <v>12200</v>
      </c>
    </row>
    <row r="75" spans="1:8">
      <c r="A75" t="s">
        <v>3</v>
      </c>
      <c r="B75" t="s">
        <v>180</v>
      </c>
      <c r="C75" t="s">
        <v>108</v>
      </c>
      <c r="D75" t="s">
        <v>211</v>
      </c>
      <c r="E75" s="3" cm="1">
        <f t="array" ref="E75">_xlfn.IFS(OR(calcs_EFs[[#This Row],[Unit]]="miles",calcs_EFs[[#This Row],[Unit]]="car miles"),CONVERT(1, "mi","km"),TRUE,1)</f>
        <v>1</v>
      </c>
      <c r="F75" s="3" t="b">
        <v>1</v>
      </c>
      <c r="G75" s="3"/>
      <c r="H75" s="5">
        <f>IF(calcs_EFs[[#This Row],[XLOOKUP?]],_xlfn.XLOOKUP(calcs_EFs[[#This Row],[EF ID]],EF_DB_short[EF ID],EF_DB_short[EF (kgCO2e/unit)])*calcs_EFs[[#This Row],[Conversion]],calcs_EFs[[#This Row],[Manual Value]])</f>
        <v>9300</v>
      </c>
    </row>
    <row r="76" spans="1:8">
      <c r="A76" t="s">
        <v>3</v>
      </c>
      <c r="B76" t="s">
        <v>166</v>
      </c>
      <c r="C76" t="s">
        <v>108</v>
      </c>
      <c r="D76" t="s">
        <v>265</v>
      </c>
      <c r="E76" s="3" cm="1">
        <f t="array" ref="E76">_xlfn.IFS(OR(calcs_EFs[[#This Row],[Unit]]="miles",calcs_EFs[[#This Row],[Unit]]="car miles"),CONVERT(1, "mi","km"),TRUE,1)</f>
        <v>1</v>
      </c>
      <c r="F76" s="3" t="b">
        <v>1</v>
      </c>
      <c r="G76" s="3"/>
      <c r="H76" s="5">
        <f>IF(calcs_EFs[[#This Row],[XLOOKUP?]],_xlfn.XLOOKUP(calcs_EFs[[#This Row],[EF ID]],EF_DB_short[EF ID],EF_DB_short[EF (kgCO2e/unit)])*calcs_EFs[[#This Row],[Conversion]],calcs_EFs[[#This Row],[Manual Value]])</f>
        <v>7390</v>
      </c>
    </row>
    <row r="77" spans="1:8">
      <c r="A77" t="s">
        <v>3</v>
      </c>
      <c r="B77" t="s">
        <v>173</v>
      </c>
      <c r="C77" t="s">
        <v>108</v>
      </c>
      <c r="D77" t="s">
        <v>212</v>
      </c>
      <c r="E77" s="3" cm="1">
        <f t="array" ref="E77">_xlfn.IFS(OR(calcs_EFs[[#This Row],[Unit]]="miles",calcs_EFs[[#This Row],[Unit]]="car miles"),CONVERT(1, "mi","km"),TRUE,1)</f>
        <v>1</v>
      </c>
      <c r="F77" s="3" t="b">
        <v>1</v>
      </c>
      <c r="G77" s="3"/>
      <c r="H77" s="5">
        <f>IF(calcs_EFs[[#This Row],[XLOOKUP?]],_xlfn.XLOOKUP(calcs_EFs[[#This Row],[EF ID]],EF_DB_short[EF ID],EF_DB_short[EF (kgCO2e/unit)])*calcs_EFs[[#This Row],[Conversion]],calcs_EFs[[#This Row],[Manual Value]])</f>
        <v>9160</v>
      </c>
    </row>
    <row r="78" spans="1:8">
      <c r="A78" t="s">
        <v>3</v>
      </c>
      <c r="B78" t="s">
        <v>171</v>
      </c>
      <c r="C78" t="s">
        <v>108</v>
      </c>
      <c r="D78" t="s">
        <v>263</v>
      </c>
      <c r="E78" s="3" cm="1">
        <f t="array" ref="E78">_xlfn.IFS(OR(calcs_EFs[[#This Row],[Unit]]="miles",calcs_EFs[[#This Row],[Unit]]="car miles"),CONVERT(1, "mi","km"),TRUE,1)</f>
        <v>1</v>
      </c>
      <c r="F78" s="3" t="b">
        <v>1</v>
      </c>
      <c r="G78" s="3"/>
      <c r="H78" s="5">
        <f>IF(calcs_EFs[[#This Row],[XLOOKUP?]],_xlfn.XLOOKUP(calcs_EFs[[#This Row],[EF ID]],EF_DB_short[EF ID],EF_DB_short[EF (kgCO2e/unit)])*calcs_EFs[[#This Row],[Conversion]],calcs_EFs[[#This Row],[Manual Value]])</f>
        <v>8830</v>
      </c>
    </row>
    <row r="79" spans="1:8">
      <c r="A79" t="s">
        <v>3</v>
      </c>
      <c r="B79" t="s">
        <v>153</v>
      </c>
      <c r="C79" t="s">
        <v>108</v>
      </c>
      <c r="D79" t="s">
        <v>210</v>
      </c>
      <c r="E79" s="3" cm="1">
        <f t="array" ref="E79">_xlfn.IFS(OR(calcs_EFs[[#This Row],[Unit]]="miles",calcs_EFs[[#This Row],[Unit]]="car miles"),CONVERT(1, "mi","km"),TRUE,1)</f>
        <v>1</v>
      </c>
      <c r="F79" s="3" t="b">
        <v>1</v>
      </c>
      <c r="G79" s="3"/>
      <c r="H79" s="5">
        <f>IF(calcs_EFs[[#This Row],[XLOOKUP?]],_xlfn.XLOOKUP(calcs_EFs[[#This Row],[EF ID]],EF_DB_short[EF ID],EF_DB_short[EF (kgCO2e/unit)])*calcs_EFs[[#This Row],[Conversion]],calcs_EFs[[#This Row],[Manual Value]])</f>
        <v>7500</v>
      </c>
    </row>
    <row r="80" spans="1:8">
      <c r="A80" t="s">
        <v>3</v>
      </c>
      <c r="B80" t="s">
        <v>132</v>
      </c>
      <c r="C80" t="s">
        <v>108</v>
      </c>
      <c r="D80" t="s">
        <v>390</v>
      </c>
      <c r="E80" s="3" cm="1">
        <f t="array" ref="E80">_xlfn.IFS(OR(calcs_EFs[[#This Row],[Unit]]="miles",calcs_EFs[[#This Row],[Unit]]="car miles"),CONVERT(1, "mi","km"),TRUE,1)</f>
        <v>1</v>
      </c>
      <c r="F80" s="3" t="b">
        <v>1</v>
      </c>
      <c r="G80" s="3"/>
      <c r="H80" s="5">
        <f>IF(calcs_EFs[[#This Row],[XLOOKUP?]],_xlfn.XLOOKUP(calcs_EFs[[#This Row],[EF ID]],EF_DB_short[EF ID],EF_DB_short[EF (kgCO2e/unit)])*calcs_EFs[[#This Row],[Conversion]],calcs_EFs[[#This Row],[Manual Value]])</f>
        <v>10300</v>
      </c>
    </row>
    <row r="81" spans="1:8">
      <c r="A81" t="s">
        <v>3</v>
      </c>
      <c r="B81" t="s">
        <v>278</v>
      </c>
      <c r="C81" t="s">
        <v>108</v>
      </c>
      <c r="D81" t="s">
        <v>279</v>
      </c>
      <c r="E81" s="3" cm="1">
        <f t="array" ref="E81">_xlfn.IFS(OR(calcs_EFs[[#This Row],[Unit]]="miles",calcs_EFs[[#This Row],[Unit]]="car miles"),CONVERT(1, "mi","km"),TRUE,1)</f>
        <v>1</v>
      </c>
      <c r="F81" s="3" t="b">
        <v>1</v>
      </c>
      <c r="G81" s="3"/>
      <c r="H81" s="5">
        <f>IF(calcs_EFs[[#This Row],[XLOOKUP?]],_xlfn.XLOOKUP(calcs_EFs[[#This Row],[EF ID]],EF_DB_short[EF ID],EF_DB_short[EF (kgCO2e/unit)])*calcs_EFs[[#This Row],[Conversion]],calcs_EFs[[#This Row],[Manual Value]])</f>
        <v>1</v>
      </c>
    </row>
    <row r="82" spans="1:8">
      <c r="A82" t="s">
        <v>3</v>
      </c>
      <c r="B82" t="s">
        <v>276</v>
      </c>
      <c r="C82" t="s">
        <v>108</v>
      </c>
      <c r="D82" t="s">
        <v>277</v>
      </c>
      <c r="E82" s="3" cm="1">
        <f t="array" ref="E82">_xlfn.IFS(OR(calcs_EFs[[#This Row],[Unit]]="miles",calcs_EFs[[#This Row],[Unit]]="car miles"),CONVERT(1, "mi","km"),TRUE,1)</f>
        <v>1</v>
      </c>
      <c r="F82" s="3" t="b">
        <v>1</v>
      </c>
      <c r="G82" s="3"/>
      <c r="H82" s="5">
        <f>IF(calcs_EFs[[#This Row],[XLOOKUP?]],_xlfn.XLOOKUP(calcs_EFs[[#This Row],[EF ID]],EF_DB_short[EF ID],EF_DB_short[EF (kgCO2e/unit)])*calcs_EFs[[#This Row],[Conversion]],calcs_EFs[[#This Row],[Manual Value]])</f>
        <v>1</v>
      </c>
    </row>
    <row r="83" spans="1:8">
      <c r="A83" t="s">
        <v>3</v>
      </c>
      <c r="B83" t="s">
        <v>280</v>
      </c>
      <c r="C83" t="s">
        <v>108</v>
      </c>
      <c r="D83" t="s">
        <v>281</v>
      </c>
      <c r="E83" s="3" cm="1">
        <f t="array" ref="E83">_xlfn.IFS(OR(calcs_EFs[[#This Row],[Unit]]="miles",calcs_EFs[[#This Row],[Unit]]="car miles"),CONVERT(1, "mi","km"),TRUE,1)</f>
        <v>1</v>
      </c>
      <c r="F83" s="3" t="b">
        <v>1</v>
      </c>
      <c r="G83" s="3"/>
      <c r="H83" s="5">
        <f>IF(calcs_EFs[[#This Row],[XLOOKUP?]],_xlfn.XLOOKUP(calcs_EFs[[#This Row],[EF ID]],EF_DB_short[EF ID],EF_DB_short[EF (kgCO2e/unit)])*calcs_EFs[[#This Row],[Conversion]],calcs_EFs[[#This Row],[Manual Value]])</f>
        <v>2</v>
      </c>
    </row>
    <row r="84" spans="1:8">
      <c r="A84" t="s">
        <v>3</v>
      </c>
      <c r="B84" t="s">
        <v>282</v>
      </c>
      <c r="C84" t="s">
        <v>108</v>
      </c>
      <c r="D84" t="s">
        <v>283</v>
      </c>
      <c r="E84" s="3" cm="1">
        <f t="array" ref="E84">_xlfn.IFS(OR(calcs_EFs[[#This Row],[Unit]]="miles",calcs_EFs[[#This Row],[Unit]]="car miles"),CONVERT(1, "mi","km"),TRUE,1)</f>
        <v>1</v>
      </c>
      <c r="F84" s="3" t="b">
        <v>1</v>
      </c>
      <c r="G84" s="3"/>
      <c r="H84" s="5">
        <f>IF(calcs_EFs[[#This Row],[XLOOKUP?]],_xlfn.XLOOKUP(calcs_EFs[[#This Row],[EF ID]],EF_DB_short[EF ID],EF_DB_short[EF (kgCO2e/unit)])*calcs_EFs[[#This Row],[Conversion]],calcs_EFs[[#This Row],[Manual Value]])</f>
        <v>6</v>
      </c>
    </row>
    <row r="85" spans="1:8">
      <c r="A85" t="s">
        <v>3</v>
      </c>
      <c r="B85" t="s">
        <v>125</v>
      </c>
      <c r="C85" t="s">
        <v>108</v>
      </c>
      <c r="D85" t="s">
        <v>291</v>
      </c>
      <c r="E85" s="3" cm="1">
        <f t="array" ref="E85">_xlfn.IFS(OR(calcs_EFs[[#This Row],[Unit]]="miles",calcs_EFs[[#This Row],[Unit]]="car miles"),CONVERT(1, "mi","km"),TRUE,1)</f>
        <v>1</v>
      </c>
      <c r="F85" s="3" t="b">
        <v>1</v>
      </c>
      <c r="G85" s="3"/>
      <c r="H85" s="5">
        <f>IF(calcs_EFs[[#This Row],[XLOOKUP?]],_xlfn.XLOOKUP(calcs_EFs[[#This Row],[EF ID]],EF_DB_short[EF ID],EF_DB_short[EF (kgCO2e/unit)])*calcs_EFs[[#This Row],[Conversion]],calcs_EFs[[#This Row],[Manual Value]])</f>
        <v>3</v>
      </c>
    </row>
    <row r="86" spans="1:8">
      <c r="A86" t="s">
        <v>3</v>
      </c>
      <c r="B86" t="s">
        <v>215</v>
      </c>
      <c r="C86" t="s">
        <v>108</v>
      </c>
      <c r="D86" t="s">
        <v>228</v>
      </c>
      <c r="E86" s="3" cm="1">
        <f t="array" ref="E86">_xlfn.IFS(OR(calcs_EFs[[#This Row],[Unit]]="miles",calcs_EFs[[#This Row],[Unit]]="car miles"),CONVERT(1, "mi","km"),TRUE,1)</f>
        <v>1</v>
      </c>
      <c r="F86" s="3" t="b">
        <v>1</v>
      </c>
      <c r="G86" s="3"/>
      <c r="H86" s="5">
        <f>IF(calcs_EFs[[#This Row],[XLOOKUP?]],_xlfn.XLOOKUP(calcs_EFs[[#This Row],[EF ID]],EF_DB_short[EF ID],EF_DB_short[EF (kgCO2e/unit)])*calcs_EFs[[#This Row],[Conversion]],calcs_EFs[[#This Row],[Manual Value]])</f>
        <v>1182</v>
      </c>
    </row>
    <row r="87" spans="1:8">
      <c r="A87" t="s">
        <v>3</v>
      </c>
      <c r="B87" t="s">
        <v>226</v>
      </c>
      <c r="C87" t="s">
        <v>108</v>
      </c>
      <c r="D87" t="s">
        <v>227</v>
      </c>
      <c r="E87" s="3" cm="1">
        <f t="array" ref="E87">_xlfn.IFS(OR(calcs_EFs[[#This Row],[Unit]]="miles",calcs_EFs[[#This Row],[Unit]]="car miles"),CONVERT(1, "mi","km"),TRUE,1)</f>
        <v>1</v>
      </c>
      <c r="F87" s="3" t="b">
        <v>1</v>
      </c>
      <c r="G87" s="3"/>
      <c r="H87" s="5">
        <f>IF(calcs_EFs[[#This Row],[XLOOKUP?]],_xlfn.XLOOKUP(calcs_EFs[[#This Row],[EF ID]],EF_DB_short[EF ID],EF_DB_short[EF (kgCO2e/unit)])*calcs_EFs[[#This Row],[Conversion]],calcs_EFs[[#This Row],[Manual Value]])</f>
        <v>1288</v>
      </c>
    </row>
    <row r="88" spans="1:8">
      <c r="A88" t="s">
        <v>3</v>
      </c>
      <c r="B88" t="s">
        <v>224</v>
      </c>
      <c r="C88" t="s">
        <v>108</v>
      </c>
      <c r="D88" t="s">
        <v>225</v>
      </c>
      <c r="E88" s="3" cm="1">
        <f t="array" ref="E88">_xlfn.IFS(OR(calcs_EFs[[#This Row],[Unit]]="miles",calcs_EFs[[#This Row],[Unit]]="car miles"),CONVERT(1, "mi","km"),TRUE,1)</f>
        <v>1</v>
      </c>
      <c r="F88" s="3" t="b">
        <v>1</v>
      </c>
      <c r="G88" s="3"/>
      <c r="H88" s="5">
        <f>IF(calcs_EFs[[#This Row],[XLOOKUP?]],_xlfn.XLOOKUP(calcs_EFs[[#This Row],[EF ID]],EF_DB_short[EF ID],EF_DB_short[EF (kgCO2e/unit)])*calcs_EFs[[#This Row],[Conversion]],calcs_EFs[[#This Row],[Manual Value]])</f>
        <v>933</v>
      </c>
    </row>
    <row r="89" spans="1:8">
      <c r="A89" t="s">
        <v>3</v>
      </c>
      <c r="B89" t="s">
        <v>223</v>
      </c>
      <c r="C89" t="s">
        <v>108</v>
      </c>
      <c r="D89" t="s">
        <v>229</v>
      </c>
      <c r="E89" s="3" cm="1">
        <f t="array" ref="E89">_xlfn.IFS(OR(calcs_EFs[[#This Row],[Unit]]="miles",calcs_EFs[[#This Row],[Unit]]="car miles"),CONVERT(1, "mi","km"),TRUE,1)</f>
        <v>1</v>
      </c>
      <c r="F89" s="3" t="b">
        <v>1</v>
      </c>
      <c r="G89" s="3"/>
      <c r="H89" s="5">
        <f>IF(calcs_EFs[[#This Row],[XLOOKUP?]],_xlfn.XLOOKUP(calcs_EFs[[#This Row],[EF ID]],EF_DB_short[EF ID],EF_DB_short[EF (kgCO2e/unit)])*calcs_EFs[[#This Row],[Conversion]],calcs_EFs[[#This Row],[Manual Value]])</f>
        <v>2788</v>
      </c>
    </row>
    <row r="90" spans="1:8">
      <c r="A90" t="s">
        <v>3</v>
      </c>
      <c r="B90" t="s">
        <v>221</v>
      </c>
      <c r="C90" t="s">
        <v>108</v>
      </c>
      <c r="D90" t="s">
        <v>222</v>
      </c>
      <c r="E90" s="3" cm="1">
        <f t="array" ref="E90">_xlfn.IFS(OR(calcs_EFs[[#This Row],[Unit]]="miles",calcs_EFs[[#This Row],[Unit]]="car miles"),CONVERT(1, "mi","km"),TRUE,1)</f>
        <v>1</v>
      </c>
      <c r="F90" s="3" t="b">
        <v>1</v>
      </c>
      <c r="G90" s="3"/>
      <c r="H90" s="5">
        <f>IF(calcs_EFs[[#This Row],[XLOOKUP?]],_xlfn.XLOOKUP(calcs_EFs[[#This Row],[EF ID]],EF_DB_short[EF ID],EF_DB_short[EF (kgCO2e/unit)])*calcs_EFs[[#This Row],[Conversion]],calcs_EFs[[#This Row],[Manual Value]])</f>
        <v>2416</v>
      </c>
    </row>
    <row r="91" spans="1:8">
      <c r="A91" t="s">
        <v>3</v>
      </c>
      <c r="B91" t="s">
        <v>219</v>
      </c>
      <c r="C91" t="s">
        <v>108</v>
      </c>
      <c r="D91" t="s">
        <v>220</v>
      </c>
      <c r="E91" s="3" cm="1">
        <f t="array" ref="E91">_xlfn.IFS(OR(calcs_EFs[[#This Row],[Unit]]="miles",calcs_EFs[[#This Row],[Unit]]="car miles"),CONVERT(1, "mi","km"),TRUE,1)</f>
        <v>1</v>
      </c>
      <c r="F91" s="3" t="b">
        <v>1</v>
      </c>
      <c r="G91" s="3"/>
      <c r="H91" s="5">
        <f>IF(calcs_EFs[[#This Row],[XLOOKUP?]],_xlfn.XLOOKUP(calcs_EFs[[#This Row],[EF ID]],EF_DB_short[EF ID],EF_DB_short[EF (kgCO2e/unit)])*calcs_EFs[[#This Row],[Conversion]],calcs_EFs[[#This Row],[Manual Value]])</f>
        <v>3124</v>
      </c>
    </row>
    <row r="92" spans="1:8">
      <c r="A92" t="s">
        <v>3</v>
      </c>
      <c r="B92" t="s">
        <v>217</v>
      </c>
      <c r="C92" t="s">
        <v>108</v>
      </c>
      <c r="D92" t="s">
        <v>218</v>
      </c>
      <c r="E92" s="3" cm="1">
        <f t="array" ref="E92">_xlfn.IFS(OR(calcs_EFs[[#This Row],[Unit]]="miles",calcs_EFs[[#This Row],[Unit]]="car miles"),CONVERT(1, "mi","km"),TRUE,1)</f>
        <v>1</v>
      </c>
      <c r="F92" s="3" t="b">
        <v>1</v>
      </c>
      <c r="G92" s="3"/>
      <c r="H92" s="5">
        <f>IF(calcs_EFs[[#This Row],[XLOOKUP?]],_xlfn.XLOOKUP(calcs_EFs[[#This Row],[EF ID]],EF_DB_short[EF ID],EF_DB_short[EF (kgCO2e/unit)])*calcs_EFs[[#This Row],[Conversion]],calcs_EFs[[#This Row],[Manual Value]])</f>
        <v>4457</v>
      </c>
    </row>
    <row r="93" spans="1:8">
      <c r="A93" t="s">
        <v>3</v>
      </c>
      <c r="B93" t="s">
        <v>175</v>
      </c>
      <c r="C93" t="s">
        <v>108</v>
      </c>
      <c r="D93" t="s">
        <v>216</v>
      </c>
      <c r="E93" s="3" cm="1">
        <f t="array" ref="E93">_xlfn.IFS(OR(calcs_EFs[[#This Row],[Unit]]="miles",calcs_EFs[[#This Row],[Unit]]="car miles"),CONVERT(1, "mi","km"),TRUE,1)</f>
        <v>1</v>
      </c>
      <c r="F93" s="3" t="b">
        <v>1</v>
      </c>
      <c r="G93" s="3"/>
      <c r="H93" s="5">
        <f>IF(calcs_EFs[[#This Row],[XLOOKUP?]],_xlfn.XLOOKUP(calcs_EFs[[#This Row],[EF ID]],EF_DB_short[EF ID],EF_DB_short[EF (kgCO2e/unit)])*calcs_EFs[[#This Row],[Conversion]],calcs_EFs[[#This Row],[Manual Value]])</f>
        <v>3922</v>
      </c>
    </row>
    <row r="94" spans="1:8">
      <c r="A94" t="s">
        <v>3</v>
      </c>
      <c r="B94" t="s">
        <v>201</v>
      </c>
      <c r="C94" t="s">
        <v>108</v>
      </c>
      <c r="D94" t="s">
        <v>202</v>
      </c>
      <c r="E94" s="3" cm="1">
        <f t="array" ref="E94">_xlfn.IFS(OR(calcs_EFs[[#This Row],[Unit]]="miles",calcs_EFs[[#This Row],[Unit]]="car miles"),CONVERT(1, "mi","km"),TRUE,1)</f>
        <v>1</v>
      </c>
      <c r="F94" s="3" t="b">
        <v>1</v>
      </c>
      <c r="G94" s="3"/>
      <c r="H94" s="5">
        <f>IF(calcs_EFs[[#This Row],[XLOOKUP?]],_xlfn.XLOOKUP(calcs_EFs[[#This Row],[EF ID]],EF_DB_short[EF ID],EF_DB_short[EF (kgCO2e/unit)])*calcs_EFs[[#This Row],[Conversion]],calcs_EFs[[#This Row],[Manual Value]])</f>
        <v>4716</v>
      </c>
    </row>
    <row r="95" spans="1:8">
      <c r="A95" t="s">
        <v>3</v>
      </c>
      <c r="B95" t="s">
        <v>131</v>
      </c>
      <c r="C95" t="s">
        <v>108</v>
      </c>
      <c r="D95" t="s">
        <v>200</v>
      </c>
      <c r="E95" s="3" cm="1">
        <f t="array" ref="E95">_xlfn.IFS(OR(calcs_EFs[[#This Row],[Unit]]="miles",calcs_EFs[[#This Row],[Unit]]="car miles"),CONVERT(1, "mi","km"),TRUE,1)</f>
        <v>1</v>
      </c>
      <c r="F95" s="3" t="b">
        <v>1</v>
      </c>
      <c r="G95" s="3"/>
      <c r="H95" s="5">
        <f>IF(calcs_EFs[[#This Row],[XLOOKUP?]],_xlfn.XLOOKUP(calcs_EFs[[#This Row],[EF ID]],EF_DB_short[EF ID],EF_DB_short[EF (kgCO2e/unit)])*calcs_EFs[[#This Row],[Conversion]],calcs_EFs[[#This Row],[Manual Value]])</f>
        <v>1943</v>
      </c>
    </row>
    <row r="96" spans="1:8">
      <c r="A96" t="s">
        <v>3</v>
      </c>
      <c r="B96" t="s">
        <v>181</v>
      </c>
      <c r="C96" t="s">
        <v>108</v>
      </c>
      <c r="D96" t="s">
        <v>199</v>
      </c>
      <c r="E96" s="3" cm="1">
        <f t="array" ref="E96">_xlfn.IFS(OR(calcs_EFs[[#This Row],[Unit]]="miles",calcs_EFs[[#This Row],[Unit]]="car miles"),CONVERT(1, "mi","km"),TRUE,1)</f>
        <v>1</v>
      </c>
      <c r="F96" s="3" t="b">
        <v>1</v>
      </c>
      <c r="G96" s="3"/>
      <c r="H96" s="5">
        <f>IF(calcs_EFs[[#This Row],[XLOOKUP?]],_xlfn.XLOOKUP(calcs_EFs[[#This Row],[EF ID]],EF_DB_short[EF ID],EF_DB_short[EF (kgCO2e/unit)])*calcs_EFs[[#This Row],[Conversion]],calcs_EFs[[#This Row],[Manual Value]])</f>
        <v>2107</v>
      </c>
    </row>
    <row r="97" spans="1:8">
      <c r="A97" t="s">
        <v>3</v>
      </c>
      <c r="B97" t="s">
        <v>197</v>
      </c>
      <c r="C97" t="s">
        <v>108</v>
      </c>
      <c r="D97" t="s">
        <v>198</v>
      </c>
      <c r="E97" s="3" cm="1">
        <f t="array" ref="E97">_xlfn.IFS(OR(calcs_EFs[[#This Row],[Unit]]="miles",calcs_EFs[[#This Row],[Unit]]="car miles"),CONVERT(1, "mi","km"),TRUE,1)</f>
        <v>1</v>
      </c>
      <c r="F97" s="3" t="b">
        <v>1</v>
      </c>
      <c r="G97" s="3"/>
      <c r="H97" s="5">
        <f>IF(calcs_EFs[[#This Row],[XLOOKUP?]],_xlfn.XLOOKUP(calcs_EFs[[#This Row],[EF ID]],EF_DB_short[EF ID],EF_DB_short[EF (kgCO2e/unit)])*calcs_EFs[[#This Row],[Conversion]],calcs_EFs[[#This Row],[Manual Value]])</f>
        <v>2804</v>
      </c>
    </row>
    <row r="98" spans="1:8">
      <c r="A98" t="s">
        <v>3</v>
      </c>
      <c r="B98" t="s">
        <v>183</v>
      </c>
      <c r="C98" t="s">
        <v>108</v>
      </c>
      <c r="D98" t="s">
        <v>196</v>
      </c>
      <c r="E98" s="3" cm="1">
        <f t="array" ref="E98">_xlfn.IFS(OR(calcs_EFs[[#This Row],[Unit]]="miles",calcs_EFs[[#This Row],[Unit]]="car miles"),CONVERT(1, "mi","km"),TRUE,1)</f>
        <v>1</v>
      </c>
      <c r="F98" s="3" t="b">
        <v>1</v>
      </c>
      <c r="G98" s="3"/>
      <c r="H98" s="5">
        <f>IF(calcs_EFs[[#This Row],[XLOOKUP?]],_xlfn.XLOOKUP(calcs_EFs[[#This Row],[EF ID]],EF_DB_short[EF ID],EF_DB_short[EF (kgCO2e/unit)])*calcs_EFs[[#This Row],[Conversion]],calcs_EFs[[#This Row],[Manual Value]])</f>
        <v>1774</v>
      </c>
    </row>
    <row r="99" spans="1:8">
      <c r="A99" t="s">
        <v>3</v>
      </c>
      <c r="B99" t="s">
        <v>194</v>
      </c>
      <c r="C99" t="s">
        <v>108</v>
      </c>
      <c r="D99" t="s">
        <v>195</v>
      </c>
      <c r="E99" s="3" cm="1">
        <f t="array" ref="E99">_xlfn.IFS(OR(calcs_EFs[[#This Row],[Unit]]="miles",calcs_EFs[[#This Row],[Unit]]="car miles"),CONVERT(1, "mi","km"),TRUE,1)</f>
        <v>1</v>
      </c>
      <c r="F99" s="3" t="b">
        <v>1</v>
      </c>
      <c r="G99" s="3"/>
      <c r="H99" s="5">
        <f>IF(calcs_EFs[[#This Row],[XLOOKUP?]],_xlfn.XLOOKUP(calcs_EFs[[#This Row],[EF ID]],EF_DB_short[EF ID],EF_DB_short[EF (kgCO2e/unit)])*calcs_EFs[[#This Row],[Conversion]],calcs_EFs[[#This Row],[Manual Value]])</f>
        <v>1627</v>
      </c>
    </row>
    <row r="100" spans="1:8">
      <c r="A100" t="s">
        <v>3</v>
      </c>
      <c r="B100" t="s">
        <v>192</v>
      </c>
      <c r="C100" t="s">
        <v>108</v>
      </c>
      <c r="D100" t="s">
        <v>193</v>
      </c>
      <c r="E100" s="3" cm="1">
        <f t="array" ref="E100">_xlfn.IFS(OR(calcs_EFs[[#This Row],[Unit]]="miles",calcs_EFs[[#This Row],[Unit]]="car miles"),CONVERT(1, "mi","km"),TRUE,1)</f>
        <v>1</v>
      </c>
      <c r="F100" s="3" t="b">
        <v>1</v>
      </c>
      <c r="G100" s="3"/>
      <c r="H100" s="5">
        <f>IF(calcs_EFs[[#This Row],[XLOOKUP?]],_xlfn.XLOOKUP(calcs_EFs[[#This Row],[EF ID]],EF_DB_short[EF ID],EF_DB_short[EF (kgCO2e/unit)])*calcs_EFs[[#This Row],[Conversion]],calcs_EFs[[#This Row],[Manual Value]])</f>
        <v>1552</v>
      </c>
    </row>
    <row r="101" spans="1:8">
      <c r="A101" t="s">
        <v>3</v>
      </c>
      <c r="B101" t="s">
        <v>182</v>
      </c>
      <c r="C101" t="s">
        <v>108</v>
      </c>
      <c r="D101" t="s">
        <v>232</v>
      </c>
      <c r="E101" s="3" cm="1">
        <f t="array" ref="E101">_xlfn.IFS(OR(calcs_EFs[[#This Row],[Unit]]="miles",calcs_EFs[[#This Row],[Unit]]="car miles"),CONVERT(1, "mi","km"),TRUE,1)</f>
        <v>1</v>
      </c>
      <c r="F101" s="3" t="b">
        <v>1</v>
      </c>
      <c r="G101" s="3"/>
      <c r="H101" s="5">
        <f>IF(calcs_EFs[[#This Row],[XLOOKUP?]],_xlfn.XLOOKUP(calcs_EFs[[#This Row],[EF ID]],EF_DB_short[EF ID],EF_DB_short[EF (kgCO2e/unit)])*calcs_EFs[[#This Row],[Conversion]],calcs_EFs[[#This Row],[Manual Value]])</f>
        <v>1825</v>
      </c>
    </row>
    <row r="102" spans="1:8">
      <c r="A102" t="s">
        <v>3</v>
      </c>
      <c r="B102" t="s">
        <v>169</v>
      </c>
      <c r="C102" t="s">
        <v>108</v>
      </c>
      <c r="D102" t="s">
        <v>231</v>
      </c>
      <c r="E102" s="3" cm="1">
        <f t="array" ref="E102">_xlfn.IFS(OR(calcs_EFs[[#This Row],[Unit]]="miles",calcs_EFs[[#This Row],[Unit]]="car miles"),CONVERT(1, "mi","km"),TRUE,1)</f>
        <v>1</v>
      </c>
      <c r="F102" s="3" t="b">
        <v>1</v>
      </c>
      <c r="G102" s="3"/>
      <c r="H102" s="5">
        <f>IF(calcs_EFs[[#This Row],[XLOOKUP?]],_xlfn.XLOOKUP(calcs_EFs[[#This Row],[EF ID]],EF_DB_short[EF ID],EF_DB_short[EF (kgCO2e/unit)])*calcs_EFs[[#This Row],[Conversion]],calcs_EFs[[#This Row],[Manual Value]])</f>
        <v>3152</v>
      </c>
    </row>
    <row r="103" spans="1:8">
      <c r="A103" t="s">
        <v>3</v>
      </c>
      <c r="B103" t="s">
        <v>129</v>
      </c>
      <c r="C103" t="s">
        <v>108</v>
      </c>
      <c r="D103" t="s">
        <v>233</v>
      </c>
      <c r="E103" s="3" cm="1">
        <f t="array" ref="E103">_xlfn.IFS(OR(calcs_EFs[[#This Row],[Unit]]="miles",calcs_EFs[[#This Row],[Unit]]="car miles"),CONVERT(1, "mi","km"),TRUE,1)</f>
        <v>1</v>
      </c>
      <c r="F103" s="3" t="b">
        <v>1</v>
      </c>
      <c r="G103" s="3"/>
      <c r="H103" s="5">
        <f>IF(calcs_EFs[[#This Row],[XLOOKUP?]],_xlfn.XLOOKUP(calcs_EFs[[#This Row],[EF ID]],EF_DB_short[EF ID],EF_DB_short[EF (kgCO2e/unit)])*calcs_EFs[[#This Row],[Conversion]],calcs_EFs[[#This Row],[Manual Value]])</f>
        <v>1585</v>
      </c>
    </row>
    <row r="104" spans="1:8">
      <c r="A104" t="s">
        <v>3</v>
      </c>
      <c r="B104" t="s">
        <v>234</v>
      </c>
      <c r="C104" t="s">
        <v>108</v>
      </c>
      <c r="D104" t="s">
        <v>235</v>
      </c>
      <c r="E104" s="3" cm="1">
        <f t="array" ref="E104">_xlfn.IFS(OR(calcs_EFs[[#This Row],[Unit]]="miles",calcs_EFs[[#This Row],[Unit]]="car miles"),CONVERT(1, "mi","km"),TRUE,1)</f>
        <v>1</v>
      </c>
      <c r="F104" s="3" t="b">
        <v>1</v>
      </c>
      <c r="G104" s="3"/>
      <c r="H104" s="5">
        <f>IF(calcs_EFs[[#This Row],[XLOOKUP?]],_xlfn.XLOOKUP(calcs_EFs[[#This Row],[EF ID]],EF_DB_short[EF ID],EF_DB_short[EF (kgCO2e/unit)])*calcs_EFs[[#This Row],[Conversion]],calcs_EFs[[#This Row],[Manual Value]])</f>
        <v>1560</v>
      </c>
    </row>
    <row r="105" spans="1:8">
      <c r="A105" t="s">
        <v>3</v>
      </c>
      <c r="B105" t="s">
        <v>168</v>
      </c>
      <c r="C105" t="s">
        <v>108</v>
      </c>
      <c r="D105" t="s">
        <v>253</v>
      </c>
      <c r="E105" s="3" cm="1">
        <f t="array" ref="E105">_xlfn.IFS(OR(calcs_EFs[[#This Row],[Unit]]="miles",calcs_EFs[[#This Row],[Unit]]="car miles"),CONVERT(1, "mi","km"),TRUE,1)</f>
        <v>1</v>
      </c>
      <c r="F105" s="3" t="b">
        <v>1</v>
      </c>
      <c r="G105" s="3"/>
      <c r="H105" s="5">
        <f>IF(calcs_EFs[[#This Row],[XLOOKUP?]],_xlfn.XLOOKUP(calcs_EFs[[#This Row],[EF ID]],EF_DB_short[EF ID],EF_DB_short[EF (kgCO2e/unit)])*calcs_EFs[[#This Row],[Conversion]],calcs_EFs[[#This Row],[Manual Value]])</f>
        <v>2088</v>
      </c>
    </row>
    <row r="106" spans="1:8">
      <c r="A106" t="s">
        <v>3</v>
      </c>
      <c r="B106" t="s">
        <v>251</v>
      </c>
      <c r="C106" t="s">
        <v>108</v>
      </c>
      <c r="D106" t="s">
        <v>252</v>
      </c>
      <c r="E106" s="3" cm="1">
        <f t="array" ref="E106">_xlfn.IFS(OR(calcs_EFs[[#This Row],[Unit]]="miles",calcs_EFs[[#This Row],[Unit]]="car miles"),CONVERT(1, "mi","km"),TRUE,1)</f>
        <v>1</v>
      </c>
      <c r="F106" s="3" t="b">
        <v>1</v>
      </c>
      <c r="G106" s="3"/>
      <c r="H106" s="5">
        <f>IF(calcs_EFs[[#This Row],[XLOOKUP?]],_xlfn.XLOOKUP(calcs_EFs[[#This Row],[EF ID]],EF_DB_short[EF ID],EF_DB_short[EF (kgCO2e/unit)])*calcs_EFs[[#This Row],[Conversion]],calcs_EFs[[#This Row],[Manual Value]])</f>
        <v>2229</v>
      </c>
    </row>
    <row r="107" spans="1:8">
      <c r="A107" t="s">
        <v>3</v>
      </c>
      <c r="B107" t="s">
        <v>249</v>
      </c>
      <c r="C107" t="s">
        <v>108</v>
      </c>
      <c r="D107" t="s">
        <v>250</v>
      </c>
      <c r="E107" s="3" cm="1">
        <f t="array" ref="E107">_xlfn.IFS(OR(calcs_EFs[[#This Row],[Unit]]="miles",calcs_EFs[[#This Row],[Unit]]="car miles"),CONVERT(1, "mi","km"),TRUE,1)</f>
        <v>1</v>
      </c>
      <c r="F107" s="3" t="b">
        <v>1</v>
      </c>
      <c r="G107" s="3"/>
      <c r="H107" s="5">
        <f>IF(calcs_EFs[[#This Row],[XLOOKUP?]],_xlfn.XLOOKUP(calcs_EFs[[#This Row],[EF ID]],EF_DB_short[EF ID],EF_DB_short[EF (kgCO2e/unit)])*calcs_EFs[[#This Row],[Conversion]],calcs_EFs[[#This Row],[Manual Value]])</f>
        <v>1597</v>
      </c>
    </row>
    <row r="108" spans="1:8">
      <c r="A108" t="s">
        <v>3</v>
      </c>
      <c r="B108" t="s">
        <v>247</v>
      </c>
      <c r="C108" t="s">
        <v>108</v>
      </c>
      <c r="D108" t="s">
        <v>248</v>
      </c>
      <c r="E108" s="3" cm="1">
        <f t="array" ref="E108">_xlfn.IFS(OR(calcs_EFs[[#This Row],[Unit]]="miles",calcs_EFs[[#This Row],[Unit]]="car miles"),CONVERT(1, "mi","km"),TRUE,1)</f>
        <v>1</v>
      </c>
      <c r="F108" s="3" t="b">
        <v>1</v>
      </c>
      <c r="G108" s="3"/>
      <c r="H108" s="5">
        <f>IF(calcs_EFs[[#This Row],[XLOOKUP?]],_xlfn.XLOOKUP(calcs_EFs[[#This Row],[EF ID]],EF_DB_short[EF ID],EF_DB_short[EF (kgCO2e/unit)])*calcs_EFs[[#This Row],[Conversion]],calcs_EFs[[#This Row],[Manual Value]])</f>
        <v>1705</v>
      </c>
    </row>
    <row r="109" spans="1:8">
      <c r="A109" t="s">
        <v>3</v>
      </c>
      <c r="B109" t="s">
        <v>245</v>
      </c>
      <c r="C109" t="s">
        <v>108</v>
      </c>
      <c r="D109" t="s">
        <v>246</v>
      </c>
      <c r="E109" s="3" cm="1">
        <f t="array" ref="E109">_xlfn.IFS(OR(calcs_EFs[[#This Row],[Unit]]="miles",calcs_EFs[[#This Row],[Unit]]="car miles"),CONVERT(1, "mi","km"),TRUE,1)</f>
        <v>1</v>
      </c>
      <c r="F109" s="3" t="b">
        <v>1</v>
      </c>
      <c r="G109" s="3"/>
      <c r="H109" s="5">
        <f>IF(calcs_EFs[[#This Row],[XLOOKUP?]],_xlfn.XLOOKUP(calcs_EFs[[#This Row],[EF ID]],EF_DB_short[EF ID],EF_DB_short[EF (kgCO2e/unit)])*calcs_EFs[[#This Row],[Conversion]],calcs_EFs[[#This Row],[Manual Value]])</f>
        <v>2286</v>
      </c>
    </row>
    <row r="110" spans="1:8">
      <c r="A110" t="s">
        <v>3</v>
      </c>
      <c r="B110" t="s">
        <v>243</v>
      </c>
      <c r="C110" t="s">
        <v>108</v>
      </c>
      <c r="D110" t="s">
        <v>244</v>
      </c>
      <c r="E110" s="3" cm="1">
        <f t="array" ref="E110">_xlfn.IFS(OR(calcs_EFs[[#This Row],[Unit]]="miles",calcs_EFs[[#This Row],[Unit]]="car miles"),CONVERT(1, "mi","km"),TRUE,1)</f>
        <v>1</v>
      </c>
      <c r="F110" s="3" t="b">
        <v>1</v>
      </c>
      <c r="G110" s="3"/>
      <c r="H110" s="5">
        <f>IF(calcs_EFs[[#This Row],[XLOOKUP?]],_xlfn.XLOOKUP(calcs_EFs[[#This Row],[EF ID]],EF_DB_short[EF ID],EF_DB_short[EF (kgCO2e/unit)])*calcs_EFs[[#This Row],[Conversion]],calcs_EFs[[#This Row],[Manual Value]])</f>
        <v>2053</v>
      </c>
    </row>
    <row r="111" spans="1:8">
      <c r="A111" t="s">
        <v>3</v>
      </c>
      <c r="B111" t="s">
        <v>241</v>
      </c>
      <c r="C111" t="s">
        <v>108</v>
      </c>
      <c r="D111" t="s">
        <v>242</v>
      </c>
      <c r="E111" s="3" cm="1">
        <f t="array" ref="E111">_xlfn.IFS(OR(calcs_EFs[[#This Row],[Unit]]="miles",calcs_EFs[[#This Row],[Unit]]="car miles"),CONVERT(1, "mi","km"),TRUE,1)</f>
        <v>1</v>
      </c>
      <c r="F111" s="3" t="b">
        <v>1</v>
      </c>
      <c r="G111" s="3"/>
      <c r="H111" s="5">
        <f>IF(calcs_EFs[[#This Row],[XLOOKUP?]],_xlfn.XLOOKUP(calcs_EFs[[#This Row],[EF ID]],EF_DB_short[EF ID],EF_DB_short[EF (kgCO2e/unit)])*calcs_EFs[[#This Row],[Conversion]],calcs_EFs[[#This Row],[Manual Value]])</f>
        <v>1478</v>
      </c>
    </row>
    <row r="112" spans="1:8">
      <c r="A112" t="s">
        <v>3</v>
      </c>
      <c r="B112" t="s">
        <v>239</v>
      </c>
      <c r="C112" t="s">
        <v>108</v>
      </c>
      <c r="D112" t="s">
        <v>240</v>
      </c>
      <c r="E112" s="3" cm="1">
        <f t="array" ref="E112">_xlfn.IFS(OR(calcs_EFs[[#This Row],[Unit]]="miles",calcs_EFs[[#This Row],[Unit]]="car miles"),CONVERT(1, "mi","km"),TRUE,1)</f>
        <v>1</v>
      </c>
      <c r="F112" s="3" t="b">
        <v>1</v>
      </c>
      <c r="G112" s="3"/>
      <c r="H112" s="5">
        <f>IF(calcs_EFs[[#This Row],[XLOOKUP?]],_xlfn.XLOOKUP(calcs_EFs[[#This Row],[EF ID]],EF_DB_short[EF ID],EF_DB_short[EF (kgCO2e/unit)])*calcs_EFs[[#This Row],[Conversion]],calcs_EFs[[#This Row],[Manual Value]])</f>
        <v>1362</v>
      </c>
    </row>
    <row r="113" spans="1:8">
      <c r="A113" t="s">
        <v>3</v>
      </c>
      <c r="B113" t="s">
        <v>237</v>
      </c>
      <c r="C113" t="s">
        <v>108</v>
      </c>
      <c r="D113" t="s">
        <v>238</v>
      </c>
      <c r="E113" s="3" cm="1">
        <f t="array" ref="E113">_xlfn.IFS(OR(calcs_EFs[[#This Row],[Unit]]="miles",calcs_EFs[[#This Row],[Unit]]="car miles"),CONVERT(1, "mi","km"),TRUE,1)</f>
        <v>1</v>
      </c>
      <c r="F113" s="3" t="b">
        <v>1</v>
      </c>
      <c r="G113" s="3"/>
      <c r="H113" s="5">
        <f>IF(calcs_EFs[[#This Row],[XLOOKUP?]],_xlfn.XLOOKUP(calcs_EFs[[#This Row],[EF ID]],EF_DB_short[EF ID],EF_DB_short[EF (kgCO2e/unit)])*calcs_EFs[[#This Row],[Conversion]],calcs_EFs[[#This Row],[Manual Value]])</f>
        <v>1507</v>
      </c>
    </row>
    <row r="114" spans="1:8">
      <c r="A114" t="s">
        <v>3</v>
      </c>
      <c r="B114" t="s">
        <v>236</v>
      </c>
      <c r="C114" t="s">
        <v>108</v>
      </c>
      <c r="D114" t="s">
        <v>274</v>
      </c>
      <c r="E114" s="3" cm="1">
        <f t="array" ref="E114">_xlfn.IFS(OR(calcs_EFs[[#This Row],[Unit]]="miles",calcs_EFs[[#This Row],[Unit]]="car miles"),CONVERT(1, "mi","km"),TRUE,1)</f>
        <v>1</v>
      </c>
      <c r="F114" s="3" t="b">
        <v>1</v>
      </c>
      <c r="G114" s="3"/>
      <c r="H114" s="5">
        <f>IF(calcs_EFs[[#This Row],[XLOOKUP?]],_xlfn.XLOOKUP(calcs_EFs[[#This Row],[EF ID]],EF_DB_short[EF ID],EF_DB_short[EF (kgCO2e/unit)])*calcs_EFs[[#This Row],[Conversion]],calcs_EFs[[#This Row],[Manual Value]])</f>
        <v>546</v>
      </c>
    </row>
    <row r="115" spans="1:8">
      <c r="A115" t="s">
        <v>3</v>
      </c>
      <c r="B115" t="s">
        <v>275</v>
      </c>
      <c r="C115" t="s">
        <v>108</v>
      </c>
      <c r="D115" t="s">
        <v>354</v>
      </c>
      <c r="E115" s="3" cm="1">
        <f t="array" ref="E115">_xlfn.IFS(OR(calcs_EFs[[#This Row],[Unit]]="miles",calcs_EFs[[#This Row],[Unit]]="car miles"),CONVERT(1, "mi","km"),TRUE,1)</f>
        <v>1</v>
      </c>
      <c r="F115" s="3" t="b">
        <v>1</v>
      </c>
      <c r="G115" s="3"/>
      <c r="H115" s="5">
        <f>IF(calcs_EFs[[#This Row],[XLOOKUP?]],_xlfn.XLOOKUP(calcs_EFs[[#This Row],[EF ID]],EF_DB_short[EF ID],EF_DB_short[EF (kgCO2e/unit)])*calcs_EFs[[#This Row],[Conversion]],calcs_EFs[[#This Row],[Manual Value]])</f>
        <v>1084</v>
      </c>
    </row>
    <row r="116" spans="1:8">
      <c r="A116" t="s">
        <v>3</v>
      </c>
      <c r="B116" t="s">
        <v>352</v>
      </c>
      <c r="C116" t="s">
        <v>108</v>
      </c>
      <c r="D116" t="s">
        <v>353</v>
      </c>
      <c r="E116" s="3" cm="1">
        <f t="array" ref="E116">_xlfn.IFS(OR(calcs_EFs[[#This Row],[Unit]]="miles",calcs_EFs[[#This Row],[Unit]]="car miles"),CONVERT(1, "mi","km"),TRUE,1)</f>
        <v>1</v>
      </c>
      <c r="F116" s="3" t="b">
        <v>1</v>
      </c>
      <c r="G116" s="3"/>
      <c r="H116" s="5">
        <f>IF(calcs_EFs[[#This Row],[XLOOKUP?]],_xlfn.XLOOKUP(calcs_EFs[[#This Row],[EF ID]],EF_DB_short[EF ID],EF_DB_short[EF (kgCO2e/unit)])*calcs_EFs[[#This Row],[Conversion]],calcs_EFs[[#This Row],[Manual Value]])</f>
        <v>2346</v>
      </c>
    </row>
    <row r="117" spans="1:8">
      <c r="A117" t="s">
        <v>3</v>
      </c>
      <c r="B117" t="s">
        <v>350</v>
      </c>
      <c r="C117" t="s">
        <v>108</v>
      </c>
      <c r="D117" t="s">
        <v>351</v>
      </c>
      <c r="E117" s="3" cm="1">
        <f t="array" ref="E117">_xlfn.IFS(OR(calcs_EFs[[#This Row],[Unit]]="miles",calcs_EFs[[#This Row],[Unit]]="car miles"),CONVERT(1, "mi","km"),TRUE,1)</f>
        <v>1</v>
      </c>
      <c r="F117" s="3" t="b">
        <v>1</v>
      </c>
      <c r="G117" s="3"/>
      <c r="H117" s="5">
        <f>IF(calcs_EFs[[#This Row],[XLOOKUP?]],_xlfn.XLOOKUP(calcs_EFs[[#This Row],[EF ID]],EF_DB_short[EF ID],EF_DB_short[EF (kgCO2e/unit)])*calcs_EFs[[#This Row],[Conversion]],calcs_EFs[[#This Row],[Manual Value]])</f>
        <v>3027</v>
      </c>
    </row>
    <row r="118" spans="1:8">
      <c r="A118" t="s">
        <v>3</v>
      </c>
      <c r="B118" t="s">
        <v>348</v>
      </c>
      <c r="C118" t="s">
        <v>108</v>
      </c>
      <c r="D118" t="s">
        <v>349</v>
      </c>
      <c r="E118" s="3" cm="1">
        <f t="array" ref="E118">_xlfn.IFS(OR(calcs_EFs[[#This Row],[Unit]]="miles",calcs_EFs[[#This Row],[Unit]]="car miles"),CONVERT(1, "mi","km"),TRUE,1)</f>
        <v>1</v>
      </c>
      <c r="F118" s="3" t="b">
        <v>1</v>
      </c>
      <c r="G118" s="3"/>
      <c r="H118" s="5">
        <f>IF(calcs_EFs[[#This Row],[XLOOKUP?]],_xlfn.XLOOKUP(calcs_EFs[[#This Row],[EF ID]],EF_DB_short[EF ID],EF_DB_short[EF (kgCO2e/unit)])*calcs_EFs[[#This Row],[Conversion]],calcs_EFs[[#This Row],[Manual Value]])</f>
        <v>1809</v>
      </c>
    </row>
    <row r="119" spans="1:8">
      <c r="A119" t="s">
        <v>3</v>
      </c>
      <c r="B119" t="s">
        <v>346</v>
      </c>
      <c r="C119" t="s">
        <v>108</v>
      </c>
      <c r="D119" t="s">
        <v>347</v>
      </c>
      <c r="E119" s="3" cm="1">
        <f t="array" ref="E119">_xlfn.IFS(OR(calcs_EFs[[#This Row],[Unit]]="miles",calcs_EFs[[#This Row],[Unit]]="car miles"),CONVERT(1, "mi","km"),TRUE,1)</f>
        <v>1</v>
      </c>
      <c r="F119" s="3" t="b">
        <v>1</v>
      </c>
      <c r="G119" s="3"/>
      <c r="H119" s="5">
        <f>IF(calcs_EFs[[#This Row],[XLOOKUP?]],_xlfn.XLOOKUP(calcs_EFs[[#This Row],[EF ID]],EF_DB_short[EF ID],EF_DB_short[EF (kgCO2e/unit)])*calcs_EFs[[#This Row],[Conversion]],calcs_EFs[[#This Row],[Manual Value]])</f>
        <v>1741</v>
      </c>
    </row>
    <row r="120" spans="1:8">
      <c r="A120" t="s">
        <v>3</v>
      </c>
      <c r="B120" t="s">
        <v>344</v>
      </c>
      <c r="C120" t="s">
        <v>108</v>
      </c>
      <c r="D120" t="s">
        <v>345</v>
      </c>
      <c r="E120" s="3" cm="1">
        <f t="array" ref="E120">_xlfn.IFS(OR(calcs_EFs[[#This Row],[Unit]]="miles",calcs_EFs[[#This Row],[Unit]]="car miles"),CONVERT(1, "mi","km"),TRUE,1)</f>
        <v>1</v>
      </c>
      <c r="F120" s="3" t="b">
        <v>1</v>
      </c>
      <c r="G120" s="3"/>
      <c r="H120" s="5">
        <f>IF(calcs_EFs[[#This Row],[XLOOKUP?]],_xlfn.XLOOKUP(calcs_EFs[[#This Row],[EF ID]],EF_DB_short[EF ID],EF_DB_short[EF (kgCO2e/unit)])*calcs_EFs[[#This Row],[Conversion]],calcs_EFs[[#This Row],[Manual Value]])</f>
        <v>2967</v>
      </c>
    </row>
    <row r="121" spans="1:8">
      <c r="A121" t="s">
        <v>3</v>
      </c>
      <c r="B121" t="s">
        <v>342</v>
      </c>
      <c r="C121" t="s">
        <v>108</v>
      </c>
      <c r="D121" t="s">
        <v>343</v>
      </c>
      <c r="E121" s="3" cm="1">
        <f t="array" ref="E121">_xlfn.IFS(OR(calcs_EFs[[#This Row],[Unit]]="miles",calcs_EFs[[#This Row],[Unit]]="car miles"),CONVERT(1, "mi","km"),TRUE,1)</f>
        <v>1</v>
      </c>
      <c r="F121" s="3" t="b">
        <v>1</v>
      </c>
      <c r="G121" s="3"/>
      <c r="H121" s="5">
        <f>IF(calcs_EFs[[#This Row],[XLOOKUP?]],_xlfn.XLOOKUP(calcs_EFs[[#This Row],[EF ID]],EF_DB_short[EF ID],EF_DB_short[EF (kgCO2e/unit)])*calcs_EFs[[#This Row],[Conversion]],calcs_EFs[[#This Row],[Manual Value]])</f>
        <v>2384</v>
      </c>
    </row>
    <row r="122" spans="1:8">
      <c r="A122" t="s">
        <v>3</v>
      </c>
      <c r="B122" t="s">
        <v>340</v>
      </c>
      <c r="C122" t="s">
        <v>108</v>
      </c>
      <c r="D122" t="s">
        <v>341</v>
      </c>
      <c r="E122" s="3" cm="1">
        <f t="array" ref="E122">_xlfn.IFS(OR(calcs_EFs[[#This Row],[Unit]]="miles",calcs_EFs[[#This Row],[Unit]]="car miles"),CONVERT(1, "mi","km"),TRUE,1)</f>
        <v>1</v>
      </c>
      <c r="F122" s="3" t="b">
        <v>1</v>
      </c>
      <c r="G122" s="3"/>
      <c r="H122" s="5">
        <f>IF(calcs_EFs[[#This Row],[XLOOKUP?]],_xlfn.XLOOKUP(calcs_EFs[[#This Row],[EF ID]],EF_DB_short[EF ID],EF_DB_short[EF (kgCO2e/unit)])*calcs_EFs[[#This Row],[Conversion]],calcs_EFs[[#This Row],[Manual Value]])</f>
        <v>1536</v>
      </c>
    </row>
    <row r="123" spans="1:8">
      <c r="A123" t="s">
        <v>3</v>
      </c>
      <c r="B123" t="s">
        <v>338</v>
      </c>
      <c r="C123" t="s">
        <v>108</v>
      </c>
      <c r="D123" t="s">
        <v>339</v>
      </c>
      <c r="E123" s="3" cm="1">
        <f t="array" ref="E123">_xlfn.IFS(OR(calcs_EFs[[#This Row],[Unit]]="miles",calcs_EFs[[#This Row],[Unit]]="car miles"),CONVERT(1, "mi","km"),TRUE,1)</f>
        <v>1</v>
      </c>
      <c r="F123" s="3" t="b">
        <v>1</v>
      </c>
      <c r="G123" s="3"/>
      <c r="H123" s="5">
        <f>IF(calcs_EFs[[#This Row],[XLOOKUP?]],_xlfn.XLOOKUP(calcs_EFs[[#This Row],[EF ID]],EF_DB_short[EF ID],EF_DB_short[EF (kgCO2e/unit)])*calcs_EFs[[#This Row],[Conversion]],calcs_EFs[[#This Row],[Manual Value]])</f>
        <v>2631</v>
      </c>
    </row>
    <row r="124" spans="1:8">
      <c r="A124" t="s">
        <v>3</v>
      </c>
      <c r="B124" t="s">
        <v>336</v>
      </c>
      <c r="C124" t="s">
        <v>108</v>
      </c>
      <c r="D124" t="s">
        <v>337</v>
      </c>
      <c r="E124" s="3" cm="1">
        <f t="array" ref="E124">_xlfn.IFS(OR(calcs_EFs[[#This Row],[Unit]]="miles",calcs_EFs[[#This Row],[Unit]]="car miles"),CONVERT(1, "mi","km"),TRUE,1)</f>
        <v>1</v>
      </c>
      <c r="F124" s="3" t="b">
        <v>1</v>
      </c>
      <c r="G124" s="3"/>
      <c r="H124" s="5">
        <f>IF(calcs_EFs[[#This Row],[XLOOKUP?]],_xlfn.XLOOKUP(calcs_EFs[[#This Row],[EF ID]],EF_DB_short[EF ID],EF_DB_short[EF (kgCO2e/unit)])*calcs_EFs[[#This Row],[Conversion]],calcs_EFs[[#This Row],[Manual Value]])</f>
        <v>3190</v>
      </c>
    </row>
    <row r="125" spans="1:8">
      <c r="A125" t="s">
        <v>3</v>
      </c>
      <c r="B125" t="s">
        <v>355</v>
      </c>
      <c r="C125" t="s">
        <v>108</v>
      </c>
      <c r="D125" t="s">
        <v>356</v>
      </c>
      <c r="E125" s="3" cm="1">
        <f t="array" ref="E125">_xlfn.IFS(OR(calcs_EFs[[#This Row],[Unit]]="miles",calcs_EFs[[#This Row],[Unit]]="car miles"),CONVERT(1, "mi","km"),TRUE,1)</f>
        <v>1</v>
      </c>
      <c r="F125" s="3" t="b">
        <v>1</v>
      </c>
      <c r="G125" s="3"/>
      <c r="H125" s="5">
        <f>IF(calcs_EFs[[#This Row],[XLOOKUP?]],_xlfn.XLOOKUP(calcs_EFs[[#This Row],[EF ID]],EF_DB_short[EF ID],EF_DB_short[EF (kgCO2e/unit)])*calcs_EFs[[#This Row],[Conversion]],calcs_EFs[[#This Row],[Manual Value]])</f>
        <v>3143</v>
      </c>
    </row>
    <row r="126" spans="1:8">
      <c r="A126" t="s">
        <v>3</v>
      </c>
      <c r="B126" t="s">
        <v>357</v>
      </c>
      <c r="C126" t="s">
        <v>108</v>
      </c>
      <c r="D126" t="s">
        <v>358</v>
      </c>
      <c r="E126" s="3" cm="1">
        <f t="array" ref="E126">_xlfn.IFS(OR(calcs_EFs[[#This Row],[Unit]]="miles",calcs_EFs[[#This Row],[Unit]]="car miles"),CONVERT(1, "mi","km"),TRUE,1)</f>
        <v>1</v>
      </c>
      <c r="F126" s="3" t="b">
        <v>1</v>
      </c>
      <c r="G126" s="3"/>
      <c r="H126" s="5">
        <f>IF(calcs_EFs[[#This Row],[XLOOKUP?]],_xlfn.XLOOKUP(calcs_EFs[[#This Row],[EF ID]],EF_DB_short[EF ID],EF_DB_short[EF (kgCO2e/unit)])*calcs_EFs[[#This Row],[Conversion]],calcs_EFs[[#This Row],[Manual Value]])</f>
        <v>2526</v>
      </c>
    </row>
    <row r="127" spans="1:8">
      <c r="A127" t="s">
        <v>3</v>
      </c>
      <c r="B127" t="s">
        <v>378</v>
      </c>
      <c r="C127" t="s">
        <v>108</v>
      </c>
      <c r="D127" t="s">
        <v>379</v>
      </c>
      <c r="E127" s="3" cm="1">
        <f t="array" ref="E127">_xlfn.IFS(OR(calcs_EFs[[#This Row],[Unit]]="miles",calcs_EFs[[#This Row],[Unit]]="car miles"),CONVERT(1, "mi","km"),TRUE,1)</f>
        <v>1</v>
      </c>
      <c r="F127" s="3" t="b">
        <v>1</v>
      </c>
      <c r="G127" s="3"/>
      <c r="H127" s="5">
        <f>IF(calcs_EFs[[#This Row],[XLOOKUP?]],_xlfn.XLOOKUP(calcs_EFs[[#This Row],[EF ID]],EF_DB_short[EF ID],EF_DB_short[EF (kgCO2e/unit)])*calcs_EFs[[#This Row],[Conversion]],calcs_EFs[[#This Row],[Manual Value]])</f>
        <v>3085</v>
      </c>
    </row>
    <row r="128" spans="1:8">
      <c r="A128" t="s">
        <v>3</v>
      </c>
      <c r="B128" t="s">
        <v>376</v>
      </c>
      <c r="C128" t="s">
        <v>108</v>
      </c>
      <c r="D128" t="s">
        <v>377</v>
      </c>
      <c r="E128" s="3" cm="1">
        <f t="array" ref="E128">_xlfn.IFS(OR(calcs_EFs[[#This Row],[Unit]]="miles",calcs_EFs[[#This Row],[Unit]]="car miles"),CONVERT(1, "mi","km"),TRUE,1)</f>
        <v>1</v>
      </c>
      <c r="F128" s="3" t="b">
        <v>1</v>
      </c>
      <c r="G128" s="3"/>
      <c r="H128" s="5">
        <f>IF(calcs_EFs[[#This Row],[XLOOKUP?]],_xlfn.XLOOKUP(calcs_EFs[[#This Row],[EF ID]],EF_DB_short[EF ID],EF_DB_short[EF (kgCO2e/unit)])*calcs_EFs[[#This Row],[Conversion]],calcs_EFs[[#This Row],[Manual Value]])</f>
        <v>2729</v>
      </c>
    </row>
    <row r="129" spans="1:8">
      <c r="A129" t="s">
        <v>3</v>
      </c>
      <c r="B129" t="s">
        <v>374</v>
      </c>
      <c r="C129" t="s">
        <v>108</v>
      </c>
      <c r="D129" t="s">
        <v>375</v>
      </c>
      <c r="E129" s="3" cm="1">
        <f t="array" ref="E129">_xlfn.IFS(OR(calcs_EFs[[#This Row],[Unit]]="miles",calcs_EFs[[#This Row],[Unit]]="car miles"),CONVERT(1, "mi","km"),TRUE,1)</f>
        <v>1</v>
      </c>
      <c r="F129" s="3" t="b">
        <v>1</v>
      </c>
      <c r="G129" s="3"/>
      <c r="H129" s="5">
        <f>IF(calcs_EFs[[#This Row],[XLOOKUP?]],_xlfn.XLOOKUP(calcs_EFs[[#This Row],[EF ID]],EF_DB_short[EF ID],EF_DB_short[EF (kgCO2e/unit)])*calcs_EFs[[#This Row],[Conversion]],calcs_EFs[[#This Row],[Manual Value]])</f>
        <v>2592</v>
      </c>
    </row>
    <row r="130" spans="1:8">
      <c r="A130" t="s">
        <v>3</v>
      </c>
      <c r="B130" t="s">
        <v>372</v>
      </c>
      <c r="C130" t="s">
        <v>108</v>
      </c>
      <c r="D130" t="s">
        <v>373</v>
      </c>
      <c r="E130" s="3" cm="1">
        <f t="array" ref="E130">_xlfn.IFS(OR(calcs_EFs[[#This Row],[Unit]]="miles",calcs_EFs[[#This Row],[Unit]]="car miles"),CONVERT(1, "mi","km"),TRUE,1)</f>
        <v>1</v>
      </c>
      <c r="F130" s="3" t="b">
        <v>1</v>
      </c>
      <c r="G130" s="3"/>
      <c r="H130" s="5">
        <f>IF(calcs_EFs[[#This Row],[XLOOKUP?]],_xlfn.XLOOKUP(calcs_EFs[[#This Row],[EF ID]],EF_DB_short[EF ID],EF_DB_short[EF (kgCO2e/unit)])*calcs_EFs[[#This Row],[Conversion]],calcs_EFs[[#This Row],[Manual Value]])</f>
        <v>2280</v>
      </c>
    </row>
    <row r="131" spans="1:8">
      <c r="A131" t="s">
        <v>3</v>
      </c>
      <c r="B131" t="s">
        <v>370</v>
      </c>
      <c r="C131" t="s">
        <v>108</v>
      </c>
      <c r="D131" t="s">
        <v>371</v>
      </c>
      <c r="E131" s="3" cm="1">
        <f t="array" ref="E131">_xlfn.IFS(OR(calcs_EFs[[#This Row],[Unit]]="miles",calcs_EFs[[#This Row],[Unit]]="car miles"),CONVERT(1, "mi","km"),TRUE,1)</f>
        <v>1</v>
      </c>
      <c r="F131" s="3" t="b">
        <v>1</v>
      </c>
      <c r="G131" s="3"/>
      <c r="H131" s="5">
        <f>IF(calcs_EFs[[#This Row],[XLOOKUP?]],_xlfn.XLOOKUP(calcs_EFs[[#This Row],[EF ID]],EF_DB_short[EF ID],EF_DB_short[EF (kgCO2e/unit)])*calcs_EFs[[#This Row],[Conversion]],calcs_EFs[[#This Row],[Manual Value]])</f>
        <v>2440</v>
      </c>
    </row>
    <row r="132" spans="1:8">
      <c r="A132" t="s">
        <v>3</v>
      </c>
      <c r="B132" t="s">
        <v>368</v>
      </c>
      <c r="C132" t="s">
        <v>108</v>
      </c>
      <c r="D132" t="s">
        <v>369</v>
      </c>
      <c r="E132" s="3" cm="1">
        <f t="array" ref="E132">_xlfn.IFS(OR(calcs_EFs[[#This Row],[Unit]]="miles",calcs_EFs[[#This Row],[Unit]]="car miles"),CONVERT(1, "mi","km"),TRUE,1)</f>
        <v>1</v>
      </c>
      <c r="F132" s="3" t="b">
        <v>1</v>
      </c>
      <c r="G132" s="3"/>
      <c r="H132" s="5">
        <f>IF(calcs_EFs[[#This Row],[XLOOKUP?]],_xlfn.XLOOKUP(calcs_EFs[[#This Row],[EF ID]],EF_DB_short[EF ID],EF_DB_short[EF (kgCO2e/unit)])*calcs_EFs[[#This Row],[Conversion]],calcs_EFs[[#This Row],[Manual Value]])</f>
        <v>1505</v>
      </c>
    </row>
    <row r="133" spans="1:8">
      <c r="A133" t="s">
        <v>3</v>
      </c>
      <c r="B133" t="s">
        <v>365</v>
      </c>
      <c r="C133" t="s">
        <v>108</v>
      </c>
      <c r="D133" t="s">
        <v>366</v>
      </c>
      <c r="E133" s="3" cm="1">
        <f t="array" ref="E133">_xlfn.IFS(OR(calcs_EFs[[#This Row],[Unit]]="miles",calcs_EFs[[#This Row],[Unit]]="car miles"),CONVERT(1, "mi","km"),TRUE,1)</f>
        <v>1</v>
      </c>
      <c r="F133" s="3" t="b">
        <v>1</v>
      </c>
      <c r="G133" s="3"/>
      <c r="H133" s="5">
        <f>IF(calcs_EFs[[#This Row],[XLOOKUP?]],_xlfn.XLOOKUP(calcs_EFs[[#This Row],[EF ID]],EF_DB_short[EF ID],EF_DB_short[EF (kgCO2e/unit)])*calcs_EFs[[#This Row],[Conversion]],calcs_EFs[[#This Row],[Manual Value]])</f>
        <v>1508</v>
      </c>
    </row>
    <row r="134" spans="1:8">
      <c r="A134" t="s">
        <v>3</v>
      </c>
      <c r="B134" t="s">
        <v>363</v>
      </c>
      <c r="C134" t="s">
        <v>108</v>
      </c>
      <c r="D134" t="s">
        <v>364</v>
      </c>
      <c r="E134" s="3" cm="1">
        <f t="array" ref="E134">_xlfn.IFS(OR(calcs_EFs[[#This Row],[Unit]]="miles",calcs_EFs[[#This Row],[Unit]]="car miles"),CONVERT(1, "mi","km"),TRUE,1)</f>
        <v>1</v>
      </c>
      <c r="F134" s="3" t="b">
        <v>1</v>
      </c>
      <c r="G134" s="3"/>
      <c r="H134" s="5">
        <f>IF(calcs_EFs[[#This Row],[XLOOKUP?]],_xlfn.XLOOKUP(calcs_EFs[[#This Row],[EF ID]],EF_DB_short[EF ID],EF_DB_short[EF (kgCO2e/unit)])*calcs_EFs[[#This Row],[Conversion]],calcs_EFs[[#This Row],[Manual Value]])</f>
        <v>2138</v>
      </c>
    </row>
    <row r="135" spans="1:8">
      <c r="A135" t="s">
        <v>3</v>
      </c>
      <c r="B135" t="s">
        <v>361</v>
      </c>
      <c r="C135" t="s">
        <v>108</v>
      </c>
      <c r="D135" t="s">
        <v>362</v>
      </c>
      <c r="E135" s="3" cm="1">
        <f t="array" ref="E135">_xlfn.IFS(OR(calcs_EFs[[#This Row],[Unit]]="miles",calcs_EFs[[#This Row],[Unit]]="car miles"),CONVERT(1, "mi","km"),TRUE,1)</f>
        <v>1</v>
      </c>
      <c r="F135" s="3" t="b">
        <v>1</v>
      </c>
      <c r="G135" s="3"/>
      <c r="H135" s="5">
        <f>IF(calcs_EFs[[#This Row],[XLOOKUP?]],_xlfn.XLOOKUP(calcs_EFs[[#This Row],[EF ID]],EF_DB_short[EF ID],EF_DB_short[EF (kgCO2e/unit)])*calcs_EFs[[#This Row],[Conversion]],calcs_EFs[[#This Row],[Manual Value]])</f>
        <v>3607</v>
      </c>
    </row>
    <row r="136" spans="1:8">
      <c r="A136" t="s">
        <v>3</v>
      </c>
      <c r="B136" t="s">
        <v>359</v>
      </c>
      <c r="C136" t="s">
        <v>108</v>
      </c>
      <c r="D136" t="s">
        <v>360</v>
      </c>
      <c r="E136" s="3" cm="1">
        <f t="array" ref="E136">_xlfn.IFS(OR(calcs_EFs[[#This Row],[Unit]]="miles",calcs_EFs[[#This Row],[Unit]]="car miles"),CONVERT(1, "mi","km"),TRUE,1)</f>
        <v>1</v>
      </c>
      <c r="F136" s="3" t="b">
        <v>1</v>
      </c>
      <c r="G136" s="3"/>
      <c r="H136" s="5">
        <f>IF(calcs_EFs[[#This Row],[XLOOKUP?]],_xlfn.XLOOKUP(calcs_EFs[[#This Row],[EF ID]],EF_DB_short[EF ID],EF_DB_short[EF (kgCO2e/unit)])*calcs_EFs[[#This Row],[Conversion]],calcs_EFs[[#This Row],[Manual Value]])</f>
        <v>14</v>
      </c>
    </row>
    <row r="137" spans="1:8">
      <c r="A137" t="s">
        <v>3</v>
      </c>
      <c r="B137" t="s">
        <v>335</v>
      </c>
      <c r="C137" t="s">
        <v>108</v>
      </c>
      <c r="D137" t="s">
        <v>367</v>
      </c>
      <c r="E137" s="3" cm="1">
        <f t="array" ref="E137">_xlfn.IFS(OR(calcs_EFs[[#This Row],[Unit]]="miles",calcs_EFs[[#This Row],[Unit]]="car miles"),CONVERT(1, "mi","km"),TRUE,1)</f>
        <v>1</v>
      </c>
      <c r="F137" s="3" t="b">
        <v>1</v>
      </c>
      <c r="G137" s="3"/>
      <c r="H137" s="5">
        <f>IF(calcs_EFs[[#This Row],[XLOOKUP?]],_xlfn.XLOOKUP(calcs_EFs[[#This Row],[EF ID]],EF_DB_short[EF ID],EF_DB_short[EF (kgCO2e/unit)])*calcs_EFs[[#This Row],[Conversion]],calcs_EFs[[#This Row],[Manual Value]])</f>
        <v>95</v>
      </c>
    </row>
    <row r="138" spans="1:8">
      <c r="A138" t="s">
        <v>3</v>
      </c>
      <c r="B138" t="s">
        <v>311</v>
      </c>
      <c r="C138" t="s">
        <v>108</v>
      </c>
      <c r="D138" t="s">
        <v>312</v>
      </c>
      <c r="E138" s="3" cm="1">
        <f t="array" ref="E138">_xlfn.IFS(OR(calcs_EFs[[#This Row],[Unit]]="miles",calcs_EFs[[#This Row],[Unit]]="car miles"),CONVERT(1, "mi","km"),TRUE,1)</f>
        <v>1</v>
      </c>
      <c r="F138" s="3" t="b">
        <v>1</v>
      </c>
      <c r="G138" s="3"/>
      <c r="H138" s="5">
        <f>IF(calcs_EFs[[#This Row],[XLOOKUP?]],_xlfn.XLOOKUP(calcs_EFs[[#This Row],[EF ID]],EF_DB_short[EF ID],EF_DB_short[EF (kgCO2e/unit)])*calcs_EFs[[#This Row],[Conversion]],calcs_EFs[[#This Row],[Manual Value]])</f>
        <v>38</v>
      </c>
    </row>
    <row r="139" spans="1:8">
      <c r="A139" t="s">
        <v>3</v>
      </c>
      <c r="B139" t="s">
        <v>309</v>
      </c>
      <c r="C139" t="s">
        <v>108</v>
      </c>
      <c r="D139" t="s">
        <v>310</v>
      </c>
      <c r="E139" s="3" cm="1">
        <f t="array" ref="E139">_xlfn.IFS(OR(calcs_EFs[[#This Row],[Unit]]="miles",calcs_EFs[[#This Row],[Unit]]="car miles"),CONVERT(1, "mi","km"),TRUE,1)</f>
        <v>1</v>
      </c>
      <c r="F139" s="3" t="b">
        <v>1</v>
      </c>
      <c r="G139" s="3"/>
      <c r="H139" s="5">
        <f>IF(calcs_EFs[[#This Row],[XLOOKUP?]],_xlfn.XLOOKUP(calcs_EFs[[#This Row],[EF ID]],EF_DB_short[EF ID],EF_DB_short[EF (kgCO2e/unit)])*calcs_EFs[[#This Row],[Conversion]],calcs_EFs[[#This Row],[Manual Value]])</f>
        <v>2</v>
      </c>
    </row>
    <row r="140" spans="1:8">
      <c r="A140" t="s">
        <v>3</v>
      </c>
      <c r="B140" t="s">
        <v>307</v>
      </c>
      <c r="C140" t="s">
        <v>108</v>
      </c>
      <c r="D140" t="s">
        <v>308</v>
      </c>
      <c r="E140" s="3" cm="1">
        <f t="array" ref="E140">_xlfn.IFS(OR(calcs_EFs[[#This Row],[Unit]]="miles",calcs_EFs[[#This Row],[Unit]]="car miles"),CONVERT(1, "mi","km"),TRUE,1)</f>
        <v>1</v>
      </c>
      <c r="F140" s="3" t="b">
        <v>1</v>
      </c>
      <c r="G140" s="3"/>
      <c r="H140" s="5">
        <f>IF(calcs_EFs[[#This Row],[XLOOKUP?]],_xlfn.XLOOKUP(calcs_EFs[[#This Row],[EF ID]],EF_DB_short[EF ID],EF_DB_short[EF (kgCO2e/unit)])*calcs_EFs[[#This Row],[Conversion]],calcs_EFs[[#This Row],[Manual Value]])</f>
        <v>3</v>
      </c>
    </row>
    <row r="141" spans="1:8">
      <c r="A141" t="s">
        <v>3</v>
      </c>
      <c r="B141" t="s">
        <v>305</v>
      </c>
      <c r="C141" t="s">
        <v>108</v>
      </c>
      <c r="D141" t="s">
        <v>306</v>
      </c>
      <c r="E141" s="3" cm="1">
        <f t="array" ref="E141">_xlfn.IFS(OR(calcs_EFs[[#This Row],[Unit]]="miles",calcs_EFs[[#This Row],[Unit]]="car miles"),CONVERT(1, "mi","km"),TRUE,1)</f>
        <v>1</v>
      </c>
      <c r="F141" s="3" t="b">
        <v>1</v>
      </c>
      <c r="G141" s="3"/>
      <c r="H141" s="5">
        <f>IF(calcs_EFs[[#This Row],[XLOOKUP?]],_xlfn.XLOOKUP(calcs_EFs[[#This Row],[EF ID]],EF_DB_short[EF ID],EF_DB_short[EF (kgCO2e/unit)])*calcs_EFs[[#This Row],[Conversion]],calcs_EFs[[#This Row],[Manual Value]])</f>
        <v>3</v>
      </c>
    </row>
    <row r="142" spans="1:8">
      <c r="A142" t="s">
        <v>3</v>
      </c>
      <c r="B142" t="s">
        <v>303</v>
      </c>
      <c r="C142" t="s">
        <v>108</v>
      </c>
      <c r="D142" t="s">
        <v>304</v>
      </c>
      <c r="E142" s="3" cm="1">
        <f t="array" ref="E142">_xlfn.IFS(OR(calcs_EFs[[#This Row],[Unit]]="miles",calcs_EFs[[#This Row],[Unit]]="car miles"),CONVERT(1, "mi","km"),TRUE,1)</f>
        <v>1</v>
      </c>
      <c r="F142" s="3" t="b">
        <v>1</v>
      </c>
      <c r="G142" s="3"/>
      <c r="H142" s="5">
        <f>IF(calcs_EFs[[#This Row],[XLOOKUP?]],_xlfn.XLOOKUP(calcs_EFs[[#This Row],[EF ID]],EF_DB_short[EF ID],EF_DB_short[EF (kgCO2e/unit)])*calcs_EFs[[#This Row],[Conversion]],calcs_EFs[[#This Row],[Manual Value]])</f>
        <v>3</v>
      </c>
    </row>
    <row r="143" spans="1:8">
      <c r="A143" t="s">
        <v>3</v>
      </c>
      <c r="B143" t="s">
        <v>301</v>
      </c>
      <c r="C143" t="s">
        <v>108</v>
      </c>
      <c r="D143" t="s">
        <v>302</v>
      </c>
      <c r="E143" s="3" cm="1">
        <f t="array" ref="E143">_xlfn.IFS(OR(calcs_EFs[[#This Row],[Unit]]="miles",calcs_EFs[[#This Row],[Unit]]="car miles"),CONVERT(1, "mi","km"),TRUE,1)</f>
        <v>1</v>
      </c>
      <c r="F143" s="3" t="b">
        <v>1</v>
      </c>
      <c r="G143" s="3"/>
      <c r="H143" s="5">
        <f>IF(calcs_EFs[[#This Row],[XLOOKUP?]],_xlfn.XLOOKUP(calcs_EFs[[#This Row],[EF ID]],EF_DB_short[EF ID],EF_DB_short[EF (kgCO2e/unit)])*calcs_EFs[[#This Row],[Conversion]],calcs_EFs[[#This Row],[Manual Value]])</f>
        <v>3245</v>
      </c>
    </row>
    <row r="144" spans="1:8">
      <c r="A144" t="s">
        <v>3</v>
      </c>
      <c r="B144" t="s">
        <v>299</v>
      </c>
      <c r="C144" t="s">
        <v>108</v>
      </c>
      <c r="D144" t="s">
        <v>300</v>
      </c>
      <c r="E144" s="3" cm="1">
        <f t="array" ref="E144">_xlfn.IFS(OR(calcs_EFs[[#This Row],[Unit]]="miles",calcs_EFs[[#This Row],[Unit]]="car miles"),CONVERT(1, "mi","km"),TRUE,1)</f>
        <v>1</v>
      </c>
      <c r="F144" s="3" t="b">
        <v>1</v>
      </c>
      <c r="G144" s="3"/>
      <c r="H144" s="5">
        <f>IF(calcs_EFs[[#This Row],[XLOOKUP?]],_xlfn.XLOOKUP(calcs_EFs[[#This Row],[EF ID]],EF_DB_short[EF ID],EF_DB_short[EF (kgCO2e/unit)])*calcs_EFs[[#This Row],[Conversion]],calcs_EFs[[#This Row],[Manual Value]])</f>
        <v>26</v>
      </c>
    </row>
    <row r="145" spans="1:8">
      <c r="A145" t="s">
        <v>3</v>
      </c>
      <c r="B145" t="s">
        <v>297</v>
      </c>
      <c r="C145" t="s">
        <v>108</v>
      </c>
      <c r="D145" t="s">
        <v>298</v>
      </c>
      <c r="E145" s="3" cm="1">
        <f t="array" ref="E145">_xlfn.IFS(OR(calcs_EFs[[#This Row],[Unit]]="miles",calcs_EFs[[#This Row],[Unit]]="car miles"),CONVERT(1, "mi","km"),TRUE,1)</f>
        <v>1</v>
      </c>
      <c r="F145" s="3" t="b">
        <v>1</v>
      </c>
      <c r="G145" s="3"/>
      <c r="H145" s="5">
        <f>IF(calcs_EFs[[#This Row],[XLOOKUP?]],_xlfn.XLOOKUP(calcs_EFs[[#This Row],[EF ID]],EF_DB_short[EF ID],EF_DB_short[EF (kgCO2e/unit)])*calcs_EFs[[#This Row],[Conversion]],calcs_EFs[[#This Row],[Manual Value]])</f>
        <v>3</v>
      </c>
    </row>
    <row r="146" spans="1:8">
      <c r="A146" t="s">
        <v>3</v>
      </c>
      <c r="B146" t="s">
        <v>295</v>
      </c>
      <c r="C146" t="s">
        <v>108</v>
      </c>
      <c r="D146" t="s">
        <v>296</v>
      </c>
      <c r="E146" s="3" cm="1">
        <f t="array" ref="E146">_xlfn.IFS(OR(calcs_EFs[[#This Row],[Unit]]="miles",calcs_EFs[[#This Row],[Unit]]="car miles"),CONVERT(1, "mi","km"),TRUE,1)</f>
        <v>1</v>
      </c>
      <c r="F146" s="3" t="b">
        <v>1</v>
      </c>
      <c r="G146" s="3"/>
      <c r="H146" s="5">
        <f>IF(calcs_EFs[[#This Row],[XLOOKUP?]],_xlfn.XLOOKUP(calcs_EFs[[#This Row],[EF ID]],EF_DB_short[EF ID],EF_DB_short[EF (kgCO2e/unit)])*calcs_EFs[[#This Row],[Conversion]],calcs_EFs[[#This Row],[Manual Value]])</f>
        <v>3</v>
      </c>
    </row>
    <row r="147" spans="1:8">
      <c r="A147" t="s">
        <v>3</v>
      </c>
      <c r="B147" t="s">
        <v>293</v>
      </c>
      <c r="C147" t="s">
        <v>108</v>
      </c>
      <c r="D147" t="s">
        <v>294</v>
      </c>
      <c r="E147" s="3" cm="1">
        <f t="array" ref="E147">_xlfn.IFS(OR(calcs_EFs[[#This Row],[Unit]]="miles",calcs_EFs[[#This Row],[Unit]]="car miles"),CONVERT(1, "mi","km"),TRUE,1)</f>
        <v>1</v>
      </c>
      <c r="F147" s="3" t="b">
        <v>1</v>
      </c>
      <c r="G147" s="3"/>
      <c r="H147" s="5">
        <f>IF(calcs_EFs[[#This Row],[XLOOKUP?]],_xlfn.XLOOKUP(calcs_EFs[[#This Row],[EF ID]],EF_DB_short[EF ID],EF_DB_short[EF (kgCO2e/unit)])*calcs_EFs[[#This Row],[Conversion]],calcs_EFs[[#This Row],[Manual Value]])</f>
        <v>1805</v>
      </c>
    </row>
    <row r="148" spans="1:8">
      <c r="A148" t="s">
        <v>3</v>
      </c>
      <c r="B148" t="s">
        <v>292</v>
      </c>
      <c r="C148" t="s">
        <v>108</v>
      </c>
      <c r="D148" t="s">
        <v>313</v>
      </c>
      <c r="E148" s="3" cm="1">
        <f t="array" ref="E148">_xlfn.IFS(OR(calcs_EFs[[#This Row],[Unit]]="miles",calcs_EFs[[#This Row],[Unit]]="car miles"),CONVERT(1, "mi","km"),TRUE,1)</f>
        <v>1</v>
      </c>
      <c r="F148" s="3" t="b">
        <v>1</v>
      </c>
      <c r="G148" s="3"/>
      <c r="H148" s="5">
        <f>IF(calcs_EFs[[#This Row],[XLOOKUP?]],_xlfn.XLOOKUP(calcs_EFs[[#This Row],[EF ID]],EF_DB_short[EF ID],EF_DB_short[EF (kgCO2e/unit)])*calcs_EFs[[#This Row],[Conversion]],calcs_EFs[[#This Row],[Manual Value]])</f>
        <v>2265</v>
      </c>
    </row>
    <row r="149" spans="1:8">
      <c r="A149" t="s">
        <v>3</v>
      </c>
      <c r="B149" t="s">
        <v>314</v>
      </c>
      <c r="C149" t="s">
        <v>108</v>
      </c>
      <c r="D149" t="s">
        <v>315</v>
      </c>
      <c r="E149" s="3" cm="1">
        <f t="array" ref="E149">_xlfn.IFS(OR(calcs_EFs[[#This Row],[Unit]]="miles",calcs_EFs[[#This Row],[Unit]]="car miles"),CONVERT(1, "mi","km"),TRUE,1)</f>
        <v>1</v>
      </c>
      <c r="F149" s="3" t="b">
        <v>1</v>
      </c>
      <c r="G149" s="3"/>
      <c r="H149" s="5">
        <f>IF(calcs_EFs[[#This Row],[XLOOKUP?]],_xlfn.XLOOKUP(calcs_EFs[[#This Row],[EF ID]],EF_DB_short[EF ID],EF_DB_short[EF (kgCO2e/unit)])*calcs_EFs[[#This Row],[Conversion]],calcs_EFs[[#This Row],[Manual Value]])</f>
        <v>1983</v>
      </c>
    </row>
    <row r="150" spans="1:8">
      <c r="A150" t="s">
        <v>3</v>
      </c>
      <c r="B150" t="s">
        <v>316</v>
      </c>
      <c r="C150" t="s">
        <v>108</v>
      </c>
      <c r="D150" t="s">
        <v>333</v>
      </c>
      <c r="E150" s="3" cm="1">
        <f t="array" ref="E150">_xlfn.IFS(OR(calcs_EFs[[#This Row],[Unit]]="miles",calcs_EFs[[#This Row],[Unit]]="car miles"),CONVERT(1, "mi","km"),TRUE,1)</f>
        <v>1</v>
      </c>
      <c r="F150" s="3" t="b">
        <v>1</v>
      </c>
      <c r="G150" s="3"/>
      <c r="H150" s="5">
        <f>IF(calcs_EFs[[#This Row],[XLOOKUP?]],_xlfn.XLOOKUP(calcs_EFs[[#This Row],[EF ID]],EF_DB_short[EF ID],EF_DB_short[EF (kgCO2e/unit)])*calcs_EFs[[#This Row],[Conversion]],calcs_EFs[[#This Row],[Manual Value]])</f>
        <v>144</v>
      </c>
    </row>
    <row r="151" spans="1:8">
      <c r="A151" t="s">
        <v>3</v>
      </c>
      <c r="B151" t="s">
        <v>331</v>
      </c>
      <c r="C151" t="s">
        <v>108</v>
      </c>
      <c r="D151" t="s">
        <v>332</v>
      </c>
      <c r="E151" s="3" cm="1">
        <f t="array" ref="E151">_xlfn.IFS(OR(calcs_EFs[[#This Row],[Unit]]="miles",calcs_EFs[[#This Row],[Unit]]="car miles"),CONVERT(1, "mi","km"),TRUE,1)</f>
        <v>1</v>
      </c>
      <c r="F151" s="3" t="b">
        <v>1</v>
      </c>
      <c r="G151" s="3"/>
      <c r="H151" s="5">
        <f>IF(calcs_EFs[[#This Row],[XLOOKUP?]],_xlfn.XLOOKUP(calcs_EFs[[#This Row],[EF ID]],EF_DB_short[EF ID],EF_DB_short[EF (kgCO2e/unit)])*calcs_EFs[[#This Row],[Conversion]],calcs_EFs[[#This Row],[Manual Value]])</f>
        <v>3</v>
      </c>
    </row>
    <row r="152" spans="1:8">
      <c r="A152" t="s">
        <v>3</v>
      </c>
      <c r="B152" t="s">
        <v>329</v>
      </c>
      <c r="C152" t="s">
        <v>108</v>
      </c>
      <c r="D152" t="s">
        <v>330</v>
      </c>
      <c r="E152" s="3" cm="1">
        <f t="array" ref="E152">_xlfn.IFS(OR(calcs_EFs[[#This Row],[Unit]]="miles",calcs_EFs[[#This Row],[Unit]]="car miles"),CONVERT(1, "mi","km"),TRUE,1)</f>
        <v>1</v>
      </c>
      <c r="F152" s="3" t="b">
        <v>1</v>
      </c>
      <c r="G152" s="3"/>
      <c r="H152" s="5">
        <f>IF(calcs_EFs[[#This Row],[XLOOKUP?]],_xlfn.XLOOKUP(calcs_EFs[[#This Row],[EF ID]],EF_DB_short[EF ID],EF_DB_short[EF (kgCO2e/unit)])*calcs_EFs[[#This Row],[Conversion]],calcs_EFs[[#This Row],[Manual Value]])</f>
        <v>1888</v>
      </c>
    </row>
    <row r="153" spans="1:8">
      <c r="A153" t="s">
        <v>3</v>
      </c>
      <c r="B153" t="s">
        <v>327</v>
      </c>
      <c r="C153" t="s">
        <v>108</v>
      </c>
      <c r="D153" t="s">
        <v>328</v>
      </c>
      <c r="E153" s="3" cm="1">
        <f t="array" ref="E153">_xlfn.IFS(OR(calcs_EFs[[#This Row],[Unit]]="miles",calcs_EFs[[#This Row],[Unit]]="car miles"),CONVERT(1, "mi","km"),TRUE,1)</f>
        <v>1</v>
      </c>
      <c r="F153" s="3" t="b">
        <v>1</v>
      </c>
      <c r="G153" s="3"/>
      <c r="H153" s="5">
        <f>IF(calcs_EFs[[#This Row],[XLOOKUP?]],_xlfn.XLOOKUP(calcs_EFs[[#This Row],[EF ID]],EF_DB_short[EF ID],EF_DB_short[EF (kgCO2e/unit)])*calcs_EFs[[#This Row],[Conversion]],calcs_EFs[[#This Row],[Manual Value]])</f>
        <v>2</v>
      </c>
    </row>
    <row r="154" spans="1:8">
      <c r="A154" t="s">
        <v>3</v>
      </c>
      <c r="B154" t="s">
        <v>325</v>
      </c>
      <c r="C154" t="s">
        <v>108</v>
      </c>
      <c r="D154" t="s">
        <v>326</v>
      </c>
      <c r="E154" s="3" cm="1">
        <f t="array" ref="E154">_xlfn.IFS(OR(calcs_EFs[[#This Row],[Unit]]="miles",calcs_EFs[[#This Row],[Unit]]="car miles"),CONVERT(1, "mi","km"),TRUE,1)</f>
        <v>1</v>
      </c>
      <c r="F154" s="3" t="b">
        <v>1</v>
      </c>
      <c r="G154" s="3"/>
      <c r="H154" s="5">
        <f>IF(calcs_EFs[[#This Row],[XLOOKUP?]],_xlfn.XLOOKUP(calcs_EFs[[#This Row],[EF ID]],EF_DB_short[EF ID],EF_DB_short[EF (kgCO2e/unit)])*calcs_EFs[[#This Row],[Conversion]],calcs_EFs[[#This Row],[Manual Value]])</f>
        <v>88</v>
      </c>
    </row>
    <row r="155" spans="1:8">
      <c r="A155" t="s">
        <v>3</v>
      </c>
      <c r="B155" t="s">
        <v>323</v>
      </c>
      <c r="C155" t="s">
        <v>108</v>
      </c>
      <c r="D155" t="s">
        <v>324</v>
      </c>
      <c r="E155" s="3" cm="1">
        <f t="array" ref="E155">_xlfn.IFS(OR(calcs_EFs[[#This Row],[Unit]]="miles",calcs_EFs[[#This Row],[Unit]]="car miles"),CONVERT(1, "mi","km"),TRUE,1)</f>
        <v>1</v>
      </c>
      <c r="F155" s="3" t="b">
        <v>1</v>
      </c>
      <c r="G155" s="3"/>
      <c r="H155" s="5">
        <f>IF(calcs_EFs[[#This Row],[XLOOKUP?]],_xlfn.XLOOKUP(calcs_EFs[[#This Row],[EF ID]],EF_DB_short[EF ID],EF_DB_short[EF (kgCO2e/unit)])*calcs_EFs[[#This Row],[Conversion]],calcs_EFs[[#This Row],[Manual Value]])</f>
        <v>130</v>
      </c>
    </row>
    <row r="156" spans="1:8">
      <c r="A156" t="s">
        <v>3</v>
      </c>
      <c r="B156" t="s">
        <v>321</v>
      </c>
      <c r="C156" t="s">
        <v>108</v>
      </c>
      <c r="D156" t="s">
        <v>322</v>
      </c>
      <c r="E156" s="3" cm="1">
        <f t="array" ref="E156">_xlfn.IFS(OR(calcs_EFs[[#This Row],[Unit]]="miles",calcs_EFs[[#This Row],[Unit]]="car miles"),CONVERT(1, "mi","km"),TRUE,1)</f>
        <v>1</v>
      </c>
      <c r="F156" s="3" t="b">
        <v>1</v>
      </c>
      <c r="G156" s="3"/>
      <c r="H156" s="5">
        <f>IF(calcs_EFs[[#This Row],[XLOOKUP?]],_xlfn.XLOOKUP(calcs_EFs[[#This Row],[EF ID]],EF_DB_short[EF ID],EF_DB_short[EF (kgCO2e/unit)])*calcs_EFs[[#This Row],[Conversion]],calcs_EFs[[#This Row],[Manual Value]])</f>
        <v>8077</v>
      </c>
    </row>
    <row r="157" spans="1:8">
      <c r="A157" t="s">
        <v>3</v>
      </c>
      <c r="B157" t="s">
        <v>319</v>
      </c>
      <c r="C157" t="s">
        <v>108</v>
      </c>
      <c r="D157" t="s">
        <v>320</v>
      </c>
      <c r="E157" s="3" cm="1">
        <f t="array" ref="E157">_xlfn.IFS(OR(calcs_EFs[[#This Row],[Unit]]="miles",calcs_EFs[[#This Row],[Unit]]="car miles"),CONVERT(1, "mi","km"),TRUE,1)</f>
        <v>1</v>
      </c>
      <c r="F157" s="3" t="b">
        <v>1</v>
      </c>
      <c r="G157" s="3"/>
      <c r="H157" s="5">
        <f>IF(calcs_EFs[[#This Row],[XLOOKUP?]],_xlfn.XLOOKUP(calcs_EFs[[#This Row],[EF ID]],EF_DB_short[EF ID],EF_DB_short[EF (kgCO2e/unit)])*calcs_EFs[[#This Row],[Conversion]],calcs_EFs[[#This Row],[Manual Value]])</f>
        <v>4083</v>
      </c>
    </row>
    <row r="158" spans="1:8">
      <c r="A158" t="s">
        <v>3</v>
      </c>
      <c r="B158" t="s">
        <v>128</v>
      </c>
      <c r="C158" t="s">
        <v>108</v>
      </c>
      <c r="D158" t="s">
        <v>318</v>
      </c>
      <c r="E158" s="3" cm="1">
        <f t="array" ref="E158">_xlfn.IFS(OR(calcs_EFs[[#This Row],[Unit]]="miles",calcs_EFs[[#This Row],[Unit]]="car miles"),CONVERT(1, "mi","km"),TRUE,1)</f>
        <v>1</v>
      </c>
      <c r="F158" s="3" t="b">
        <v>1</v>
      </c>
      <c r="G158" s="3"/>
      <c r="H158" s="5">
        <f>IF(calcs_EFs[[#This Row],[XLOOKUP?]],_xlfn.XLOOKUP(calcs_EFs[[#This Row],[EF ID]],EF_DB_short[EF ID],EF_DB_short[EF (kgCO2e/unit)])*calcs_EFs[[#This Row],[Conversion]],calcs_EFs[[#This Row],[Manual Value]])</f>
        <v>4657</v>
      </c>
    </row>
    <row r="159" spans="1:8">
      <c r="A159" t="s">
        <v>3</v>
      </c>
      <c r="B159" t="s">
        <v>317</v>
      </c>
      <c r="C159" t="s">
        <v>108</v>
      </c>
      <c r="D159" t="s">
        <v>334</v>
      </c>
      <c r="E159" s="3" cm="1">
        <f t="array" ref="E159">_xlfn.IFS(OR(calcs_EFs[[#This Row],[Unit]]="miles",calcs_EFs[[#This Row],[Unit]]="car miles"),CONVERT(1, "mi","km"),TRUE,1)</f>
        <v>1</v>
      </c>
      <c r="F159" s="3" t="b">
        <v>1</v>
      </c>
      <c r="G159" s="3"/>
      <c r="H159" s="5">
        <f>IF(calcs_EFs[[#This Row],[XLOOKUP?]],_xlfn.XLOOKUP(calcs_EFs[[#This Row],[EF ID]],EF_DB_short[EF ID],EF_DB_short[EF (kgCO2e/unit)])*calcs_EFs[[#This Row],[Conversion]],calcs_EFs[[#This Row],[Manual Value]])</f>
        <v>14560</v>
      </c>
    </row>
    <row r="160" spans="1:8">
      <c r="A160" t="s">
        <v>3</v>
      </c>
      <c r="B160" t="s">
        <v>381</v>
      </c>
      <c r="C160" t="s">
        <v>108</v>
      </c>
      <c r="D160" t="s">
        <v>382</v>
      </c>
      <c r="E160" s="3" cm="1">
        <f t="array" ref="E160">_xlfn.IFS(OR(calcs_EFs[[#This Row],[Unit]]="miles",calcs_EFs[[#This Row],[Unit]]="car miles"),CONVERT(1, "mi","km"),TRUE,1)</f>
        <v>1</v>
      </c>
      <c r="F160" s="3" t="b">
        <v>1</v>
      </c>
      <c r="G160" s="3"/>
      <c r="H160" s="5">
        <f>IF(calcs_EFs[[#This Row],[XLOOKUP?]],_xlfn.XLOOKUP(calcs_EFs[[#This Row],[EF ID]],EF_DB_short[EF ID],EF_DB_short[EF (kgCO2e/unit)])*calcs_EFs[[#This Row],[Conversion]],calcs_EFs[[#This Row],[Manual Value]])</f>
        <v>4143</v>
      </c>
    </row>
    <row r="161" spans="1:8">
      <c r="A161" t="s">
        <v>3</v>
      </c>
      <c r="B161" t="s">
        <v>408</v>
      </c>
      <c r="C161" t="s">
        <v>108</v>
      </c>
      <c r="D161" t="s">
        <v>409</v>
      </c>
      <c r="E161" s="3" cm="1">
        <f t="array" ref="E161">_xlfn.IFS(OR(calcs_EFs[[#This Row],[Unit]]="miles",calcs_EFs[[#This Row],[Unit]]="car miles"),CONVERT(1, "mi","km"),TRUE,1)</f>
        <v>1</v>
      </c>
      <c r="F161" s="3" t="b">
        <v>1</v>
      </c>
      <c r="G161" s="3"/>
      <c r="H161" s="5">
        <f>IF(calcs_EFs[[#This Row],[XLOOKUP?]],_xlfn.XLOOKUP(calcs_EFs[[#This Row],[EF ID]],EF_DB_short[EF ID],EF_DB_short[EF (kgCO2e/unit)])*calcs_EFs[[#This Row],[Conversion]],calcs_EFs[[#This Row],[Manual Value]])</f>
        <v>8502</v>
      </c>
    </row>
    <row r="162" spans="1:8">
      <c r="A162" t="s">
        <v>3</v>
      </c>
      <c r="B162" t="s">
        <v>406</v>
      </c>
      <c r="C162" t="s">
        <v>108</v>
      </c>
      <c r="D162" t="s">
        <v>407</v>
      </c>
      <c r="E162" s="3" cm="1">
        <f t="array" ref="E162">_xlfn.IFS(OR(calcs_EFs[[#This Row],[Unit]]="miles",calcs_EFs[[#This Row],[Unit]]="car miles"),CONVERT(1, "mi","km"),TRUE,1)</f>
        <v>1</v>
      </c>
      <c r="F162" s="3" t="b">
        <v>1</v>
      </c>
      <c r="G162" s="3"/>
      <c r="H162" s="5">
        <f>IF(calcs_EFs[[#This Row],[XLOOKUP?]],_xlfn.XLOOKUP(calcs_EFs[[#This Row],[EF ID]],EF_DB_short[EF ID],EF_DB_short[EF (kgCO2e/unit)])*calcs_EFs[[#This Row],[Conversion]],calcs_EFs[[#This Row],[Manual Value]])</f>
        <v>4490</v>
      </c>
    </row>
    <row r="163" spans="1:8">
      <c r="A163" t="s">
        <v>3</v>
      </c>
      <c r="B163" t="s">
        <v>167</v>
      </c>
      <c r="C163" t="s">
        <v>108</v>
      </c>
      <c r="D163" t="s">
        <v>405</v>
      </c>
      <c r="E163" s="3" cm="1">
        <f t="array" ref="E163">_xlfn.IFS(OR(calcs_EFs[[#This Row],[Unit]]="miles",calcs_EFs[[#This Row],[Unit]]="car miles"),CONVERT(1, "mi","km"),TRUE,1)</f>
        <v>1</v>
      </c>
      <c r="F163" s="3" t="b">
        <v>1</v>
      </c>
      <c r="G163" s="3"/>
      <c r="H163" s="5">
        <f>IF(calcs_EFs[[#This Row],[XLOOKUP?]],_xlfn.XLOOKUP(calcs_EFs[[#This Row],[EF ID]],EF_DB_short[EF ID],EF_DB_short[EF (kgCO2e/unit)])*calcs_EFs[[#This Row],[Conversion]],calcs_EFs[[#This Row],[Manual Value]])</f>
        <v>3985</v>
      </c>
    </row>
    <row r="164" spans="1:8">
      <c r="A164" t="s">
        <v>3</v>
      </c>
      <c r="B164" t="s">
        <v>403</v>
      </c>
      <c r="C164" t="s">
        <v>108</v>
      </c>
      <c r="D164" t="s">
        <v>404</v>
      </c>
      <c r="E164" s="3" cm="1">
        <f t="array" ref="E164">_xlfn.IFS(OR(calcs_EFs[[#This Row],[Unit]]="miles",calcs_EFs[[#This Row],[Unit]]="car miles"),CONVERT(1, "mi","km"),TRUE,1)</f>
        <v>1</v>
      </c>
      <c r="F164" s="3" t="b">
        <v>1</v>
      </c>
      <c r="G164" s="3"/>
      <c r="H164" s="5">
        <f>IF(calcs_EFs[[#This Row],[XLOOKUP?]],_xlfn.XLOOKUP(calcs_EFs[[#This Row],[EF ID]],EF_DB_short[EF ID],EF_DB_short[EF (kgCO2e/unit)])*calcs_EFs[[#This Row],[Conversion]],calcs_EFs[[#This Row],[Manual Value]])</f>
        <v>13214</v>
      </c>
    </row>
    <row r="165" spans="1:8">
      <c r="A165" t="s">
        <v>3</v>
      </c>
      <c r="B165" t="s">
        <v>157</v>
      </c>
      <c r="C165" t="s">
        <v>108</v>
      </c>
      <c r="D165" t="s">
        <v>402</v>
      </c>
      <c r="E165" s="3" cm="1">
        <f t="array" ref="E165">_xlfn.IFS(OR(calcs_EFs[[#This Row],[Unit]]="miles",calcs_EFs[[#This Row],[Unit]]="car miles"),CONVERT(1, "mi","km"),TRUE,1)</f>
        <v>1</v>
      </c>
      <c r="F165" s="3" t="b">
        <v>1</v>
      </c>
      <c r="G165" s="3"/>
      <c r="H165" s="5">
        <f>IF(calcs_EFs[[#This Row],[XLOOKUP?]],_xlfn.XLOOKUP(calcs_EFs[[#This Row],[EF ID]],EF_DB_short[EF ID],EF_DB_short[EF (kgCO2e/unit)])*calcs_EFs[[#This Row],[Conversion]],calcs_EFs[[#This Row],[Manual Value]])</f>
        <v>13396</v>
      </c>
    </row>
    <row r="166" spans="1:8">
      <c r="A166" t="s">
        <v>3</v>
      </c>
      <c r="B166" t="s">
        <v>400</v>
      </c>
      <c r="C166" t="s">
        <v>108</v>
      </c>
      <c r="D166" t="s">
        <v>401</v>
      </c>
      <c r="E166" s="3" cm="1">
        <f t="array" ref="E166">_xlfn.IFS(OR(calcs_EFs[[#This Row],[Unit]]="miles",calcs_EFs[[#This Row],[Unit]]="car miles"),CONVERT(1, "mi","km"),TRUE,1)</f>
        <v>1</v>
      </c>
      <c r="F166" s="3" t="b">
        <v>1</v>
      </c>
      <c r="G166" s="3"/>
      <c r="H166" s="5">
        <f>IF(calcs_EFs[[#This Row],[XLOOKUP?]],_xlfn.XLOOKUP(calcs_EFs[[#This Row],[EF ID]],EF_DB_short[EF ID],EF_DB_short[EF (kgCO2e/unit)])*calcs_EFs[[#This Row],[Conversion]],calcs_EFs[[#This Row],[Manual Value]])</f>
        <v>5741</v>
      </c>
    </row>
    <row r="167" spans="1:8">
      <c r="A167" t="s">
        <v>3</v>
      </c>
      <c r="B167" t="s">
        <v>398</v>
      </c>
      <c r="C167" t="s">
        <v>108</v>
      </c>
      <c r="D167" t="s">
        <v>399</v>
      </c>
      <c r="E167" s="3" cm="1">
        <f t="array" ref="E167">_xlfn.IFS(OR(calcs_EFs[[#This Row],[Unit]]="miles",calcs_EFs[[#This Row],[Unit]]="car miles"),CONVERT(1, "mi","km"),TRUE,1)</f>
        <v>1</v>
      </c>
      <c r="F167" s="3" t="b">
        <v>1</v>
      </c>
      <c r="G167" s="3"/>
      <c r="H167" s="5">
        <f>IF(calcs_EFs[[#This Row],[XLOOKUP?]],_xlfn.XLOOKUP(calcs_EFs[[#This Row],[EF ID]],EF_DB_short[EF ID],EF_DB_short[EF (kgCO2e/unit)])*calcs_EFs[[#This Row],[Conversion]],calcs_EFs[[#This Row],[Manual Value]])</f>
        <v>1</v>
      </c>
    </row>
    <row r="168" spans="1:8">
      <c r="A168" t="s">
        <v>3</v>
      </c>
      <c r="B168" t="s">
        <v>396</v>
      </c>
      <c r="C168" t="s">
        <v>108</v>
      </c>
      <c r="D168" t="s">
        <v>397</v>
      </c>
      <c r="E168" s="3" cm="1">
        <f t="array" ref="E168">_xlfn.IFS(OR(calcs_EFs[[#This Row],[Unit]]="miles",calcs_EFs[[#This Row],[Unit]]="car miles"),CONVERT(1, "mi","km"),TRUE,1)</f>
        <v>1</v>
      </c>
      <c r="F168" s="3" t="b">
        <v>1</v>
      </c>
      <c r="G168" s="3"/>
      <c r="H168" s="5">
        <f>IF(calcs_EFs[[#This Row],[XLOOKUP?]],_xlfn.XLOOKUP(calcs_EFs[[#This Row],[EF ID]],EF_DB_short[EF ID],EF_DB_short[EF (kgCO2e/unit)])*calcs_EFs[[#This Row],[Conversion]],calcs_EFs[[#This Row],[Manual Value]])</f>
        <v>9</v>
      </c>
    </row>
    <row r="169" spans="1:8">
      <c r="A169" t="s">
        <v>3</v>
      </c>
      <c r="B169" t="s">
        <v>394</v>
      </c>
      <c r="C169" t="s">
        <v>108</v>
      </c>
      <c r="D169" t="s">
        <v>395</v>
      </c>
      <c r="E169" s="3" cm="1">
        <f t="array" ref="E169">_xlfn.IFS(OR(calcs_EFs[[#This Row],[Unit]]="miles",calcs_EFs[[#This Row],[Unit]]="car miles"),CONVERT(1, "mi","km"),TRUE,1)</f>
        <v>1</v>
      </c>
      <c r="F169" s="3" t="b">
        <v>1</v>
      </c>
      <c r="G169" s="3"/>
      <c r="H169" s="5">
        <f>IF(calcs_EFs[[#This Row],[XLOOKUP?]],_xlfn.XLOOKUP(calcs_EFs[[#This Row],[EF ID]],EF_DB_short[EF ID],EF_DB_short[EF (kgCO2e/unit)])*calcs_EFs[[#This Row],[Conversion]],calcs_EFs[[#This Row],[Manual Value]])</f>
        <v>189</v>
      </c>
    </row>
    <row r="170" spans="1:8">
      <c r="A170" t="s">
        <v>3</v>
      </c>
      <c r="B170" t="s">
        <v>288</v>
      </c>
      <c r="C170" t="s">
        <v>108</v>
      </c>
      <c r="D170" t="s">
        <v>289</v>
      </c>
      <c r="E170" s="3" cm="1">
        <f t="array" ref="E170">_xlfn.IFS(OR(calcs_EFs[[#This Row],[Unit]]="miles",calcs_EFs[[#This Row],[Unit]]="car miles"),CONVERT(1, "mi","km"),TRUE,1)</f>
        <v>1</v>
      </c>
      <c r="F170" s="3" t="b">
        <v>1</v>
      </c>
      <c r="G170" s="3"/>
      <c r="H170" s="5">
        <f>IF(calcs_EFs[[#This Row],[XLOOKUP?]],_xlfn.XLOOKUP(calcs_EFs[[#This Row],[EF ID]],EF_DB_short[EF ID],EF_DB_short[EF (kgCO2e/unit)])*calcs_EFs[[#This Row],[Conversion]],calcs_EFs[[#This Row],[Manual Value]])</f>
        <v>4</v>
      </c>
    </row>
    <row r="171" spans="1:8">
      <c r="A171" t="s">
        <v>3</v>
      </c>
      <c r="B171" t="s">
        <v>124</v>
      </c>
      <c r="C171" t="s">
        <v>108</v>
      </c>
      <c r="D171" t="s">
        <v>290</v>
      </c>
      <c r="E171" s="3" cm="1">
        <f t="array" ref="E171">_xlfn.IFS(OR(calcs_EFs[[#This Row],[Unit]]="miles",calcs_EFs[[#This Row],[Unit]]="car miles"),CONVERT(1, "mi","km"),TRUE,1)</f>
        <v>1</v>
      </c>
      <c r="F171" s="3" t="b">
        <v>1</v>
      </c>
      <c r="G171" s="3"/>
      <c r="H171" s="5">
        <f>IF(calcs_EFs[[#This Row],[XLOOKUP?]],_xlfn.XLOOKUP(calcs_EFs[[#This Row],[EF ID]],EF_DB_short[EF ID],EF_DB_short[EF (kgCO2e/unit)])*calcs_EFs[[#This Row],[Conversion]],calcs_EFs[[#This Row],[Manual Value]])</f>
        <v>3</v>
      </c>
    </row>
    <row r="172" spans="1:8">
      <c r="A172" t="s">
        <v>3</v>
      </c>
      <c r="B172" t="s">
        <v>286</v>
      </c>
      <c r="C172" t="s">
        <v>108</v>
      </c>
      <c r="D172" t="s">
        <v>287</v>
      </c>
      <c r="E172" s="3" cm="1">
        <f t="array" ref="E172">_xlfn.IFS(OR(calcs_EFs[[#This Row],[Unit]]="miles",calcs_EFs[[#This Row],[Unit]]="car miles"),CONVERT(1, "mi","km"),TRUE,1)</f>
        <v>1</v>
      </c>
      <c r="F172" s="3" t="b">
        <v>1</v>
      </c>
      <c r="G172" s="3"/>
      <c r="H172" s="5">
        <f>IF(calcs_EFs[[#This Row],[XLOOKUP?]],_xlfn.XLOOKUP(calcs_EFs[[#This Row],[EF ID]],EF_DB_short[EF ID],EF_DB_short[EF (kgCO2e/unit)])*calcs_EFs[[#This Row],[Conversion]],calcs_EFs[[#This Row],[Manual Value]])</f>
        <v>5</v>
      </c>
    </row>
    <row r="173" spans="1:8">
      <c r="A173" t="s">
        <v>3</v>
      </c>
      <c r="B173" t="s">
        <v>284</v>
      </c>
      <c r="C173" t="s">
        <v>108</v>
      </c>
      <c r="D173" t="s">
        <v>285</v>
      </c>
      <c r="E173" s="3" cm="1">
        <f t="array" ref="E173">_xlfn.IFS(OR(calcs_EFs[[#This Row],[Unit]]="miles",calcs_EFs[[#This Row],[Unit]]="car miles"),CONVERT(1, "mi","km"),TRUE,1)</f>
        <v>1</v>
      </c>
      <c r="F173" s="3" t="b">
        <v>1</v>
      </c>
      <c r="G173" s="3"/>
      <c r="H173" s="5">
        <f>IF(calcs_EFs[[#This Row],[XLOOKUP?]],_xlfn.XLOOKUP(calcs_EFs[[#This Row],[EF ID]],EF_DB_short[EF ID],EF_DB_short[EF (kgCO2e/unit)])*calcs_EFs[[#This Row],[Conversion]],calcs_EFs[[#This Row],[Manual Value]])</f>
        <v>5</v>
      </c>
    </row>
    <row r="174" spans="1:8">
      <c r="A174" t="s">
        <v>3</v>
      </c>
      <c r="B174" t="s">
        <v>174</v>
      </c>
      <c r="C174" t="s">
        <v>108</v>
      </c>
      <c r="D174" t="s">
        <v>208</v>
      </c>
      <c r="E174" s="3" cm="1">
        <f t="array" ref="E174">_xlfn.IFS(OR(calcs_EFs[[#This Row],[Unit]]="miles",calcs_EFs[[#This Row],[Unit]]="car miles"),CONVERT(1, "mi","km"),TRUE,1)</f>
        <v>1</v>
      </c>
      <c r="F174" s="3" t="b">
        <v>1</v>
      </c>
      <c r="G174" s="3"/>
      <c r="H174" s="5">
        <f>IF(calcs_EFs[[#This Row],[XLOOKUP?]],_xlfn.XLOOKUP(calcs_EFs[[#This Row],[EF ID]],EF_DB_short[EF ID],EF_DB_short[EF (kgCO2e/unit)])*calcs_EFs[[#This Row],[Conversion]],calcs_EFs[[#This Row],[Manual Value]])</f>
        <v>22800</v>
      </c>
    </row>
    <row r="175" spans="1:8">
      <c r="A175" t="s">
        <v>3</v>
      </c>
      <c r="B175" t="s">
        <v>152</v>
      </c>
      <c r="C175" t="s">
        <v>108</v>
      </c>
      <c r="D175" t="s">
        <v>391</v>
      </c>
      <c r="E175" s="3" cm="1">
        <f t="array" ref="E175">_xlfn.IFS(OR(calcs_EFs[[#This Row],[Unit]]="miles",calcs_EFs[[#This Row],[Unit]]="car miles"),CONVERT(1, "mi","km"),TRUE,1)</f>
        <v>1</v>
      </c>
      <c r="F175" s="3" t="b">
        <v>1</v>
      </c>
      <c r="G175" s="3"/>
      <c r="H175" s="5">
        <f>IF(calcs_EFs[[#This Row],[XLOOKUP?]],_xlfn.XLOOKUP(calcs_EFs[[#This Row],[EF ID]],EF_DB_short[EF ID],EF_DB_short[EF (kgCO2e/unit)])*calcs_EFs[[#This Row],[Conversion]],calcs_EFs[[#This Row],[Manual Value]])</f>
        <v>17700</v>
      </c>
    </row>
    <row r="176" spans="1:8">
      <c r="A176" t="s">
        <v>4</v>
      </c>
      <c r="B176" t="s">
        <v>922</v>
      </c>
      <c r="C176" t="s">
        <v>924</v>
      </c>
      <c r="D176" t="s">
        <v>925</v>
      </c>
      <c r="E176" s="3" cm="1">
        <f t="array" ref="E176">_xlfn.IFS(OR(calcs_EFs[[#This Row],[Unit]]="miles",calcs_EFs[[#This Row],[Unit]]="car miles"),CONVERT(1, "mi","km"),TRUE,1)</f>
        <v>1</v>
      </c>
      <c r="F176" s="3" t="b">
        <v>0</v>
      </c>
      <c r="G176" s="3">
        <v>540</v>
      </c>
      <c r="H176" s="5">
        <f>IF(calcs_EFs[[#This Row],[XLOOKUP?]],_xlfn.XLOOKUP(calcs_EFs[[#This Row],[EF ID]],EF_DB_short[EF ID],EF_DB_short[EF (kgCO2e/unit)])*calcs_EFs[[#This Row],[Conversion]],calcs_EFs[[#This Row],[Manual Value]])</f>
        <v>540</v>
      </c>
    </row>
    <row r="177" spans="1:8">
      <c r="A177" t="s">
        <v>4</v>
      </c>
      <c r="B177" t="s">
        <v>922</v>
      </c>
      <c r="C177" t="s">
        <v>923</v>
      </c>
      <c r="D177" t="s">
        <v>931</v>
      </c>
      <c r="E177" s="3" cm="1">
        <f t="array" ref="E177">_xlfn.IFS(OR(calcs_EFs[[#This Row],[Unit]]="miles",calcs_EFs[[#This Row],[Unit]]="car miles"),CONVERT(1, "mi","km"),TRUE,1)</f>
        <v>1</v>
      </c>
      <c r="F177" s="3" t="b">
        <v>0</v>
      </c>
      <c r="G177" s="3">
        <v>1000</v>
      </c>
      <c r="H177" s="5">
        <f>IF(calcs_EFs[[#This Row],[XLOOKUP?]],_xlfn.XLOOKUP(calcs_EFs[[#This Row],[EF ID]],EF_DB_short[EF ID],EF_DB_short[EF (kgCO2e/unit)])*calcs_EFs[[#This Row],[Conversion]],calcs_EFs[[#This Row],[Manual Value]])</f>
        <v>1000</v>
      </c>
    </row>
    <row r="178" spans="1:8">
      <c r="A178" t="s">
        <v>4</v>
      </c>
      <c r="B178" t="s">
        <v>935</v>
      </c>
      <c r="C178" t="s">
        <v>923</v>
      </c>
      <c r="D178" t="s">
        <v>931</v>
      </c>
      <c r="E178" s="3" cm="1">
        <f t="array" ref="E178">_xlfn.IFS(OR(calcs_EFs[[#This Row],[Unit]]="miles",calcs_EFs[[#This Row],[Unit]]="car miles"),CONVERT(1, "mi","km"),TRUE,1)</f>
        <v>1</v>
      </c>
      <c r="F178" s="3" t="b">
        <v>0</v>
      </c>
      <c r="G178" s="3">
        <v>1000</v>
      </c>
      <c r="H178" s="5">
        <f>IF(calcs_EFs[[#This Row],[XLOOKUP?]],_xlfn.XLOOKUP(calcs_EFs[[#This Row],[EF ID]],EF_DB_short[EF ID],EF_DB_short[EF (kgCO2e/unit)])*calcs_EFs[[#This Row],[Conversion]],calcs_EFs[[#This Row],[Manual Value]])</f>
        <v>1000</v>
      </c>
    </row>
    <row r="179" spans="1:8">
      <c r="A179" t="s">
        <v>4</v>
      </c>
      <c r="B179" t="s">
        <v>941</v>
      </c>
      <c r="C179" t="s">
        <v>923</v>
      </c>
      <c r="D179" t="s">
        <v>931</v>
      </c>
      <c r="E179" s="3" cm="1">
        <f t="array" ref="E179">_xlfn.IFS(OR(calcs_EFs[[#This Row],[Unit]]="miles",calcs_EFs[[#This Row],[Unit]]="car miles"),CONVERT(1, "mi","km"),TRUE,1)</f>
        <v>1</v>
      </c>
      <c r="F179" s="3" t="b">
        <v>0</v>
      </c>
      <c r="G179" s="3">
        <v>1000</v>
      </c>
      <c r="H179" s="5">
        <f>IF(calcs_EFs[[#This Row],[XLOOKUP?]],_xlfn.XLOOKUP(calcs_EFs[[#This Row],[EF ID]],EF_DB_short[EF ID],EF_DB_short[EF (kgCO2e/unit)])*calcs_EFs[[#This Row],[Conversion]],calcs_EFs[[#This Row],[Manual Value]])</f>
        <v>1000</v>
      </c>
    </row>
    <row r="180" spans="1:8">
      <c r="A180" t="s">
        <v>4</v>
      </c>
      <c r="B180" t="s">
        <v>940</v>
      </c>
      <c r="C180" t="s">
        <v>923</v>
      </c>
      <c r="D180" t="s">
        <v>931</v>
      </c>
      <c r="E180" s="3" cm="1">
        <f t="array" ref="E180">_xlfn.IFS(OR(calcs_EFs[[#This Row],[Unit]]="miles",calcs_EFs[[#This Row],[Unit]]="car miles"),CONVERT(1, "mi","km"),TRUE,1)</f>
        <v>1</v>
      </c>
      <c r="F180" s="3" t="b">
        <v>0</v>
      </c>
      <c r="G180" s="3">
        <v>1000</v>
      </c>
      <c r="H180" s="5">
        <f>IF(calcs_EFs[[#This Row],[XLOOKUP?]],_xlfn.XLOOKUP(calcs_EFs[[#This Row],[EF ID]],EF_DB_short[EF ID],EF_DB_short[EF (kgCO2e/unit)])*calcs_EFs[[#This Row],[Conversion]],calcs_EFs[[#This Row],[Manual Value]])</f>
        <v>1000</v>
      </c>
    </row>
    <row r="181" spans="1:8">
      <c r="A181" t="s">
        <v>4</v>
      </c>
      <c r="B181" t="s">
        <v>39</v>
      </c>
      <c r="C181" t="s">
        <v>923</v>
      </c>
      <c r="D181" t="s">
        <v>931</v>
      </c>
      <c r="E181" s="3" cm="1">
        <f t="array" ref="E181">_xlfn.IFS(OR(calcs_EFs[[#This Row],[Unit]]="miles",calcs_EFs[[#This Row],[Unit]]="car miles"),CONVERT(1, "mi","km"),TRUE,1)</f>
        <v>1</v>
      </c>
      <c r="F181" s="3" t="b">
        <v>0</v>
      </c>
      <c r="G181" s="3">
        <v>1000</v>
      </c>
      <c r="H181" s="5">
        <f>IF(calcs_EFs[[#This Row],[XLOOKUP?]],_xlfn.XLOOKUP(calcs_EFs[[#This Row],[EF ID]],EF_DB_short[EF ID],EF_DB_short[EF (kgCO2e/unit)])*calcs_EFs[[#This Row],[Conversion]],calcs_EFs[[#This Row],[Manual Value]])</f>
        <v>1000</v>
      </c>
    </row>
    <row r="182" spans="1:8">
      <c r="A182" t="s">
        <v>4</v>
      </c>
      <c r="B182" t="s">
        <v>937</v>
      </c>
      <c r="C182" t="s">
        <v>923</v>
      </c>
      <c r="D182" t="s">
        <v>931</v>
      </c>
      <c r="E182" s="3" cm="1">
        <f t="array" ref="E182">_xlfn.IFS(OR(calcs_EFs[[#This Row],[Unit]]="miles",calcs_EFs[[#This Row],[Unit]]="car miles"),CONVERT(1, "mi","km"),TRUE,1)</f>
        <v>1</v>
      </c>
      <c r="F182" s="3" t="b">
        <v>0</v>
      </c>
      <c r="G182" s="3">
        <v>1000</v>
      </c>
      <c r="H182" s="5">
        <f>IF(calcs_EFs[[#This Row],[XLOOKUP?]],_xlfn.XLOOKUP(calcs_EFs[[#This Row],[EF ID]],EF_DB_short[EF ID],EF_DB_short[EF (kgCO2e/unit)])*calcs_EFs[[#This Row],[Conversion]],calcs_EFs[[#This Row],[Manual Value]])</f>
        <v>1000</v>
      </c>
    </row>
    <row r="183" spans="1:8">
      <c r="A183" t="s">
        <v>4</v>
      </c>
      <c r="B183" t="s">
        <v>936</v>
      </c>
      <c r="C183" t="s">
        <v>923</v>
      </c>
      <c r="D183" t="s">
        <v>931</v>
      </c>
      <c r="E183" s="3" cm="1">
        <f t="array" ref="E183">_xlfn.IFS(OR(calcs_EFs[[#This Row],[Unit]]="miles",calcs_EFs[[#This Row],[Unit]]="car miles"),CONVERT(1, "mi","km"),TRUE,1)</f>
        <v>1</v>
      </c>
      <c r="F183" s="3" t="b">
        <v>0</v>
      </c>
      <c r="G183" s="3">
        <v>1000</v>
      </c>
      <c r="H183" s="5">
        <f>IF(calcs_EFs[[#This Row],[XLOOKUP?]],_xlfn.XLOOKUP(calcs_EFs[[#This Row],[EF ID]],EF_DB_short[EF ID],EF_DB_short[EF (kgCO2e/unit)])*calcs_EFs[[#This Row],[Conversion]],calcs_EFs[[#This Row],[Manual Value]])</f>
        <v>1000</v>
      </c>
    </row>
    <row r="184" spans="1:8">
      <c r="A184" t="s">
        <v>4</v>
      </c>
      <c r="B184" t="s">
        <v>1097</v>
      </c>
      <c r="C184" t="s">
        <v>923</v>
      </c>
      <c r="D184" t="s">
        <v>931</v>
      </c>
      <c r="E184" s="3" cm="1">
        <f t="array" ref="E184">_xlfn.IFS(OR(calcs_EFs[[#This Row],[Unit]]="miles",calcs_EFs[[#This Row],[Unit]]="car miles"),CONVERT(1, "mi","km"),TRUE,1)</f>
        <v>1</v>
      </c>
      <c r="F184" s="3" t="b">
        <v>0</v>
      </c>
      <c r="G184" s="3">
        <v>1000</v>
      </c>
      <c r="H184" s="5">
        <f>IF(calcs_EFs[[#This Row],[XLOOKUP?]],_xlfn.XLOOKUP(calcs_EFs[[#This Row],[EF ID]],EF_DB_short[EF ID],EF_DB_short[EF (kgCO2e/unit)])*calcs_EFs[[#This Row],[Conversion]],calcs_EFs[[#This Row],[Manual Value]])</f>
        <v>1000</v>
      </c>
    </row>
    <row r="185" spans="1:8" ht="17">
      <c r="A185" t="s">
        <v>4</v>
      </c>
      <c r="B185" s="65" t="s">
        <v>910</v>
      </c>
      <c r="C185" t="s">
        <v>923</v>
      </c>
      <c r="D185" t="s">
        <v>931</v>
      </c>
      <c r="E185" s="3" cm="1">
        <f t="array" ref="E185">_xlfn.IFS(OR(calcs_EFs[[#This Row],[Unit]]="miles",calcs_EFs[[#This Row],[Unit]]="car miles"),CONVERT(1, "mi","km"),TRUE,1)</f>
        <v>1</v>
      </c>
      <c r="F185" s="3" t="b">
        <v>0</v>
      </c>
      <c r="G185" s="3">
        <v>1000</v>
      </c>
      <c r="H185" s="5">
        <f>IF(calcs_EFs[[#This Row],[XLOOKUP?]],_xlfn.XLOOKUP(calcs_EFs[[#This Row],[EF ID]],EF_DB_short[EF ID],EF_DB_short[EF (kgCO2e/unit)])*calcs_EFs[[#This Row],[Conversion]],calcs_EFs[[#This Row],[Manual Value]])</f>
        <v>1000</v>
      </c>
    </row>
    <row r="186" spans="1:8">
      <c r="A186" t="s">
        <v>4</v>
      </c>
      <c r="B186" t="s">
        <v>909</v>
      </c>
      <c r="C186" t="s">
        <v>107</v>
      </c>
      <c r="D186" t="s">
        <v>1013</v>
      </c>
      <c r="E186" s="3" cm="1">
        <f t="array" ref="E186">_xlfn.IFS(OR(calcs_EFs[[#This Row],[Unit]]="miles",calcs_EFs[[#This Row],[Unit]]="car miles"),CONVERT(1, "mi","km"),TRUE,1)</f>
        <v>1</v>
      </c>
      <c r="F186" s="3" t="b">
        <v>0</v>
      </c>
      <c r="G186" s="3">
        <v>0.47744665587417584</v>
      </c>
      <c r="H186" s="5">
        <f>IF(calcs_EFs[[#This Row],[XLOOKUP?]],_xlfn.XLOOKUP(calcs_EFs[[#This Row],[EF ID]],EF_DB_short[EF ID],EF_DB_short[EF (kgCO2e/unit)])*calcs_EFs[[#This Row],[Conversion]],calcs_EFs[[#This Row],[Manual Value]])</f>
        <v>0.47744665587417584</v>
      </c>
    </row>
    <row r="187" spans="1:8">
      <c r="A187" t="s">
        <v>4</v>
      </c>
      <c r="B187" t="s">
        <v>909</v>
      </c>
      <c r="C187" t="s">
        <v>972</v>
      </c>
      <c r="D187" t="s">
        <v>427</v>
      </c>
      <c r="E187" s="3" cm="1">
        <f t="array" ref="E187">_xlfn.IFS(OR(calcs_EFs[[#This Row],[Unit]]="miles",calcs_EFs[[#This Row],[Unit]]="car miles"),CONVERT(1, "mi","km"),TRUE,1)</f>
        <v>1.6093440000000001</v>
      </c>
      <c r="F187" s="3" t="b">
        <v>1</v>
      </c>
      <c r="G187" s="3"/>
      <c r="H187" s="5">
        <f>IF(calcs_EFs[[#This Row],[XLOOKUP?]],_xlfn.XLOOKUP(calcs_EFs[[#This Row],[EF ID]],EF_DB_short[EF ID],EF_DB_short[EF (kgCO2e/unit)])*calcs_EFs[[#This Row],[Conversion]],calcs_EFs[[#This Row],[Manual Value]])</f>
        <v>0.27466674048</v>
      </c>
    </row>
    <row r="188" spans="1:8">
      <c r="A188" t="s">
        <v>4</v>
      </c>
      <c r="B188" t="s">
        <v>909</v>
      </c>
      <c r="C188" t="s">
        <v>923</v>
      </c>
      <c r="D188" t="s">
        <v>931</v>
      </c>
      <c r="E188" s="3" cm="1">
        <f t="array" ref="E188">_xlfn.IFS(OR(calcs_EFs[[#This Row],[Unit]]="miles",calcs_EFs[[#This Row],[Unit]]="car miles"),CONVERT(1, "mi","km"),TRUE,1)</f>
        <v>1</v>
      </c>
      <c r="F188" s="3" t="b">
        <v>0</v>
      </c>
      <c r="G188" s="3">
        <v>1000</v>
      </c>
      <c r="H188" s="5">
        <f>IF(calcs_EFs[[#This Row],[XLOOKUP?]],_xlfn.XLOOKUP(calcs_EFs[[#This Row],[EF ID]],EF_DB_short[EF ID],EF_DB_short[EF (kgCO2e/unit)])*calcs_EFs[[#This Row],[Conversion]],calcs_EFs[[#This Row],[Manual Value]])</f>
        <v>1000</v>
      </c>
    </row>
    <row r="189" spans="1:8">
      <c r="A189" t="s">
        <v>4</v>
      </c>
      <c r="B189" t="s">
        <v>913</v>
      </c>
      <c r="C189" t="s">
        <v>473</v>
      </c>
      <c r="D189" t="s">
        <v>993</v>
      </c>
      <c r="E189" s="3" cm="1">
        <f t="array" ref="E189">_xlfn.IFS(OR(calcs_EFs[[#This Row],[Unit]]="miles",calcs_EFs[[#This Row],[Unit]]="car miles"),CONVERT(1, "mi","km"),TRUE,1)</f>
        <v>1</v>
      </c>
      <c r="F189" s="3" t="b">
        <v>0</v>
      </c>
      <c r="G189" s="3">
        <v>0.29826570550651055</v>
      </c>
      <c r="H189" s="5">
        <f>IF(calcs_EFs[[#This Row],[XLOOKUP?]],_xlfn.XLOOKUP(calcs_EFs[[#This Row],[EF ID]],EF_DB_short[EF ID],EF_DB_short[EF (kgCO2e/unit)])*calcs_EFs[[#This Row],[Conversion]],calcs_EFs[[#This Row],[Manual Value]])</f>
        <v>0.29826570550651055</v>
      </c>
    </row>
    <row r="191" spans="1:8">
      <c r="A191" t="s">
        <v>449</v>
      </c>
      <c r="B191" t="s">
        <v>451</v>
      </c>
    </row>
    <row r="192" spans="1:8">
      <c r="A192" t="s">
        <v>426</v>
      </c>
      <c r="B192">
        <v>0.89061000000000001</v>
      </c>
    </row>
    <row r="193" spans="1:2">
      <c r="A193" t="s">
        <v>425</v>
      </c>
      <c r="B193">
        <v>0.23099</v>
      </c>
    </row>
    <row r="194" spans="1:2">
      <c r="A194" t="s">
        <v>427</v>
      </c>
      <c r="B194">
        <v>0.17066999999999999</v>
      </c>
    </row>
    <row r="195" spans="1:2">
      <c r="A195" t="s">
        <v>426</v>
      </c>
      <c r="B195">
        <v>0.89061000000000001</v>
      </c>
    </row>
    <row r="196" spans="1:2">
      <c r="A196" t="s">
        <v>425</v>
      </c>
      <c r="B196">
        <v>0.23099</v>
      </c>
    </row>
    <row r="197" spans="1:2">
      <c r="A197" t="s">
        <v>427</v>
      </c>
      <c r="B197">
        <v>0.17066999999999999</v>
      </c>
    </row>
    <row r="198" spans="1:2">
      <c r="A198" t="s">
        <v>111</v>
      </c>
      <c r="B198">
        <v>1.1022366534678727</v>
      </c>
    </row>
    <row r="199" spans="1:2">
      <c r="A199" t="s">
        <v>111</v>
      </c>
      <c r="B199">
        <v>1.1022366534678727</v>
      </c>
    </row>
    <row r="200" spans="1:2">
      <c r="A200" t="s">
        <v>111</v>
      </c>
      <c r="B200">
        <v>1.1022366534678727</v>
      </c>
    </row>
    <row r="201" spans="1:2">
      <c r="A201" t="s">
        <v>114</v>
      </c>
      <c r="B201">
        <v>2.5578399999999997</v>
      </c>
    </row>
    <row r="202" spans="1:2">
      <c r="A202" t="s">
        <v>114</v>
      </c>
      <c r="B202">
        <v>2.5578399999999997</v>
      </c>
    </row>
    <row r="203" spans="1:2">
      <c r="A203" t="s">
        <v>114</v>
      </c>
      <c r="B203">
        <v>2.5578399999999997</v>
      </c>
    </row>
    <row r="204" spans="1:2">
      <c r="A204" t="s">
        <v>112</v>
      </c>
      <c r="B204">
        <v>2.1618500000000003</v>
      </c>
    </row>
    <row r="205" spans="1:2">
      <c r="A205" t="s">
        <v>114</v>
      </c>
      <c r="B205">
        <v>2.5578399999999997</v>
      </c>
    </row>
    <row r="206" spans="1:2">
      <c r="A206" t="s">
        <v>112</v>
      </c>
      <c r="B206">
        <v>2.1618500000000003</v>
      </c>
    </row>
    <row r="207" spans="1:2">
      <c r="A207" t="s">
        <v>110</v>
      </c>
      <c r="B207">
        <v>1.3638287255229466</v>
      </c>
    </row>
    <row r="208" spans="1:2">
      <c r="A208" t="s">
        <v>111</v>
      </c>
      <c r="B208">
        <v>1.1022366534678727</v>
      </c>
    </row>
    <row r="209" spans="1:2">
      <c r="A209" t="s">
        <v>106</v>
      </c>
      <c r="B209">
        <v>1.7241370713687931</v>
      </c>
    </row>
    <row r="210" spans="1:2">
      <c r="A210" t="s">
        <v>113</v>
      </c>
      <c r="B210">
        <v>0.18253999999999998</v>
      </c>
    </row>
    <row r="211" spans="1:2">
      <c r="A211" t="s">
        <v>115</v>
      </c>
      <c r="B211">
        <v>0.24677000000000002</v>
      </c>
    </row>
    <row r="212" spans="1:2">
      <c r="A212" t="s">
        <v>260</v>
      </c>
      <c r="B212">
        <v>1</v>
      </c>
    </row>
    <row r="213" spans="1:2">
      <c r="A213" t="s">
        <v>415</v>
      </c>
      <c r="B213">
        <v>1400</v>
      </c>
    </row>
    <row r="214" spans="1:2">
      <c r="A214" t="s">
        <v>410</v>
      </c>
      <c r="B214">
        <v>4750</v>
      </c>
    </row>
    <row r="215" spans="1:2">
      <c r="A215" t="s">
        <v>420</v>
      </c>
      <c r="B215">
        <v>6130</v>
      </c>
    </row>
    <row r="216" spans="1:2">
      <c r="A216" t="s">
        <v>419</v>
      </c>
      <c r="B216">
        <v>10000</v>
      </c>
    </row>
    <row r="217" spans="1:2">
      <c r="A217" t="s">
        <v>418</v>
      </c>
      <c r="B217">
        <v>7370</v>
      </c>
    </row>
    <row r="218" spans="1:2">
      <c r="A218" t="s">
        <v>411</v>
      </c>
      <c r="B218">
        <v>10900</v>
      </c>
    </row>
    <row r="219" spans="1:2">
      <c r="A219" t="s">
        <v>421</v>
      </c>
      <c r="B219">
        <v>14400</v>
      </c>
    </row>
    <row r="220" spans="1:2">
      <c r="A220" t="s">
        <v>389</v>
      </c>
      <c r="B220">
        <v>1</v>
      </c>
    </row>
    <row r="221" spans="1:2">
      <c r="A221" t="s">
        <v>417</v>
      </c>
      <c r="B221">
        <v>1890</v>
      </c>
    </row>
    <row r="222" spans="1:2">
      <c r="A222" t="s">
        <v>422</v>
      </c>
      <c r="B222">
        <v>7140</v>
      </c>
    </row>
    <row r="223" spans="1:2">
      <c r="A223" t="s">
        <v>416</v>
      </c>
      <c r="B223">
        <v>1640</v>
      </c>
    </row>
    <row r="224" spans="1:2">
      <c r="A224" t="s">
        <v>393</v>
      </c>
      <c r="B224">
        <v>77</v>
      </c>
    </row>
    <row r="225" spans="1:2">
      <c r="A225" t="s">
        <v>392</v>
      </c>
      <c r="B225">
        <v>609</v>
      </c>
    </row>
    <row r="226" spans="1:2">
      <c r="A226" t="s">
        <v>387</v>
      </c>
      <c r="B226">
        <v>725</v>
      </c>
    </row>
    <row r="227" spans="1:2">
      <c r="A227" t="s">
        <v>386</v>
      </c>
      <c r="B227">
        <v>2310</v>
      </c>
    </row>
    <row r="228" spans="1:2">
      <c r="A228" t="s">
        <v>383</v>
      </c>
      <c r="B228">
        <v>151</v>
      </c>
    </row>
    <row r="229" spans="1:2">
      <c r="A229" t="s">
        <v>412</v>
      </c>
      <c r="B229">
        <v>1810</v>
      </c>
    </row>
    <row r="230" spans="1:2">
      <c r="A230" t="s">
        <v>385</v>
      </c>
      <c r="B230">
        <v>122</v>
      </c>
    </row>
    <row r="231" spans="1:2">
      <c r="A231" t="s">
        <v>384</v>
      </c>
      <c r="B231">
        <v>595</v>
      </c>
    </row>
    <row r="232" spans="1:2">
      <c r="A232" t="s">
        <v>261</v>
      </c>
      <c r="B232">
        <v>3500</v>
      </c>
    </row>
    <row r="233" spans="1:2">
      <c r="A233" t="s">
        <v>262</v>
      </c>
      <c r="B233">
        <v>1100</v>
      </c>
    </row>
    <row r="234" spans="1:2">
      <c r="A234" t="s">
        <v>273</v>
      </c>
      <c r="B234">
        <v>1430</v>
      </c>
    </row>
    <row r="235" spans="1:2">
      <c r="A235" t="s">
        <v>272</v>
      </c>
      <c r="B235">
        <v>353</v>
      </c>
    </row>
    <row r="236" spans="1:2">
      <c r="A236" t="s">
        <v>271</v>
      </c>
      <c r="B236">
        <v>4470</v>
      </c>
    </row>
    <row r="237" spans="1:2">
      <c r="A237" t="s">
        <v>207</v>
      </c>
      <c r="B237">
        <v>53</v>
      </c>
    </row>
    <row r="238" spans="1:2">
      <c r="A238" t="s">
        <v>270</v>
      </c>
      <c r="B238">
        <v>124</v>
      </c>
    </row>
    <row r="239" spans="1:2">
      <c r="A239" t="s">
        <v>206</v>
      </c>
      <c r="B239">
        <v>12</v>
      </c>
    </row>
    <row r="240" spans="1:2">
      <c r="A240" t="s">
        <v>269</v>
      </c>
      <c r="B240">
        <v>3220</v>
      </c>
    </row>
    <row r="241" spans="1:2">
      <c r="A241" t="s">
        <v>257</v>
      </c>
      <c r="B241">
        <v>14800</v>
      </c>
    </row>
    <row r="242" spans="1:2">
      <c r="A242" t="s">
        <v>205</v>
      </c>
      <c r="B242">
        <v>1340</v>
      </c>
    </row>
    <row r="243" spans="1:2">
      <c r="A243" t="s">
        <v>204</v>
      </c>
      <c r="B243">
        <v>1370</v>
      </c>
    </row>
    <row r="244" spans="1:2">
      <c r="A244" t="s">
        <v>268</v>
      </c>
      <c r="B244">
        <v>9810</v>
      </c>
    </row>
    <row r="245" spans="1:2">
      <c r="A245" t="s">
        <v>203</v>
      </c>
      <c r="B245">
        <v>693</v>
      </c>
    </row>
    <row r="246" spans="1:2">
      <c r="A246" t="s">
        <v>267</v>
      </c>
      <c r="B246">
        <v>1030</v>
      </c>
    </row>
    <row r="247" spans="1:2">
      <c r="A247" t="s">
        <v>256</v>
      </c>
      <c r="B247">
        <v>675</v>
      </c>
    </row>
    <row r="248" spans="1:2">
      <c r="A248" t="s">
        <v>213</v>
      </c>
      <c r="B248">
        <v>794</v>
      </c>
    </row>
    <row r="249" spans="1:2">
      <c r="A249" t="s">
        <v>255</v>
      </c>
      <c r="B249">
        <v>92</v>
      </c>
    </row>
    <row r="250" spans="1:2">
      <c r="A250" t="s">
        <v>266</v>
      </c>
      <c r="B250">
        <v>1640</v>
      </c>
    </row>
    <row r="251" spans="1:2">
      <c r="A251" t="s">
        <v>259</v>
      </c>
      <c r="B251">
        <v>25</v>
      </c>
    </row>
    <row r="252" spans="1:2">
      <c r="A252" t="s">
        <v>414</v>
      </c>
      <c r="B252">
        <v>5</v>
      </c>
    </row>
    <row r="253" spans="1:2">
      <c r="A253" t="s">
        <v>380</v>
      </c>
      <c r="B253">
        <v>13</v>
      </c>
    </row>
    <row r="254" spans="1:2">
      <c r="A254" t="s">
        <v>413</v>
      </c>
      <c r="B254">
        <v>146</v>
      </c>
    </row>
    <row r="255" spans="1:2">
      <c r="A255" t="s">
        <v>388</v>
      </c>
      <c r="B255">
        <v>9</v>
      </c>
    </row>
    <row r="256" spans="1:2">
      <c r="A256" t="s">
        <v>214</v>
      </c>
      <c r="B256">
        <v>17200</v>
      </c>
    </row>
    <row r="257" spans="1:2">
      <c r="A257" t="s">
        <v>258</v>
      </c>
      <c r="B257">
        <v>298</v>
      </c>
    </row>
    <row r="258" spans="1:2">
      <c r="A258" t="s">
        <v>230</v>
      </c>
      <c r="B258">
        <v>8860</v>
      </c>
    </row>
    <row r="259" spans="1:2">
      <c r="A259" t="s">
        <v>254</v>
      </c>
      <c r="B259">
        <v>10300</v>
      </c>
    </row>
    <row r="260" spans="1:2">
      <c r="A260" t="s">
        <v>209</v>
      </c>
      <c r="B260">
        <v>17340</v>
      </c>
    </row>
    <row r="261" spans="1:2">
      <c r="A261" t="s">
        <v>264</v>
      </c>
      <c r="B261">
        <v>12200</v>
      </c>
    </row>
    <row r="262" spans="1:2">
      <c r="A262" t="s">
        <v>211</v>
      </c>
      <c r="B262">
        <v>9300</v>
      </c>
    </row>
    <row r="263" spans="1:2">
      <c r="A263" t="s">
        <v>265</v>
      </c>
      <c r="B263">
        <v>7390</v>
      </c>
    </row>
    <row r="264" spans="1:2">
      <c r="A264" t="s">
        <v>212</v>
      </c>
      <c r="B264">
        <v>9160</v>
      </c>
    </row>
    <row r="265" spans="1:2">
      <c r="A265" t="s">
        <v>263</v>
      </c>
      <c r="B265">
        <v>8830</v>
      </c>
    </row>
    <row r="266" spans="1:2">
      <c r="A266" t="s">
        <v>210</v>
      </c>
      <c r="B266">
        <v>7500</v>
      </c>
    </row>
    <row r="267" spans="1:2">
      <c r="A267" t="s">
        <v>390</v>
      </c>
      <c r="B267">
        <v>10300</v>
      </c>
    </row>
    <row r="268" spans="1:2">
      <c r="A268" t="s">
        <v>279</v>
      </c>
      <c r="B268">
        <v>1</v>
      </c>
    </row>
    <row r="269" spans="1:2">
      <c r="A269" t="s">
        <v>277</v>
      </c>
      <c r="B269">
        <v>1</v>
      </c>
    </row>
    <row r="270" spans="1:2">
      <c r="A270" t="s">
        <v>281</v>
      </c>
      <c r="B270">
        <v>2</v>
      </c>
    </row>
    <row r="271" spans="1:2">
      <c r="A271" t="s">
        <v>283</v>
      </c>
      <c r="B271">
        <v>6</v>
      </c>
    </row>
    <row r="272" spans="1:2">
      <c r="A272" t="s">
        <v>291</v>
      </c>
      <c r="B272">
        <v>3</v>
      </c>
    </row>
    <row r="273" spans="1:2">
      <c r="A273" t="s">
        <v>228</v>
      </c>
      <c r="B273">
        <v>1182</v>
      </c>
    </row>
    <row r="274" spans="1:2">
      <c r="A274" t="s">
        <v>227</v>
      </c>
      <c r="B274">
        <v>1288</v>
      </c>
    </row>
    <row r="275" spans="1:2">
      <c r="A275" t="s">
        <v>225</v>
      </c>
      <c r="B275">
        <v>933</v>
      </c>
    </row>
    <row r="276" spans="1:2">
      <c r="A276" t="s">
        <v>229</v>
      </c>
      <c r="B276">
        <v>2788</v>
      </c>
    </row>
    <row r="277" spans="1:2">
      <c r="A277" t="s">
        <v>222</v>
      </c>
      <c r="B277">
        <v>2416</v>
      </c>
    </row>
    <row r="278" spans="1:2">
      <c r="A278" t="s">
        <v>220</v>
      </c>
      <c r="B278">
        <v>3124</v>
      </c>
    </row>
    <row r="279" spans="1:2">
      <c r="A279" t="s">
        <v>218</v>
      </c>
      <c r="B279">
        <v>4457</v>
      </c>
    </row>
    <row r="280" spans="1:2">
      <c r="A280" t="s">
        <v>216</v>
      </c>
      <c r="B280">
        <v>3922</v>
      </c>
    </row>
    <row r="281" spans="1:2">
      <c r="A281" t="s">
        <v>202</v>
      </c>
      <c r="B281">
        <v>4716</v>
      </c>
    </row>
    <row r="282" spans="1:2">
      <c r="A282" t="s">
        <v>200</v>
      </c>
      <c r="B282">
        <v>1943</v>
      </c>
    </row>
    <row r="283" spans="1:2">
      <c r="A283" t="s">
        <v>199</v>
      </c>
      <c r="B283">
        <v>2107</v>
      </c>
    </row>
    <row r="284" spans="1:2">
      <c r="A284" t="s">
        <v>198</v>
      </c>
      <c r="B284">
        <v>2804</v>
      </c>
    </row>
    <row r="285" spans="1:2">
      <c r="A285" t="s">
        <v>196</v>
      </c>
      <c r="B285">
        <v>1774</v>
      </c>
    </row>
    <row r="286" spans="1:2">
      <c r="A286" t="s">
        <v>195</v>
      </c>
      <c r="B286">
        <v>1627</v>
      </c>
    </row>
    <row r="287" spans="1:2">
      <c r="A287" t="s">
        <v>193</v>
      </c>
      <c r="B287">
        <v>1552</v>
      </c>
    </row>
    <row r="288" spans="1:2">
      <c r="A288" t="s">
        <v>232</v>
      </c>
      <c r="B288">
        <v>1825</v>
      </c>
    </row>
    <row r="289" spans="1:2">
      <c r="A289" t="s">
        <v>231</v>
      </c>
      <c r="B289">
        <v>3152</v>
      </c>
    </row>
    <row r="290" spans="1:2">
      <c r="A290" t="s">
        <v>233</v>
      </c>
      <c r="B290">
        <v>1585</v>
      </c>
    </row>
    <row r="291" spans="1:2">
      <c r="A291" t="s">
        <v>235</v>
      </c>
      <c r="B291">
        <v>1560</v>
      </c>
    </row>
    <row r="292" spans="1:2">
      <c r="A292" t="s">
        <v>253</v>
      </c>
      <c r="B292">
        <v>2088</v>
      </c>
    </row>
    <row r="293" spans="1:2">
      <c r="A293" t="s">
        <v>252</v>
      </c>
      <c r="B293">
        <v>2229</v>
      </c>
    </row>
    <row r="294" spans="1:2">
      <c r="A294" t="s">
        <v>250</v>
      </c>
      <c r="B294">
        <v>1597</v>
      </c>
    </row>
    <row r="295" spans="1:2">
      <c r="A295" t="s">
        <v>248</v>
      </c>
      <c r="B295">
        <v>1705</v>
      </c>
    </row>
    <row r="296" spans="1:2">
      <c r="A296" t="s">
        <v>246</v>
      </c>
      <c r="B296">
        <v>2286</v>
      </c>
    </row>
    <row r="297" spans="1:2">
      <c r="A297" t="s">
        <v>244</v>
      </c>
      <c r="B297">
        <v>2053</v>
      </c>
    </row>
    <row r="298" spans="1:2">
      <c r="A298" t="s">
        <v>242</v>
      </c>
      <c r="B298">
        <v>1478</v>
      </c>
    </row>
    <row r="299" spans="1:2">
      <c r="A299" t="s">
        <v>240</v>
      </c>
      <c r="B299">
        <v>1362</v>
      </c>
    </row>
    <row r="300" spans="1:2">
      <c r="A300" t="s">
        <v>238</v>
      </c>
      <c r="B300">
        <v>1507</v>
      </c>
    </row>
    <row r="301" spans="1:2">
      <c r="A301" t="s">
        <v>274</v>
      </c>
      <c r="B301">
        <v>546</v>
      </c>
    </row>
    <row r="302" spans="1:2">
      <c r="A302" t="s">
        <v>354</v>
      </c>
      <c r="B302">
        <v>1084</v>
      </c>
    </row>
    <row r="303" spans="1:2">
      <c r="A303" t="s">
        <v>353</v>
      </c>
      <c r="B303">
        <v>2346</v>
      </c>
    </row>
    <row r="304" spans="1:2">
      <c r="A304" t="s">
        <v>351</v>
      </c>
      <c r="B304">
        <v>3027</v>
      </c>
    </row>
    <row r="305" spans="1:2">
      <c r="A305" t="s">
        <v>349</v>
      </c>
      <c r="B305">
        <v>1809</v>
      </c>
    </row>
    <row r="306" spans="1:2">
      <c r="A306" t="s">
        <v>347</v>
      </c>
      <c r="B306">
        <v>1741</v>
      </c>
    </row>
    <row r="307" spans="1:2">
      <c r="A307" t="s">
        <v>345</v>
      </c>
      <c r="B307">
        <v>2967</v>
      </c>
    </row>
    <row r="308" spans="1:2">
      <c r="A308" t="s">
        <v>343</v>
      </c>
      <c r="B308">
        <v>2384</v>
      </c>
    </row>
    <row r="309" spans="1:2">
      <c r="A309" t="s">
        <v>341</v>
      </c>
      <c r="B309">
        <v>1536</v>
      </c>
    </row>
    <row r="310" spans="1:2">
      <c r="A310" t="s">
        <v>339</v>
      </c>
      <c r="B310">
        <v>2631</v>
      </c>
    </row>
    <row r="311" spans="1:2">
      <c r="A311" t="s">
        <v>337</v>
      </c>
      <c r="B311">
        <v>3190</v>
      </c>
    </row>
    <row r="312" spans="1:2">
      <c r="A312" t="s">
        <v>356</v>
      </c>
      <c r="B312">
        <v>3143</v>
      </c>
    </row>
    <row r="313" spans="1:2">
      <c r="A313" t="s">
        <v>358</v>
      </c>
      <c r="B313">
        <v>2526</v>
      </c>
    </row>
    <row r="314" spans="1:2">
      <c r="A314" t="s">
        <v>379</v>
      </c>
      <c r="B314">
        <v>3085</v>
      </c>
    </row>
    <row r="315" spans="1:2">
      <c r="A315" t="s">
        <v>377</v>
      </c>
      <c r="B315">
        <v>2729</v>
      </c>
    </row>
    <row r="316" spans="1:2">
      <c r="A316" t="s">
        <v>375</v>
      </c>
      <c r="B316">
        <v>2592</v>
      </c>
    </row>
    <row r="317" spans="1:2">
      <c r="A317" t="s">
        <v>373</v>
      </c>
      <c r="B317">
        <v>2280</v>
      </c>
    </row>
    <row r="318" spans="1:2">
      <c r="A318" t="s">
        <v>371</v>
      </c>
      <c r="B318">
        <v>2440</v>
      </c>
    </row>
    <row r="319" spans="1:2">
      <c r="A319" t="s">
        <v>369</v>
      </c>
      <c r="B319">
        <v>1505</v>
      </c>
    </row>
    <row r="320" spans="1:2">
      <c r="A320" t="s">
        <v>366</v>
      </c>
      <c r="B320">
        <v>1508</v>
      </c>
    </row>
    <row r="321" spans="1:2">
      <c r="A321" t="s">
        <v>364</v>
      </c>
      <c r="B321">
        <v>2138</v>
      </c>
    </row>
    <row r="322" spans="1:2">
      <c r="A322" t="s">
        <v>362</v>
      </c>
      <c r="B322">
        <v>3607</v>
      </c>
    </row>
    <row r="323" spans="1:2">
      <c r="A323" t="s">
        <v>360</v>
      </c>
      <c r="B323">
        <v>14</v>
      </c>
    </row>
    <row r="324" spans="1:2">
      <c r="A324" t="s">
        <v>367</v>
      </c>
      <c r="B324">
        <v>95</v>
      </c>
    </row>
    <row r="325" spans="1:2">
      <c r="A325" t="s">
        <v>312</v>
      </c>
      <c r="B325">
        <v>38</v>
      </c>
    </row>
    <row r="326" spans="1:2">
      <c r="A326" t="s">
        <v>310</v>
      </c>
      <c r="B326">
        <v>2</v>
      </c>
    </row>
    <row r="327" spans="1:2">
      <c r="A327" t="s">
        <v>308</v>
      </c>
      <c r="B327">
        <v>3</v>
      </c>
    </row>
    <row r="328" spans="1:2">
      <c r="A328" t="s">
        <v>306</v>
      </c>
      <c r="B328">
        <v>3</v>
      </c>
    </row>
    <row r="329" spans="1:2">
      <c r="A329" t="s">
        <v>304</v>
      </c>
      <c r="B329">
        <v>3</v>
      </c>
    </row>
    <row r="330" spans="1:2">
      <c r="A330" t="s">
        <v>302</v>
      </c>
      <c r="B330">
        <v>3245</v>
      </c>
    </row>
    <row r="331" spans="1:2">
      <c r="A331" t="s">
        <v>300</v>
      </c>
      <c r="B331">
        <v>26</v>
      </c>
    </row>
    <row r="332" spans="1:2">
      <c r="A332" t="s">
        <v>298</v>
      </c>
      <c r="B332">
        <v>3</v>
      </c>
    </row>
    <row r="333" spans="1:2">
      <c r="A333" t="s">
        <v>296</v>
      </c>
      <c r="B333">
        <v>3</v>
      </c>
    </row>
    <row r="334" spans="1:2">
      <c r="A334" t="s">
        <v>294</v>
      </c>
      <c r="B334">
        <v>1805</v>
      </c>
    </row>
    <row r="335" spans="1:2">
      <c r="A335" t="s">
        <v>313</v>
      </c>
      <c r="B335">
        <v>2265</v>
      </c>
    </row>
    <row r="336" spans="1:2">
      <c r="A336" t="s">
        <v>315</v>
      </c>
      <c r="B336">
        <v>1983</v>
      </c>
    </row>
    <row r="337" spans="1:2">
      <c r="A337" t="s">
        <v>333</v>
      </c>
      <c r="B337">
        <v>144</v>
      </c>
    </row>
    <row r="338" spans="1:2">
      <c r="A338" t="s">
        <v>332</v>
      </c>
      <c r="B338">
        <v>3</v>
      </c>
    </row>
    <row r="339" spans="1:2">
      <c r="A339" t="s">
        <v>330</v>
      </c>
      <c r="B339">
        <v>1888</v>
      </c>
    </row>
    <row r="340" spans="1:2">
      <c r="A340" t="s">
        <v>328</v>
      </c>
      <c r="B340">
        <v>2</v>
      </c>
    </row>
    <row r="341" spans="1:2">
      <c r="A341" t="s">
        <v>326</v>
      </c>
      <c r="B341">
        <v>88</v>
      </c>
    </row>
    <row r="342" spans="1:2">
      <c r="A342" t="s">
        <v>324</v>
      </c>
      <c r="B342">
        <v>130</v>
      </c>
    </row>
    <row r="343" spans="1:2">
      <c r="A343" t="s">
        <v>322</v>
      </c>
      <c r="B343">
        <v>8077</v>
      </c>
    </row>
    <row r="344" spans="1:2">
      <c r="A344" t="s">
        <v>320</v>
      </c>
      <c r="B344">
        <v>4083</v>
      </c>
    </row>
    <row r="345" spans="1:2">
      <c r="A345" t="s">
        <v>318</v>
      </c>
      <c r="B345">
        <v>4657</v>
      </c>
    </row>
    <row r="346" spans="1:2">
      <c r="A346" t="s">
        <v>334</v>
      </c>
      <c r="B346">
        <v>14560</v>
      </c>
    </row>
    <row r="347" spans="1:2">
      <c r="A347" t="s">
        <v>382</v>
      </c>
      <c r="B347">
        <v>4143</v>
      </c>
    </row>
    <row r="348" spans="1:2">
      <c r="A348" t="s">
        <v>409</v>
      </c>
      <c r="B348">
        <v>8502</v>
      </c>
    </row>
    <row r="349" spans="1:2">
      <c r="A349" t="s">
        <v>407</v>
      </c>
      <c r="B349">
        <v>4490</v>
      </c>
    </row>
    <row r="350" spans="1:2">
      <c r="A350" t="s">
        <v>405</v>
      </c>
      <c r="B350">
        <v>3985</v>
      </c>
    </row>
    <row r="351" spans="1:2">
      <c r="A351" t="s">
        <v>404</v>
      </c>
      <c r="B351">
        <v>13214</v>
      </c>
    </row>
    <row r="352" spans="1:2">
      <c r="A352" t="s">
        <v>402</v>
      </c>
      <c r="B352">
        <v>13396</v>
      </c>
    </row>
    <row r="353" spans="1:2">
      <c r="A353" t="s">
        <v>401</v>
      </c>
      <c r="B353">
        <v>5741</v>
      </c>
    </row>
    <row r="354" spans="1:2">
      <c r="A354" t="s">
        <v>399</v>
      </c>
      <c r="B354">
        <v>1</v>
      </c>
    </row>
    <row r="355" spans="1:2">
      <c r="A355" t="s">
        <v>397</v>
      </c>
      <c r="B355">
        <v>9</v>
      </c>
    </row>
    <row r="356" spans="1:2">
      <c r="A356" t="s">
        <v>395</v>
      </c>
      <c r="B356">
        <v>189</v>
      </c>
    </row>
    <row r="357" spans="1:2">
      <c r="A357" t="s">
        <v>289</v>
      </c>
      <c r="B357">
        <v>4</v>
      </c>
    </row>
    <row r="358" spans="1:2">
      <c r="A358" t="s">
        <v>290</v>
      </c>
      <c r="B358">
        <v>3</v>
      </c>
    </row>
    <row r="359" spans="1:2">
      <c r="A359" t="s">
        <v>287</v>
      </c>
      <c r="B359">
        <v>5</v>
      </c>
    </row>
    <row r="360" spans="1:2">
      <c r="A360" t="s">
        <v>285</v>
      </c>
      <c r="B360">
        <v>5</v>
      </c>
    </row>
    <row r="361" spans="1:2">
      <c r="A361" t="s">
        <v>208</v>
      </c>
      <c r="B361">
        <v>22800</v>
      </c>
    </row>
    <row r="362" spans="1:2">
      <c r="A362" t="s">
        <v>391</v>
      </c>
      <c r="B362">
        <v>17700</v>
      </c>
    </row>
    <row r="363" spans="1:2">
      <c r="A363" t="s">
        <v>427</v>
      </c>
      <c r="B363">
        <v>0.17066999999999999</v>
      </c>
    </row>
    <row r="364" spans="1:2">
      <c r="A364" t="s">
        <v>116</v>
      </c>
      <c r="B364">
        <v>6.4250000000000002E-2</v>
      </c>
    </row>
    <row r="365" spans="1:2">
      <c r="A365" t="s">
        <v>119</v>
      </c>
      <c r="B365">
        <v>5.1299999999999998E-2</v>
      </c>
    </row>
    <row r="366" spans="1:2">
      <c r="A366" t="s">
        <v>118</v>
      </c>
      <c r="B366">
        <v>5.7500000000000002E-2</v>
      </c>
    </row>
    <row r="367" spans="1:2">
      <c r="A367" t="s">
        <v>117</v>
      </c>
      <c r="B367">
        <v>3.1099999999999999E-2</v>
      </c>
    </row>
  </sheetData>
  <phoneticPr fontId="2" type="noConversion"/>
  <pageMargins left="0.7" right="0.7" top="0.75" bottom="0.75" header="0.3" footer="0.3"/>
  <pageSetup paperSize="9" orientation="portrait" horizontalDpi="0" verticalDpi="0"/>
  <tableParts count="2">
    <tablePart r:id="rId1"/>
    <tablePart r:id="rId2"/>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C222F-29E0-AC41-9E9B-FA7D39834956}">
  <sheetPr codeName="Sheet11"/>
  <dimension ref="A4:K12"/>
  <sheetViews>
    <sheetView workbookViewId="0">
      <selection activeCell="F8" sqref="F8"/>
    </sheetView>
  </sheetViews>
  <sheetFormatPr baseColWidth="10" defaultRowHeight="16"/>
  <cols>
    <col min="2" max="3" width="25.5703125" customWidth="1"/>
    <col min="4" max="4" width="17.5703125" customWidth="1"/>
    <col min="5" max="6" width="46.140625" customWidth="1"/>
    <col min="8" max="8" width="19.5703125" customWidth="1"/>
    <col min="10" max="10" width="35.28515625" customWidth="1"/>
    <col min="11" max="11" width="34.7109375" customWidth="1"/>
  </cols>
  <sheetData>
    <row r="4" spans="1:11" ht="17">
      <c r="A4" s="7" t="s">
        <v>917</v>
      </c>
      <c r="B4" s="8" t="s">
        <v>949</v>
      </c>
      <c r="C4" s="8" t="s">
        <v>945</v>
      </c>
      <c r="D4" s="8" t="s">
        <v>946</v>
      </c>
      <c r="E4" s="8" t="s">
        <v>947</v>
      </c>
      <c r="F4" s="9" t="s">
        <v>948</v>
      </c>
      <c r="H4" s="37" t="s">
        <v>951</v>
      </c>
    </row>
    <row r="5" spans="1:11">
      <c r="A5" s="29" t="s">
        <v>934</v>
      </c>
      <c r="B5" s="30" t="str">
        <f>IF('HIDE - Value Chain %'!$A5="Direct",'HIDE - Value Chain %'!$A5,"Value Chain")</f>
        <v>Value Chain</v>
      </c>
      <c r="C5" s="30" t="s">
        <v>935</v>
      </c>
      <c r="D5" s="30">
        <v>11.9</v>
      </c>
      <c r="E5" s="31">
        <f>'HIDE - Value Chain %'!$D5/SUM('HIDE - Value Chain %'!$D$5:$D$12)</f>
        <v>0.6685393258426966</v>
      </c>
      <c r="F5" s="32">
        <f>1000000*'HIDE - Value Chain %'!$D5*inputs_revenue_GBP/inputs_valchain_FWD_turnover_GBP</f>
        <v>0</v>
      </c>
      <c r="H5" s="1">
        <v>30723000000</v>
      </c>
      <c r="K5" t="s">
        <v>1123</v>
      </c>
    </row>
    <row r="6" spans="1:11">
      <c r="A6" s="33" t="s">
        <v>939</v>
      </c>
      <c r="B6" s="34" t="str">
        <f>IF('HIDE - Value Chain %'!$A6="Direct",'HIDE - Value Chain %'!$A6,"Value Chain")</f>
        <v>Value Chain</v>
      </c>
      <c r="C6" s="34" t="s">
        <v>941</v>
      </c>
      <c r="D6" s="34">
        <v>1.6</v>
      </c>
      <c r="E6" s="35">
        <f>'HIDE - Value Chain %'!$D6/SUM('HIDE - Value Chain %'!$D$5:$D$12)</f>
        <v>8.98876404494382E-2</v>
      </c>
      <c r="F6" s="32">
        <f>1000000*'HIDE - Value Chain %'!$D6*inputs_revenue_GBP/inputs_valchain_FWD_turnover_GBP</f>
        <v>0</v>
      </c>
      <c r="J6" t="s">
        <v>1122</v>
      </c>
      <c r="K6">
        <f>(100%-5.128205128%)*1.5</f>
        <v>1.42307692308</v>
      </c>
    </row>
    <row r="7" spans="1:11">
      <c r="A7" s="29" t="s">
        <v>939</v>
      </c>
      <c r="B7" s="30" t="str">
        <f>IF('HIDE - Value Chain %'!$A7="Direct",'HIDE - Value Chain %'!$A7,"Value Chain")</f>
        <v>Value Chain</v>
      </c>
      <c r="C7" s="30" t="s">
        <v>940</v>
      </c>
      <c r="D7" s="30">
        <f>K6</f>
        <v>1.42307692308</v>
      </c>
      <c r="E7" s="31">
        <f>'HIDE - Value Chain %'!$D7/SUM('HIDE - Value Chain %'!$D$5:$D$12)</f>
        <v>7.9948141746067417E-2</v>
      </c>
      <c r="F7" s="32">
        <f>1000000*'HIDE - Value Chain %'!$D7*inputs_revenue_GBP/inputs_valchain_FWD_turnover_GBP</f>
        <v>0</v>
      </c>
      <c r="J7" t="s">
        <v>1124</v>
      </c>
      <c r="K7">
        <f>1.5-K6</f>
        <v>7.692307692E-2</v>
      </c>
    </row>
    <row r="8" spans="1:11">
      <c r="A8" s="29" t="s">
        <v>939</v>
      </c>
      <c r="B8" s="30" t="str">
        <f>IF('HIDE - Value Chain %'!$A8="Direct",'HIDE - Value Chain %'!$A8,"Value Chain")</f>
        <v>Value Chain</v>
      </c>
      <c r="C8" s="30" t="s">
        <v>1121</v>
      </c>
      <c r="D8" s="30">
        <f>K7</f>
        <v>7.692307692E-2</v>
      </c>
      <c r="E8" s="31">
        <f>'HIDE - Value Chain %'!$D8/SUM('HIDE - Value Chain %'!$D$5:$D$12)</f>
        <v>4.3215211752808983E-3</v>
      </c>
      <c r="F8" s="32">
        <f>1000000*'HIDE - Value Chain %'!$D8*inputs_revenue_GBP/inputs_valchain_FWD_turnover_GBP</f>
        <v>0</v>
      </c>
    </row>
    <row r="9" spans="1:11">
      <c r="A9" s="33" t="s">
        <v>934</v>
      </c>
      <c r="B9" s="34" t="str">
        <f>IF('HIDE - Value Chain %'!$A9="Direct",'HIDE - Value Chain %'!$A9,"Value Chain")</f>
        <v>Value Chain</v>
      </c>
      <c r="C9" s="34" t="s">
        <v>937</v>
      </c>
      <c r="D9" s="34">
        <v>1.1000000000000001</v>
      </c>
      <c r="E9" s="35">
        <f>'HIDE - Value Chain %'!$D9/SUM('HIDE - Value Chain %'!$D$5:$D$12)</f>
        <v>6.1797752808988769E-2</v>
      </c>
      <c r="F9" s="32">
        <f>1000000*'HIDE - Value Chain %'!$D9*inputs_revenue_GBP/inputs_valchain_FWD_turnover_GBP</f>
        <v>0</v>
      </c>
    </row>
    <row r="10" spans="1:11">
      <c r="A10" s="29" t="s">
        <v>934</v>
      </c>
      <c r="B10" s="30" t="str">
        <f>IF('HIDE - Value Chain %'!$A10="Direct",'HIDE - Value Chain %'!$A10,"Value Chain")</f>
        <v>Value Chain</v>
      </c>
      <c r="C10" s="30" t="s">
        <v>936</v>
      </c>
      <c r="D10" s="30">
        <v>0.7</v>
      </c>
      <c r="E10" s="31">
        <f>'HIDE - Value Chain %'!$D10/SUM('HIDE - Value Chain %'!$D$5:$D$12)</f>
        <v>3.9325842696629212E-2</v>
      </c>
      <c r="F10" s="32">
        <f>1000000*'HIDE - Value Chain %'!$D10*inputs_revenue_GBP/inputs_valchain_FWD_turnover_GBP</f>
        <v>0</v>
      </c>
    </row>
    <row r="11" spans="1:11">
      <c r="A11" s="33" t="s">
        <v>103</v>
      </c>
      <c r="B11" s="34" t="str">
        <f>IF('HIDE - Value Chain %'!$A11="Direct",'HIDE - Value Chain %'!$A11,"Value Chain")</f>
        <v>Direct</v>
      </c>
      <c r="C11" s="34" t="s">
        <v>938</v>
      </c>
      <c r="D11" s="34">
        <v>0.7</v>
      </c>
      <c r="E11" s="35">
        <f>'HIDE - Value Chain %'!$D11/SUM('HIDE - Value Chain %'!$D$5:$D$12)</f>
        <v>3.9325842696629212E-2</v>
      </c>
      <c r="F11" s="32">
        <f>1000000*'HIDE - Value Chain %'!$D11*inputs_revenue_GBP/inputs_valchain_FWD_turnover_GBP</f>
        <v>0</v>
      </c>
    </row>
    <row r="12" spans="1:11">
      <c r="A12" s="27" t="s">
        <v>934</v>
      </c>
      <c r="B12" s="28" t="str">
        <f>IF('HIDE - Value Chain %'!$A12="Direct",'HIDE - Value Chain %'!$A12,"Value Chain")</f>
        <v>Value Chain</v>
      </c>
      <c r="C12" s="28" t="s">
        <v>109</v>
      </c>
      <c r="D12" s="28">
        <v>0.3</v>
      </c>
      <c r="E12" s="36">
        <f>'HIDE - Value Chain %'!$D12/SUM('HIDE - Value Chain %'!$D$5:$D$12)</f>
        <v>1.6853932584269662E-2</v>
      </c>
      <c r="F12" s="32">
        <f>1000000*'HIDE - Value Chain %'!$D12*inputs_revenue_GBP/inputs_valchain_FWD_turnover_GBP</f>
        <v>0</v>
      </c>
    </row>
  </sheetData>
  <phoneticPr fontId="2" type="noConversion"/>
  <pageMargins left="0.7" right="0.7" top="0.75" bottom="0.75" header="0.3" footer="0.3"/>
  <pageSetup paperSize="9" orientation="portrait" horizontalDpi="0" verticalDpi="0"/>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F1590-62B9-5B4D-BB2D-9D418C154BA1}">
  <sheetPr codeName="Sheet12"/>
  <dimension ref="A1:M154"/>
  <sheetViews>
    <sheetView workbookViewId="0">
      <selection activeCell="J5" sqref="J5"/>
    </sheetView>
  </sheetViews>
  <sheetFormatPr baseColWidth="10" defaultRowHeight="16"/>
  <cols>
    <col min="1" max="3" width="11.140625" customWidth="1"/>
    <col min="7" max="7" width="14" customWidth="1"/>
    <col min="10" max="10" width="18.42578125" customWidth="1"/>
    <col min="12" max="12" width="32.140625" customWidth="1"/>
  </cols>
  <sheetData>
    <row r="1" spans="1:13">
      <c r="A1" t="s">
        <v>98</v>
      </c>
    </row>
    <row r="3" spans="1:13" ht="17">
      <c r="A3" s="17" t="s">
        <v>99</v>
      </c>
      <c r="B3" s="17"/>
      <c r="C3" s="17" t="s">
        <v>971</v>
      </c>
      <c r="D3" s="17"/>
      <c r="E3" s="17" t="s">
        <v>429</v>
      </c>
      <c r="F3" s="17"/>
      <c r="G3" s="17" t="s">
        <v>97</v>
      </c>
      <c r="H3" s="17"/>
      <c r="I3" s="17" t="s">
        <v>96</v>
      </c>
      <c r="J3" s="17" t="s">
        <v>861</v>
      </c>
      <c r="K3" s="17"/>
      <c r="L3" s="17" t="s">
        <v>3</v>
      </c>
      <c r="M3" s="17" t="s">
        <v>449</v>
      </c>
    </row>
    <row r="4" spans="1:13">
      <c r="A4" t="s">
        <v>428</v>
      </c>
      <c r="C4" t="s">
        <v>107</v>
      </c>
      <c r="E4" t="s">
        <v>430</v>
      </c>
      <c r="G4" t="s">
        <v>438</v>
      </c>
      <c r="I4" t="s">
        <v>55</v>
      </c>
      <c r="J4" t="s">
        <v>1020</v>
      </c>
      <c r="L4" t="s">
        <v>122</v>
      </c>
      <c r="M4" t="s">
        <v>260</v>
      </c>
    </row>
    <row r="5" spans="1:13">
      <c r="A5" t="s">
        <v>100</v>
      </c>
      <c r="C5" t="s">
        <v>972</v>
      </c>
      <c r="E5" t="s">
        <v>431</v>
      </c>
      <c r="G5" t="s">
        <v>437</v>
      </c>
      <c r="I5" t="s">
        <v>66</v>
      </c>
      <c r="J5" t="s">
        <v>1021</v>
      </c>
      <c r="L5" t="s">
        <v>137</v>
      </c>
      <c r="M5" t="s">
        <v>415</v>
      </c>
    </row>
    <row r="6" spans="1:13">
      <c r="A6" t="s">
        <v>107</v>
      </c>
      <c r="G6" t="s">
        <v>439</v>
      </c>
      <c r="L6" t="s">
        <v>146</v>
      </c>
      <c r="M6" t="s">
        <v>410</v>
      </c>
    </row>
    <row r="7" spans="1:13">
      <c r="L7" t="s">
        <v>143</v>
      </c>
      <c r="M7" t="s">
        <v>420</v>
      </c>
    </row>
    <row r="8" spans="1:13">
      <c r="L8" t="s">
        <v>142</v>
      </c>
      <c r="M8" t="s">
        <v>419</v>
      </c>
    </row>
    <row r="9" spans="1:13">
      <c r="L9" t="s">
        <v>141</v>
      </c>
      <c r="M9" t="s">
        <v>418</v>
      </c>
    </row>
    <row r="10" spans="1:13">
      <c r="L10" t="s">
        <v>145</v>
      </c>
      <c r="M10" t="s">
        <v>411</v>
      </c>
    </row>
    <row r="11" spans="1:13">
      <c r="L11" t="s">
        <v>144</v>
      </c>
      <c r="M11" t="s">
        <v>421</v>
      </c>
    </row>
    <row r="12" spans="1:13">
      <c r="L12" t="s">
        <v>121</v>
      </c>
      <c r="M12" t="s">
        <v>389</v>
      </c>
    </row>
    <row r="13" spans="1:13">
      <c r="L13" t="s">
        <v>147</v>
      </c>
      <c r="M13" t="s">
        <v>417</v>
      </c>
    </row>
    <row r="14" spans="1:13">
      <c r="L14" t="s">
        <v>140</v>
      </c>
      <c r="M14" t="s">
        <v>422</v>
      </c>
    </row>
    <row r="15" spans="1:13">
      <c r="L15" t="s">
        <v>138</v>
      </c>
      <c r="M15" t="s">
        <v>416</v>
      </c>
    </row>
    <row r="16" spans="1:13">
      <c r="L16" t="s">
        <v>134</v>
      </c>
      <c r="M16" t="s">
        <v>393</v>
      </c>
    </row>
    <row r="17" spans="12:13">
      <c r="L17" t="s">
        <v>133</v>
      </c>
      <c r="M17" t="s">
        <v>392</v>
      </c>
    </row>
    <row r="18" spans="12:13">
      <c r="L18" t="s">
        <v>139</v>
      </c>
      <c r="M18" t="s">
        <v>387</v>
      </c>
    </row>
    <row r="19" spans="12:13">
      <c r="L19" t="s">
        <v>148</v>
      </c>
      <c r="M19" t="s">
        <v>386</v>
      </c>
    </row>
    <row r="20" spans="12:13">
      <c r="L20" t="s">
        <v>156</v>
      </c>
      <c r="M20" t="s">
        <v>383</v>
      </c>
    </row>
    <row r="21" spans="12:13">
      <c r="L21" t="s">
        <v>135</v>
      </c>
      <c r="M21" t="s">
        <v>412</v>
      </c>
    </row>
    <row r="22" spans="12:13">
      <c r="L22" t="s">
        <v>149</v>
      </c>
      <c r="M22" t="s">
        <v>385</v>
      </c>
    </row>
    <row r="23" spans="12:13">
      <c r="L23" t="s">
        <v>150</v>
      </c>
      <c r="M23" t="s">
        <v>384</v>
      </c>
    </row>
    <row r="24" spans="12:13">
      <c r="L24" t="s">
        <v>185</v>
      </c>
      <c r="M24" t="s">
        <v>261</v>
      </c>
    </row>
    <row r="25" spans="12:13">
      <c r="L25" t="s">
        <v>161</v>
      </c>
      <c r="M25" t="s">
        <v>262</v>
      </c>
    </row>
    <row r="26" spans="12:13">
      <c r="L26" t="s">
        <v>158</v>
      </c>
      <c r="M26" t="s">
        <v>273</v>
      </c>
    </row>
    <row r="27" spans="12:13">
      <c r="L27" t="s">
        <v>165</v>
      </c>
      <c r="M27" t="s">
        <v>272</v>
      </c>
    </row>
    <row r="28" spans="12:13">
      <c r="L28" t="s">
        <v>170</v>
      </c>
      <c r="M28" t="s">
        <v>271</v>
      </c>
    </row>
    <row r="29" spans="12:13">
      <c r="L29" t="s">
        <v>191</v>
      </c>
      <c r="M29" t="s">
        <v>207</v>
      </c>
    </row>
    <row r="30" spans="12:13">
      <c r="L30" t="s">
        <v>188</v>
      </c>
      <c r="M30" t="s">
        <v>270</v>
      </c>
    </row>
    <row r="31" spans="12:13">
      <c r="L31" t="s">
        <v>127</v>
      </c>
      <c r="M31" t="s">
        <v>206</v>
      </c>
    </row>
    <row r="32" spans="12:13">
      <c r="L32" t="s">
        <v>186</v>
      </c>
      <c r="M32" t="s">
        <v>269</v>
      </c>
    </row>
    <row r="33" spans="12:13">
      <c r="L33" t="s">
        <v>176</v>
      </c>
      <c r="M33" t="s">
        <v>257</v>
      </c>
    </row>
    <row r="34" spans="12:13">
      <c r="L34" t="s">
        <v>160</v>
      </c>
      <c r="M34" t="s">
        <v>205</v>
      </c>
    </row>
    <row r="35" spans="12:13">
      <c r="L35" t="s">
        <v>159</v>
      </c>
      <c r="M35" t="s">
        <v>204</v>
      </c>
    </row>
    <row r="36" spans="12:13">
      <c r="L36" t="s">
        <v>179</v>
      </c>
      <c r="M36" t="s">
        <v>268</v>
      </c>
    </row>
    <row r="37" spans="12:13">
      <c r="L37" t="s">
        <v>163</v>
      </c>
      <c r="M37" t="s">
        <v>203</v>
      </c>
    </row>
    <row r="38" spans="12:13">
      <c r="L38" t="s">
        <v>162</v>
      </c>
      <c r="M38" t="s">
        <v>267</v>
      </c>
    </row>
    <row r="39" spans="12:13">
      <c r="L39" t="s">
        <v>164</v>
      </c>
      <c r="M39" t="s">
        <v>256</v>
      </c>
    </row>
    <row r="40" spans="12:13">
      <c r="L40" t="s">
        <v>155</v>
      </c>
      <c r="M40" t="s">
        <v>213</v>
      </c>
    </row>
    <row r="41" spans="12:13">
      <c r="L41" t="s">
        <v>189</v>
      </c>
      <c r="M41" t="s">
        <v>255</v>
      </c>
    </row>
    <row r="42" spans="12:13">
      <c r="L42" t="s">
        <v>184</v>
      </c>
      <c r="M42" t="s">
        <v>266</v>
      </c>
    </row>
    <row r="43" spans="12:13">
      <c r="L43" t="s">
        <v>190</v>
      </c>
      <c r="M43" t="s">
        <v>259</v>
      </c>
    </row>
    <row r="44" spans="12:13">
      <c r="L44" t="s">
        <v>126</v>
      </c>
      <c r="M44" t="s">
        <v>414</v>
      </c>
    </row>
    <row r="45" spans="12:13">
      <c r="L45" t="s">
        <v>130</v>
      </c>
      <c r="M45" t="s">
        <v>380</v>
      </c>
    </row>
    <row r="46" spans="12:13">
      <c r="L46" t="s">
        <v>136</v>
      </c>
      <c r="M46" t="s">
        <v>413</v>
      </c>
    </row>
    <row r="47" spans="12:13">
      <c r="L47" t="s">
        <v>123</v>
      </c>
      <c r="M47" t="s">
        <v>388</v>
      </c>
    </row>
    <row r="48" spans="12:13">
      <c r="L48" t="s">
        <v>154</v>
      </c>
      <c r="M48" t="s">
        <v>214</v>
      </c>
    </row>
    <row r="49" spans="12:13">
      <c r="L49" t="s">
        <v>187</v>
      </c>
      <c r="M49" t="s">
        <v>258</v>
      </c>
    </row>
    <row r="50" spans="12:13">
      <c r="L50" t="s">
        <v>172</v>
      </c>
      <c r="M50" t="s">
        <v>230</v>
      </c>
    </row>
    <row r="51" spans="12:13">
      <c r="L51" t="s">
        <v>178</v>
      </c>
      <c r="M51" t="s">
        <v>254</v>
      </c>
    </row>
    <row r="52" spans="12:13">
      <c r="L52" t="s">
        <v>151</v>
      </c>
      <c r="M52" t="s">
        <v>209</v>
      </c>
    </row>
    <row r="53" spans="12:13">
      <c r="L53" t="s">
        <v>177</v>
      </c>
      <c r="M53" t="s">
        <v>264</v>
      </c>
    </row>
    <row r="54" spans="12:13">
      <c r="L54" t="s">
        <v>180</v>
      </c>
      <c r="M54" t="s">
        <v>211</v>
      </c>
    </row>
    <row r="55" spans="12:13">
      <c r="L55" t="s">
        <v>166</v>
      </c>
      <c r="M55" t="s">
        <v>265</v>
      </c>
    </row>
    <row r="56" spans="12:13">
      <c r="L56" t="s">
        <v>173</v>
      </c>
      <c r="M56" t="s">
        <v>212</v>
      </c>
    </row>
    <row r="57" spans="12:13">
      <c r="L57" t="s">
        <v>171</v>
      </c>
      <c r="M57" t="s">
        <v>263</v>
      </c>
    </row>
    <row r="58" spans="12:13">
      <c r="L58" t="s">
        <v>153</v>
      </c>
      <c r="M58" t="s">
        <v>210</v>
      </c>
    </row>
    <row r="59" spans="12:13">
      <c r="L59" t="s">
        <v>132</v>
      </c>
      <c r="M59" t="s">
        <v>390</v>
      </c>
    </row>
    <row r="60" spans="12:13">
      <c r="L60" t="s">
        <v>278</v>
      </c>
      <c r="M60" t="s">
        <v>279</v>
      </c>
    </row>
    <row r="61" spans="12:13">
      <c r="L61" t="s">
        <v>276</v>
      </c>
      <c r="M61" t="s">
        <v>277</v>
      </c>
    </row>
    <row r="62" spans="12:13">
      <c r="L62" t="s">
        <v>280</v>
      </c>
      <c r="M62" t="s">
        <v>281</v>
      </c>
    </row>
    <row r="63" spans="12:13">
      <c r="L63" t="s">
        <v>282</v>
      </c>
      <c r="M63" t="s">
        <v>283</v>
      </c>
    </row>
    <row r="64" spans="12:13">
      <c r="L64" t="s">
        <v>125</v>
      </c>
      <c r="M64" t="s">
        <v>291</v>
      </c>
    </row>
    <row r="65" spans="12:13">
      <c r="L65" t="s">
        <v>215</v>
      </c>
      <c r="M65" t="s">
        <v>228</v>
      </c>
    </row>
    <row r="66" spans="12:13">
      <c r="L66" t="s">
        <v>226</v>
      </c>
      <c r="M66" t="s">
        <v>227</v>
      </c>
    </row>
    <row r="67" spans="12:13">
      <c r="L67" t="s">
        <v>224</v>
      </c>
      <c r="M67" t="s">
        <v>225</v>
      </c>
    </row>
    <row r="68" spans="12:13">
      <c r="L68" t="s">
        <v>223</v>
      </c>
      <c r="M68" t="s">
        <v>229</v>
      </c>
    </row>
    <row r="69" spans="12:13">
      <c r="L69" t="s">
        <v>221</v>
      </c>
      <c r="M69" t="s">
        <v>222</v>
      </c>
    </row>
    <row r="70" spans="12:13">
      <c r="L70" t="s">
        <v>219</v>
      </c>
      <c r="M70" t="s">
        <v>220</v>
      </c>
    </row>
    <row r="71" spans="12:13">
      <c r="L71" t="s">
        <v>217</v>
      </c>
      <c r="M71" t="s">
        <v>218</v>
      </c>
    </row>
    <row r="72" spans="12:13">
      <c r="L72" t="s">
        <v>175</v>
      </c>
      <c r="M72" t="s">
        <v>216</v>
      </c>
    </row>
    <row r="73" spans="12:13">
      <c r="L73" t="s">
        <v>201</v>
      </c>
      <c r="M73" t="s">
        <v>202</v>
      </c>
    </row>
    <row r="74" spans="12:13">
      <c r="L74" t="s">
        <v>131</v>
      </c>
      <c r="M74" t="s">
        <v>200</v>
      </c>
    </row>
    <row r="75" spans="12:13">
      <c r="L75" t="s">
        <v>181</v>
      </c>
      <c r="M75" t="s">
        <v>199</v>
      </c>
    </row>
    <row r="76" spans="12:13">
      <c r="L76" t="s">
        <v>197</v>
      </c>
      <c r="M76" t="s">
        <v>198</v>
      </c>
    </row>
    <row r="77" spans="12:13">
      <c r="L77" t="s">
        <v>183</v>
      </c>
      <c r="M77" t="s">
        <v>196</v>
      </c>
    </row>
    <row r="78" spans="12:13">
      <c r="L78" t="s">
        <v>194</v>
      </c>
      <c r="M78" t="s">
        <v>195</v>
      </c>
    </row>
    <row r="79" spans="12:13">
      <c r="L79" t="s">
        <v>192</v>
      </c>
      <c r="M79" t="s">
        <v>193</v>
      </c>
    </row>
    <row r="80" spans="12:13">
      <c r="L80" t="s">
        <v>182</v>
      </c>
      <c r="M80" t="s">
        <v>232</v>
      </c>
    </row>
    <row r="81" spans="12:13">
      <c r="L81" t="s">
        <v>169</v>
      </c>
      <c r="M81" t="s">
        <v>231</v>
      </c>
    </row>
    <row r="82" spans="12:13">
      <c r="L82" t="s">
        <v>129</v>
      </c>
      <c r="M82" t="s">
        <v>233</v>
      </c>
    </row>
    <row r="83" spans="12:13">
      <c r="L83" t="s">
        <v>234</v>
      </c>
      <c r="M83" t="s">
        <v>235</v>
      </c>
    </row>
    <row r="84" spans="12:13">
      <c r="L84" t="s">
        <v>168</v>
      </c>
      <c r="M84" t="s">
        <v>253</v>
      </c>
    </row>
    <row r="85" spans="12:13">
      <c r="L85" t="s">
        <v>251</v>
      </c>
      <c r="M85" t="s">
        <v>252</v>
      </c>
    </row>
    <row r="86" spans="12:13">
      <c r="L86" t="s">
        <v>249</v>
      </c>
      <c r="M86" t="s">
        <v>250</v>
      </c>
    </row>
    <row r="87" spans="12:13">
      <c r="L87" t="s">
        <v>247</v>
      </c>
      <c r="M87" t="s">
        <v>248</v>
      </c>
    </row>
    <row r="88" spans="12:13">
      <c r="L88" t="s">
        <v>245</v>
      </c>
      <c r="M88" t="s">
        <v>246</v>
      </c>
    </row>
    <row r="89" spans="12:13">
      <c r="L89" t="s">
        <v>243</v>
      </c>
      <c r="M89" t="s">
        <v>244</v>
      </c>
    </row>
    <row r="90" spans="12:13">
      <c r="L90" t="s">
        <v>241</v>
      </c>
      <c r="M90" t="s">
        <v>242</v>
      </c>
    </row>
    <row r="91" spans="12:13">
      <c r="L91" t="s">
        <v>239</v>
      </c>
      <c r="M91" t="s">
        <v>240</v>
      </c>
    </row>
    <row r="92" spans="12:13">
      <c r="L92" t="s">
        <v>237</v>
      </c>
      <c r="M92" t="s">
        <v>238</v>
      </c>
    </row>
    <row r="93" spans="12:13">
      <c r="L93" t="s">
        <v>236</v>
      </c>
      <c r="M93" t="s">
        <v>274</v>
      </c>
    </row>
    <row r="94" spans="12:13">
      <c r="L94" t="s">
        <v>275</v>
      </c>
      <c r="M94" t="s">
        <v>354</v>
      </c>
    </row>
    <row r="95" spans="12:13">
      <c r="L95" t="s">
        <v>352</v>
      </c>
      <c r="M95" t="s">
        <v>353</v>
      </c>
    </row>
    <row r="96" spans="12:13">
      <c r="L96" t="s">
        <v>350</v>
      </c>
      <c r="M96" t="s">
        <v>351</v>
      </c>
    </row>
    <row r="97" spans="12:13">
      <c r="L97" t="s">
        <v>348</v>
      </c>
      <c r="M97" t="s">
        <v>349</v>
      </c>
    </row>
    <row r="98" spans="12:13">
      <c r="L98" t="s">
        <v>346</v>
      </c>
      <c r="M98" t="s">
        <v>347</v>
      </c>
    </row>
    <row r="99" spans="12:13">
      <c r="L99" t="s">
        <v>344</v>
      </c>
      <c r="M99" t="s">
        <v>345</v>
      </c>
    </row>
    <row r="100" spans="12:13">
      <c r="L100" t="s">
        <v>342</v>
      </c>
      <c r="M100" t="s">
        <v>343</v>
      </c>
    </row>
    <row r="101" spans="12:13">
      <c r="L101" t="s">
        <v>340</v>
      </c>
      <c r="M101" t="s">
        <v>341</v>
      </c>
    </row>
    <row r="102" spans="12:13">
      <c r="L102" t="s">
        <v>338</v>
      </c>
      <c r="M102" t="s">
        <v>339</v>
      </c>
    </row>
    <row r="103" spans="12:13">
      <c r="L103" t="s">
        <v>336</v>
      </c>
      <c r="M103" t="s">
        <v>337</v>
      </c>
    </row>
    <row r="104" spans="12:13">
      <c r="L104" t="s">
        <v>355</v>
      </c>
      <c r="M104" t="s">
        <v>356</v>
      </c>
    </row>
    <row r="105" spans="12:13">
      <c r="L105" t="s">
        <v>357</v>
      </c>
      <c r="M105" t="s">
        <v>358</v>
      </c>
    </row>
    <row r="106" spans="12:13">
      <c r="L106" t="s">
        <v>378</v>
      </c>
      <c r="M106" t="s">
        <v>379</v>
      </c>
    </row>
    <row r="107" spans="12:13">
      <c r="L107" t="s">
        <v>376</v>
      </c>
      <c r="M107" t="s">
        <v>377</v>
      </c>
    </row>
    <row r="108" spans="12:13">
      <c r="L108" t="s">
        <v>374</v>
      </c>
      <c r="M108" t="s">
        <v>375</v>
      </c>
    </row>
    <row r="109" spans="12:13">
      <c r="L109" t="s">
        <v>372</v>
      </c>
      <c r="M109" t="s">
        <v>373</v>
      </c>
    </row>
    <row r="110" spans="12:13">
      <c r="L110" t="s">
        <v>370</v>
      </c>
      <c r="M110" t="s">
        <v>371</v>
      </c>
    </row>
    <row r="111" spans="12:13">
      <c r="L111" t="s">
        <v>368</v>
      </c>
      <c r="M111" t="s">
        <v>369</v>
      </c>
    </row>
    <row r="112" spans="12:13">
      <c r="L112" t="s">
        <v>365</v>
      </c>
      <c r="M112" t="s">
        <v>366</v>
      </c>
    </row>
    <row r="113" spans="12:13">
      <c r="L113" t="s">
        <v>363</v>
      </c>
      <c r="M113" t="s">
        <v>364</v>
      </c>
    </row>
    <row r="114" spans="12:13">
      <c r="L114" t="s">
        <v>361</v>
      </c>
      <c r="M114" t="s">
        <v>362</v>
      </c>
    </row>
    <row r="115" spans="12:13">
      <c r="L115" t="s">
        <v>359</v>
      </c>
      <c r="M115" t="s">
        <v>360</v>
      </c>
    </row>
    <row r="116" spans="12:13">
      <c r="L116" t="s">
        <v>335</v>
      </c>
      <c r="M116" t="s">
        <v>367</v>
      </c>
    </row>
    <row r="117" spans="12:13">
      <c r="L117" t="s">
        <v>311</v>
      </c>
      <c r="M117" t="s">
        <v>312</v>
      </c>
    </row>
    <row r="118" spans="12:13">
      <c r="L118" t="s">
        <v>309</v>
      </c>
      <c r="M118" t="s">
        <v>310</v>
      </c>
    </row>
    <row r="119" spans="12:13">
      <c r="L119" t="s">
        <v>307</v>
      </c>
      <c r="M119" t="s">
        <v>308</v>
      </c>
    </row>
    <row r="120" spans="12:13">
      <c r="L120" t="s">
        <v>305</v>
      </c>
      <c r="M120" t="s">
        <v>306</v>
      </c>
    </row>
    <row r="121" spans="12:13">
      <c r="L121" t="s">
        <v>303</v>
      </c>
      <c r="M121" t="s">
        <v>304</v>
      </c>
    </row>
    <row r="122" spans="12:13">
      <c r="L122" t="s">
        <v>301</v>
      </c>
      <c r="M122" t="s">
        <v>302</v>
      </c>
    </row>
    <row r="123" spans="12:13">
      <c r="L123" t="s">
        <v>299</v>
      </c>
      <c r="M123" t="s">
        <v>300</v>
      </c>
    </row>
    <row r="124" spans="12:13">
      <c r="L124" t="s">
        <v>297</v>
      </c>
      <c r="M124" t="s">
        <v>298</v>
      </c>
    </row>
    <row r="125" spans="12:13">
      <c r="L125" t="s">
        <v>295</v>
      </c>
      <c r="M125" t="s">
        <v>296</v>
      </c>
    </row>
    <row r="126" spans="12:13">
      <c r="L126" t="s">
        <v>293</v>
      </c>
      <c r="M126" t="s">
        <v>294</v>
      </c>
    </row>
    <row r="127" spans="12:13">
      <c r="L127" t="s">
        <v>292</v>
      </c>
      <c r="M127" t="s">
        <v>313</v>
      </c>
    </row>
    <row r="128" spans="12:13">
      <c r="L128" t="s">
        <v>314</v>
      </c>
      <c r="M128" t="s">
        <v>315</v>
      </c>
    </row>
    <row r="129" spans="12:13">
      <c r="L129" t="s">
        <v>316</v>
      </c>
      <c r="M129" t="s">
        <v>333</v>
      </c>
    </row>
    <row r="130" spans="12:13">
      <c r="L130" t="s">
        <v>331</v>
      </c>
      <c r="M130" t="s">
        <v>332</v>
      </c>
    </row>
    <row r="131" spans="12:13">
      <c r="L131" t="s">
        <v>329</v>
      </c>
      <c r="M131" t="s">
        <v>330</v>
      </c>
    </row>
    <row r="132" spans="12:13">
      <c r="L132" t="s">
        <v>327</v>
      </c>
      <c r="M132" t="s">
        <v>328</v>
      </c>
    </row>
    <row r="133" spans="12:13">
      <c r="L133" t="s">
        <v>325</v>
      </c>
      <c r="M133" t="s">
        <v>326</v>
      </c>
    </row>
    <row r="134" spans="12:13">
      <c r="L134" t="s">
        <v>323</v>
      </c>
      <c r="M134" t="s">
        <v>324</v>
      </c>
    </row>
    <row r="135" spans="12:13">
      <c r="L135" t="s">
        <v>321</v>
      </c>
      <c r="M135" t="s">
        <v>322</v>
      </c>
    </row>
    <row r="136" spans="12:13">
      <c r="L136" t="s">
        <v>319</v>
      </c>
      <c r="M136" t="s">
        <v>320</v>
      </c>
    </row>
    <row r="137" spans="12:13">
      <c r="L137" t="s">
        <v>128</v>
      </c>
      <c r="M137" t="s">
        <v>318</v>
      </c>
    </row>
    <row r="138" spans="12:13">
      <c r="L138" t="s">
        <v>317</v>
      </c>
      <c r="M138" t="s">
        <v>334</v>
      </c>
    </row>
    <row r="139" spans="12:13">
      <c r="L139" t="s">
        <v>381</v>
      </c>
      <c r="M139" t="s">
        <v>382</v>
      </c>
    </row>
    <row r="140" spans="12:13">
      <c r="L140" t="s">
        <v>408</v>
      </c>
      <c r="M140" t="s">
        <v>409</v>
      </c>
    </row>
    <row r="141" spans="12:13">
      <c r="L141" t="s">
        <v>406</v>
      </c>
      <c r="M141" t="s">
        <v>407</v>
      </c>
    </row>
    <row r="142" spans="12:13">
      <c r="L142" t="s">
        <v>167</v>
      </c>
      <c r="M142" t="s">
        <v>405</v>
      </c>
    </row>
    <row r="143" spans="12:13">
      <c r="L143" t="s">
        <v>403</v>
      </c>
      <c r="M143" t="s">
        <v>404</v>
      </c>
    </row>
    <row r="144" spans="12:13">
      <c r="L144" t="s">
        <v>157</v>
      </c>
      <c r="M144" t="s">
        <v>402</v>
      </c>
    </row>
    <row r="145" spans="12:13">
      <c r="L145" t="s">
        <v>400</v>
      </c>
      <c r="M145" t="s">
        <v>401</v>
      </c>
    </row>
    <row r="146" spans="12:13">
      <c r="L146" t="s">
        <v>398</v>
      </c>
      <c r="M146" t="s">
        <v>399</v>
      </c>
    </row>
    <row r="147" spans="12:13">
      <c r="L147" t="s">
        <v>396</v>
      </c>
      <c r="M147" t="s">
        <v>397</v>
      </c>
    </row>
    <row r="148" spans="12:13">
      <c r="L148" t="s">
        <v>394</v>
      </c>
      <c r="M148" t="s">
        <v>395</v>
      </c>
    </row>
    <row r="149" spans="12:13">
      <c r="L149" t="s">
        <v>288</v>
      </c>
      <c r="M149" t="s">
        <v>289</v>
      </c>
    </row>
    <row r="150" spans="12:13">
      <c r="L150" t="s">
        <v>124</v>
      </c>
      <c r="M150" t="s">
        <v>290</v>
      </c>
    </row>
    <row r="151" spans="12:13">
      <c r="L151" t="s">
        <v>286</v>
      </c>
      <c r="M151" t="s">
        <v>287</v>
      </c>
    </row>
    <row r="152" spans="12:13">
      <c r="L152" t="s">
        <v>284</v>
      </c>
      <c r="M152" t="s">
        <v>285</v>
      </c>
    </row>
    <row r="153" spans="12:13">
      <c r="L153" t="s">
        <v>174</v>
      </c>
      <c r="M153" t="s">
        <v>208</v>
      </c>
    </row>
    <row r="154" spans="12:13">
      <c r="L154" t="s">
        <v>152</v>
      </c>
      <c r="M154" t="s">
        <v>391</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59801-12E9-2B45-92C3-B5052B330DF8}">
  <sheetPr codeName="Sheet13"/>
  <dimension ref="A2:BG145"/>
  <sheetViews>
    <sheetView workbookViewId="0">
      <selection activeCell="A150" sqref="A150"/>
    </sheetView>
  </sheetViews>
  <sheetFormatPr baseColWidth="10" defaultRowHeight="16"/>
  <cols>
    <col min="1" max="1" width="33.5703125" customWidth="1"/>
    <col min="2" max="2" width="43.85546875" customWidth="1"/>
    <col min="3" max="3" width="35.5703125" customWidth="1"/>
    <col min="4" max="4" width="17.28515625" customWidth="1"/>
    <col min="5" max="5" width="16.28515625" customWidth="1"/>
    <col min="6" max="6" width="19.85546875" customWidth="1"/>
    <col min="7" max="7" width="45" customWidth="1"/>
    <col min="8" max="8" width="45.7109375" customWidth="1"/>
    <col min="9" max="9" width="41.28515625" customWidth="1"/>
    <col min="10" max="10" width="28.5703125" customWidth="1"/>
    <col min="11" max="11" width="24.85546875" customWidth="1"/>
    <col min="12" max="12" width="28" customWidth="1"/>
    <col min="13" max="14" width="73.42578125" customWidth="1"/>
    <col min="15" max="15" width="50.85546875" customWidth="1"/>
    <col min="16" max="16" width="73.42578125" customWidth="1"/>
    <col min="17" max="17" width="64.7109375" customWidth="1"/>
    <col min="18" max="18" width="57.140625" customWidth="1"/>
    <col min="19" max="19" width="53.42578125" customWidth="1"/>
    <col min="20" max="20" width="73.42578125" customWidth="1"/>
    <col min="21" max="21" width="57.85546875" customWidth="1"/>
    <col min="22" max="22" width="64" customWidth="1"/>
    <col min="23" max="23" width="27.85546875" customWidth="1"/>
    <col min="24" max="24" width="41.140625" customWidth="1"/>
    <col min="25" max="25" width="50.7109375" customWidth="1"/>
    <col min="26" max="26" width="38.85546875" customWidth="1"/>
    <col min="27" max="27" width="73.42578125" customWidth="1"/>
    <col min="28" max="28" width="23.7109375" customWidth="1"/>
    <col min="29" max="29" width="28.28515625" customWidth="1"/>
    <col min="30" max="30" width="22.7109375" customWidth="1"/>
    <col min="31" max="31" width="24" customWidth="1"/>
    <col min="32" max="32" width="60.42578125" customWidth="1"/>
    <col min="33" max="33" width="59.7109375" customWidth="1"/>
    <col min="34" max="34" width="71.28515625" customWidth="1"/>
    <col min="35" max="35" width="53.28515625" customWidth="1"/>
    <col min="36" max="36" width="37.85546875" customWidth="1"/>
    <col min="37" max="37" width="37.42578125" customWidth="1"/>
    <col min="38" max="38" width="53.5703125" customWidth="1"/>
    <col min="39" max="39" width="55.28515625" customWidth="1"/>
    <col min="40" max="40" width="56.85546875" customWidth="1"/>
    <col min="41" max="41" width="63.140625" customWidth="1"/>
    <col min="42" max="42" width="39.5703125" customWidth="1"/>
    <col min="43" max="43" width="40" customWidth="1"/>
    <col min="44" max="44" width="72" customWidth="1"/>
    <col min="45" max="45" width="13.28515625" customWidth="1"/>
    <col min="46" max="46" width="28.28515625" customWidth="1"/>
    <col min="47" max="47" width="29" customWidth="1"/>
    <col min="48" max="48" width="22.42578125" customWidth="1"/>
    <col min="49" max="51" width="73.42578125" customWidth="1"/>
    <col min="52" max="52" width="25.85546875" customWidth="1"/>
    <col min="53" max="53" width="36.85546875" customWidth="1"/>
    <col min="54" max="54" width="21.5703125" customWidth="1"/>
    <col min="55" max="56" width="23.140625" customWidth="1"/>
    <col min="57" max="57" width="16.5703125" customWidth="1"/>
  </cols>
  <sheetData>
    <row r="2" spans="1:59">
      <c r="C2" t="s">
        <v>497</v>
      </c>
    </row>
    <row r="3" spans="1:59">
      <c r="C3" t="s">
        <v>498</v>
      </c>
    </row>
    <row r="4" spans="1:59">
      <c r="A4" t="s">
        <v>19</v>
      </c>
      <c r="B4" t="s">
        <v>499</v>
      </c>
      <c r="D4" t="s">
        <v>500</v>
      </c>
      <c r="N4" t="s">
        <v>501</v>
      </c>
      <c r="Q4" t="s">
        <v>502</v>
      </c>
      <c r="AB4" t="s">
        <v>503</v>
      </c>
      <c r="AJ4" t="s">
        <v>504</v>
      </c>
      <c r="AN4" t="s">
        <v>505</v>
      </c>
    </row>
    <row r="5" spans="1:59">
      <c r="C5" t="s">
        <v>68</v>
      </c>
      <c r="D5" t="s">
        <v>506</v>
      </c>
      <c r="E5" t="s">
        <v>507</v>
      </c>
      <c r="F5" t="s">
        <v>508</v>
      </c>
      <c r="G5" t="s">
        <v>509</v>
      </c>
      <c r="H5" t="s">
        <v>92</v>
      </c>
      <c r="I5" t="s">
        <v>510</v>
      </c>
      <c r="J5" t="s">
        <v>511</v>
      </c>
      <c r="K5" t="s">
        <v>512</v>
      </c>
      <c r="L5" t="s">
        <v>513</v>
      </c>
      <c r="M5" t="s">
        <v>514</v>
      </c>
      <c r="N5" t="s">
        <v>515</v>
      </c>
      <c r="O5" t="s">
        <v>516</v>
      </c>
      <c r="P5" t="s">
        <v>517</v>
      </c>
      <c r="Q5" t="s">
        <v>518</v>
      </c>
      <c r="R5" t="s">
        <v>519</v>
      </c>
      <c r="S5" t="s">
        <v>520</v>
      </c>
      <c r="T5" t="s">
        <v>588</v>
      </c>
      <c r="U5" t="s">
        <v>521</v>
      </c>
      <c r="V5" t="s">
        <v>522</v>
      </c>
      <c r="W5" t="s">
        <v>523</v>
      </c>
      <c r="X5" t="s">
        <v>524</v>
      </c>
      <c r="Y5" t="s">
        <v>525</v>
      </c>
      <c r="Z5" t="s">
        <v>526</v>
      </c>
      <c r="AA5" t="s">
        <v>527</v>
      </c>
      <c r="AB5" t="s">
        <v>528</v>
      </c>
      <c r="AC5" t="s">
        <v>529</v>
      </c>
      <c r="AD5" t="s">
        <v>530</v>
      </c>
      <c r="AE5" t="s">
        <v>531</v>
      </c>
      <c r="AF5" t="s">
        <v>532</v>
      </c>
      <c r="AG5" t="s">
        <v>533</v>
      </c>
      <c r="AH5" t="s">
        <v>534</v>
      </c>
      <c r="AI5" t="s">
        <v>535</v>
      </c>
      <c r="AJ5" t="s">
        <v>536</v>
      </c>
      <c r="AK5" t="s">
        <v>537</v>
      </c>
      <c r="AL5" t="s">
        <v>538</v>
      </c>
      <c r="AM5" t="s">
        <v>539</v>
      </c>
      <c r="AN5" t="s">
        <v>540</v>
      </c>
      <c r="AO5" t="s">
        <v>589</v>
      </c>
      <c r="AP5" t="s">
        <v>541</v>
      </c>
      <c r="AQ5" t="s">
        <v>542</v>
      </c>
      <c r="AR5" t="s">
        <v>543</v>
      </c>
      <c r="AS5" t="s">
        <v>544</v>
      </c>
      <c r="AT5" t="s">
        <v>545</v>
      </c>
      <c r="AU5" t="s">
        <v>546</v>
      </c>
      <c r="AV5" t="s">
        <v>547</v>
      </c>
      <c r="AW5" t="s">
        <v>548</v>
      </c>
      <c r="AX5" t="s">
        <v>549</v>
      </c>
      <c r="AY5" t="s">
        <v>550</v>
      </c>
      <c r="AZ5" t="s">
        <v>551</v>
      </c>
      <c r="BA5" t="s">
        <v>552</v>
      </c>
      <c r="BB5" t="s">
        <v>553</v>
      </c>
      <c r="BC5" t="s">
        <v>554</v>
      </c>
      <c r="BD5" t="s">
        <v>555</v>
      </c>
      <c r="BE5" t="s">
        <v>556</v>
      </c>
      <c r="BF5" t="s">
        <v>557</v>
      </c>
      <c r="BG5" t="s">
        <v>1056</v>
      </c>
    </row>
    <row r="6" spans="1:59">
      <c r="C6" t="s">
        <v>5</v>
      </c>
      <c r="D6" t="s">
        <v>590</v>
      </c>
      <c r="E6" t="s">
        <v>591</v>
      </c>
      <c r="F6" t="s">
        <v>592</v>
      </c>
      <c r="G6" t="s">
        <v>593</v>
      </c>
      <c r="H6">
        <v>108000000</v>
      </c>
      <c r="I6" t="s">
        <v>60</v>
      </c>
      <c r="J6">
        <v>40000</v>
      </c>
      <c r="K6" t="s">
        <v>60</v>
      </c>
      <c r="L6" t="s">
        <v>60</v>
      </c>
      <c r="M6" t="s">
        <v>60</v>
      </c>
      <c r="N6" t="s">
        <v>105</v>
      </c>
      <c r="O6" t="s">
        <v>105</v>
      </c>
      <c r="P6" t="s">
        <v>105</v>
      </c>
      <c r="Q6" t="s">
        <v>594</v>
      </c>
      <c r="R6" t="s">
        <v>595</v>
      </c>
      <c r="S6" t="s">
        <v>595</v>
      </c>
      <c r="T6" t="s">
        <v>67</v>
      </c>
      <c r="U6" t="s">
        <v>60</v>
      </c>
      <c r="V6" t="s">
        <v>596</v>
      </c>
      <c r="W6">
        <v>3072</v>
      </c>
      <c r="X6">
        <v>1113</v>
      </c>
      <c r="Y6">
        <v>1081</v>
      </c>
      <c r="Z6" t="s">
        <v>60</v>
      </c>
      <c r="AA6" t="s">
        <v>597</v>
      </c>
      <c r="AB6">
        <v>3072</v>
      </c>
      <c r="AC6" t="s">
        <v>60</v>
      </c>
      <c r="AD6" t="s">
        <v>60</v>
      </c>
      <c r="AE6" t="s">
        <v>60</v>
      </c>
      <c r="AF6">
        <v>82</v>
      </c>
      <c r="AG6" t="s">
        <v>60</v>
      </c>
      <c r="AH6" t="s">
        <v>60</v>
      </c>
      <c r="AI6" t="s">
        <v>60</v>
      </c>
      <c r="AJ6" t="s">
        <v>66</v>
      </c>
      <c r="AK6" t="s">
        <v>60</v>
      </c>
      <c r="AL6" t="s">
        <v>60</v>
      </c>
      <c r="AM6" t="s">
        <v>60</v>
      </c>
      <c r="AN6">
        <v>6.5</v>
      </c>
      <c r="AO6">
        <v>0</v>
      </c>
      <c r="AP6">
        <v>45</v>
      </c>
      <c r="AQ6">
        <v>0</v>
      </c>
      <c r="AR6" t="s">
        <v>60</v>
      </c>
      <c r="AS6">
        <v>0</v>
      </c>
      <c r="AT6">
        <v>0</v>
      </c>
      <c r="AU6">
        <v>0</v>
      </c>
      <c r="AV6" t="s">
        <v>60</v>
      </c>
      <c r="AW6" t="s">
        <v>598</v>
      </c>
      <c r="AX6" t="s">
        <v>599</v>
      </c>
      <c r="AY6" t="s">
        <v>600</v>
      </c>
      <c r="BA6" t="s">
        <v>559</v>
      </c>
      <c r="BB6" t="s">
        <v>560</v>
      </c>
      <c r="BC6">
        <v>3</v>
      </c>
      <c r="BE6">
        <v>44973</v>
      </c>
    </row>
    <row r="7" spans="1:59">
      <c r="A7" t="s">
        <v>21</v>
      </c>
      <c r="B7" t="s">
        <v>558</v>
      </c>
      <c r="C7" t="s">
        <v>6</v>
      </c>
      <c r="D7" t="s">
        <v>601</v>
      </c>
      <c r="E7" t="s">
        <v>602</v>
      </c>
      <c r="F7" t="s">
        <v>603</v>
      </c>
      <c r="G7" t="s">
        <v>604</v>
      </c>
      <c r="H7">
        <v>212000000</v>
      </c>
      <c r="I7">
        <v>212000000</v>
      </c>
      <c r="J7">
        <v>0</v>
      </c>
      <c r="K7">
        <v>180000</v>
      </c>
      <c r="L7" t="s">
        <v>69</v>
      </c>
      <c r="M7" t="s">
        <v>605</v>
      </c>
      <c r="N7" t="s">
        <v>105</v>
      </c>
      <c r="O7" t="s">
        <v>105</v>
      </c>
      <c r="P7" t="s">
        <v>105</v>
      </c>
      <c r="Q7" t="s">
        <v>606</v>
      </c>
      <c r="R7" t="s">
        <v>607</v>
      </c>
      <c r="S7" t="s">
        <v>423</v>
      </c>
      <c r="T7" t="s">
        <v>423</v>
      </c>
      <c r="U7" t="s">
        <v>64</v>
      </c>
      <c r="V7" t="s">
        <v>608</v>
      </c>
      <c r="W7">
        <v>3390</v>
      </c>
      <c r="X7">
        <v>372</v>
      </c>
      <c r="Y7" t="s">
        <v>609</v>
      </c>
      <c r="Z7" t="s">
        <v>610</v>
      </c>
      <c r="AA7" t="s">
        <v>611</v>
      </c>
      <c r="AB7">
        <v>2874</v>
      </c>
      <c r="AC7" t="s">
        <v>64</v>
      </c>
      <c r="AD7">
        <v>7</v>
      </c>
      <c r="AE7" t="s">
        <v>64</v>
      </c>
      <c r="AF7">
        <v>0</v>
      </c>
      <c r="AG7">
        <v>0</v>
      </c>
      <c r="AH7" t="s">
        <v>38</v>
      </c>
      <c r="AI7">
        <v>101</v>
      </c>
      <c r="AJ7" t="s">
        <v>612</v>
      </c>
      <c r="AK7" t="s">
        <v>609</v>
      </c>
      <c r="AL7" t="s">
        <v>55</v>
      </c>
      <c r="AM7" t="s">
        <v>64</v>
      </c>
      <c r="AN7">
        <v>0</v>
      </c>
      <c r="AO7" t="s">
        <v>423</v>
      </c>
      <c r="AP7" t="s">
        <v>613</v>
      </c>
      <c r="AQ7">
        <v>0</v>
      </c>
      <c r="AR7" t="s">
        <v>60</v>
      </c>
      <c r="AS7">
        <v>0.14000000000000001</v>
      </c>
      <c r="AT7">
        <v>0</v>
      </c>
      <c r="AU7">
        <v>0</v>
      </c>
      <c r="AV7" t="s">
        <v>64</v>
      </c>
      <c r="AW7" t="s">
        <v>66</v>
      </c>
      <c r="AX7" t="s">
        <v>66</v>
      </c>
      <c r="AY7" t="s">
        <v>614</v>
      </c>
      <c r="BB7" t="s">
        <v>561</v>
      </c>
      <c r="BC7">
        <v>5</v>
      </c>
      <c r="BD7" t="s">
        <v>562</v>
      </c>
      <c r="BE7">
        <v>44974</v>
      </c>
      <c r="BF7" t="s">
        <v>615</v>
      </c>
      <c r="BG7" t="s">
        <v>615</v>
      </c>
    </row>
    <row r="8" spans="1:59">
      <c r="A8" t="s">
        <v>21</v>
      </c>
      <c r="B8" t="s">
        <v>558</v>
      </c>
      <c r="C8" t="s">
        <v>7</v>
      </c>
      <c r="D8" t="s">
        <v>616</v>
      </c>
      <c r="E8" t="s">
        <v>617</v>
      </c>
      <c r="F8" t="s">
        <v>618</v>
      </c>
      <c r="G8" t="s">
        <v>619</v>
      </c>
      <c r="H8">
        <v>199212569.81999999</v>
      </c>
      <c r="I8">
        <v>199212569.81999999</v>
      </c>
      <c r="J8">
        <v>143000</v>
      </c>
      <c r="K8">
        <v>143000</v>
      </c>
      <c r="L8">
        <v>1</v>
      </c>
      <c r="M8">
        <v>0</v>
      </c>
      <c r="N8" t="s">
        <v>105</v>
      </c>
      <c r="O8" t="s">
        <v>105</v>
      </c>
      <c r="P8" t="s">
        <v>105</v>
      </c>
      <c r="Q8" t="s">
        <v>606</v>
      </c>
      <c r="R8" t="s">
        <v>606</v>
      </c>
      <c r="S8" t="s">
        <v>620</v>
      </c>
      <c r="T8" t="s">
        <v>621</v>
      </c>
      <c r="U8" t="s">
        <v>622</v>
      </c>
      <c r="V8" t="s">
        <v>623</v>
      </c>
      <c r="W8">
        <v>1280.8599999999999</v>
      </c>
      <c r="X8">
        <v>133.22</v>
      </c>
      <c r="Y8" t="s">
        <v>60</v>
      </c>
      <c r="Z8" t="s">
        <v>624</v>
      </c>
      <c r="AA8" t="s">
        <v>625</v>
      </c>
      <c r="AB8">
        <v>10683265</v>
      </c>
      <c r="AC8" t="s">
        <v>60</v>
      </c>
      <c r="AD8" t="s">
        <v>60</v>
      </c>
      <c r="AE8" t="s">
        <v>60</v>
      </c>
      <c r="AF8" t="s">
        <v>60</v>
      </c>
      <c r="AG8" t="s">
        <v>60</v>
      </c>
      <c r="AH8" t="s">
        <v>60</v>
      </c>
      <c r="AI8" t="s">
        <v>60</v>
      </c>
      <c r="AJ8" t="s">
        <v>55</v>
      </c>
      <c r="AK8" t="s">
        <v>626</v>
      </c>
      <c r="AL8" t="s">
        <v>66</v>
      </c>
      <c r="AM8" t="s">
        <v>627</v>
      </c>
      <c r="AN8" t="s">
        <v>628</v>
      </c>
      <c r="AO8">
        <v>0</v>
      </c>
      <c r="AP8" t="s">
        <v>629</v>
      </c>
      <c r="AQ8" t="s">
        <v>629</v>
      </c>
      <c r="AR8" t="s">
        <v>60</v>
      </c>
      <c r="AS8">
        <v>0</v>
      </c>
      <c r="AT8">
        <v>0</v>
      </c>
      <c r="AU8">
        <v>0</v>
      </c>
      <c r="AV8">
        <v>0</v>
      </c>
      <c r="AW8" t="s">
        <v>630</v>
      </c>
      <c r="AX8" t="s">
        <v>631</v>
      </c>
      <c r="AY8" t="s">
        <v>632</v>
      </c>
      <c r="BA8" t="s">
        <v>563</v>
      </c>
      <c r="BB8" t="s">
        <v>564</v>
      </c>
      <c r="BC8">
        <v>5</v>
      </c>
      <c r="BE8">
        <v>44974</v>
      </c>
      <c r="BF8" t="s">
        <v>565</v>
      </c>
      <c r="BG8" t="s">
        <v>565</v>
      </c>
    </row>
    <row r="9" spans="1:59">
      <c r="A9" t="s">
        <v>21</v>
      </c>
      <c r="B9" t="s">
        <v>558</v>
      </c>
      <c r="C9" t="s">
        <v>8</v>
      </c>
      <c r="D9" t="s">
        <v>633</v>
      </c>
      <c r="E9" t="s">
        <v>634</v>
      </c>
      <c r="F9" t="s">
        <v>635</v>
      </c>
      <c r="G9" t="s">
        <v>636</v>
      </c>
      <c r="H9">
        <v>1566971570</v>
      </c>
      <c r="I9">
        <v>131801709</v>
      </c>
      <c r="J9">
        <v>1681812</v>
      </c>
      <c r="K9">
        <v>15002</v>
      </c>
      <c r="L9" t="s">
        <v>70</v>
      </c>
      <c r="M9" t="s">
        <v>637</v>
      </c>
      <c r="N9" t="s">
        <v>105</v>
      </c>
      <c r="O9" t="s">
        <v>105</v>
      </c>
      <c r="P9" t="s">
        <v>105</v>
      </c>
      <c r="Q9" t="s">
        <v>638</v>
      </c>
      <c r="R9" t="s">
        <v>639</v>
      </c>
      <c r="S9" t="s">
        <v>640</v>
      </c>
      <c r="T9" t="s">
        <v>641</v>
      </c>
      <c r="U9" t="s">
        <v>642</v>
      </c>
      <c r="V9" t="s">
        <v>643</v>
      </c>
      <c r="W9">
        <v>44553</v>
      </c>
      <c r="X9" t="s">
        <v>60</v>
      </c>
      <c r="Y9">
        <v>8642</v>
      </c>
      <c r="Z9" t="s">
        <v>644</v>
      </c>
      <c r="AA9" t="s">
        <v>645</v>
      </c>
      <c r="AB9">
        <v>36312</v>
      </c>
      <c r="AC9">
        <v>0</v>
      </c>
      <c r="AD9">
        <v>1645</v>
      </c>
      <c r="AE9">
        <v>0</v>
      </c>
      <c r="AF9">
        <v>1578</v>
      </c>
      <c r="AG9">
        <v>4710</v>
      </c>
      <c r="AH9">
        <v>8924</v>
      </c>
      <c r="AI9">
        <v>26</v>
      </c>
      <c r="AJ9" t="s">
        <v>646</v>
      </c>
      <c r="AK9" t="s">
        <v>647</v>
      </c>
      <c r="AL9" t="s">
        <v>55</v>
      </c>
      <c r="AM9" t="s">
        <v>648</v>
      </c>
      <c r="AN9">
        <v>1</v>
      </c>
      <c r="AO9">
        <v>0</v>
      </c>
      <c r="AP9">
        <v>0.33</v>
      </c>
      <c r="AQ9">
        <v>0</v>
      </c>
      <c r="AR9" t="s">
        <v>60</v>
      </c>
      <c r="AS9">
        <v>0.1</v>
      </c>
      <c r="AT9">
        <v>0.9</v>
      </c>
      <c r="AU9">
        <v>0</v>
      </c>
      <c r="AV9" t="s">
        <v>105</v>
      </c>
      <c r="AW9" t="s">
        <v>649</v>
      </c>
      <c r="AX9" t="s">
        <v>650</v>
      </c>
      <c r="AY9" t="s">
        <v>651</v>
      </c>
      <c r="BB9" t="s">
        <v>566</v>
      </c>
      <c r="BC9">
        <v>4</v>
      </c>
      <c r="BD9" t="s">
        <v>567</v>
      </c>
      <c r="BE9">
        <v>44974</v>
      </c>
      <c r="BF9" t="s">
        <v>568</v>
      </c>
      <c r="BG9" t="s">
        <v>568</v>
      </c>
    </row>
    <row r="10" spans="1:59">
      <c r="A10" t="s">
        <v>21</v>
      </c>
      <c r="B10" t="s">
        <v>558</v>
      </c>
      <c r="C10" t="s">
        <v>9</v>
      </c>
      <c r="D10" t="s">
        <v>652</v>
      </c>
      <c r="E10" t="s">
        <v>653</v>
      </c>
      <c r="F10" t="s">
        <v>654</v>
      </c>
      <c r="G10" t="s">
        <v>655</v>
      </c>
      <c r="H10">
        <v>134125275</v>
      </c>
      <c r="I10" t="s">
        <v>60</v>
      </c>
      <c r="J10">
        <v>140647</v>
      </c>
      <c r="K10" t="s">
        <v>60</v>
      </c>
      <c r="L10" t="s">
        <v>71</v>
      </c>
      <c r="M10" t="s">
        <v>60</v>
      </c>
      <c r="N10" t="s">
        <v>105</v>
      </c>
      <c r="O10" t="s">
        <v>105</v>
      </c>
      <c r="P10" t="s">
        <v>105</v>
      </c>
      <c r="Q10" t="s">
        <v>656</v>
      </c>
      <c r="R10" t="s">
        <v>606</v>
      </c>
      <c r="S10" t="s">
        <v>640</v>
      </c>
      <c r="T10" t="s">
        <v>657</v>
      </c>
      <c r="U10" t="s">
        <v>60</v>
      </c>
      <c r="V10" t="s">
        <v>658</v>
      </c>
      <c r="W10">
        <v>8997.76</v>
      </c>
      <c r="X10">
        <v>8091.38</v>
      </c>
      <c r="Y10" t="s">
        <v>64</v>
      </c>
      <c r="Z10" t="s">
        <v>659</v>
      </c>
      <c r="AA10" t="s">
        <v>60</v>
      </c>
      <c r="AB10">
        <v>7684</v>
      </c>
      <c r="AC10" t="s">
        <v>60</v>
      </c>
      <c r="AD10" t="s">
        <v>60</v>
      </c>
      <c r="AE10" t="s">
        <v>60</v>
      </c>
      <c r="AF10" t="s">
        <v>60</v>
      </c>
      <c r="AG10" t="s">
        <v>60</v>
      </c>
      <c r="AH10">
        <v>1348</v>
      </c>
      <c r="AI10" t="s">
        <v>60</v>
      </c>
      <c r="AJ10" t="s">
        <v>660</v>
      </c>
      <c r="AK10" t="s">
        <v>661</v>
      </c>
      <c r="AL10" t="s">
        <v>55</v>
      </c>
      <c r="AM10" t="s">
        <v>662</v>
      </c>
      <c r="AN10">
        <v>0</v>
      </c>
      <c r="AO10">
        <v>100</v>
      </c>
      <c r="AP10">
        <v>5</v>
      </c>
      <c r="AQ10">
        <v>0</v>
      </c>
      <c r="AR10" t="s">
        <v>60</v>
      </c>
      <c r="AS10">
        <v>0</v>
      </c>
      <c r="AT10">
        <v>0</v>
      </c>
      <c r="AU10">
        <v>0</v>
      </c>
      <c r="AV10">
        <v>0</v>
      </c>
      <c r="AW10" t="s">
        <v>663</v>
      </c>
      <c r="AX10" t="s">
        <v>664</v>
      </c>
      <c r="AY10" t="s">
        <v>665</v>
      </c>
      <c r="BB10" t="s">
        <v>569</v>
      </c>
      <c r="BC10">
        <v>5</v>
      </c>
      <c r="BE10">
        <v>44974</v>
      </c>
    </row>
    <row r="11" spans="1:59">
      <c r="A11" t="s">
        <v>21</v>
      </c>
      <c r="B11" t="s">
        <v>558</v>
      </c>
      <c r="C11" t="s">
        <v>10</v>
      </c>
      <c r="D11" t="s">
        <v>666</v>
      </c>
      <c r="E11" t="s">
        <v>667</v>
      </c>
      <c r="F11" t="s">
        <v>668</v>
      </c>
      <c r="G11" t="s">
        <v>669</v>
      </c>
      <c r="H11">
        <v>1189000000</v>
      </c>
      <c r="I11">
        <v>0</v>
      </c>
      <c r="J11" t="s">
        <v>1055</v>
      </c>
      <c r="K11">
        <v>0</v>
      </c>
      <c r="L11" t="s">
        <v>72</v>
      </c>
      <c r="M11" t="s">
        <v>53</v>
      </c>
      <c r="N11" t="s">
        <v>105</v>
      </c>
      <c r="O11" t="s">
        <v>105</v>
      </c>
      <c r="P11" t="s">
        <v>105</v>
      </c>
      <c r="Q11" t="s">
        <v>606</v>
      </c>
      <c r="R11" t="s">
        <v>606</v>
      </c>
      <c r="S11" t="s">
        <v>620</v>
      </c>
      <c r="T11" t="s">
        <v>670</v>
      </c>
      <c r="U11" t="s">
        <v>60</v>
      </c>
      <c r="V11" t="s">
        <v>671</v>
      </c>
      <c r="W11">
        <v>24142</v>
      </c>
      <c r="X11">
        <v>12643</v>
      </c>
      <c r="Y11">
        <v>8962</v>
      </c>
      <c r="Z11" t="s">
        <v>672</v>
      </c>
      <c r="AA11" t="s">
        <v>60</v>
      </c>
      <c r="AB11">
        <v>23958</v>
      </c>
      <c r="AC11" t="s">
        <v>60</v>
      </c>
      <c r="AD11" t="s">
        <v>60</v>
      </c>
      <c r="AE11" t="s">
        <v>60</v>
      </c>
      <c r="AF11" t="s">
        <v>60</v>
      </c>
      <c r="AG11" t="s">
        <v>60</v>
      </c>
      <c r="AH11">
        <v>184</v>
      </c>
      <c r="AI11" t="s">
        <v>60</v>
      </c>
      <c r="AJ11" t="s">
        <v>673</v>
      </c>
      <c r="AK11" t="s">
        <v>674</v>
      </c>
      <c r="AL11" t="s">
        <v>55</v>
      </c>
      <c r="AM11" t="s">
        <v>675</v>
      </c>
      <c r="AN11" t="s">
        <v>60</v>
      </c>
      <c r="AO11">
        <v>100</v>
      </c>
      <c r="AP11" t="s">
        <v>60</v>
      </c>
      <c r="AQ11" t="s">
        <v>60</v>
      </c>
      <c r="AR11" t="s">
        <v>60</v>
      </c>
      <c r="AS11">
        <v>0</v>
      </c>
      <c r="AT11">
        <v>0</v>
      </c>
      <c r="AU11">
        <v>0</v>
      </c>
      <c r="AV11">
        <v>0</v>
      </c>
      <c r="AW11" t="s">
        <v>676</v>
      </c>
      <c r="AX11" t="s">
        <v>677</v>
      </c>
      <c r="AY11" t="s">
        <v>678</v>
      </c>
      <c r="BA11" t="s">
        <v>570</v>
      </c>
      <c r="BB11" t="s">
        <v>571</v>
      </c>
      <c r="BC11">
        <v>4</v>
      </c>
      <c r="BD11" t="s">
        <v>572</v>
      </c>
      <c r="BE11">
        <v>44974</v>
      </c>
      <c r="BF11" t="s">
        <v>573</v>
      </c>
      <c r="BG11" t="s">
        <v>573</v>
      </c>
    </row>
    <row r="12" spans="1:59">
      <c r="A12" t="s">
        <v>21</v>
      </c>
      <c r="B12" t="s">
        <v>558</v>
      </c>
      <c r="C12" t="s">
        <v>11</v>
      </c>
      <c r="D12" t="s">
        <v>679</v>
      </c>
      <c r="E12" t="s">
        <v>680</v>
      </c>
      <c r="F12" t="s">
        <v>681</v>
      </c>
      <c r="G12" t="s">
        <v>682</v>
      </c>
      <c r="H12">
        <v>38962756.240000002</v>
      </c>
      <c r="I12" t="s">
        <v>60</v>
      </c>
      <c r="J12">
        <v>77821</v>
      </c>
      <c r="K12" t="s">
        <v>60</v>
      </c>
      <c r="L12" t="s">
        <v>73</v>
      </c>
      <c r="M12" t="s">
        <v>60</v>
      </c>
      <c r="N12" t="s">
        <v>105</v>
      </c>
      <c r="O12" t="s">
        <v>105</v>
      </c>
      <c r="P12" t="s">
        <v>105</v>
      </c>
      <c r="Q12" t="s">
        <v>683</v>
      </c>
      <c r="R12" t="s">
        <v>684</v>
      </c>
      <c r="S12" t="s">
        <v>640</v>
      </c>
      <c r="T12" t="s">
        <v>66</v>
      </c>
      <c r="U12" t="s">
        <v>685</v>
      </c>
      <c r="V12" t="s">
        <v>686</v>
      </c>
      <c r="W12">
        <v>1632.01</v>
      </c>
      <c r="X12">
        <v>257.99</v>
      </c>
      <c r="Y12" t="s">
        <v>60</v>
      </c>
      <c r="Z12" t="s">
        <v>610</v>
      </c>
      <c r="AA12" t="s">
        <v>687</v>
      </c>
      <c r="AB12">
        <v>1321.847</v>
      </c>
      <c r="AC12">
        <v>310.16890000000001</v>
      </c>
      <c r="AD12">
        <v>154.25307000000001</v>
      </c>
      <c r="AE12">
        <v>0</v>
      </c>
      <c r="AF12">
        <v>16.759920000000001</v>
      </c>
      <c r="AG12">
        <v>0</v>
      </c>
      <c r="AH12">
        <v>7.8315409999999996</v>
      </c>
      <c r="AI12" t="s">
        <v>688</v>
      </c>
      <c r="AJ12" t="s">
        <v>689</v>
      </c>
      <c r="AK12" t="s">
        <v>690</v>
      </c>
      <c r="AL12" t="s">
        <v>66</v>
      </c>
      <c r="AM12" t="s">
        <v>691</v>
      </c>
      <c r="AN12">
        <v>19.75</v>
      </c>
      <c r="AO12" t="s">
        <v>60</v>
      </c>
      <c r="AP12">
        <v>92</v>
      </c>
      <c r="AQ12" t="s">
        <v>60</v>
      </c>
      <c r="AR12" t="s">
        <v>60</v>
      </c>
      <c r="AS12" t="s">
        <v>692</v>
      </c>
      <c r="AT12" t="s">
        <v>60</v>
      </c>
      <c r="AU12" t="s">
        <v>60</v>
      </c>
      <c r="AV12" t="s">
        <v>60</v>
      </c>
      <c r="AW12" t="s">
        <v>693</v>
      </c>
      <c r="AX12" t="s">
        <v>694</v>
      </c>
      <c r="AY12" t="s">
        <v>695</v>
      </c>
      <c r="AZ12" t="s">
        <v>574</v>
      </c>
    </row>
    <row r="13" spans="1:59">
      <c r="A13" t="s">
        <v>21</v>
      </c>
      <c r="B13" t="s">
        <v>558</v>
      </c>
      <c r="C13" t="s">
        <v>12</v>
      </c>
      <c r="D13" t="s">
        <v>696</v>
      </c>
      <c r="E13" t="s">
        <v>697</v>
      </c>
      <c r="F13" t="s">
        <v>698</v>
      </c>
      <c r="G13" t="s">
        <v>56</v>
      </c>
      <c r="H13">
        <v>9513158</v>
      </c>
      <c r="I13" t="s">
        <v>60</v>
      </c>
      <c r="J13">
        <v>1354</v>
      </c>
      <c r="K13" t="s">
        <v>105</v>
      </c>
      <c r="L13" t="s">
        <v>74</v>
      </c>
      <c r="M13" t="s">
        <v>60</v>
      </c>
      <c r="N13" t="s">
        <v>105</v>
      </c>
      <c r="O13" t="s">
        <v>105</v>
      </c>
      <c r="P13" t="s">
        <v>105</v>
      </c>
      <c r="Q13" t="s">
        <v>105</v>
      </c>
      <c r="R13" t="s">
        <v>105</v>
      </c>
      <c r="S13" t="s">
        <v>105</v>
      </c>
      <c r="T13" t="s">
        <v>105</v>
      </c>
      <c r="U13" t="s">
        <v>60</v>
      </c>
      <c r="V13" t="s">
        <v>699</v>
      </c>
      <c r="W13">
        <v>332.45965699999999</v>
      </c>
      <c r="X13">
        <v>136.06382428999999</v>
      </c>
      <c r="Y13">
        <v>136.06382429000001</v>
      </c>
      <c r="Z13" t="s">
        <v>105</v>
      </c>
      <c r="AA13" t="s">
        <v>105</v>
      </c>
      <c r="AB13">
        <v>326.60289999999998</v>
      </c>
      <c r="AC13" t="s">
        <v>105</v>
      </c>
      <c r="AD13" t="s">
        <v>105</v>
      </c>
      <c r="AE13" t="s">
        <v>105</v>
      </c>
      <c r="AF13">
        <v>0</v>
      </c>
      <c r="AG13" t="s">
        <v>105</v>
      </c>
      <c r="AH13">
        <v>5.856757</v>
      </c>
      <c r="AI13" t="s">
        <v>105</v>
      </c>
      <c r="AJ13" t="s">
        <v>105</v>
      </c>
      <c r="AK13" t="s">
        <v>105</v>
      </c>
      <c r="AL13" t="s">
        <v>105</v>
      </c>
      <c r="AM13" t="s">
        <v>105</v>
      </c>
      <c r="AN13">
        <v>0</v>
      </c>
      <c r="AO13">
        <v>0</v>
      </c>
      <c r="AP13">
        <v>0</v>
      </c>
      <c r="AQ13">
        <v>0</v>
      </c>
      <c r="AR13" t="s">
        <v>105</v>
      </c>
      <c r="AS13">
        <v>0</v>
      </c>
      <c r="AT13" t="s">
        <v>105</v>
      </c>
      <c r="AU13" t="s">
        <v>105</v>
      </c>
      <c r="AV13" t="s">
        <v>105</v>
      </c>
      <c r="AW13">
        <v>0</v>
      </c>
      <c r="AX13">
        <v>0</v>
      </c>
      <c r="AY13">
        <v>0</v>
      </c>
      <c r="AZ13" t="s">
        <v>105</v>
      </c>
      <c r="BA13" t="s">
        <v>105</v>
      </c>
      <c r="BB13" t="s">
        <v>105</v>
      </c>
      <c r="BC13" t="s">
        <v>105</v>
      </c>
      <c r="BD13" t="s">
        <v>105</v>
      </c>
      <c r="BE13" t="s">
        <v>105</v>
      </c>
      <c r="BF13" t="s">
        <v>105</v>
      </c>
      <c r="BG13" t="s">
        <v>105</v>
      </c>
    </row>
    <row r="14" spans="1:59">
      <c r="A14" t="s">
        <v>21</v>
      </c>
      <c r="B14" t="s">
        <v>575</v>
      </c>
      <c r="C14" t="s">
        <v>13</v>
      </c>
      <c r="D14" t="s">
        <v>700</v>
      </c>
      <c r="E14" t="s">
        <v>701</v>
      </c>
      <c r="F14" t="s">
        <v>702</v>
      </c>
      <c r="G14" t="s">
        <v>703</v>
      </c>
      <c r="H14">
        <v>7800000000</v>
      </c>
      <c r="I14" t="s">
        <v>60</v>
      </c>
      <c r="J14">
        <v>10839540</v>
      </c>
      <c r="K14">
        <v>951490</v>
      </c>
      <c r="L14" t="s">
        <v>60</v>
      </c>
      <c r="M14" t="s">
        <v>704</v>
      </c>
      <c r="N14" t="s">
        <v>105</v>
      </c>
      <c r="O14" t="s">
        <v>105</v>
      </c>
      <c r="P14" t="s">
        <v>105</v>
      </c>
      <c r="Q14" t="s">
        <v>55</v>
      </c>
      <c r="R14" t="s">
        <v>705</v>
      </c>
      <c r="S14" t="s">
        <v>640</v>
      </c>
      <c r="T14" t="s">
        <v>706</v>
      </c>
      <c r="U14" t="s">
        <v>707</v>
      </c>
      <c r="V14" t="s">
        <v>708</v>
      </c>
      <c r="W14">
        <v>125585</v>
      </c>
      <c r="X14">
        <v>30656</v>
      </c>
      <c r="Y14">
        <v>0</v>
      </c>
      <c r="Z14" t="s">
        <v>709</v>
      </c>
      <c r="AA14" t="s">
        <v>710</v>
      </c>
      <c r="AB14">
        <v>90490.26</v>
      </c>
      <c r="AC14">
        <v>0</v>
      </c>
      <c r="AD14">
        <v>1846.74</v>
      </c>
      <c r="AE14">
        <v>0</v>
      </c>
      <c r="AF14">
        <v>18433</v>
      </c>
      <c r="AG14" t="s">
        <v>60</v>
      </c>
      <c r="AH14">
        <v>14825</v>
      </c>
      <c r="AI14" t="s">
        <v>60</v>
      </c>
      <c r="AJ14" t="s">
        <v>55</v>
      </c>
      <c r="AK14" t="s">
        <v>711</v>
      </c>
      <c r="AL14" t="s">
        <v>55</v>
      </c>
      <c r="AM14" t="s">
        <v>712</v>
      </c>
      <c r="AN14" t="s">
        <v>60</v>
      </c>
      <c r="AO14">
        <v>100</v>
      </c>
      <c r="AP14" t="s">
        <v>713</v>
      </c>
      <c r="AQ14">
        <v>0</v>
      </c>
      <c r="AR14" t="s">
        <v>60</v>
      </c>
      <c r="AS14">
        <v>0</v>
      </c>
      <c r="AT14">
        <v>0</v>
      </c>
      <c r="AU14">
        <v>0</v>
      </c>
      <c r="AV14" t="s">
        <v>714</v>
      </c>
      <c r="AW14" t="s">
        <v>715</v>
      </c>
      <c r="AX14" t="s">
        <v>716</v>
      </c>
      <c r="AY14" t="s">
        <v>717</v>
      </c>
      <c r="AZ14" t="s">
        <v>576</v>
      </c>
    </row>
    <row r="15" spans="1:59">
      <c r="A15" t="s">
        <v>21</v>
      </c>
      <c r="B15" t="s">
        <v>558</v>
      </c>
      <c r="C15" t="s">
        <v>14</v>
      </c>
      <c r="D15" t="s">
        <v>14</v>
      </c>
      <c r="E15" t="s">
        <v>718</v>
      </c>
      <c r="F15" t="s">
        <v>719</v>
      </c>
      <c r="G15" t="s">
        <v>720</v>
      </c>
      <c r="H15">
        <v>1286000000</v>
      </c>
      <c r="I15" t="s">
        <v>721</v>
      </c>
      <c r="J15">
        <v>2191771</v>
      </c>
      <c r="K15" t="s">
        <v>721</v>
      </c>
      <c r="L15" t="s">
        <v>75</v>
      </c>
      <c r="M15" t="s">
        <v>60</v>
      </c>
      <c r="N15" t="s">
        <v>105</v>
      </c>
      <c r="O15" t="s">
        <v>105</v>
      </c>
      <c r="P15" t="s">
        <v>105</v>
      </c>
      <c r="Q15" t="s">
        <v>722</v>
      </c>
      <c r="R15" t="s">
        <v>723</v>
      </c>
      <c r="S15" t="s">
        <v>640</v>
      </c>
      <c r="T15" t="s">
        <v>724</v>
      </c>
      <c r="U15" t="s">
        <v>60</v>
      </c>
      <c r="V15" t="s">
        <v>725</v>
      </c>
      <c r="W15">
        <v>47186</v>
      </c>
      <c r="X15">
        <v>13283</v>
      </c>
      <c r="Y15">
        <v>9157</v>
      </c>
      <c r="Z15" t="s">
        <v>120</v>
      </c>
      <c r="AA15" t="s">
        <v>726</v>
      </c>
      <c r="AB15">
        <v>42006</v>
      </c>
      <c r="AC15" t="s">
        <v>60</v>
      </c>
      <c r="AD15">
        <v>810</v>
      </c>
      <c r="AE15" t="s">
        <v>60</v>
      </c>
      <c r="AF15">
        <v>0</v>
      </c>
      <c r="AG15">
        <v>2844</v>
      </c>
      <c r="AH15">
        <v>1526</v>
      </c>
      <c r="AI15">
        <v>0</v>
      </c>
      <c r="AJ15" t="s">
        <v>727</v>
      </c>
      <c r="AK15" t="s">
        <v>60</v>
      </c>
      <c r="AL15" t="s">
        <v>66</v>
      </c>
      <c r="AM15" t="s">
        <v>60</v>
      </c>
      <c r="AN15" t="s">
        <v>728</v>
      </c>
      <c r="AO15">
        <v>25</v>
      </c>
      <c r="AP15">
        <v>5</v>
      </c>
      <c r="AQ15" t="s">
        <v>609</v>
      </c>
      <c r="AR15" t="s">
        <v>60</v>
      </c>
      <c r="AS15" t="s">
        <v>609</v>
      </c>
      <c r="AT15">
        <v>0</v>
      </c>
      <c r="AU15">
        <v>0</v>
      </c>
      <c r="AV15">
        <v>0</v>
      </c>
      <c r="AW15" t="s">
        <v>729</v>
      </c>
      <c r="AX15" t="s">
        <v>55</v>
      </c>
      <c r="AY15" t="s">
        <v>730</v>
      </c>
      <c r="AZ15" t="s">
        <v>576</v>
      </c>
    </row>
    <row r="16" spans="1:59">
      <c r="A16" t="s">
        <v>21</v>
      </c>
      <c r="B16" t="s">
        <v>558</v>
      </c>
      <c r="C16" t="s">
        <v>15</v>
      </c>
      <c r="D16" t="s">
        <v>15</v>
      </c>
      <c r="E16" t="s">
        <v>105</v>
      </c>
      <c r="F16" t="s">
        <v>105</v>
      </c>
      <c r="G16" t="s">
        <v>731</v>
      </c>
      <c r="H16">
        <v>3500000000</v>
      </c>
      <c r="I16" t="s">
        <v>732</v>
      </c>
      <c r="J16" t="s">
        <v>76</v>
      </c>
      <c r="K16" t="s">
        <v>76</v>
      </c>
      <c r="L16" t="s">
        <v>76</v>
      </c>
      <c r="M16" t="s">
        <v>76</v>
      </c>
      <c r="N16" t="s">
        <v>105</v>
      </c>
      <c r="O16" t="s">
        <v>105</v>
      </c>
      <c r="P16" t="s">
        <v>105</v>
      </c>
      <c r="Q16" t="s">
        <v>733</v>
      </c>
      <c r="R16" t="s">
        <v>60</v>
      </c>
      <c r="S16" t="s">
        <v>60</v>
      </c>
      <c r="T16" t="s">
        <v>734</v>
      </c>
      <c r="U16" t="s">
        <v>60</v>
      </c>
      <c r="V16" t="s">
        <v>60</v>
      </c>
      <c r="W16">
        <v>19093</v>
      </c>
      <c r="X16">
        <v>17036</v>
      </c>
      <c r="Y16">
        <v>16998</v>
      </c>
      <c r="Z16" t="s">
        <v>733</v>
      </c>
      <c r="AA16" t="s">
        <v>60</v>
      </c>
      <c r="AB16" t="s">
        <v>60</v>
      </c>
      <c r="AC16" t="s">
        <v>60</v>
      </c>
      <c r="AD16" t="s">
        <v>60</v>
      </c>
      <c r="AE16" t="s">
        <v>60</v>
      </c>
      <c r="AF16" t="s">
        <v>60</v>
      </c>
      <c r="AG16" t="s">
        <v>60</v>
      </c>
      <c r="AH16" t="s">
        <v>60</v>
      </c>
      <c r="AI16" t="s">
        <v>60</v>
      </c>
      <c r="AJ16" t="s">
        <v>66</v>
      </c>
      <c r="AK16" t="s">
        <v>60</v>
      </c>
      <c r="AL16" t="s">
        <v>60</v>
      </c>
      <c r="AM16" t="s">
        <v>60</v>
      </c>
      <c r="AN16" t="s">
        <v>60</v>
      </c>
      <c r="AO16">
        <v>2.161949084658674E-2</v>
      </c>
      <c r="AP16" t="s">
        <v>60</v>
      </c>
      <c r="AQ16" t="s">
        <v>60</v>
      </c>
      <c r="AR16" t="s">
        <v>60</v>
      </c>
      <c r="AS16" t="s">
        <v>60</v>
      </c>
      <c r="AT16" t="s">
        <v>60</v>
      </c>
      <c r="AU16" t="s">
        <v>60</v>
      </c>
      <c r="AV16" t="s">
        <v>60</v>
      </c>
      <c r="AW16" t="s">
        <v>735</v>
      </c>
      <c r="AX16" t="s">
        <v>736</v>
      </c>
      <c r="AY16" t="s">
        <v>737</v>
      </c>
      <c r="AZ16" t="s">
        <v>577</v>
      </c>
    </row>
    <row r="17" spans="1:59">
      <c r="A17" t="s">
        <v>28</v>
      </c>
      <c r="B17" t="s">
        <v>558</v>
      </c>
      <c r="C17" t="s">
        <v>87</v>
      </c>
      <c r="N17" t="s">
        <v>105</v>
      </c>
      <c r="O17" t="s">
        <v>105</v>
      </c>
      <c r="P17" t="s">
        <v>105</v>
      </c>
    </row>
    <row r="18" spans="1:59">
      <c r="A18" t="s">
        <v>578</v>
      </c>
      <c r="C18" t="s">
        <v>88</v>
      </c>
      <c r="N18" t="s">
        <v>105</v>
      </c>
      <c r="O18" t="s">
        <v>105</v>
      </c>
      <c r="P18" t="s">
        <v>105</v>
      </c>
    </row>
    <row r="19" spans="1:59">
      <c r="A19" t="s">
        <v>578</v>
      </c>
      <c r="C19" t="s">
        <v>16</v>
      </c>
      <c r="D19" t="s">
        <v>738</v>
      </c>
      <c r="E19" t="s">
        <v>739</v>
      </c>
      <c r="F19" t="s">
        <v>740</v>
      </c>
      <c r="G19" t="s">
        <v>741</v>
      </c>
      <c r="H19">
        <v>503628078.45999998</v>
      </c>
      <c r="I19">
        <v>0</v>
      </c>
      <c r="J19">
        <v>639000</v>
      </c>
      <c r="K19">
        <v>11000</v>
      </c>
      <c r="L19" t="s">
        <v>77</v>
      </c>
      <c r="M19" t="s">
        <v>742</v>
      </c>
      <c r="N19" t="s">
        <v>105</v>
      </c>
      <c r="O19" t="s">
        <v>105</v>
      </c>
      <c r="P19" t="s">
        <v>105</v>
      </c>
      <c r="Q19" t="s">
        <v>743</v>
      </c>
      <c r="R19" t="s">
        <v>744</v>
      </c>
      <c r="S19" t="s">
        <v>620</v>
      </c>
      <c r="T19" t="s">
        <v>745</v>
      </c>
      <c r="U19" t="s">
        <v>746</v>
      </c>
      <c r="V19" t="s">
        <v>747</v>
      </c>
      <c r="W19">
        <v>14495</v>
      </c>
      <c r="X19">
        <v>2191</v>
      </c>
      <c r="Y19">
        <v>2191</v>
      </c>
      <c r="Z19" t="s">
        <v>748</v>
      </c>
      <c r="AA19" t="s">
        <v>64</v>
      </c>
      <c r="AB19">
        <v>13361</v>
      </c>
      <c r="AC19" t="s">
        <v>60</v>
      </c>
      <c r="AD19" t="s">
        <v>60</v>
      </c>
      <c r="AE19" t="s">
        <v>60</v>
      </c>
      <c r="AF19">
        <v>983</v>
      </c>
      <c r="AG19" t="s">
        <v>60</v>
      </c>
      <c r="AH19">
        <v>151</v>
      </c>
      <c r="AI19" t="s">
        <v>60</v>
      </c>
      <c r="AJ19" t="s">
        <v>66</v>
      </c>
      <c r="AK19" t="s">
        <v>64</v>
      </c>
      <c r="AL19" t="s">
        <v>749</v>
      </c>
      <c r="AM19" t="s">
        <v>750</v>
      </c>
      <c r="AN19">
        <v>3</v>
      </c>
      <c r="AO19">
        <v>0</v>
      </c>
      <c r="AP19" t="s">
        <v>751</v>
      </c>
      <c r="AQ19">
        <v>0</v>
      </c>
      <c r="AR19" t="s">
        <v>60</v>
      </c>
      <c r="AS19">
        <v>0</v>
      </c>
      <c r="AT19">
        <v>0</v>
      </c>
      <c r="AU19">
        <v>0</v>
      </c>
      <c r="AV19">
        <v>0</v>
      </c>
      <c r="AW19" t="s">
        <v>66</v>
      </c>
      <c r="AX19" t="s">
        <v>66</v>
      </c>
      <c r="AY19" t="s">
        <v>66</v>
      </c>
      <c r="BB19" t="s">
        <v>579</v>
      </c>
      <c r="BC19">
        <v>3</v>
      </c>
      <c r="BD19" t="s">
        <v>580</v>
      </c>
      <c r="BE19">
        <v>44974</v>
      </c>
      <c r="BF19" t="s">
        <v>581</v>
      </c>
      <c r="BG19" t="s">
        <v>581</v>
      </c>
    </row>
    <row r="20" spans="1:59">
      <c r="A20" t="s">
        <v>21</v>
      </c>
      <c r="B20" t="s">
        <v>558</v>
      </c>
      <c r="C20" t="s">
        <v>89</v>
      </c>
      <c r="D20" t="s">
        <v>752</v>
      </c>
      <c r="E20" t="s">
        <v>753</v>
      </c>
      <c r="F20" t="s">
        <v>754</v>
      </c>
      <c r="G20" t="s">
        <v>755</v>
      </c>
      <c r="H20">
        <v>2940601000</v>
      </c>
      <c r="I20">
        <v>201500000</v>
      </c>
      <c r="J20">
        <v>6100000</v>
      </c>
      <c r="K20">
        <v>596000</v>
      </c>
      <c r="L20" t="s">
        <v>78</v>
      </c>
      <c r="M20" t="s">
        <v>60</v>
      </c>
      <c r="N20" t="s">
        <v>105</v>
      </c>
      <c r="O20" t="s">
        <v>105</v>
      </c>
      <c r="P20" t="s">
        <v>105</v>
      </c>
      <c r="Q20" t="s">
        <v>606</v>
      </c>
      <c r="R20" t="s">
        <v>606</v>
      </c>
      <c r="S20" t="s">
        <v>620</v>
      </c>
      <c r="T20" t="s">
        <v>66</v>
      </c>
      <c r="U20" t="s">
        <v>756</v>
      </c>
      <c r="V20" t="s">
        <v>757</v>
      </c>
      <c r="W20">
        <v>17280</v>
      </c>
      <c r="X20" t="s">
        <v>64</v>
      </c>
      <c r="Y20" t="s">
        <v>64</v>
      </c>
      <c r="Z20" t="s">
        <v>748</v>
      </c>
      <c r="AA20" t="s">
        <v>758</v>
      </c>
      <c r="AB20">
        <v>12639</v>
      </c>
      <c r="AC20">
        <v>0</v>
      </c>
      <c r="AD20">
        <v>4854</v>
      </c>
      <c r="AE20">
        <v>0</v>
      </c>
      <c r="AF20">
        <v>0</v>
      </c>
      <c r="AG20">
        <v>0</v>
      </c>
      <c r="AH20">
        <v>0</v>
      </c>
      <c r="AI20">
        <v>0</v>
      </c>
      <c r="AJ20" t="s">
        <v>66</v>
      </c>
      <c r="AK20" t="s">
        <v>60</v>
      </c>
      <c r="AL20" t="s">
        <v>66</v>
      </c>
      <c r="AM20" t="s">
        <v>60</v>
      </c>
      <c r="AN20">
        <v>2</v>
      </c>
      <c r="AO20">
        <v>0</v>
      </c>
      <c r="AP20">
        <v>0</v>
      </c>
      <c r="AQ20">
        <v>0</v>
      </c>
      <c r="AR20" t="s">
        <v>60</v>
      </c>
      <c r="AS20">
        <v>0</v>
      </c>
      <c r="AT20">
        <v>0</v>
      </c>
      <c r="AU20">
        <v>0</v>
      </c>
      <c r="AV20">
        <v>0</v>
      </c>
      <c r="AW20" t="s">
        <v>759</v>
      </c>
      <c r="AX20" t="s">
        <v>60</v>
      </c>
      <c r="AY20" t="s">
        <v>760</v>
      </c>
      <c r="BB20" t="s">
        <v>582</v>
      </c>
      <c r="BC20">
        <v>3</v>
      </c>
      <c r="BE20">
        <v>44974</v>
      </c>
    </row>
    <row r="21" spans="1:59">
      <c r="A21" t="s">
        <v>21</v>
      </c>
      <c r="B21" t="s">
        <v>558</v>
      </c>
      <c r="C21" t="s">
        <v>17</v>
      </c>
      <c r="D21" t="s">
        <v>761</v>
      </c>
      <c r="E21" t="s">
        <v>60</v>
      </c>
      <c r="F21" t="s">
        <v>60</v>
      </c>
      <c r="G21" t="s">
        <v>762</v>
      </c>
      <c r="H21">
        <v>270000000</v>
      </c>
      <c r="I21" t="s">
        <v>60</v>
      </c>
      <c r="J21">
        <v>500000</v>
      </c>
      <c r="K21" t="s">
        <v>60</v>
      </c>
      <c r="L21" t="s">
        <v>79</v>
      </c>
      <c r="M21" t="s">
        <v>60</v>
      </c>
      <c r="N21" t="s">
        <v>105</v>
      </c>
      <c r="O21" t="s">
        <v>105</v>
      </c>
      <c r="P21" t="s">
        <v>105</v>
      </c>
      <c r="Q21" t="s">
        <v>763</v>
      </c>
      <c r="R21" t="s">
        <v>764</v>
      </c>
      <c r="S21" t="s">
        <v>640</v>
      </c>
      <c r="T21" t="s">
        <v>104</v>
      </c>
      <c r="U21" t="s">
        <v>60</v>
      </c>
      <c r="V21" t="s">
        <v>765</v>
      </c>
      <c r="W21">
        <v>3449</v>
      </c>
      <c r="X21">
        <v>1960</v>
      </c>
      <c r="Y21" t="s">
        <v>64</v>
      </c>
      <c r="Z21" t="s">
        <v>610</v>
      </c>
      <c r="AA21" t="s">
        <v>60</v>
      </c>
      <c r="AB21">
        <v>3007.4688159522434</v>
      </c>
      <c r="AC21" t="s">
        <v>766</v>
      </c>
      <c r="AD21" t="s">
        <v>767</v>
      </c>
      <c r="AE21" t="s">
        <v>767</v>
      </c>
      <c r="AF21" t="s">
        <v>432</v>
      </c>
      <c r="AG21" t="s">
        <v>433</v>
      </c>
      <c r="AH21">
        <v>72.163595965866676</v>
      </c>
      <c r="AI21" t="s">
        <v>60</v>
      </c>
      <c r="AJ21" t="s">
        <v>66</v>
      </c>
      <c r="AK21" t="s">
        <v>60</v>
      </c>
      <c r="AL21" t="s">
        <v>60</v>
      </c>
      <c r="AM21" t="s">
        <v>60</v>
      </c>
      <c r="AN21">
        <v>4.5</v>
      </c>
      <c r="AO21" t="s">
        <v>64</v>
      </c>
      <c r="AP21">
        <v>0</v>
      </c>
      <c r="AQ21">
        <v>0</v>
      </c>
      <c r="AR21" t="s">
        <v>60</v>
      </c>
      <c r="AS21" t="s">
        <v>64</v>
      </c>
      <c r="AT21" t="s">
        <v>64</v>
      </c>
      <c r="AU21" t="s">
        <v>64</v>
      </c>
      <c r="AV21" t="s">
        <v>64</v>
      </c>
      <c r="AW21" t="s">
        <v>768</v>
      </c>
      <c r="AX21" t="s">
        <v>769</v>
      </c>
      <c r="AY21" t="s">
        <v>770</v>
      </c>
      <c r="BB21" t="s">
        <v>583</v>
      </c>
      <c r="BC21">
        <v>3</v>
      </c>
      <c r="BE21" t="s">
        <v>584</v>
      </c>
    </row>
    <row r="22" spans="1:59">
      <c r="A22" t="s">
        <v>21</v>
      </c>
      <c r="B22" t="s">
        <v>558</v>
      </c>
      <c r="C22" t="s">
        <v>32</v>
      </c>
      <c r="D22" t="s">
        <v>771</v>
      </c>
      <c r="E22" t="s">
        <v>772</v>
      </c>
      <c r="F22" t="s">
        <v>773</v>
      </c>
      <c r="G22" t="s">
        <v>774</v>
      </c>
      <c r="H22">
        <v>158000000</v>
      </c>
      <c r="I22">
        <v>158000000</v>
      </c>
      <c r="J22">
        <v>150000</v>
      </c>
      <c r="K22">
        <v>150000</v>
      </c>
      <c r="L22" t="s">
        <v>60</v>
      </c>
      <c r="M22" t="s">
        <v>775</v>
      </c>
      <c r="N22" t="s">
        <v>60</v>
      </c>
      <c r="O22" t="s">
        <v>776</v>
      </c>
      <c r="P22" t="s">
        <v>60</v>
      </c>
      <c r="Q22" t="s">
        <v>66</v>
      </c>
      <c r="R22" t="s">
        <v>53</v>
      </c>
      <c r="S22" t="s">
        <v>60</v>
      </c>
      <c r="T22" t="s">
        <v>60</v>
      </c>
      <c r="U22" t="s">
        <v>60</v>
      </c>
      <c r="V22" t="s">
        <v>60</v>
      </c>
      <c r="W22">
        <v>485</v>
      </c>
      <c r="X22">
        <v>241</v>
      </c>
      <c r="Y22" t="s">
        <v>60</v>
      </c>
      <c r="Z22" t="s">
        <v>748</v>
      </c>
      <c r="AA22" t="s">
        <v>60</v>
      </c>
      <c r="AB22">
        <v>178.19454224</v>
      </c>
      <c r="AC22" t="s">
        <v>60</v>
      </c>
      <c r="AD22" t="s">
        <v>60</v>
      </c>
      <c r="AE22" t="s">
        <v>60</v>
      </c>
      <c r="AF22" t="s">
        <v>60</v>
      </c>
      <c r="AG22" t="s">
        <v>60</v>
      </c>
      <c r="AH22" t="s">
        <v>60</v>
      </c>
      <c r="AI22">
        <v>306.80545775999997</v>
      </c>
      <c r="AJ22" t="s">
        <v>60</v>
      </c>
      <c r="AK22" t="s">
        <v>60</v>
      </c>
      <c r="AL22" t="s">
        <v>60</v>
      </c>
      <c r="AM22" t="s">
        <v>60</v>
      </c>
      <c r="AN22">
        <v>0</v>
      </c>
      <c r="AO22">
        <v>80</v>
      </c>
      <c r="AP22">
        <v>15</v>
      </c>
      <c r="AQ22">
        <v>0</v>
      </c>
      <c r="AR22" t="s">
        <v>60</v>
      </c>
      <c r="AS22" t="s">
        <v>60</v>
      </c>
      <c r="AT22" t="s">
        <v>60</v>
      </c>
      <c r="AU22" t="s">
        <v>60</v>
      </c>
      <c r="AV22" t="s">
        <v>60</v>
      </c>
      <c r="AW22" t="s">
        <v>60</v>
      </c>
      <c r="AX22" t="s">
        <v>60</v>
      </c>
      <c r="AY22" t="s">
        <v>60</v>
      </c>
    </row>
    <row r="23" spans="1:59">
      <c r="A23" t="s">
        <v>585</v>
      </c>
      <c r="B23" t="s">
        <v>558</v>
      </c>
      <c r="C23" t="s">
        <v>34</v>
      </c>
      <c r="D23" t="s">
        <v>777</v>
      </c>
      <c r="E23" t="s">
        <v>778</v>
      </c>
      <c r="F23" t="s">
        <v>779</v>
      </c>
      <c r="G23">
        <v>2021</v>
      </c>
      <c r="H23">
        <v>274562218</v>
      </c>
      <c r="I23">
        <v>274562218</v>
      </c>
      <c r="J23">
        <v>240000</v>
      </c>
      <c r="K23">
        <v>240000</v>
      </c>
      <c r="L23" t="s">
        <v>80</v>
      </c>
      <c r="M23" t="s">
        <v>775</v>
      </c>
      <c r="N23">
        <v>19774624.350000001</v>
      </c>
      <c r="O23" t="s">
        <v>776</v>
      </c>
      <c r="P23" t="s">
        <v>1149</v>
      </c>
      <c r="Q23" t="s">
        <v>780</v>
      </c>
      <c r="R23" t="s">
        <v>781</v>
      </c>
      <c r="S23" t="s">
        <v>423</v>
      </c>
      <c r="T23" t="s">
        <v>782</v>
      </c>
      <c r="U23" t="s">
        <v>53</v>
      </c>
      <c r="V23" t="s">
        <v>783</v>
      </c>
      <c r="W23">
        <v>944.3</v>
      </c>
      <c r="X23">
        <v>479</v>
      </c>
      <c r="Y23" t="s">
        <v>60</v>
      </c>
      <c r="Z23" t="s">
        <v>748</v>
      </c>
      <c r="AA23" t="s">
        <v>60</v>
      </c>
      <c r="AB23">
        <v>476</v>
      </c>
      <c r="AC23">
        <v>27</v>
      </c>
      <c r="AD23">
        <v>87</v>
      </c>
      <c r="AE23">
        <v>0</v>
      </c>
      <c r="AF23">
        <v>0</v>
      </c>
      <c r="AG23">
        <v>0</v>
      </c>
      <c r="AH23">
        <v>354.3</v>
      </c>
      <c r="AI23" t="s">
        <v>60</v>
      </c>
      <c r="AJ23" t="s">
        <v>66</v>
      </c>
      <c r="AK23" t="s">
        <v>60</v>
      </c>
      <c r="AL23" t="s">
        <v>60</v>
      </c>
      <c r="AM23" t="s">
        <v>60</v>
      </c>
      <c r="AN23">
        <v>0.04</v>
      </c>
      <c r="AO23">
        <v>96</v>
      </c>
      <c r="AP23">
        <v>60</v>
      </c>
      <c r="AQ23">
        <v>0</v>
      </c>
      <c r="AR23" t="s">
        <v>60</v>
      </c>
      <c r="AS23">
        <v>0</v>
      </c>
      <c r="AT23">
        <v>0</v>
      </c>
      <c r="AU23">
        <v>0</v>
      </c>
      <c r="AV23">
        <v>0</v>
      </c>
      <c r="AW23" t="s">
        <v>784</v>
      </c>
      <c r="AX23" t="s">
        <v>785</v>
      </c>
      <c r="AY23" t="s">
        <v>60</v>
      </c>
    </row>
    <row r="24" spans="1:59">
      <c r="A24" t="s">
        <v>585</v>
      </c>
      <c r="B24" t="s">
        <v>558</v>
      </c>
      <c r="C24" t="s">
        <v>90</v>
      </c>
      <c r="D24" t="s">
        <v>786</v>
      </c>
      <c r="E24" t="s">
        <v>787</v>
      </c>
      <c r="F24" t="s">
        <v>788</v>
      </c>
      <c r="G24" t="s">
        <v>789</v>
      </c>
      <c r="H24">
        <v>3600000</v>
      </c>
      <c r="I24">
        <v>3600000</v>
      </c>
      <c r="J24">
        <v>3000</v>
      </c>
      <c r="K24">
        <v>3000</v>
      </c>
      <c r="L24" t="s">
        <v>81</v>
      </c>
      <c r="M24" t="s">
        <v>775</v>
      </c>
      <c r="N24" t="s">
        <v>60</v>
      </c>
      <c r="O24" t="s">
        <v>1150</v>
      </c>
      <c r="P24" t="s">
        <v>1151</v>
      </c>
      <c r="Q24" t="s">
        <v>66</v>
      </c>
      <c r="R24" t="s">
        <v>53</v>
      </c>
      <c r="S24" t="s">
        <v>423</v>
      </c>
      <c r="T24" t="s">
        <v>53</v>
      </c>
      <c r="U24" t="s">
        <v>790</v>
      </c>
      <c r="V24" t="s">
        <v>791</v>
      </c>
      <c r="W24">
        <v>123</v>
      </c>
      <c r="X24">
        <v>30.8</v>
      </c>
      <c r="Y24" t="s">
        <v>60</v>
      </c>
      <c r="Z24" t="s">
        <v>659</v>
      </c>
      <c r="AA24" t="s">
        <v>53</v>
      </c>
      <c r="AB24" t="s">
        <v>60</v>
      </c>
      <c r="AC24">
        <v>20.28</v>
      </c>
      <c r="AD24" t="s">
        <v>792</v>
      </c>
      <c r="AE24" t="s">
        <v>60</v>
      </c>
      <c r="AF24">
        <v>10</v>
      </c>
      <c r="AG24">
        <v>2</v>
      </c>
      <c r="AH24">
        <v>32</v>
      </c>
      <c r="AI24" t="s">
        <v>60</v>
      </c>
      <c r="AJ24" t="s">
        <v>55</v>
      </c>
      <c r="AK24" t="s">
        <v>793</v>
      </c>
      <c r="AL24" t="s">
        <v>55</v>
      </c>
      <c r="AM24" t="s">
        <v>794</v>
      </c>
      <c r="AN24" t="s">
        <v>795</v>
      </c>
      <c r="AO24" t="s">
        <v>795</v>
      </c>
      <c r="AP24" t="s">
        <v>795</v>
      </c>
      <c r="AQ24" t="s">
        <v>795</v>
      </c>
      <c r="AR24" t="s">
        <v>795</v>
      </c>
      <c r="AS24" t="s">
        <v>60</v>
      </c>
      <c r="AT24" t="s">
        <v>60</v>
      </c>
      <c r="AU24" t="s">
        <v>60</v>
      </c>
      <c r="AV24" t="s">
        <v>60</v>
      </c>
      <c r="AW24" t="s">
        <v>796</v>
      </c>
      <c r="AX24" t="s">
        <v>797</v>
      </c>
      <c r="AY24" t="s">
        <v>798</v>
      </c>
    </row>
    <row r="25" spans="1:59">
      <c r="A25" t="s">
        <v>33</v>
      </c>
      <c r="B25" t="s">
        <v>558</v>
      </c>
      <c r="C25" t="s">
        <v>91</v>
      </c>
      <c r="D25" t="s">
        <v>91</v>
      </c>
      <c r="E25" t="s">
        <v>799</v>
      </c>
      <c r="F25" t="s">
        <v>800</v>
      </c>
      <c r="G25" t="s">
        <v>801</v>
      </c>
      <c r="H25">
        <v>28800000</v>
      </c>
      <c r="I25">
        <v>28800000</v>
      </c>
      <c r="J25">
        <v>44000</v>
      </c>
      <c r="K25">
        <v>44000</v>
      </c>
      <c r="L25" t="s">
        <v>82</v>
      </c>
      <c r="M25" t="s">
        <v>775</v>
      </c>
      <c r="N25" t="s">
        <v>802</v>
      </c>
      <c r="O25" t="s">
        <v>776</v>
      </c>
      <c r="P25" t="s">
        <v>1152</v>
      </c>
      <c r="Q25" t="s">
        <v>66</v>
      </c>
      <c r="R25" t="s">
        <v>803</v>
      </c>
      <c r="S25" t="s">
        <v>60</v>
      </c>
      <c r="T25" t="s">
        <v>60</v>
      </c>
      <c r="U25" t="s">
        <v>804</v>
      </c>
      <c r="V25" t="s">
        <v>60</v>
      </c>
      <c r="W25">
        <v>826</v>
      </c>
      <c r="X25">
        <v>0</v>
      </c>
      <c r="Y25">
        <v>0</v>
      </c>
      <c r="Z25" t="s">
        <v>610</v>
      </c>
      <c r="AA25" t="s">
        <v>805</v>
      </c>
      <c r="AB25">
        <v>763</v>
      </c>
      <c r="AC25">
        <v>63</v>
      </c>
      <c r="AD25">
        <v>0</v>
      </c>
      <c r="AE25">
        <v>0</v>
      </c>
      <c r="AF25" t="s">
        <v>806</v>
      </c>
      <c r="AG25" t="s">
        <v>807</v>
      </c>
      <c r="AH25" t="s">
        <v>808</v>
      </c>
      <c r="AI25" t="s">
        <v>66</v>
      </c>
      <c r="AJ25" t="s">
        <v>66</v>
      </c>
      <c r="AK25" t="s">
        <v>60</v>
      </c>
      <c r="AL25" t="s">
        <v>60</v>
      </c>
      <c r="AM25" t="s">
        <v>60</v>
      </c>
      <c r="AN25">
        <v>0</v>
      </c>
      <c r="AO25">
        <v>100</v>
      </c>
      <c r="AP25">
        <v>100</v>
      </c>
      <c r="AQ25">
        <v>0</v>
      </c>
      <c r="AR25" t="s">
        <v>60</v>
      </c>
      <c r="AS25">
        <v>0</v>
      </c>
      <c r="AT25">
        <v>0</v>
      </c>
      <c r="AU25">
        <v>0</v>
      </c>
      <c r="AV25">
        <v>0</v>
      </c>
      <c r="AW25" t="s">
        <v>809</v>
      </c>
      <c r="AX25" t="s">
        <v>810</v>
      </c>
      <c r="AY25" t="s">
        <v>60</v>
      </c>
    </row>
    <row r="26" spans="1:59">
      <c r="A26" t="s">
        <v>33</v>
      </c>
      <c r="B26" t="s">
        <v>558</v>
      </c>
      <c r="C26" t="s">
        <v>47</v>
      </c>
      <c r="D26" t="s">
        <v>811</v>
      </c>
      <c r="E26" t="s">
        <v>812</v>
      </c>
      <c r="F26" t="s">
        <v>813</v>
      </c>
      <c r="G26">
        <v>2022</v>
      </c>
      <c r="H26">
        <v>5000000</v>
      </c>
      <c r="I26">
        <v>5000000</v>
      </c>
      <c r="J26">
        <v>17822</v>
      </c>
      <c r="K26">
        <v>17822</v>
      </c>
      <c r="L26" t="s">
        <v>83</v>
      </c>
      <c r="M26" t="s">
        <v>775</v>
      </c>
      <c r="N26" t="s">
        <v>60</v>
      </c>
      <c r="O26" t="s">
        <v>840</v>
      </c>
      <c r="P26" t="s">
        <v>841</v>
      </c>
      <c r="Q26" t="s">
        <v>66</v>
      </c>
      <c r="R26" t="s">
        <v>790</v>
      </c>
      <c r="S26" t="s">
        <v>60</v>
      </c>
      <c r="T26" t="s">
        <v>66</v>
      </c>
      <c r="U26" t="s">
        <v>60</v>
      </c>
      <c r="V26" t="s">
        <v>60</v>
      </c>
      <c r="W26">
        <v>33.090000000000003</v>
      </c>
      <c r="X26">
        <v>29.3985375</v>
      </c>
      <c r="Y26">
        <v>32.645737500000003</v>
      </c>
      <c r="Z26">
        <v>0</v>
      </c>
      <c r="AA26" t="s">
        <v>60</v>
      </c>
      <c r="AB26">
        <v>31.24</v>
      </c>
      <c r="AC26">
        <v>31.24</v>
      </c>
      <c r="AD26" t="s">
        <v>60</v>
      </c>
      <c r="AE26" t="s">
        <v>60</v>
      </c>
      <c r="AF26" t="s">
        <v>60</v>
      </c>
      <c r="AG26" t="s">
        <v>60</v>
      </c>
      <c r="AH26">
        <v>1.85</v>
      </c>
      <c r="AI26" t="s">
        <v>60</v>
      </c>
      <c r="AJ26" t="s">
        <v>66</v>
      </c>
      <c r="AK26" t="s">
        <v>60</v>
      </c>
      <c r="AL26" t="s">
        <v>60</v>
      </c>
      <c r="AM26" t="s">
        <v>60</v>
      </c>
      <c r="AN26">
        <v>0</v>
      </c>
      <c r="AO26">
        <v>0.75</v>
      </c>
      <c r="AP26" t="s">
        <v>60</v>
      </c>
      <c r="AQ26">
        <v>33</v>
      </c>
      <c r="AR26" t="s">
        <v>60</v>
      </c>
      <c r="AS26">
        <v>0</v>
      </c>
      <c r="AT26">
        <v>0</v>
      </c>
      <c r="AU26">
        <v>0</v>
      </c>
      <c r="AV26">
        <v>0</v>
      </c>
      <c r="AW26" t="s">
        <v>66</v>
      </c>
      <c r="AX26" t="s">
        <v>55</v>
      </c>
      <c r="AY26" t="s">
        <v>814</v>
      </c>
    </row>
    <row r="27" spans="1:59">
      <c r="A27" t="s">
        <v>33</v>
      </c>
      <c r="B27" t="s">
        <v>558</v>
      </c>
      <c r="C27" t="s">
        <v>44</v>
      </c>
      <c r="D27" t="s">
        <v>815</v>
      </c>
      <c r="E27" t="s">
        <v>816</v>
      </c>
      <c r="F27" t="s">
        <v>817</v>
      </c>
      <c r="G27" t="s">
        <v>57</v>
      </c>
      <c r="H27">
        <v>2100000</v>
      </c>
      <c r="I27">
        <v>2100000</v>
      </c>
      <c r="J27">
        <v>2150</v>
      </c>
      <c r="K27">
        <v>2150</v>
      </c>
      <c r="L27" t="s">
        <v>84</v>
      </c>
      <c r="M27" t="s">
        <v>775</v>
      </c>
      <c r="N27" t="s">
        <v>60</v>
      </c>
      <c r="O27" t="s">
        <v>818</v>
      </c>
      <c r="P27" t="s">
        <v>819</v>
      </c>
      <c r="Q27" t="s">
        <v>105</v>
      </c>
      <c r="R27" t="s">
        <v>105</v>
      </c>
      <c r="S27" t="s">
        <v>105</v>
      </c>
      <c r="T27" t="s">
        <v>105</v>
      </c>
      <c r="U27" t="s">
        <v>60</v>
      </c>
      <c r="V27" t="s">
        <v>60</v>
      </c>
      <c r="W27">
        <v>8.6454991999999979</v>
      </c>
      <c r="X27">
        <v>3.3941687099999998</v>
      </c>
      <c r="Y27">
        <v>3.7690698300000003</v>
      </c>
      <c r="Z27" t="s">
        <v>105</v>
      </c>
      <c r="AA27" t="s">
        <v>105</v>
      </c>
      <c r="AB27">
        <v>8.6454991999999979</v>
      </c>
      <c r="AC27" t="s">
        <v>105</v>
      </c>
      <c r="AD27" t="s">
        <v>105</v>
      </c>
      <c r="AE27" t="s">
        <v>105</v>
      </c>
      <c r="AF27">
        <v>0</v>
      </c>
      <c r="AG27" t="s">
        <v>105</v>
      </c>
      <c r="AH27">
        <v>0</v>
      </c>
      <c r="AI27" t="s">
        <v>105</v>
      </c>
      <c r="AJ27" t="s">
        <v>105</v>
      </c>
      <c r="AK27" t="s">
        <v>105</v>
      </c>
      <c r="AL27" t="s">
        <v>105</v>
      </c>
      <c r="AM27" t="s">
        <v>105</v>
      </c>
      <c r="AN27">
        <v>0</v>
      </c>
      <c r="AO27" t="s">
        <v>60</v>
      </c>
      <c r="AP27">
        <v>0</v>
      </c>
      <c r="AQ27">
        <v>0</v>
      </c>
      <c r="AR27" t="s">
        <v>105</v>
      </c>
      <c r="AS27">
        <v>0</v>
      </c>
      <c r="AT27" t="s">
        <v>105</v>
      </c>
      <c r="AU27" t="s">
        <v>105</v>
      </c>
      <c r="AV27" t="s">
        <v>105</v>
      </c>
      <c r="AW27" t="s">
        <v>67</v>
      </c>
      <c r="AX27" t="s">
        <v>67</v>
      </c>
      <c r="AY27" t="s">
        <v>67</v>
      </c>
    </row>
    <row r="28" spans="1:59">
      <c r="A28" t="s">
        <v>33</v>
      </c>
      <c r="B28" t="s">
        <v>575</v>
      </c>
      <c r="C28" t="s">
        <v>586</v>
      </c>
      <c r="D28" t="s">
        <v>820</v>
      </c>
      <c r="E28" t="s">
        <v>821</v>
      </c>
      <c r="F28" t="s">
        <v>822</v>
      </c>
      <c r="G28">
        <v>2022</v>
      </c>
      <c r="H28">
        <v>5246150</v>
      </c>
      <c r="I28">
        <v>5246150</v>
      </c>
      <c r="J28">
        <v>18000</v>
      </c>
      <c r="K28">
        <v>18000</v>
      </c>
      <c r="L28" t="s">
        <v>85</v>
      </c>
      <c r="M28" t="s">
        <v>775</v>
      </c>
      <c r="N28">
        <v>64720</v>
      </c>
      <c r="O28" t="s">
        <v>823</v>
      </c>
      <c r="P28">
        <v>0</v>
      </c>
      <c r="Q28" t="s">
        <v>105</v>
      </c>
      <c r="R28" t="s">
        <v>105</v>
      </c>
      <c r="S28" t="s">
        <v>105</v>
      </c>
      <c r="T28" t="s">
        <v>105</v>
      </c>
      <c r="U28">
        <v>0</v>
      </c>
      <c r="V28" t="s">
        <v>824</v>
      </c>
      <c r="W28">
        <v>69.378627499999993</v>
      </c>
      <c r="X28">
        <v>7.5042276599999997</v>
      </c>
      <c r="Y28">
        <v>8.3331031800000002</v>
      </c>
      <c r="Z28" t="s">
        <v>105</v>
      </c>
      <c r="AA28" t="s">
        <v>105</v>
      </c>
      <c r="AB28">
        <v>50.901015999999998</v>
      </c>
      <c r="AC28" t="s">
        <v>105</v>
      </c>
      <c r="AD28" t="s">
        <v>105</v>
      </c>
      <c r="AE28" t="s">
        <v>105</v>
      </c>
      <c r="AF28">
        <v>0</v>
      </c>
      <c r="AG28" t="s">
        <v>105</v>
      </c>
      <c r="AH28">
        <v>18.477611499999998</v>
      </c>
      <c r="AI28" t="s">
        <v>105</v>
      </c>
      <c r="AJ28" t="s">
        <v>105</v>
      </c>
      <c r="AK28" t="s">
        <v>105</v>
      </c>
      <c r="AL28" t="s">
        <v>105</v>
      </c>
      <c r="AM28" t="s">
        <v>105</v>
      </c>
      <c r="AN28">
        <v>0</v>
      </c>
      <c r="AO28">
        <v>0</v>
      </c>
      <c r="AP28">
        <v>0</v>
      </c>
      <c r="AQ28">
        <v>0</v>
      </c>
      <c r="AR28" t="s">
        <v>105</v>
      </c>
      <c r="AS28" t="s">
        <v>64</v>
      </c>
      <c r="AT28" t="s">
        <v>105</v>
      </c>
      <c r="AU28" t="s">
        <v>105</v>
      </c>
      <c r="AV28" t="s">
        <v>105</v>
      </c>
      <c r="AW28" t="s">
        <v>66</v>
      </c>
      <c r="AX28" t="s">
        <v>66</v>
      </c>
      <c r="AY28" t="s">
        <v>66</v>
      </c>
    </row>
    <row r="29" spans="1:59">
      <c r="A29" t="s">
        <v>33</v>
      </c>
      <c r="B29" t="s">
        <v>575</v>
      </c>
      <c r="C29" t="s">
        <v>45</v>
      </c>
      <c r="D29" t="s">
        <v>825</v>
      </c>
      <c r="E29" t="s">
        <v>826</v>
      </c>
      <c r="F29" t="s">
        <v>827</v>
      </c>
      <c r="G29" t="s">
        <v>58</v>
      </c>
      <c r="H29">
        <v>61000000</v>
      </c>
      <c r="I29">
        <v>61000000</v>
      </c>
      <c r="J29">
        <v>100000</v>
      </c>
      <c r="K29">
        <v>100000</v>
      </c>
      <c r="L29" t="s">
        <v>85</v>
      </c>
      <c r="M29" t="s">
        <v>775</v>
      </c>
      <c r="N29">
        <v>1326000</v>
      </c>
      <c r="O29" t="s">
        <v>828</v>
      </c>
      <c r="P29" t="s">
        <v>60</v>
      </c>
      <c r="Q29" t="s">
        <v>105</v>
      </c>
      <c r="R29" t="s">
        <v>105</v>
      </c>
      <c r="S29" t="s">
        <v>105</v>
      </c>
      <c r="T29" t="s">
        <v>105</v>
      </c>
      <c r="U29" t="s">
        <v>60</v>
      </c>
      <c r="V29" t="s">
        <v>60</v>
      </c>
      <c r="W29">
        <v>0</v>
      </c>
      <c r="X29">
        <v>40.357547439999998</v>
      </c>
      <c r="Y29">
        <v>44.815219120000002</v>
      </c>
      <c r="Z29" t="s">
        <v>105</v>
      </c>
      <c r="AA29" t="s">
        <v>105</v>
      </c>
      <c r="AB29">
        <v>0</v>
      </c>
      <c r="AC29" t="s">
        <v>105</v>
      </c>
      <c r="AD29" t="s">
        <v>105</v>
      </c>
      <c r="AE29" t="s">
        <v>105</v>
      </c>
      <c r="AF29">
        <v>0</v>
      </c>
      <c r="AG29" t="s">
        <v>105</v>
      </c>
      <c r="AH29">
        <v>0</v>
      </c>
      <c r="AI29" t="s">
        <v>105</v>
      </c>
      <c r="AJ29" t="s">
        <v>105</v>
      </c>
      <c r="AK29" t="s">
        <v>105</v>
      </c>
      <c r="AL29" t="s">
        <v>105</v>
      </c>
      <c r="AM29" t="s">
        <v>105</v>
      </c>
      <c r="AN29">
        <v>0</v>
      </c>
      <c r="AO29">
        <v>0</v>
      </c>
      <c r="AP29" t="s">
        <v>829</v>
      </c>
      <c r="AQ29" t="s">
        <v>829</v>
      </c>
      <c r="AR29" t="s">
        <v>105</v>
      </c>
      <c r="AS29">
        <v>0</v>
      </c>
      <c r="AT29" t="s">
        <v>105</v>
      </c>
      <c r="AU29" t="s">
        <v>105</v>
      </c>
      <c r="AV29" t="s">
        <v>105</v>
      </c>
      <c r="AW29" t="s">
        <v>60</v>
      </c>
      <c r="AX29" t="s">
        <v>60</v>
      </c>
      <c r="AY29" t="s">
        <v>60</v>
      </c>
    </row>
    <row r="30" spans="1:59">
      <c r="A30" t="s">
        <v>33</v>
      </c>
      <c r="B30" t="s">
        <v>575</v>
      </c>
      <c r="C30" t="s">
        <v>46</v>
      </c>
      <c r="D30" t="s">
        <v>830</v>
      </c>
      <c r="E30" t="s">
        <v>831</v>
      </c>
      <c r="F30" t="s">
        <v>832</v>
      </c>
      <c r="G30" t="s">
        <v>59</v>
      </c>
      <c r="H30">
        <v>35000000</v>
      </c>
      <c r="I30">
        <v>35000000</v>
      </c>
      <c r="J30">
        <v>2540</v>
      </c>
      <c r="K30">
        <v>2540</v>
      </c>
      <c r="L30">
        <v>0.98</v>
      </c>
      <c r="M30" t="s">
        <v>775</v>
      </c>
      <c r="N30">
        <v>3816920</v>
      </c>
      <c r="O30" t="s">
        <v>833</v>
      </c>
      <c r="P30" t="s">
        <v>834</v>
      </c>
      <c r="Q30" t="s">
        <v>105</v>
      </c>
      <c r="R30" t="s">
        <v>105</v>
      </c>
      <c r="S30" t="s">
        <v>105</v>
      </c>
      <c r="T30" t="s">
        <v>105</v>
      </c>
      <c r="U30" t="s">
        <v>835</v>
      </c>
      <c r="V30" t="s">
        <v>836</v>
      </c>
      <c r="W30">
        <v>1453.7135099439997</v>
      </c>
      <c r="X30">
        <v>10.33566534</v>
      </c>
      <c r="Y30">
        <v>11.477285820000001</v>
      </c>
      <c r="Z30" t="s">
        <v>105</v>
      </c>
      <c r="AA30" t="s">
        <v>105</v>
      </c>
      <c r="AB30">
        <v>1440.3007759839998</v>
      </c>
      <c r="AC30" t="s">
        <v>105</v>
      </c>
      <c r="AD30" t="s">
        <v>105</v>
      </c>
      <c r="AE30" t="s">
        <v>105</v>
      </c>
      <c r="AF30">
        <v>0</v>
      </c>
      <c r="AG30" t="s">
        <v>105</v>
      </c>
      <c r="AH30">
        <v>13.412733960000001</v>
      </c>
      <c r="AI30" t="s">
        <v>105</v>
      </c>
      <c r="AJ30" t="s">
        <v>105</v>
      </c>
      <c r="AK30" t="s">
        <v>105</v>
      </c>
      <c r="AL30" t="s">
        <v>105</v>
      </c>
      <c r="AM30" t="s">
        <v>105</v>
      </c>
      <c r="AN30">
        <v>0</v>
      </c>
      <c r="AO30">
        <v>100</v>
      </c>
      <c r="AP30">
        <v>0</v>
      </c>
      <c r="AQ30">
        <v>2</v>
      </c>
      <c r="AR30" t="s">
        <v>105</v>
      </c>
      <c r="AS30">
        <v>0</v>
      </c>
      <c r="AT30" t="s">
        <v>105</v>
      </c>
      <c r="AU30" t="s">
        <v>105</v>
      </c>
      <c r="AV30" t="s">
        <v>105</v>
      </c>
      <c r="AW30" t="s">
        <v>837</v>
      </c>
      <c r="AX30" t="s">
        <v>838</v>
      </c>
      <c r="AY30" t="s">
        <v>839</v>
      </c>
    </row>
    <row r="31" spans="1:59">
      <c r="A31" t="s">
        <v>33</v>
      </c>
      <c r="B31" t="s">
        <v>575</v>
      </c>
      <c r="C31" t="s">
        <v>48</v>
      </c>
      <c r="D31" t="s">
        <v>842</v>
      </c>
      <c r="E31" t="s">
        <v>843</v>
      </c>
      <c r="F31" t="s">
        <v>844</v>
      </c>
      <c r="G31">
        <v>2022</v>
      </c>
      <c r="H31">
        <v>16700000</v>
      </c>
      <c r="I31">
        <v>16700000</v>
      </c>
      <c r="J31" t="s">
        <v>60</v>
      </c>
      <c r="K31" t="s">
        <v>60</v>
      </c>
      <c r="L31" t="s">
        <v>60</v>
      </c>
      <c r="M31" t="s">
        <v>775</v>
      </c>
      <c r="N31" t="s">
        <v>60</v>
      </c>
      <c r="O31" t="s">
        <v>845</v>
      </c>
      <c r="P31" t="s">
        <v>60</v>
      </c>
      <c r="Q31" t="s">
        <v>105</v>
      </c>
      <c r="R31" t="s">
        <v>105</v>
      </c>
      <c r="S31" t="s">
        <v>105</v>
      </c>
      <c r="T31" t="s">
        <v>105</v>
      </c>
      <c r="U31" t="s">
        <v>60</v>
      </c>
      <c r="V31" t="s">
        <v>60</v>
      </c>
      <c r="W31">
        <v>113.46388770635293</v>
      </c>
      <c r="X31">
        <v>0</v>
      </c>
      <c r="Y31">
        <v>0</v>
      </c>
      <c r="Z31" t="s">
        <v>105</v>
      </c>
      <c r="AA31" t="s">
        <v>105</v>
      </c>
      <c r="AB31">
        <v>93.693679199999991</v>
      </c>
      <c r="AC31" t="s">
        <v>105</v>
      </c>
      <c r="AD31" t="s">
        <v>105</v>
      </c>
      <c r="AE31" t="s">
        <v>105</v>
      </c>
      <c r="AF31">
        <v>0</v>
      </c>
      <c r="AG31" t="s">
        <v>105</v>
      </c>
      <c r="AH31">
        <v>19.77020850635294</v>
      </c>
      <c r="AI31" t="s">
        <v>105</v>
      </c>
      <c r="AJ31" t="s">
        <v>105</v>
      </c>
      <c r="AK31" t="s">
        <v>105</v>
      </c>
      <c r="AL31" t="s">
        <v>105</v>
      </c>
      <c r="AM31" t="s">
        <v>105</v>
      </c>
      <c r="AN31" t="s">
        <v>60</v>
      </c>
      <c r="AO31" t="s">
        <v>60</v>
      </c>
      <c r="AP31" t="s">
        <v>60</v>
      </c>
      <c r="AQ31" t="s">
        <v>60</v>
      </c>
      <c r="AR31" t="s">
        <v>105</v>
      </c>
      <c r="AS31" t="s">
        <v>60</v>
      </c>
      <c r="AT31" t="s">
        <v>105</v>
      </c>
      <c r="AU31" t="s">
        <v>105</v>
      </c>
      <c r="AV31" t="s">
        <v>105</v>
      </c>
      <c r="AW31" t="s">
        <v>60</v>
      </c>
      <c r="AX31" t="s">
        <v>60</v>
      </c>
      <c r="AY31" t="s">
        <v>60</v>
      </c>
    </row>
    <row r="32" spans="1:59">
      <c r="A32" t="s">
        <v>33</v>
      </c>
      <c r="B32" t="s">
        <v>575</v>
      </c>
      <c r="C32" t="s">
        <v>49</v>
      </c>
      <c r="D32" t="s">
        <v>60</v>
      </c>
      <c r="E32" t="s">
        <v>60</v>
      </c>
      <c r="F32" t="s">
        <v>60</v>
      </c>
      <c r="G32" t="s">
        <v>61</v>
      </c>
      <c r="H32">
        <v>10000000</v>
      </c>
      <c r="I32">
        <v>10000000</v>
      </c>
      <c r="J32">
        <v>40000</v>
      </c>
      <c r="K32">
        <v>40000</v>
      </c>
      <c r="L32" t="s">
        <v>60</v>
      </c>
      <c r="M32" t="s">
        <v>775</v>
      </c>
      <c r="N32" t="s">
        <v>60</v>
      </c>
      <c r="O32" t="s">
        <v>60</v>
      </c>
      <c r="P32" t="s">
        <v>60</v>
      </c>
      <c r="Q32" t="s">
        <v>105</v>
      </c>
      <c r="R32" t="s">
        <v>105</v>
      </c>
      <c r="S32" t="s">
        <v>105</v>
      </c>
      <c r="T32" t="s">
        <v>105</v>
      </c>
      <c r="U32" t="s">
        <v>60</v>
      </c>
      <c r="V32" t="s">
        <v>60</v>
      </c>
      <c r="W32">
        <v>218.21781888037893</v>
      </c>
      <c r="X32">
        <v>25.406889777829313</v>
      </c>
      <c r="Y32">
        <v>25.406889777829317</v>
      </c>
      <c r="Z32" t="s">
        <v>105</v>
      </c>
      <c r="AA32" t="s">
        <v>105</v>
      </c>
      <c r="AB32">
        <v>218.21781888037893</v>
      </c>
      <c r="AC32" t="s">
        <v>105</v>
      </c>
      <c r="AD32" t="s">
        <v>105</v>
      </c>
      <c r="AE32" t="s">
        <v>105</v>
      </c>
      <c r="AF32">
        <v>0</v>
      </c>
      <c r="AG32" t="s">
        <v>105</v>
      </c>
      <c r="AH32">
        <v>0</v>
      </c>
      <c r="AI32" t="s">
        <v>105</v>
      </c>
      <c r="AJ32" t="s">
        <v>105</v>
      </c>
      <c r="AK32" t="s">
        <v>105</v>
      </c>
      <c r="AL32" t="s">
        <v>105</v>
      </c>
      <c r="AM32" t="s">
        <v>105</v>
      </c>
      <c r="AN32" t="s">
        <v>60</v>
      </c>
      <c r="AO32" t="s">
        <v>60</v>
      </c>
      <c r="AP32" t="s">
        <v>60</v>
      </c>
      <c r="AQ32" t="s">
        <v>60</v>
      </c>
      <c r="AR32" t="s">
        <v>105</v>
      </c>
      <c r="AS32" t="s">
        <v>60</v>
      </c>
      <c r="AT32" t="s">
        <v>105</v>
      </c>
      <c r="AU32" t="s">
        <v>105</v>
      </c>
      <c r="AV32" t="s">
        <v>105</v>
      </c>
      <c r="AW32" t="s">
        <v>60</v>
      </c>
      <c r="AX32" t="s">
        <v>60</v>
      </c>
      <c r="AY32" t="s">
        <v>60</v>
      </c>
    </row>
    <row r="33" spans="1:51">
      <c r="A33" t="s">
        <v>33</v>
      </c>
      <c r="B33" t="s">
        <v>575</v>
      </c>
      <c r="C33" t="s">
        <v>50</v>
      </c>
      <c r="D33" t="s">
        <v>50</v>
      </c>
      <c r="E33" t="s">
        <v>60</v>
      </c>
      <c r="F33" t="s">
        <v>60</v>
      </c>
      <c r="G33" t="s">
        <v>62</v>
      </c>
      <c r="H33">
        <v>10000000</v>
      </c>
      <c r="I33">
        <v>10000000</v>
      </c>
      <c r="J33" t="s">
        <v>60</v>
      </c>
      <c r="K33" t="s">
        <v>60</v>
      </c>
      <c r="L33" t="s">
        <v>60</v>
      </c>
      <c r="M33" t="s">
        <v>775</v>
      </c>
      <c r="N33" t="s">
        <v>60</v>
      </c>
      <c r="O33" t="s">
        <v>60</v>
      </c>
      <c r="P33" t="s">
        <v>60</v>
      </c>
      <c r="Q33" t="s">
        <v>105</v>
      </c>
      <c r="R33" t="s">
        <v>105</v>
      </c>
      <c r="S33" t="s">
        <v>105</v>
      </c>
      <c r="T33" t="s">
        <v>105</v>
      </c>
      <c r="U33" t="s">
        <v>60</v>
      </c>
      <c r="V33" t="s">
        <v>60</v>
      </c>
      <c r="W33">
        <v>256.23645904680001</v>
      </c>
      <c r="X33">
        <v>47.236223936599998</v>
      </c>
      <c r="Y33">
        <v>52.453676211800001</v>
      </c>
      <c r="Z33" t="s">
        <v>105</v>
      </c>
      <c r="AA33" t="s">
        <v>105</v>
      </c>
      <c r="AB33">
        <v>225.78659656679997</v>
      </c>
      <c r="AC33" t="s">
        <v>105</v>
      </c>
      <c r="AD33" t="s">
        <v>105</v>
      </c>
      <c r="AE33" t="s">
        <v>105</v>
      </c>
      <c r="AF33">
        <v>0</v>
      </c>
      <c r="AG33" t="s">
        <v>105</v>
      </c>
      <c r="AH33">
        <v>30.449862479999997</v>
      </c>
      <c r="AI33" t="s">
        <v>105</v>
      </c>
      <c r="AJ33" t="s">
        <v>105</v>
      </c>
      <c r="AK33" t="s">
        <v>105</v>
      </c>
      <c r="AL33" t="s">
        <v>105</v>
      </c>
      <c r="AM33" t="s">
        <v>105</v>
      </c>
      <c r="AN33" t="s">
        <v>60</v>
      </c>
      <c r="AO33" t="s">
        <v>60</v>
      </c>
      <c r="AP33" t="s">
        <v>60</v>
      </c>
      <c r="AQ33" t="s">
        <v>60</v>
      </c>
      <c r="AR33" t="s">
        <v>105</v>
      </c>
      <c r="AS33" t="s">
        <v>60</v>
      </c>
      <c r="AT33" t="s">
        <v>105</v>
      </c>
      <c r="AU33" t="s">
        <v>105</v>
      </c>
      <c r="AV33" t="s">
        <v>105</v>
      </c>
      <c r="AW33" t="s">
        <v>60</v>
      </c>
      <c r="AX33" t="s">
        <v>60</v>
      </c>
      <c r="AY33" t="s">
        <v>60</v>
      </c>
    </row>
    <row r="34" spans="1:51">
      <c r="A34" t="s">
        <v>33</v>
      </c>
      <c r="B34" t="s">
        <v>575</v>
      </c>
      <c r="C34" t="s">
        <v>51</v>
      </c>
      <c r="D34" t="s">
        <v>846</v>
      </c>
      <c r="E34" t="s">
        <v>847</v>
      </c>
      <c r="F34" t="s">
        <v>848</v>
      </c>
      <c r="G34" t="s">
        <v>63</v>
      </c>
      <c r="H34">
        <v>16980000</v>
      </c>
      <c r="I34">
        <v>16980000</v>
      </c>
      <c r="J34">
        <v>45678</v>
      </c>
      <c r="K34">
        <v>45678</v>
      </c>
      <c r="L34" t="s">
        <v>86</v>
      </c>
      <c r="M34" t="s">
        <v>775</v>
      </c>
      <c r="N34">
        <v>1389099</v>
      </c>
      <c r="O34" t="s">
        <v>849</v>
      </c>
      <c r="P34" t="s">
        <v>850</v>
      </c>
      <c r="Q34" t="s">
        <v>105</v>
      </c>
      <c r="R34" t="s">
        <v>105</v>
      </c>
      <c r="S34" t="s">
        <v>105</v>
      </c>
      <c r="T34" t="s">
        <v>105</v>
      </c>
      <c r="U34" t="s">
        <v>851</v>
      </c>
      <c r="V34" t="s">
        <v>852</v>
      </c>
      <c r="W34">
        <v>142.14151999999999</v>
      </c>
      <c r="X34">
        <v>239.62857861999998</v>
      </c>
      <c r="Y34">
        <v>266.09662726000005</v>
      </c>
      <c r="Z34" t="s">
        <v>105</v>
      </c>
      <c r="AA34" t="s">
        <v>105</v>
      </c>
      <c r="AB34">
        <v>140.68119999999999</v>
      </c>
      <c r="AC34" t="s">
        <v>105</v>
      </c>
      <c r="AD34" t="s">
        <v>105</v>
      </c>
      <c r="AE34" t="s">
        <v>105</v>
      </c>
      <c r="AF34">
        <v>0</v>
      </c>
      <c r="AG34" t="s">
        <v>105</v>
      </c>
      <c r="AH34">
        <v>1.4603199999999998</v>
      </c>
      <c r="AI34" t="s">
        <v>105</v>
      </c>
      <c r="AJ34" t="s">
        <v>105</v>
      </c>
      <c r="AK34" t="s">
        <v>105</v>
      </c>
      <c r="AL34" t="s">
        <v>105</v>
      </c>
      <c r="AM34" t="s">
        <v>105</v>
      </c>
      <c r="AN34">
        <v>5</v>
      </c>
      <c r="AO34">
        <v>0</v>
      </c>
      <c r="AP34">
        <v>57</v>
      </c>
      <c r="AQ34">
        <v>0</v>
      </c>
      <c r="AR34" t="s">
        <v>105</v>
      </c>
      <c r="AS34">
        <v>0</v>
      </c>
      <c r="AT34" t="s">
        <v>105</v>
      </c>
      <c r="AU34" t="s">
        <v>105</v>
      </c>
      <c r="AV34" t="s">
        <v>105</v>
      </c>
      <c r="AW34" t="s">
        <v>67</v>
      </c>
      <c r="AX34" t="s">
        <v>67</v>
      </c>
      <c r="AY34" t="s">
        <v>67</v>
      </c>
    </row>
    <row r="35" spans="1:51">
      <c r="A35" t="s">
        <v>33</v>
      </c>
      <c r="B35" t="s">
        <v>575</v>
      </c>
    </row>
    <row r="37" spans="1:51">
      <c r="C37" t="s">
        <v>587</v>
      </c>
      <c r="D37">
        <v>17</v>
      </c>
    </row>
    <row r="38" spans="1:51">
      <c r="A38" t="s">
        <v>68</v>
      </c>
      <c r="B38" t="s">
        <v>853</v>
      </c>
      <c r="C38" t="s">
        <v>93</v>
      </c>
      <c r="D38" t="s">
        <v>883</v>
      </c>
      <c r="E38" t="s">
        <v>854</v>
      </c>
      <c r="F38" t="s">
        <v>855</v>
      </c>
      <c r="G38" t="s">
        <v>856</v>
      </c>
      <c r="H38" t="s">
        <v>857</v>
      </c>
      <c r="I38" t="s">
        <v>858</v>
      </c>
      <c r="J38" t="s">
        <v>942</v>
      </c>
      <c r="K38" t="s">
        <v>943</v>
      </c>
      <c r="L38" t="s">
        <v>944</v>
      </c>
    </row>
    <row r="39" spans="1:51">
      <c r="A39" t="s">
        <v>5</v>
      </c>
      <c r="B39" s="1">
        <f>_xlfn.XLOOKUP(Table17[[#This Row],[Name]],Table16[Name],Table16[Business turnover during data year (United Kingdom) (£)])</f>
        <v>108000000</v>
      </c>
      <c r="C39" t="str">
        <f>_xlfn.XLOOKUP(Table17[[#This Row],[Name]],Table16[Name],Table16[Please estimate the % depot footage dedicated to ambient storage, chilled storage and frozen storage (United Kingdom) (sq ft)])</f>
        <v/>
      </c>
      <c r="D39" s="16" t="str">
        <f>IFERROR(Table17[[#This Row],[Revenue]]/Table17[[#This Row],[Area (sq ft)]],"")</f>
        <v/>
      </c>
      <c r="E39">
        <f>_xlfn.XLOOKUP(Table17[[#This Row],[Name]],Table14[Member name],Table14[Ambient %],"")</f>
        <v>0</v>
      </c>
      <c r="F39">
        <f>_xlfn.XLOOKUP(Table17[[#This Row],[Name]],Table14[Member name],Table14[Chilled %],"")</f>
        <v>0</v>
      </c>
      <c r="G39">
        <f>_xlfn.XLOOKUP(Table17[[#This Row],[Name]],Table14[Member name],Table14[Frozen %],"")</f>
        <v>0</v>
      </c>
      <c r="H39" t="str">
        <f>IF(SUM(Table17[[#This Row],[% ambient]:[% frozen]])=1,(Table17[[#This Row],[% chilled]]+Table17[[#This Row],[% frozen]])*Table17[[#This Row],[Area (sq ft)]],"")</f>
        <v/>
      </c>
      <c r="I39" t="str">
        <f>_xlfn.XLOOKUP(Table17[[#This Row],[Name]],Table16[Name],Table16[Refrigerant leaks: Vehicles – please describe key refrigerant gases (tCO2e)])</f>
        <v/>
      </c>
      <c r="J39" t="str">
        <f>IFERROR(Table17[[#This Row],[Refridge Emissions (tCO2e)]]/Table17[[#This Row],[Fridge/frozen area (sq ft)]],"")</f>
        <v/>
      </c>
      <c r="K39" t="str">
        <f>IF(Table17[[#This Row],[Emissions per sq ft (inc 0s)]]&lt;&gt;0,Table17[[#This Row],[Emissions per sq ft (inc 0s)]],"")</f>
        <v/>
      </c>
      <c r="L39" t="e">
        <f>AVERAGE(Table17[Emissions per sq ft (exc 0s)])</f>
        <v>#DIV/0!</v>
      </c>
    </row>
    <row r="40" spans="1:51">
      <c r="A40" t="s">
        <v>6</v>
      </c>
      <c r="B40" s="1">
        <f>_xlfn.XLOOKUP(Table17[[#This Row],[Name]],Table16[Name],Table16[Business turnover during data year (United Kingdom) (£)])</f>
        <v>212000000</v>
      </c>
      <c r="C40" t="str">
        <f>_xlfn.XLOOKUP(Table17[[#This Row],[Name]],Table16[Name],Table16[Please estimate the % depot footage dedicated to ambient storage, chilled storage and frozen storage (United Kingdom) (sq ft)])</f>
        <v>60% Ambient, 30% Chilled, 10% Frozen</v>
      </c>
      <c r="D40" s="16" t="str">
        <f>IFERROR(Table17[[#This Row],[Revenue]]/Table17[[#This Row],[Area (sq ft)]],"")</f>
        <v/>
      </c>
      <c r="E40">
        <f>_xlfn.XLOOKUP(Table17[[#This Row],[Name]],Table14[Member name],Table14[Ambient %],"")</f>
        <v>0.6</v>
      </c>
      <c r="F40">
        <f>_xlfn.XLOOKUP(Table17[[#This Row],[Name]],Table14[Member name],Table14[Chilled %],"")</f>
        <v>0.3</v>
      </c>
      <c r="G40">
        <f>_xlfn.XLOOKUP(Table17[[#This Row],[Name]],Table14[Member name],Table14[Frozen %],"")</f>
        <v>0.1</v>
      </c>
      <c r="H40" t="e">
        <f>IF(SUM(Table17[[#This Row],[% ambient]:[% frozen]])=1,(Table17[[#This Row],[% chilled]]+Table17[[#This Row],[% frozen]])*Table17[[#This Row],[Area (sq ft)]],"")</f>
        <v>#VALUE!</v>
      </c>
      <c r="I40">
        <f>_xlfn.XLOOKUP(Table17[[#This Row],[Name]],Table16[Name],Table16[Refrigerant leaks: Vehicles – please describe key refrigerant gases (tCO2e)])</f>
        <v>0</v>
      </c>
      <c r="J40" t="str">
        <f>IFERROR(Table17[[#This Row],[Refridge Emissions (tCO2e)]]/Table17[[#This Row],[Fridge/frozen area (sq ft)]],"")</f>
        <v/>
      </c>
      <c r="K40" t="str">
        <f>IF(Table17[[#This Row],[Emissions per sq ft (inc 0s)]]&lt;&gt;0,Table17[[#This Row],[Emissions per sq ft (inc 0s)]],"")</f>
        <v/>
      </c>
      <c r="L40" t="e">
        <f>AVERAGE(Table17[Emissions per sq ft (exc 0s)])</f>
        <v>#DIV/0!</v>
      </c>
    </row>
    <row r="41" spans="1:51">
      <c r="A41" t="s">
        <v>7</v>
      </c>
      <c r="B41" s="1">
        <f>_xlfn.XLOOKUP(Table17[[#This Row],[Name]],Table16[Name],Table16[Business turnover during data year (United Kingdom) (£)])</f>
        <v>199212569.81999999</v>
      </c>
      <c r="C41">
        <f>_xlfn.XLOOKUP(Table17[[#This Row],[Name]],Table16[Name],Table16[Please estimate the % depot footage dedicated to ambient storage, chilled storage and frozen storage (United Kingdom) (sq ft)])</f>
        <v>1</v>
      </c>
      <c r="D41" s="16">
        <f>IFERROR(Table17[[#This Row],[Revenue]]/Table17[[#This Row],[Area (sq ft)]],"")</f>
        <v>199212569.81999999</v>
      </c>
      <c r="E41">
        <f>_xlfn.XLOOKUP(Table17[[#This Row],[Name]],Table14[Member name],Table14[Ambient %],"")</f>
        <v>0</v>
      </c>
      <c r="F41">
        <f>_xlfn.XLOOKUP(Table17[[#This Row],[Name]],Table14[Member name],Table14[Chilled %],"")</f>
        <v>0</v>
      </c>
      <c r="G41">
        <f>_xlfn.XLOOKUP(Table17[[#This Row],[Name]],Table14[Member name],Table14[Frozen %],"")</f>
        <v>0</v>
      </c>
      <c r="H41" t="str">
        <f>IF(SUM(Table17[[#This Row],[% ambient]:[% frozen]])=1,(Table17[[#This Row],[% chilled]]+Table17[[#This Row],[% frozen]])*Table17[[#This Row],[Area (sq ft)]],"")</f>
        <v/>
      </c>
      <c r="I41" t="str">
        <f>_xlfn.XLOOKUP(Table17[[#This Row],[Name]],Table16[Name],Table16[Refrigerant leaks: Vehicles – please describe key refrigerant gases (tCO2e)])</f>
        <v/>
      </c>
      <c r="J41" t="str">
        <f>IFERROR(Table17[[#This Row],[Refridge Emissions (tCO2e)]]/Table17[[#This Row],[Fridge/frozen area (sq ft)]],"")</f>
        <v/>
      </c>
      <c r="K41" t="str">
        <f>IF(Table17[[#This Row],[Emissions per sq ft (inc 0s)]]&lt;&gt;0,Table17[[#This Row],[Emissions per sq ft (inc 0s)]],"")</f>
        <v/>
      </c>
      <c r="L41" t="e">
        <f>AVERAGE(Table17[Emissions per sq ft (exc 0s)])</f>
        <v>#DIV/0!</v>
      </c>
    </row>
    <row r="42" spans="1:51">
      <c r="A42" t="s">
        <v>8</v>
      </c>
      <c r="B42" s="1">
        <f>_xlfn.XLOOKUP(Table17[[#This Row],[Name]],Table16[Name],Table16[Business turnover during data year (United Kingdom) (£)])</f>
        <v>1566971570</v>
      </c>
      <c r="C42" t="str">
        <f>_xlfn.XLOOKUP(Table17[[#This Row],[Name]],Table16[Name],Table16[Please estimate the % depot footage dedicated to ambient storage, chilled storage and frozen storage (United Kingdom) (sq ft)])</f>
        <v xml:space="preserve">Ambient c. 724,900, Chill c. 88,000, Cold c. 300,000. </v>
      </c>
      <c r="D42" s="16" t="str">
        <f>IFERROR(Table17[[#This Row],[Revenue]]/Table17[[#This Row],[Area (sq ft)]],"")</f>
        <v/>
      </c>
      <c r="E42">
        <f>_xlfn.XLOOKUP(Table17[[#This Row],[Name]],Table14[Member name],Table14[Ambient %],"")</f>
        <v>0.65136130829364725</v>
      </c>
      <c r="F42">
        <f>_xlfn.XLOOKUP(Table17[[#This Row],[Name]],Table14[Member name],Table14[Chilled %],"")</f>
        <v>7.9072692964327437E-2</v>
      </c>
      <c r="G42">
        <f>_xlfn.XLOOKUP(Table17[[#This Row],[Name]],Table14[Member name],Table14[Frozen %],"")</f>
        <v>0.26956599874202536</v>
      </c>
      <c r="H42" t="e">
        <f>IF(SUM(Table17[[#This Row],[% ambient]:[% frozen]])=1,(Table17[[#This Row],[% chilled]]+Table17[[#This Row],[% frozen]])*Table17[[#This Row],[Area (sq ft)]],"")</f>
        <v>#VALUE!</v>
      </c>
      <c r="I42">
        <f>_xlfn.XLOOKUP(Table17[[#This Row],[Name]],Table16[Name],Table16[Refrigerant leaks: Vehicles – please describe key refrigerant gases (tCO2e)])</f>
        <v>4710</v>
      </c>
      <c r="J42" t="str">
        <f>IFERROR(Table17[[#This Row],[Refridge Emissions (tCO2e)]]/Table17[[#This Row],[Fridge/frozen area (sq ft)]],"")</f>
        <v/>
      </c>
      <c r="K42" t="str">
        <f>IF(Table17[[#This Row],[Emissions per sq ft (inc 0s)]]&lt;&gt;0,Table17[[#This Row],[Emissions per sq ft (inc 0s)]],"")</f>
        <v/>
      </c>
      <c r="L42" t="e">
        <f>AVERAGE(Table17[Emissions per sq ft (exc 0s)])</f>
        <v>#DIV/0!</v>
      </c>
    </row>
    <row r="43" spans="1:51">
      <c r="A43" t="s">
        <v>9</v>
      </c>
      <c r="B43" s="1">
        <f>_xlfn.XLOOKUP(Table17[[#This Row],[Name]],Table16[Name],Table16[Business turnover during data year (United Kingdom) (£)])</f>
        <v>134125275</v>
      </c>
      <c r="C43" t="str">
        <f>_xlfn.XLOOKUP(Table17[[#This Row],[Name]],Table16[Name],Table16[Please estimate the % depot footage dedicated to ambient storage, chilled storage and frozen storage (United Kingdom) (sq ft)])</f>
        <v xml:space="preserve">50% Frozen/ 30% Ambient/20% Chilled </v>
      </c>
      <c r="D43" s="16" t="str">
        <f>IFERROR(Table17[[#This Row],[Revenue]]/Table17[[#This Row],[Area (sq ft)]],"")</f>
        <v/>
      </c>
      <c r="E43">
        <f>_xlfn.XLOOKUP(Table17[[#This Row],[Name]],Table14[Member name],Table14[Ambient %],"")</f>
        <v>0.3</v>
      </c>
      <c r="F43">
        <f>_xlfn.XLOOKUP(Table17[[#This Row],[Name]],Table14[Member name],Table14[Chilled %],"")</f>
        <v>0.2</v>
      </c>
      <c r="G43">
        <f>_xlfn.XLOOKUP(Table17[[#This Row],[Name]],Table14[Member name],Table14[Frozen %],"")</f>
        <v>0.5</v>
      </c>
      <c r="H43" t="e">
        <f>IF(SUM(Table17[[#This Row],[% ambient]:[% frozen]])=1,(Table17[[#This Row],[% chilled]]+Table17[[#This Row],[% frozen]])*Table17[[#This Row],[Area (sq ft)]],"")</f>
        <v>#VALUE!</v>
      </c>
      <c r="I43" t="str">
        <f>_xlfn.XLOOKUP(Table17[[#This Row],[Name]],Table16[Name],Table16[Refrigerant leaks: Vehicles – please describe key refrigerant gases (tCO2e)])</f>
        <v/>
      </c>
      <c r="J43" t="str">
        <f>IFERROR(Table17[[#This Row],[Refridge Emissions (tCO2e)]]/Table17[[#This Row],[Fridge/frozen area (sq ft)]],"")</f>
        <v/>
      </c>
      <c r="K43" t="str">
        <f>IF(Table17[[#This Row],[Emissions per sq ft (inc 0s)]]&lt;&gt;0,Table17[[#This Row],[Emissions per sq ft (inc 0s)]],"")</f>
        <v/>
      </c>
      <c r="L43" t="e">
        <f>AVERAGE(Table17[Emissions per sq ft (exc 0s)])</f>
        <v>#DIV/0!</v>
      </c>
    </row>
    <row r="44" spans="1:51">
      <c r="A44" t="s">
        <v>10</v>
      </c>
      <c r="B44" s="1">
        <f>_xlfn.XLOOKUP(Table17[[#This Row],[Name]],Table16[Name],Table16[Business turnover during data year (United Kingdom) (£)])</f>
        <v>1189000000</v>
      </c>
      <c r="D44" s="16" t="str">
        <f>IFERROR(Table17[[#This Row],[Revenue]]/Table17[[#This Row],[Area (sq ft)]],"")</f>
        <v/>
      </c>
      <c r="E44">
        <f>_xlfn.XLOOKUP(Table17[[#This Row],[Name]],Table14[Member name],Table14[Ambient %],"")</f>
        <v>0</v>
      </c>
      <c r="F44">
        <f>_xlfn.XLOOKUP(Table17[[#This Row],[Name]],Table14[Member name],Table14[Chilled %],"")</f>
        <v>0</v>
      </c>
      <c r="G44">
        <f>_xlfn.XLOOKUP(Table17[[#This Row],[Name]],Table14[Member name],Table14[Frozen %],"")</f>
        <v>0</v>
      </c>
      <c r="H44" t="str">
        <f>IF(SUM(Table17[[#This Row],[% ambient]:[% frozen]])=1,(Table17[[#This Row],[% chilled]]+Table17[[#This Row],[% frozen]])*Table17[[#This Row],[Area (sq ft)]],"")</f>
        <v/>
      </c>
      <c r="I44" t="str">
        <f>_xlfn.XLOOKUP(Table17[[#This Row],[Name]],Table16[Name],Table16[Refrigerant leaks: Vehicles – please describe key refrigerant gases (tCO2e)])</f>
        <v/>
      </c>
      <c r="J44" t="str">
        <f>IFERROR(Table17[[#This Row],[Refridge Emissions (tCO2e)]]/Table17[[#This Row],[Fridge/frozen area (sq ft)]],"")</f>
        <v/>
      </c>
      <c r="K44" t="str">
        <f>IF(Table17[[#This Row],[Emissions per sq ft (inc 0s)]]&lt;&gt;0,Table17[[#This Row],[Emissions per sq ft (inc 0s)]],"")</f>
        <v/>
      </c>
      <c r="L44" t="e">
        <f>AVERAGE(Table17[Emissions per sq ft (exc 0s)])</f>
        <v>#DIV/0!</v>
      </c>
    </row>
    <row r="45" spans="1:51">
      <c r="A45" t="s">
        <v>11</v>
      </c>
      <c r="B45" s="1">
        <f>_xlfn.XLOOKUP(Table17[[#This Row],[Name]],Table16[Name],Table16[Business turnover during data year (United Kingdom) (£)])</f>
        <v>38962756.240000002</v>
      </c>
      <c r="C45" t="str">
        <f>_xlfn.XLOOKUP(Table17[[#This Row],[Name]],Table16[Name],Table16[Please estimate the % depot footage dedicated to ambient storage, chilled storage and frozen storage (United Kingdom) (sq ft)])</f>
        <v>40% Ambient Storage 20% Chilled Storage 40% Frozen Storage</v>
      </c>
      <c r="D45" s="16" t="str">
        <f>IFERROR(Table17[[#This Row],[Revenue]]/Table17[[#This Row],[Area (sq ft)]],"")</f>
        <v/>
      </c>
      <c r="E45">
        <f>_xlfn.XLOOKUP(Table17[[#This Row],[Name]],Table14[Member name],Table14[Ambient %],"")</f>
        <v>0.4</v>
      </c>
      <c r="F45">
        <f>_xlfn.XLOOKUP(Table17[[#This Row],[Name]],Table14[Member name],Table14[Chilled %],"")</f>
        <v>0.2</v>
      </c>
      <c r="G45">
        <f>_xlfn.XLOOKUP(Table17[[#This Row],[Name]],Table14[Member name],Table14[Frozen %],"")</f>
        <v>0.4</v>
      </c>
      <c r="H45" t="e">
        <f>IF(SUM(Table17[[#This Row],[% ambient]:[% frozen]])=1,(Table17[[#This Row],[% chilled]]+Table17[[#This Row],[% frozen]])*Table17[[#This Row],[Area (sq ft)]],"")</f>
        <v>#VALUE!</v>
      </c>
      <c r="I45">
        <f>_xlfn.XLOOKUP(Table17[[#This Row],[Name]],Table16[Name],Table16[Refrigerant leaks: Vehicles – please describe key refrigerant gases (tCO2e)])</f>
        <v>0</v>
      </c>
      <c r="J45" t="str">
        <f>IFERROR(Table17[[#This Row],[Refridge Emissions (tCO2e)]]/Table17[[#This Row],[Fridge/frozen area (sq ft)]],"")</f>
        <v/>
      </c>
      <c r="K45" t="str">
        <f>IF(Table17[[#This Row],[Emissions per sq ft (inc 0s)]]&lt;&gt;0,Table17[[#This Row],[Emissions per sq ft (inc 0s)]],"")</f>
        <v/>
      </c>
      <c r="L45" t="e">
        <f>AVERAGE(Table17[Emissions per sq ft (exc 0s)])</f>
        <v>#DIV/0!</v>
      </c>
    </row>
    <row r="46" spans="1:51">
      <c r="A46" t="s">
        <v>12</v>
      </c>
      <c r="B46" s="1">
        <f>_xlfn.XLOOKUP(Table17[[#This Row],[Name]],Table16[Name],Table16[Business turnover during data year (United Kingdom) (£)])</f>
        <v>9513158</v>
      </c>
      <c r="C46" t="str">
        <f>_xlfn.XLOOKUP(Table17[[#This Row],[Name]],Table16[Name],Table16[Please estimate the % depot footage dedicated to ambient storage, chilled storage and frozen storage (United Kingdom) (sq ft)])</f>
        <v>40% Ambient 5% Chilled 55% Frozen</v>
      </c>
      <c r="D46" s="16" t="str">
        <f>IFERROR(Table17[[#This Row],[Revenue]]/Table17[[#This Row],[Area (sq ft)]],"")</f>
        <v/>
      </c>
      <c r="E46">
        <f>_xlfn.XLOOKUP(Table17[[#This Row],[Name]],Table14[Member name],Table14[Ambient %],"")</f>
        <v>0.4</v>
      </c>
      <c r="F46">
        <f>_xlfn.XLOOKUP(Table17[[#This Row],[Name]],Table14[Member name],Table14[Chilled %],"")</f>
        <v>0.05</v>
      </c>
      <c r="G46">
        <f>_xlfn.XLOOKUP(Table17[[#This Row],[Name]],Table14[Member name],Table14[Frozen %],"")</f>
        <v>0.55000000000000004</v>
      </c>
      <c r="H46" t="e">
        <f>IF(SUM(Table17[[#This Row],[% ambient]:[% frozen]])=1,(Table17[[#This Row],[% chilled]]+Table17[[#This Row],[% frozen]])*Table17[[#This Row],[Area (sq ft)]],"")</f>
        <v>#VALUE!</v>
      </c>
      <c r="I46" t="str">
        <f>_xlfn.XLOOKUP(Table17[[#This Row],[Name]],Table16[Name],Table16[Refrigerant leaks: Vehicles – please describe key refrigerant gases (tCO2e)])</f>
        <v>NA</v>
      </c>
      <c r="J46" t="str">
        <f>IFERROR(Table17[[#This Row],[Refridge Emissions (tCO2e)]]/Table17[[#This Row],[Fridge/frozen area (sq ft)]],"")</f>
        <v/>
      </c>
      <c r="K46" t="str">
        <f>IF(Table17[[#This Row],[Emissions per sq ft (inc 0s)]]&lt;&gt;0,Table17[[#This Row],[Emissions per sq ft (inc 0s)]],"")</f>
        <v/>
      </c>
      <c r="L46" t="e">
        <f>AVERAGE(Table17[Emissions per sq ft (exc 0s)])</f>
        <v>#DIV/0!</v>
      </c>
    </row>
    <row r="47" spans="1:51">
      <c r="A47" t="s">
        <v>13</v>
      </c>
      <c r="B47" s="1">
        <f>_xlfn.XLOOKUP(Table17[[#This Row],[Name]],Table16[Name],Table16[Business turnover during data year (United Kingdom) (£)])</f>
        <v>7800000000</v>
      </c>
      <c r="C47" t="str">
        <f>_xlfn.XLOOKUP(Table17[[#This Row],[Name]],Table16[Name],Table16[Please estimate the % depot footage dedicated to ambient storage, chilled storage and frozen storage (United Kingdom) (sq ft)])</f>
        <v/>
      </c>
      <c r="D47" s="16" t="str">
        <f>IFERROR(Table17[[#This Row],[Revenue]]/Table17[[#This Row],[Area (sq ft)]],"")</f>
        <v/>
      </c>
      <c r="E47">
        <f>_xlfn.XLOOKUP(Table17[[#This Row],[Name]],Table14[Member name],Table14[Ambient %],"")</f>
        <v>0</v>
      </c>
      <c r="F47">
        <f>_xlfn.XLOOKUP(Table17[[#This Row],[Name]],Table14[Member name],Table14[Chilled %],"")</f>
        <v>0</v>
      </c>
      <c r="G47">
        <f>_xlfn.XLOOKUP(Table17[[#This Row],[Name]],Table14[Member name],Table14[Frozen %],"")</f>
        <v>0</v>
      </c>
      <c r="H47" t="str">
        <f>IF(SUM(Table17[[#This Row],[% ambient]:[% frozen]])=1,(Table17[[#This Row],[% chilled]]+Table17[[#This Row],[% frozen]])*Table17[[#This Row],[Area (sq ft)]],"")</f>
        <v/>
      </c>
      <c r="I47" t="str">
        <f>_xlfn.XLOOKUP(Table17[[#This Row],[Name]],Table16[Name],Table16[Refrigerant leaks: Vehicles – please describe key refrigerant gases (tCO2e)])</f>
        <v/>
      </c>
      <c r="J47" t="str">
        <f>IFERROR(Table17[[#This Row],[Refridge Emissions (tCO2e)]]/Table17[[#This Row],[Fridge/frozen area (sq ft)]],"")</f>
        <v/>
      </c>
      <c r="K47" t="str">
        <f>IF(Table17[[#This Row],[Emissions per sq ft (inc 0s)]]&lt;&gt;0,Table17[[#This Row],[Emissions per sq ft (inc 0s)]],"")</f>
        <v/>
      </c>
      <c r="L47" t="e">
        <f>AVERAGE(Table17[Emissions per sq ft (exc 0s)])</f>
        <v>#DIV/0!</v>
      </c>
    </row>
    <row r="48" spans="1:51">
      <c r="A48" t="s">
        <v>14</v>
      </c>
      <c r="B48" s="1">
        <f>_xlfn.XLOOKUP(Table17[[#This Row],[Name]],Table16[Name],Table16[Business turnover during data year (United Kingdom) (£)])</f>
        <v>1286000000</v>
      </c>
      <c r="C48" t="str">
        <f>_xlfn.XLOOKUP(Table17[[#This Row],[Name]],Table16[Name],Table16[Please estimate the % depot footage dedicated to ambient storage, chilled storage and frozen storage (United Kingdom) (sq ft)])</f>
        <v>25% Ambient, 35% Chillled, 40% frozen</v>
      </c>
      <c r="D48" s="16" t="str">
        <f>IFERROR(Table17[[#This Row],[Revenue]]/Table17[[#This Row],[Area (sq ft)]],"")</f>
        <v/>
      </c>
      <c r="E48">
        <f>_xlfn.XLOOKUP(Table17[[#This Row],[Name]],Table14[Member name],Table14[Ambient %],"")</f>
        <v>0.25</v>
      </c>
      <c r="F48">
        <f>_xlfn.XLOOKUP(Table17[[#This Row],[Name]],Table14[Member name],Table14[Chilled %],"")</f>
        <v>0.35</v>
      </c>
      <c r="G48">
        <f>_xlfn.XLOOKUP(Table17[[#This Row],[Name]],Table14[Member name],Table14[Frozen %],"")</f>
        <v>0.4</v>
      </c>
      <c r="H48" t="e">
        <f>IF(SUM(Table17[[#This Row],[% ambient]:[% frozen]])=1,(Table17[[#This Row],[% chilled]]+Table17[[#This Row],[% frozen]])*Table17[[#This Row],[Area (sq ft)]],"")</f>
        <v>#VALUE!</v>
      </c>
      <c r="I48">
        <f>_xlfn.XLOOKUP(Table17[[#This Row],[Name]],Table16[Name],Table16[Refrigerant leaks: Vehicles – please describe key refrigerant gases (tCO2e)])</f>
        <v>2844</v>
      </c>
      <c r="J48" t="str">
        <f>IFERROR(Table17[[#This Row],[Refridge Emissions (tCO2e)]]/Table17[[#This Row],[Fridge/frozen area (sq ft)]],"")</f>
        <v/>
      </c>
      <c r="K48" t="str">
        <f>IF(Table17[[#This Row],[Emissions per sq ft (inc 0s)]]&lt;&gt;0,Table17[[#This Row],[Emissions per sq ft (inc 0s)]],"")</f>
        <v/>
      </c>
      <c r="L48" t="e">
        <f>AVERAGE(Table17[Emissions per sq ft (exc 0s)])</f>
        <v>#DIV/0!</v>
      </c>
    </row>
    <row r="49" spans="1:12">
      <c r="A49" t="s">
        <v>15</v>
      </c>
      <c r="B49" s="1">
        <f>_xlfn.XLOOKUP(Table17[[#This Row],[Name]],Table16[Name],Table16[Business turnover during data year (United Kingdom) (£)])</f>
        <v>3500000000</v>
      </c>
      <c r="D49" s="16" t="str">
        <f>IFERROR(Table17[[#This Row],[Revenue]]/Table17[[#This Row],[Area (sq ft)]],"")</f>
        <v/>
      </c>
      <c r="E49">
        <f>_xlfn.XLOOKUP(Table17[[#This Row],[Name]],Table14[Member name],Table14[Ambient %],"")</f>
        <v>0</v>
      </c>
      <c r="F49">
        <f>_xlfn.XLOOKUP(Table17[[#This Row],[Name]],Table14[Member name],Table14[Chilled %],"")</f>
        <v>0</v>
      </c>
      <c r="G49">
        <f>_xlfn.XLOOKUP(Table17[[#This Row],[Name]],Table14[Member name],Table14[Frozen %],"")</f>
        <v>0</v>
      </c>
      <c r="H49" t="str">
        <f>IF(SUM(Table17[[#This Row],[% ambient]:[% frozen]])=1,(Table17[[#This Row],[% chilled]]+Table17[[#This Row],[% frozen]])*Table17[[#This Row],[Area (sq ft)]],"")</f>
        <v/>
      </c>
      <c r="I49" t="str">
        <f>_xlfn.XLOOKUP(Table17[[#This Row],[Name]],Table16[Name],Table16[Refrigerant leaks: Vehicles – please describe key refrigerant gases (tCO2e)])</f>
        <v/>
      </c>
      <c r="J49" t="str">
        <f>IFERROR(Table17[[#This Row],[Refridge Emissions (tCO2e)]]/Table17[[#This Row],[Fridge/frozen area (sq ft)]],"")</f>
        <v/>
      </c>
      <c r="K49" t="str">
        <f>IF(Table17[[#This Row],[Emissions per sq ft (inc 0s)]]&lt;&gt;0,Table17[[#This Row],[Emissions per sq ft (inc 0s)]],"")</f>
        <v/>
      </c>
      <c r="L49" t="e">
        <f>AVERAGE(Table17[Emissions per sq ft (exc 0s)])</f>
        <v>#DIV/0!</v>
      </c>
    </row>
    <row r="50" spans="1:12">
      <c r="A50" t="s">
        <v>87</v>
      </c>
      <c r="B50" s="1">
        <f>_xlfn.XLOOKUP(Table17[[#This Row],[Name]],Table16[Name],Table16[Business turnover during data year (United Kingdom) (£)])</f>
        <v>0</v>
      </c>
      <c r="D50" s="16" t="str">
        <f>IFERROR(Table17[[#This Row],[Revenue]]/Table17[[#This Row],[Area (sq ft)]],"")</f>
        <v/>
      </c>
      <c r="E50">
        <f>_xlfn.XLOOKUP(Table17[[#This Row],[Name]],Table14[Member name],Table14[Ambient %],"")</f>
        <v>0</v>
      </c>
      <c r="F50">
        <f>_xlfn.XLOOKUP(Table17[[#This Row],[Name]],Table14[Member name],Table14[Chilled %],"")</f>
        <v>0</v>
      </c>
      <c r="G50">
        <f>_xlfn.XLOOKUP(Table17[[#This Row],[Name]],Table14[Member name],Table14[Frozen %],"")</f>
        <v>0</v>
      </c>
      <c r="H50" t="str">
        <f>IF(SUM(Table17[[#This Row],[% ambient]:[% frozen]])=1,(Table17[[#This Row],[% chilled]]+Table17[[#This Row],[% frozen]])*Table17[[#This Row],[Area (sq ft)]],"")</f>
        <v/>
      </c>
      <c r="I50">
        <f>_xlfn.XLOOKUP(Table17[[#This Row],[Name]],Table16[Name],Table16[Refrigerant leaks: Vehicles – please describe key refrigerant gases (tCO2e)])</f>
        <v>0</v>
      </c>
      <c r="J50" t="str">
        <f>IFERROR(Table17[[#This Row],[Refridge Emissions (tCO2e)]]/Table17[[#This Row],[Fridge/frozen area (sq ft)]],"")</f>
        <v/>
      </c>
      <c r="K50" t="str">
        <f>IF(Table17[[#This Row],[Emissions per sq ft (inc 0s)]]&lt;&gt;0,Table17[[#This Row],[Emissions per sq ft (inc 0s)]],"")</f>
        <v/>
      </c>
      <c r="L50" t="e">
        <f>AVERAGE(Table17[Emissions per sq ft (exc 0s)])</f>
        <v>#DIV/0!</v>
      </c>
    </row>
    <row r="51" spans="1:12">
      <c r="A51" t="s">
        <v>88</v>
      </c>
      <c r="B51" s="1">
        <f>_xlfn.XLOOKUP(Table17[[#This Row],[Name]],Table16[Name],Table16[Business turnover during data year (United Kingdom) (£)])</f>
        <v>0</v>
      </c>
      <c r="D51" s="16" t="str">
        <f>IFERROR(Table17[[#This Row],[Revenue]]/Table17[[#This Row],[Area (sq ft)]],"")</f>
        <v/>
      </c>
      <c r="E51">
        <f>_xlfn.XLOOKUP(Table17[[#This Row],[Name]],Table14[Member name],Table14[Ambient %],"")</f>
        <v>0</v>
      </c>
      <c r="F51">
        <f>_xlfn.XLOOKUP(Table17[[#This Row],[Name]],Table14[Member name],Table14[Chilled %],"")</f>
        <v>0</v>
      </c>
      <c r="G51">
        <f>_xlfn.XLOOKUP(Table17[[#This Row],[Name]],Table14[Member name],Table14[Frozen %],"")</f>
        <v>0</v>
      </c>
      <c r="H51" t="str">
        <f>IF(SUM(Table17[[#This Row],[% ambient]:[% frozen]])=1,(Table17[[#This Row],[% chilled]]+Table17[[#This Row],[% frozen]])*Table17[[#This Row],[Area (sq ft)]],"")</f>
        <v/>
      </c>
      <c r="I51">
        <f>_xlfn.XLOOKUP(Table17[[#This Row],[Name]],Table16[Name],Table16[Refrigerant leaks: Vehicles – please describe key refrigerant gases (tCO2e)])</f>
        <v>0</v>
      </c>
      <c r="J51" t="str">
        <f>IFERROR(Table17[[#This Row],[Refridge Emissions (tCO2e)]]/Table17[[#This Row],[Fridge/frozen area (sq ft)]],"")</f>
        <v/>
      </c>
      <c r="K51" t="str">
        <f>IF(Table17[[#This Row],[Emissions per sq ft (inc 0s)]]&lt;&gt;0,Table17[[#This Row],[Emissions per sq ft (inc 0s)]],"")</f>
        <v/>
      </c>
      <c r="L51" t="e">
        <f>AVERAGE(Table17[Emissions per sq ft (exc 0s)])</f>
        <v>#DIV/0!</v>
      </c>
    </row>
    <row r="52" spans="1:12">
      <c r="A52" t="s">
        <v>16</v>
      </c>
      <c r="B52" s="1">
        <f>_xlfn.XLOOKUP(Table17[[#This Row],[Name]],Table16[Name],Table16[Business turnover during data year (United Kingdom) (£)])</f>
        <v>503628078.45999998</v>
      </c>
      <c r="C52" t="str">
        <f>_xlfn.XLOOKUP(Table17[[#This Row],[Name]],Table16[Name],Table16[Please estimate the % depot footage dedicated to ambient storage, chilled storage and frozen storage (United Kingdom) (sq ft)])</f>
        <v>200,000 Frozen. 75,000 chilled, 375,000 ambient</v>
      </c>
      <c r="D52" s="16" t="str">
        <f>IFERROR(Table17[[#This Row],[Revenue]]/Table17[[#This Row],[Area (sq ft)]],"")</f>
        <v/>
      </c>
      <c r="E52">
        <f>_xlfn.XLOOKUP(Table17[[#This Row],[Name]],Table14[Member name],Table14[Ambient %],"")</f>
        <v>0.57692307692307687</v>
      </c>
      <c r="F52">
        <f>_xlfn.XLOOKUP(Table17[[#This Row],[Name]],Table14[Member name],Table14[Chilled %],"")</f>
        <v>0.11538461538461539</v>
      </c>
      <c r="G52">
        <f>_xlfn.XLOOKUP(Table17[[#This Row],[Name]],Table14[Member name],Table14[Frozen %],"")</f>
        <v>0.30769230769230771</v>
      </c>
      <c r="H52" t="e">
        <f>IF(SUM(Table17[[#This Row],[% ambient]:[% frozen]])=1,(Table17[[#This Row],[% chilled]]+Table17[[#This Row],[% frozen]])*Table17[[#This Row],[Area (sq ft)]],"")</f>
        <v>#VALUE!</v>
      </c>
      <c r="I52" t="str">
        <f>_xlfn.XLOOKUP(Table17[[#This Row],[Name]],Table16[Name],Table16[Refrigerant leaks: Vehicles – please describe key refrigerant gases (tCO2e)])</f>
        <v/>
      </c>
      <c r="J52" t="str">
        <f>IFERROR(Table17[[#This Row],[Refridge Emissions (tCO2e)]]/Table17[[#This Row],[Fridge/frozen area (sq ft)]],"")</f>
        <v/>
      </c>
      <c r="K52" t="str">
        <f>IF(Table17[[#This Row],[Emissions per sq ft (inc 0s)]]&lt;&gt;0,Table17[[#This Row],[Emissions per sq ft (inc 0s)]],"")</f>
        <v/>
      </c>
      <c r="L52" t="e">
        <f>AVERAGE(Table17[Emissions per sq ft (exc 0s)])</f>
        <v>#DIV/0!</v>
      </c>
    </row>
    <row r="53" spans="1:12">
      <c r="A53" t="s">
        <v>89</v>
      </c>
      <c r="B53" s="1">
        <f>_xlfn.XLOOKUP(Table17[[#This Row],[Name]],Table16[Name],Table16[Business turnover during data year (United Kingdom) (£)])</f>
        <v>2940601000</v>
      </c>
      <c r="C53" t="str">
        <f>_xlfn.XLOOKUP(Table17[[#This Row],[Name]],Table16[Name],Table16[Please estimate the % depot footage dedicated to ambient storage, chilled storage and frozen storage (United Kingdom) (sq ft)])</f>
        <v>5% Chilled, 5% frozen 90% ambient</v>
      </c>
      <c r="D53" s="16" t="str">
        <f>IFERROR(Table17[[#This Row],[Revenue]]/Table17[[#This Row],[Area (sq ft)]],"")</f>
        <v/>
      </c>
      <c r="E53">
        <f>_xlfn.XLOOKUP(Table17[[#This Row],[Name]],Table14[Member name],Table14[Ambient %],"")</f>
        <v>0.9</v>
      </c>
      <c r="F53">
        <f>_xlfn.XLOOKUP(Table17[[#This Row],[Name]],Table14[Member name],Table14[Chilled %],"")</f>
        <v>0.05</v>
      </c>
      <c r="G53">
        <f>_xlfn.XLOOKUP(Table17[[#This Row],[Name]],Table14[Member name],Table14[Frozen %],"")</f>
        <v>0.05</v>
      </c>
      <c r="H53" t="e">
        <f>IF(SUM(Table17[[#This Row],[% ambient]:[% frozen]])=1,(Table17[[#This Row],[% chilled]]+Table17[[#This Row],[% frozen]])*Table17[[#This Row],[Area (sq ft)]],"")</f>
        <v>#VALUE!</v>
      </c>
      <c r="I53">
        <f>_xlfn.XLOOKUP(Table17[[#This Row],[Name]],Table16[Name],Table16[Refrigerant leaks: Vehicles – please describe key refrigerant gases (tCO2e)])</f>
        <v>0</v>
      </c>
      <c r="J53" t="str">
        <f>IFERROR(Table17[[#This Row],[Refridge Emissions (tCO2e)]]/Table17[[#This Row],[Fridge/frozen area (sq ft)]],"")</f>
        <v/>
      </c>
      <c r="K53" t="str">
        <f>IF(Table17[[#This Row],[Emissions per sq ft (inc 0s)]]&lt;&gt;0,Table17[[#This Row],[Emissions per sq ft (inc 0s)]],"")</f>
        <v/>
      </c>
      <c r="L53" t="e">
        <f>AVERAGE(Table17[Emissions per sq ft (exc 0s)])</f>
        <v>#DIV/0!</v>
      </c>
    </row>
    <row r="54" spans="1:12">
      <c r="A54" t="s">
        <v>17</v>
      </c>
      <c r="B54" s="1">
        <f>_xlfn.XLOOKUP(Table17[[#This Row],[Name]],Table16[Name],Table16[Business turnover during data year (United Kingdom) (£)])</f>
        <v>270000000</v>
      </c>
      <c r="C54" t="str">
        <f>_xlfn.XLOOKUP(Table17[[#This Row],[Name]],Table16[Name],Table16[Please estimate the % depot footage dedicated to ambient storage, chilled storage and frozen storage (United Kingdom) (sq ft)])</f>
        <v>56.5% ambient storage, 12.5% chilled storage, 31% frozen storage.</v>
      </c>
      <c r="D54" s="16" t="str">
        <f>IFERROR(Table17[[#This Row],[Revenue]]/Table17[[#This Row],[Area (sq ft)]],"")</f>
        <v/>
      </c>
      <c r="E54">
        <f>_xlfn.XLOOKUP(Table17[[#This Row],[Name]],Table14[Member name],Table14[Ambient %],"")</f>
        <v>0.56499999999999995</v>
      </c>
      <c r="F54">
        <f>_xlfn.XLOOKUP(Table17[[#This Row],[Name]],Table14[Member name],Table14[Chilled %],"")</f>
        <v>0.125</v>
      </c>
      <c r="G54">
        <f>_xlfn.XLOOKUP(Table17[[#This Row],[Name]],Table14[Member name],Table14[Frozen %],"")</f>
        <v>0.31</v>
      </c>
      <c r="H54" t="e">
        <f>IF(SUM(Table17[[#This Row],[% ambient]:[% frozen]])=1,(Table17[[#This Row],[% chilled]]+Table17[[#This Row],[% frozen]])*Table17[[#This Row],[Area (sq ft)]],"")</f>
        <v>#VALUE!</v>
      </c>
      <c r="I54" t="str">
        <f>_xlfn.XLOOKUP(Table17[[#This Row],[Name]],Table16[Name],Table16[Refrigerant leaks: Vehicles – please describe key refrigerant gases (tCO2e)])</f>
        <v xml:space="preserve">Vehicles are about 1.4L R404A </v>
      </c>
      <c r="J54" t="str">
        <f>IFERROR(Table17[[#This Row],[Refridge Emissions (tCO2e)]]/Table17[[#This Row],[Fridge/frozen area (sq ft)]],"")</f>
        <v/>
      </c>
      <c r="K54" t="str">
        <f>IF(Table17[[#This Row],[Emissions per sq ft (inc 0s)]]&lt;&gt;0,Table17[[#This Row],[Emissions per sq ft (inc 0s)]],"")</f>
        <v/>
      </c>
      <c r="L54" t="e">
        <f>AVERAGE(Table17[Emissions per sq ft (exc 0s)])</f>
        <v>#DIV/0!</v>
      </c>
    </row>
    <row r="55" spans="1:12">
      <c r="A55" t="s">
        <v>32</v>
      </c>
      <c r="B55" s="1">
        <f>_xlfn.XLOOKUP(Table17[[#This Row],[Name]],Table16[Name],Table16[Business turnover during data year (United Kingdom) (£)])</f>
        <v>158000000</v>
      </c>
      <c r="C55" t="str">
        <f>_xlfn.XLOOKUP(Table17[[#This Row],[Name]],Table16[Name],Table16[Please estimate the % depot footage dedicated to ambient storage, chilled storage and frozen storage (United Kingdom) (sq ft)])</f>
        <v/>
      </c>
      <c r="D55" s="16" t="str">
        <f>IFERROR(Table17[[#This Row],[Revenue]]/Table17[[#This Row],[Area (sq ft)]],"")</f>
        <v/>
      </c>
      <c r="E55">
        <f>_xlfn.XLOOKUP(Table17[[#This Row],[Name]],Table14[Member name],Table14[Ambient %],"")</f>
        <v>0</v>
      </c>
      <c r="F55">
        <f>_xlfn.XLOOKUP(Table17[[#This Row],[Name]],Table14[Member name],Table14[Chilled %],"")</f>
        <v>0</v>
      </c>
      <c r="G55">
        <f>_xlfn.XLOOKUP(Table17[[#This Row],[Name]],Table14[Member name],Table14[Frozen %],"")</f>
        <v>0</v>
      </c>
      <c r="H55" t="str">
        <f>IF(SUM(Table17[[#This Row],[% ambient]:[% frozen]])=1,(Table17[[#This Row],[% chilled]]+Table17[[#This Row],[% frozen]])*Table17[[#This Row],[Area (sq ft)]],"")</f>
        <v/>
      </c>
      <c r="I55" t="str">
        <f>_xlfn.XLOOKUP(Table17[[#This Row],[Name]],Table16[Name],Table16[Refrigerant leaks: Vehicles – please describe key refrigerant gases (tCO2e)])</f>
        <v/>
      </c>
      <c r="J55" t="str">
        <f>IFERROR(Table17[[#This Row],[Refridge Emissions (tCO2e)]]/Table17[[#This Row],[Fridge/frozen area (sq ft)]],"")</f>
        <v/>
      </c>
      <c r="K55" t="str">
        <f>IF(Table17[[#This Row],[Emissions per sq ft (inc 0s)]]&lt;&gt;0,Table17[[#This Row],[Emissions per sq ft (inc 0s)]],"")</f>
        <v/>
      </c>
      <c r="L55" t="e">
        <f>AVERAGE(Table17[Emissions per sq ft (exc 0s)])</f>
        <v>#DIV/0!</v>
      </c>
    </row>
    <row r="56" spans="1:12">
      <c r="A56" t="s">
        <v>34</v>
      </c>
      <c r="B56" s="1">
        <f>_xlfn.XLOOKUP(Table17[[#This Row],[Name]],Table16[Name],Table16[Business turnover during data year (United Kingdom) (£)])</f>
        <v>274562218</v>
      </c>
      <c r="C56" t="str">
        <f>_xlfn.XLOOKUP(Table17[[#This Row],[Name]],Table16[Name],Table16[Please estimate the % depot footage dedicated to ambient storage, chilled storage and frozen storage (United Kingdom) (sq ft)])</f>
        <v>90% Ambient, 5% Chilled, 5% Frozen</v>
      </c>
      <c r="D56" s="16" t="str">
        <f>IFERROR(Table17[[#This Row],[Revenue]]/Table17[[#This Row],[Area (sq ft)]],"")</f>
        <v/>
      </c>
      <c r="E56">
        <f>_xlfn.XLOOKUP(Table17[[#This Row],[Name]],Table14[Member name],Table14[Ambient %],"")</f>
        <v>0.9</v>
      </c>
      <c r="F56">
        <f>_xlfn.XLOOKUP(Table17[[#This Row],[Name]],Table14[Member name],Table14[Chilled %],"")</f>
        <v>0.05</v>
      </c>
      <c r="G56">
        <f>_xlfn.XLOOKUP(Table17[[#This Row],[Name]],Table14[Member name],Table14[Frozen %],"")</f>
        <v>0.05</v>
      </c>
      <c r="H56" t="e">
        <f>IF(SUM(Table17[[#This Row],[% ambient]:[% frozen]])=1,(Table17[[#This Row],[% chilled]]+Table17[[#This Row],[% frozen]])*Table17[[#This Row],[Area (sq ft)]],"")</f>
        <v>#VALUE!</v>
      </c>
      <c r="I56">
        <f>_xlfn.XLOOKUP(Table17[[#This Row],[Name]],Table16[Name],Table16[Refrigerant leaks: Vehicles – please describe key refrigerant gases (tCO2e)])</f>
        <v>0</v>
      </c>
      <c r="J56" t="str">
        <f>IFERROR(Table17[[#This Row],[Refridge Emissions (tCO2e)]]/Table17[[#This Row],[Fridge/frozen area (sq ft)]],"")</f>
        <v/>
      </c>
      <c r="K56" t="str">
        <f>IF(Table17[[#This Row],[Emissions per sq ft (inc 0s)]]&lt;&gt;0,Table17[[#This Row],[Emissions per sq ft (inc 0s)]],"")</f>
        <v/>
      </c>
      <c r="L56" t="e">
        <f>AVERAGE(Table17[Emissions per sq ft (exc 0s)])</f>
        <v>#DIV/0!</v>
      </c>
    </row>
    <row r="57" spans="1:12">
      <c r="A57" t="s">
        <v>90</v>
      </c>
      <c r="B57" s="1">
        <f>_xlfn.XLOOKUP(Table17[[#This Row],[Name]],Table16[Name],Table16[Business turnover during data year (United Kingdom) (£)])</f>
        <v>3600000</v>
      </c>
      <c r="C57" t="str">
        <f>_xlfn.XLOOKUP(Table17[[#This Row],[Name]],Table16[Name],Table16[Please estimate the % depot footage dedicated to ambient storage, chilled storage and frozen storage (United Kingdom) (sq ft)])</f>
        <v>1000 frozen, 1000 ambient, 1000 chilled</v>
      </c>
      <c r="D57" s="16" t="str">
        <f>IFERROR(Table17[[#This Row],[Revenue]]/Table17[[#This Row],[Area (sq ft)]],"")</f>
        <v/>
      </c>
      <c r="E57" t="str">
        <f>_xlfn.XLOOKUP(Table17[[#This Row],[Name]],Table14[Member name],Table14[Ambient %],"")</f>
        <v/>
      </c>
      <c r="F57" t="str">
        <f>_xlfn.XLOOKUP(Table17[[#This Row],[Name]],Table14[Member name],Table14[Chilled %],"")</f>
        <v/>
      </c>
      <c r="G57" t="str">
        <f>_xlfn.XLOOKUP(Table17[[#This Row],[Name]],Table14[Member name],Table14[Frozen %],"")</f>
        <v/>
      </c>
      <c r="H57" t="str">
        <f>IF(SUM(Table17[[#This Row],[% ambient]:[% frozen]])=1,(Table17[[#This Row],[% chilled]]+Table17[[#This Row],[% frozen]])*Table17[[#This Row],[Area (sq ft)]],"")</f>
        <v/>
      </c>
      <c r="I57">
        <f>_xlfn.XLOOKUP(Table17[[#This Row],[Name]],Table16[Name],Table16[Refrigerant leaks: Vehicles – please describe key refrigerant gases (tCO2e)])</f>
        <v>2</v>
      </c>
      <c r="J57" t="str">
        <f>IFERROR(Table17[[#This Row],[Refridge Emissions (tCO2e)]]/Table17[[#This Row],[Fridge/frozen area (sq ft)]],"")</f>
        <v/>
      </c>
      <c r="K57" t="str">
        <f>IF(Table17[[#This Row],[Emissions per sq ft (inc 0s)]]&lt;&gt;0,Table17[[#This Row],[Emissions per sq ft (inc 0s)]],"")</f>
        <v/>
      </c>
      <c r="L57" t="e">
        <f>AVERAGE(Table17[Emissions per sq ft (exc 0s)])</f>
        <v>#DIV/0!</v>
      </c>
    </row>
    <row r="58" spans="1:12">
      <c r="A58" t="s">
        <v>91</v>
      </c>
      <c r="B58" s="1">
        <f>_xlfn.XLOOKUP(Table17[[#This Row],[Name]],Table16[Name],Table16[Business turnover during data year (United Kingdom) (£)])</f>
        <v>28800000</v>
      </c>
      <c r="C58" t="str">
        <f>_xlfn.XLOOKUP(Table17[[#This Row],[Name]],Table16[Name],Table16[Please estimate the % depot footage dedicated to ambient storage, chilled storage and frozen storage (United Kingdom) (sq ft)])</f>
        <v>50% Frozen, 25% Chilled, 25% Ambient</v>
      </c>
      <c r="D58" s="16" t="str">
        <f>IFERROR(Table17[[#This Row],[Revenue]]/Table17[[#This Row],[Area (sq ft)]],"")</f>
        <v/>
      </c>
      <c r="E58" t="str">
        <f>_xlfn.XLOOKUP(Table17[[#This Row],[Name]],Table14[Member name],Table14[Ambient %],"")</f>
        <v/>
      </c>
      <c r="F58" t="str">
        <f>_xlfn.XLOOKUP(Table17[[#This Row],[Name]],Table14[Member name],Table14[Chilled %],"")</f>
        <v/>
      </c>
      <c r="G58" t="str">
        <f>_xlfn.XLOOKUP(Table17[[#This Row],[Name]],Table14[Member name],Table14[Frozen %],"")</f>
        <v/>
      </c>
      <c r="H58" t="str">
        <f>IF(SUM(Table17[[#This Row],[% ambient]:[% frozen]])=1,(Table17[[#This Row],[% chilled]]+Table17[[#This Row],[% frozen]])*Table17[[#This Row],[Area (sq ft)]],"")</f>
        <v/>
      </c>
      <c r="I58" t="str">
        <f>_xlfn.XLOOKUP(Table17[[#This Row],[Name]],Table16[Name],Table16[Refrigerant leaks: Vehicles – please describe key refrigerant gases (tCO2e)])</f>
        <v>Virtually no leaks</v>
      </c>
      <c r="J58" t="str">
        <f>IFERROR(Table17[[#This Row],[Refridge Emissions (tCO2e)]]/Table17[[#This Row],[Fridge/frozen area (sq ft)]],"")</f>
        <v/>
      </c>
      <c r="K58" t="str">
        <f>IF(Table17[[#This Row],[Emissions per sq ft (inc 0s)]]&lt;&gt;0,Table17[[#This Row],[Emissions per sq ft (inc 0s)]],"")</f>
        <v/>
      </c>
      <c r="L58" t="e">
        <f>AVERAGE(Table17[Emissions per sq ft (exc 0s)])</f>
        <v>#DIV/0!</v>
      </c>
    </row>
    <row r="59" spans="1:12">
      <c r="A59" t="s">
        <v>47</v>
      </c>
      <c r="B59" s="1">
        <f>_xlfn.XLOOKUP(Table17[[#This Row],[Name]],Table16[Name],Table16[Business turnover during data year (United Kingdom) (£)])</f>
        <v>5000000</v>
      </c>
      <c r="C59" t="str">
        <f>_xlfn.XLOOKUP(Table17[[#This Row],[Name]],Table16[Name],Table16[Please estimate the % depot footage dedicated to ambient storage, chilled storage and frozen storage (United Kingdom) (sq ft)])</f>
        <v>89%/5%/6%</v>
      </c>
      <c r="D59" s="16" t="str">
        <f>IFERROR(Table17[[#This Row],[Revenue]]/Table17[[#This Row],[Area (sq ft)]],"")</f>
        <v/>
      </c>
      <c r="E59" t="str">
        <f>_xlfn.XLOOKUP(Table17[[#This Row],[Name]],Table14[Member name],Table14[Ambient %],"")</f>
        <v/>
      </c>
      <c r="F59" t="str">
        <f>_xlfn.XLOOKUP(Table17[[#This Row],[Name]],Table14[Member name],Table14[Chilled %],"")</f>
        <v/>
      </c>
      <c r="G59" t="str">
        <f>_xlfn.XLOOKUP(Table17[[#This Row],[Name]],Table14[Member name],Table14[Frozen %],"")</f>
        <v/>
      </c>
      <c r="H59" t="str">
        <f>IF(SUM(Table17[[#This Row],[% ambient]:[% frozen]])=1,(Table17[[#This Row],[% chilled]]+Table17[[#This Row],[% frozen]])*Table17[[#This Row],[Area (sq ft)]],"")</f>
        <v/>
      </c>
      <c r="I59" t="str">
        <f>_xlfn.XLOOKUP(Table17[[#This Row],[Name]],Table16[Name],Table16[Refrigerant leaks: Vehicles – please describe key refrigerant gases (tCO2e)])</f>
        <v/>
      </c>
      <c r="J59" t="str">
        <f>IFERROR(Table17[[#This Row],[Refridge Emissions (tCO2e)]]/Table17[[#This Row],[Fridge/frozen area (sq ft)]],"")</f>
        <v/>
      </c>
      <c r="K59" t="str">
        <f>IF(Table17[[#This Row],[Emissions per sq ft (inc 0s)]]&lt;&gt;0,Table17[[#This Row],[Emissions per sq ft (inc 0s)]],"")</f>
        <v/>
      </c>
      <c r="L59" t="e">
        <f>AVERAGE(Table17[Emissions per sq ft (exc 0s)])</f>
        <v>#DIV/0!</v>
      </c>
    </row>
    <row r="60" spans="1:12">
      <c r="A60" t="s">
        <v>44</v>
      </c>
      <c r="B60" s="1">
        <f>_xlfn.XLOOKUP(Table17[[#This Row],[Name]],Table16[Name],Table16[Business turnover during data year (United Kingdom) (£)])</f>
        <v>2100000</v>
      </c>
      <c r="C60" t="str">
        <f>_xlfn.XLOOKUP(Table17[[#This Row],[Name]],Table16[Name],Table16[Please estimate the % depot footage dedicated to ambient storage, chilled storage and frozen storage (United Kingdom) (sq ft)])</f>
        <v>1/4 of space chilled storage, 1/4 ambient storage, 1/4 office space, 1/4 picking space (ambient)</v>
      </c>
      <c r="D60" s="16" t="str">
        <f>IFERROR(Table17[[#This Row],[Revenue]]/Table17[[#This Row],[Area (sq ft)]],"")</f>
        <v/>
      </c>
      <c r="E60" t="str">
        <f>_xlfn.XLOOKUP(Table17[[#This Row],[Name]],Table14[Member name],Table14[Ambient %],"")</f>
        <v/>
      </c>
      <c r="F60" t="str">
        <f>_xlfn.XLOOKUP(Table17[[#This Row],[Name]],Table14[Member name],Table14[Chilled %],"")</f>
        <v/>
      </c>
      <c r="G60" t="str">
        <f>_xlfn.XLOOKUP(Table17[[#This Row],[Name]],Table14[Member name],Table14[Frozen %],"")</f>
        <v/>
      </c>
      <c r="H60" t="str">
        <f>IF(SUM(Table17[[#This Row],[% ambient]:[% frozen]])=1,(Table17[[#This Row],[% chilled]]+Table17[[#This Row],[% frozen]])*Table17[[#This Row],[Area (sq ft)]],"")</f>
        <v/>
      </c>
      <c r="I60" t="str">
        <f>_xlfn.XLOOKUP(Table17[[#This Row],[Name]],Table16[Name],Table16[Refrigerant leaks: Vehicles – please describe key refrigerant gases (tCO2e)])</f>
        <v>NA</v>
      </c>
      <c r="J60" t="str">
        <f>IFERROR(Table17[[#This Row],[Refridge Emissions (tCO2e)]]/Table17[[#This Row],[Fridge/frozen area (sq ft)]],"")</f>
        <v/>
      </c>
      <c r="K60" t="str">
        <f>IF(Table17[[#This Row],[Emissions per sq ft (inc 0s)]]&lt;&gt;0,Table17[[#This Row],[Emissions per sq ft (inc 0s)]],"")</f>
        <v/>
      </c>
      <c r="L60" t="e">
        <f>AVERAGE(Table17[Emissions per sq ft (exc 0s)])</f>
        <v>#DIV/0!</v>
      </c>
    </row>
    <row r="61" spans="1:12">
      <c r="A61" t="s">
        <v>586</v>
      </c>
      <c r="B61" s="1">
        <f>_xlfn.XLOOKUP(Table17[[#This Row],[Name]],Table16[Name],Table16[Business turnover during data year (United Kingdom) (£)])</f>
        <v>5246150</v>
      </c>
      <c r="C61" t="str">
        <f>_xlfn.XLOOKUP(Table17[[#This Row],[Name]],Table16[Name],Table16[Please estimate the % depot footage dedicated to ambient storage, chilled storage and frozen storage (United Kingdom) (sq ft)])</f>
        <v>100% Ambient</v>
      </c>
      <c r="D61" s="16" t="str">
        <f>IFERROR(Table17[[#This Row],[Revenue]]/Table17[[#This Row],[Area (sq ft)]],"")</f>
        <v/>
      </c>
      <c r="E61" t="str">
        <f>_xlfn.XLOOKUP(Table17[[#This Row],[Name]],Table14[Member name],Table14[Ambient %],"")</f>
        <v/>
      </c>
      <c r="F61" t="str">
        <f>_xlfn.XLOOKUP(Table17[[#This Row],[Name]],Table14[Member name],Table14[Chilled %],"")</f>
        <v/>
      </c>
      <c r="G61" t="str">
        <f>_xlfn.XLOOKUP(Table17[[#This Row],[Name]],Table14[Member name],Table14[Frozen %],"")</f>
        <v/>
      </c>
      <c r="H61" t="str">
        <f>IF(SUM(Table17[[#This Row],[% ambient]:[% frozen]])=1,(Table17[[#This Row],[% chilled]]+Table17[[#This Row],[% frozen]])*Table17[[#This Row],[Area (sq ft)]],"")</f>
        <v/>
      </c>
      <c r="I61" t="str">
        <f>_xlfn.XLOOKUP(Table17[[#This Row],[Name]],Table16[Name],Table16[Refrigerant leaks: Vehicles – please describe key refrigerant gases (tCO2e)])</f>
        <v>NA</v>
      </c>
      <c r="J61" t="str">
        <f>IFERROR(Table17[[#This Row],[Refridge Emissions (tCO2e)]]/Table17[[#This Row],[Fridge/frozen area (sq ft)]],"")</f>
        <v/>
      </c>
      <c r="K61" t="str">
        <f>IF(Table17[[#This Row],[Emissions per sq ft (inc 0s)]]&lt;&gt;0,Table17[[#This Row],[Emissions per sq ft (inc 0s)]],"")</f>
        <v/>
      </c>
      <c r="L61" t="e">
        <f>AVERAGE(Table17[Emissions per sq ft (exc 0s)])</f>
        <v>#DIV/0!</v>
      </c>
    </row>
    <row r="62" spans="1:12">
      <c r="A62" t="s">
        <v>45</v>
      </c>
      <c r="B62" s="1">
        <f>_xlfn.XLOOKUP(Table17[[#This Row],[Name]],Table16[Name],Table16[Business turnover during data year (United Kingdom) (£)])</f>
        <v>61000000</v>
      </c>
      <c r="C62" t="str">
        <f>_xlfn.XLOOKUP(Table17[[#This Row],[Name]],Table16[Name],Table16[Please estimate the % depot footage dedicated to ambient storage, chilled storage and frozen storage (United Kingdom) (sq ft)])</f>
        <v>100% Ambient</v>
      </c>
      <c r="D62" s="16" t="str">
        <f>IFERROR(Table17[[#This Row],[Revenue]]/Table17[[#This Row],[Area (sq ft)]],"")</f>
        <v/>
      </c>
      <c r="E62" t="str">
        <f>_xlfn.XLOOKUP(Table17[[#This Row],[Name]],Table14[Member name],Table14[Ambient %],"")</f>
        <v/>
      </c>
      <c r="F62" t="str">
        <f>_xlfn.XLOOKUP(Table17[[#This Row],[Name]],Table14[Member name],Table14[Chilled %],"")</f>
        <v/>
      </c>
      <c r="G62" t="str">
        <f>_xlfn.XLOOKUP(Table17[[#This Row],[Name]],Table14[Member name],Table14[Frozen %],"")</f>
        <v/>
      </c>
      <c r="H62" t="str">
        <f>IF(SUM(Table17[[#This Row],[% ambient]:[% frozen]])=1,(Table17[[#This Row],[% chilled]]+Table17[[#This Row],[% frozen]])*Table17[[#This Row],[Area (sq ft)]],"")</f>
        <v/>
      </c>
      <c r="I62" t="str">
        <f>_xlfn.XLOOKUP(Table17[[#This Row],[Name]],Table16[Name],Table16[Refrigerant leaks: Vehicles – please describe key refrigerant gases (tCO2e)])</f>
        <v>NA</v>
      </c>
      <c r="J62" t="str">
        <f>IFERROR(Table17[[#This Row],[Refridge Emissions (tCO2e)]]/Table17[[#This Row],[Fridge/frozen area (sq ft)]],"")</f>
        <v/>
      </c>
      <c r="K62" t="str">
        <f>IF(Table17[[#This Row],[Emissions per sq ft (inc 0s)]]&lt;&gt;0,Table17[[#This Row],[Emissions per sq ft (inc 0s)]],"")</f>
        <v/>
      </c>
      <c r="L62" t="e">
        <f>AVERAGE(Table17[Emissions per sq ft (exc 0s)])</f>
        <v>#DIV/0!</v>
      </c>
    </row>
    <row r="63" spans="1:12">
      <c r="A63" t="s">
        <v>46</v>
      </c>
      <c r="B63" s="1">
        <f>_xlfn.XLOOKUP(Table17[[#This Row],[Name]],Table16[Name],Table16[Business turnover during data year (United Kingdom) (£)])</f>
        <v>35000000</v>
      </c>
      <c r="C63">
        <f>_xlfn.XLOOKUP(Table17[[#This Row],[Name]],Table16[Name],Table16[Please estimate the % depot footage dedicated to ambient storage, chilled storage and frozen storage (United Kingdom) (sq ft)])</f>
        <v>0.98</v>
      </c>
      <c r="D63" s="16">
        <f>IFERROR(Table17[[#This Row],[Revenue]]/Table17[[#This Row],[Area (sq ft)]],"")</f>
        <v>35714285.714285716</v>
      </c>
      <c r="E63" t="str">
        <f>_xlfn.XLOOKUP(Table17[[#This Row],[Name]],Table14[Member name],Table14[Ambient %],"")</f>
        <v/>
      </c>
      <c r="F63" t="str">
        <f>_xlfn.XLOOKUP(Table17[[#This Row],[Name]],Table14[Member name],Table14[Chilled %],"")</f>
        <v/>
      </c>
      <c r="G63" t="str">
        <f>_xlfn.XLOOKUP(Table17[[#This Row],[Name]],Table14[Member name],Table14[Frozen %],"")</f>
        <v/>
      </c>
      <c r="H63" t="str">
        <f>IF(SUM(Table17[[#This Row],[% ambient]:[% frozen]])=1,(Table17[[#This Row],[% chilled]]+Table17[[#This Row],[% frozen]])*Table17[[#This Row],[Area (sq ft)]],"")</f>
        <v/>
      </c>
      <c r="I63" t="str">
        <f>_xlfn.XLOOKUP(Table17[[#This Row],[Name]],Table16[Name],Table16[Refrigerant leaks: Vehicles – please describe key refrigerant gases (tCO2e)])</f>
        <v>NA</v>
      </c>
      <c r="J63" t="str">
        <f>IFERROR(Table17[[#This Row],[Refridge Emissions (tCO2e)]]/Table17[[#This Row],[Fridge/frozen area (sq ft)]],"")</f>
        <v/>
      </c>
      <c r="K63" t="str">
        <f>IF(Table17[[#This Row],[Emissions per sq ft (inc 0s)]]&lt;&gt;0,Table17[[#This Row],[Emissions per sq ft (inc 0s)]],"")</f>
        <v/>
      </c>
      <c r="L63" t="e">
        <f>AVERAGE(Table17[Emissions per sq ft (exc 0s)])</f>
        <v>#DIV/0!</v>
      </c>
    </row>
    <row r="64" spans="1:12">
      <c r="A64" t="s">
        <v>48</v>
      </c>
      <c r="B64" s="1">
        <f>_xlfn.XLOOKUP(Table17[[#This Row],[Name]],Table16[Name],Table16[Business turnover during data year (United Kingdom) (£)])</f>
        <v>16700000</v>
      </c>
      <c r="D64" s="16" t="str">
        <f>IFERROR(Table17[[#This Row],[Revenue]]/Table17[[#This Row],[Area (sq ft)]],"")</f>
        <v/>
      </c>
      <c r="E64" t="str">
        <f>_xlfn.XLOOKUP(Table17[[#This Row],[Name]],Table14[Member name],Table14[Ambient %],"")</f>
        <v/>
      </c>
      <c r="F64" t="str">
        <f>_xlfn.XLOOKUP(Table17[[#This Row],[Name]],Table14[Member name],Table14[Chilled %],"")</f>
        <v/>
      </c>
      <c r="G64" t="str">
        <f>_xlfn.XLOOKUP(Table17[[#This Row],[Name]],Table14[Member name],Table14[Frozen %],"")</f>
        <v/>
      </c>
      <c r="H64" t="str">
        <f>IF(SUM(Table17[[#This Row],[% ambient]:[% frozen]])=1,(Table17[[#This Row],[% chilled]]+Table17[[#This Row],[% frozen]])*Table17[[#This Row],[Area (sq ft)]],"")</f>
        <v/>
      </c>
      <c r="I64" t="str">
        <f>_xlfn.XLOOKUP(Table17[[#This Row],[Name]],Table16[Name],Table16[Refrigerant leaks: Vehicles – please describe key refrigerant gases (tCO2e)])</f>
        <v>NA</v>
      </c>
      <c r="J64" t="str">
        <f>IFERROR(Table17[[#This Row],[Refridge Emissions (tCO2e)]]/Table17[[#This Row],[Fridge/frozen area (sq ft)]],"")</f>
        <v/>
      </c>
      <c r="K64" t="str">
        <f>IF(Table17[[#This Row],[Emissions per sq ft (inc 0s)]]&lt;&gt;0,Table17[[#This Row],[Emissions per sq ft (inc 0s)]],"")</f>
        <v/>
      </c>
      <c r="L64" t="e">
        <f>AVERAGE(Table17[Emissions per sq ft (exc 0s)])</f>
        <v>#DIV/0!</v>
      </c>
    </row>
    <row r="65" spans="1:16">
      <c r="A65" t="s">
        <v>49</v>
      </c>
      <c r="B65" s="1">
        <f>_xlfn.XLOOKUP(Table17[[#This Row],[Name]],Table16[Name],Table16[Business turnover during data year (United Kingdom) (£)])</f>
        <v>10000000</v>
      </c>
      <c r="C65" t="str">
        <f>_xlfn.XLOOKUP(Table17[[#This Row],[Name]],Table16[Name],Table16[Please estimate the % depot footage dedicated to ambient storage, chilled storage and frozen storage (United Kingdom) (sq ft)])</f>
        <v/>
      </c>
      <c r="D65" s="16" t="str">
        <f>IFERROR(Table17[[#This Row],[Revenue]]/Table17[[#This Row],[Area (sq ft)]],"")</f>
        <v/>
      </c>
      <c r="E65" t="str">
        <f>_xlfn.XLOOKUP(Table17[[#This Row],[Name]],Table14[Member name],Table14[Ambient %],"")</f>
        <v/>
      </c>
      <c r="F65" t="str">
        <f>_xlfn.XLOOKUP(Table17[[#This Row],[Name]],Table14[Member name],Table14[Chilled %],"")</f>
        <v/>
      </c>
      <c r="G65" t="str">
        <f>_xlfn.XLOOKUP(Table17[[#This Row],[Name]],Table14[Member name],Table14[Frozen %],"")</f>
        <v/>
      </c>
      <c r="H65" t="str">
        <f>IF(SUM(Table17[[#This Row],[% ambient]:[% frozen]])=1,(Table17[[#This Row],[% chilled]]+Table17[[#This Row],[% frozen]])*Table17[[#This Row],[Area (sq ft)]],"")</f>
        <v/>
      </c>
      <c r="I65" t="str">
        <f>_xlfn.XLOOKUP(Table17[[#This Row],[Name]],Table16[Name],Table16[Refrigerant leaks: Vehicles – please describe key refrigerant gases (tCO2e)])</f>
        <v>NA</v>
      </c>
      <c r="J65" t="str">
        <f>IFERROR(Table17[[#This Row],[Refridge Emissions (tCO2e)]]/Table17[[#This Row],[Fridge/frozen area (sq ft)]],"")</f>
        <v/>
      </c>
      <c r="K65" t="str">
        <f>IF(Table17[[#This Row],[Emissions per sq ft (inc 0s)]]&lt;&gt;0,Table17[[#This Row],[Emissions per sq ft (inc 0s)]],"")</f>
        <v/>
      </c>
      <c r="L65" t="e">
        <f>AVERAGE(Table17[Emissions per sq ft (exc 0s)])</f>
        <v>#DIV/0!</v>
      </c>
    </row>
    <row r="66" spans="1:16">
      <c r="A66" t="s">
        <v>50</v>
      </c>
      <c r="B66" s="1">
        <f>_xlfn.XLOOKUP(Table17[[#This Row],[Name]],Table16[Name],Table16[Business turnover during data year (United Kingdom) (£)])</f>
        <v>10000000</v>
      </c>
      <c r="D66" s="16" t="str">
        <f>IFERROR(Table17[[#This Row],[Revenue]]/Table17[[#This Row],[Area (sq ft)]],"")</f>
        <v/>
      </c>
      <c r="E66" t="str">
        <f>_xlfn.XLOOKUP(Table17[[#This Row],[Name]],Table14[Member name],Table14[Ambient %],"")</f>
        <v/>
      </c>
      <c r="F66" t="str">
        <f>_xlfn.XLOOKUP(Table17[[#This Row],[Name]],Table14[Member name],Table14[Chilled %],"")</f>
        <v/>
      </c>
      <c r="G66" t="str">
        <f>_xlfn.XLOOKUP(Table17[[#This Row],[Name]],Table14[Member name],Table14[Frozen %],"")</f>
        <v/>
      </c>
      <c r="H66" t="str">
        <f>IF(SUM(Table17[[#This Row],[% ambient]:[% frozen]])=1,(Table17[[#This Row],[% chilled]]+Table17[[#This Row],[% frozen]])*Table17[[#This Row],[Area (sq ft)]],"")</f>
        <v/>
      </c>
      <c r="I66" t="str">
        <f>_xlfn.XLOOKUP(Table17[[#This Row],[Name]],Table16[Name],Table16[Refrigerant leaks: Vehicles – please describe key refrigerant gases (tCO2e)])</f>
        <v>NA</v>
      </c>
      <c r="J66" t="str">
        <f>IFERROR(Table17[[#This Row],[Refridge Emissions (tCO2e)]]/Table17[[#This Row],[Fridge/frozen area (sq ft)]],"")</f>
        <v/>
      </c>
      <c r="K66" t="str">
        <f>IF(Table17[[#This Row],[Emissions per sq ft (inc 0s)]]&lt;&gt;0,Table17[[#This Row],[Emissions per sq ft (inc 0s)]],"")</f>
        <v/>
      </c>
      <c r="L66" t="e">
        <f>AVERAGE(Table17[Emissions per sq ft (exc 0s)])</f>
        <v>#DIV/0!</v>
      </c>
    </row>
    <row r="67" spans="1:16">
      <c r="A67" t="s">
        <v>51</v>
      </c>
      <c r="B67" s="1">
        <f>_xlfn.XLOOKUP(Table17[[#This Row],[Name]],Table16[Name],Table16[Business turnover during data year (United Kingdom) (£)])</f>
        <v>16980000</v>
      </c>
      <c r="C67" t="str">
        <f>_xlfn.XLOOKUP(Table17[[#This Row],[Name]],Table16[Name],Table16[Please estimate the % depot footage dedicated to ambient storage, chilled storage and frozen storage (United Kingdom) (sq ft)])</f>
        <v>45% Frozen; 15% Chilled; 40% Ambient.</v>
      </c>
      <c r="D67" s="16" t="str">
        <f>IFERROR(Table17[[#This Row],[Revenue]]/Table17[[#This Row],[Area (sq ft)]],"")</f>
        <v/>
      </c>
      <c r="E67" t="str">
        <f>_xlfn.XLOOKUP(Table17[[#This Row],[Name]],Table14[Member name],Table14[Ambient %],"")</f>
        <v/>
      </c>
      <c r="F67" t="str">
        <f>_xlfn.XLOOKUP(Table17[[#This Row],[Name]],Table14[Member name],Table14[Chilled %],"")</f>
        <v/>
      </c>
      <c r="G67" t="str">
        <f>_xlfn.XLOOKUP(Table17[[#This Row],[Name]],Table14[Member name],Table14[Frozen %],"")</f>
        <v/>
      </c>
      <c r="H67" t="str">
        <f>IF(SUM(Table17[[#This Row],[% ambient]:[% frozen]])=1,(Table17[[#This Row],[% chilled]]+Table17[[#This Row],[% frozen]])*Table17[[#This Row],[Area (sq ft)]],"")</f>
        <v/>
      </c>
      <c r="I67" t="str">
        <f>_xlfn.XLOOKUP(Table17[[#This Row],[Name]],Table16[Name],Table16[Refrigerant leaks: Vehicles – please describe key refrigerant gases (tCO2e)])</f>
        <v>NA</v>
      </c>
      <c r="J67" t="str">
        <f>IFERROR(Table17[[#This Row],[Refridge Emissions (tCO2e)]]/Table17[[#This Row],[Fridge/frozen area (sq ft)]],"")</f>
        <v/>
      </c>
      <c r="K67" t="str">
        <f>IF(Table17[[#This Row],[Emissions per sq ft (inc 0s)]]&lt;&gt;0,Table17[[#This Row],[Emissions per sq ft (inc 0s)]],"")</f>
        <v/>
      </c>
      <c r="L67" t="e">
        <f>AVERAGE(Table17[Emissions per sq ft (exc 0s)])</f>
        <v>#DIV/0!</v>
      </c>
    </row>
    <row r="71" spans="1:16" s="14" customFormat="1" ht="34">
      <c r="A71" s="14" t="s">
        <v>863</v>
      </c>
      <c r="B71" s="14" t="s">
        <v>864</v>
      </c>
      <c r="C71" s="14" t="s">
        <v>865</v>
      </c>
      <c r="D71" s="14" t="s">
        <v>866</v>
      </c>
      <c r="E71" s="14" t="s">
        <v>867</v>
      </c>
      <c r="F71" s="14" t="s">
        <v>868</v>
      </c>
      <c r="G71" s="14" t="s">
        <v>869</v>
      </c>
      <c r="H71" s="14" t="s">
        <v>871</v>
      </c>
      <c r="I71" s="14" t="s">
        <v>20</v>
      </c>
      <c r="J71" s="14" t="s">
        <v>873</v>
      </c>
      <c r="K71" s="14" t="s">
        <v>876</v>
      </c>
      <c r="L71" s="14" t="s">
        <v>874</v>
      </c>
      <c r="M71" s="14" t="s">
        <v>878</v>
      </c>
      <c r="N71" s="14" t="s">
        <v>875</v>
      </c>
      <c r="O71" s="14" t="s">
        <v>880</v>
      </c>
      <c r="P71" s="14" t="s">
        <v>35</v>
      </c>
    </row>
    <row r="72" spans="1:16">
      <c r="A72" t="s">
        <v>13</v>
      </c>
      <c r="B72" t="s">
        <v>27</v>
      </c>
      <c r="C72">
        <v>90490.26</v>
      </c>
      <c r="D72">
        <v>1846.74</v>
      </c>
      <c r="E72">
        <v>18433</v>
      </c>
      <c r="F72">
        <v>14825</v>
      </c>
      <c r="G72" t="s">
        <v>60</v>
      </c>
      <c r="H72">
        <f>_xlfn.XLOOKUP(survey_data_reliable[[#This Row],[Scope 1 detail: Reliable (FWD)]],Table16[Name],Table16[Total Scope 2 emissions (tCO2e) – Market-based (if applicable)])</f>
        <v>0</v>
      </c>
      <c r="I72" s="21">
        <v>7800000000</v>
      </c>
      <c r="J72" s="13">
        <f>(survey_data_reliable[[#This Row],[Vehicle fuel: HGVs]]+survey_data_reliable[[#This Row],[Vehicle fuel: Cars]])*1000/survey_data_reliable[[#This Row],[Revenue UK]]</f>
        <v>1.1838076923076923E-2</v>
      </c>
      <c r="K72" s="13" t="s">
        <v>877</v>
      </c>
      <c r="L72" s="13">
        <f>(survey_data_reliable[[#This Row],[Building fuel use]]+survey_data_reliable[[#This Row],[S2 emissions - Location Based (tCO2e)]])*1000/survey_data_reliable[[#This Row],[Revenue UK]]</f>
        <v>1.9006410256410255E-3</v>
      </c>
      <c r="M72" s="13" t="s">
        <v>877</v>
      </c>
      <c r="N72" s="13">
        <f>survey_data_reliable[[#This Row],[Refrigerant leaks]]*1000/survey_data_reliable[[#This Row],[Revenue UK]]</f>
        <v>2.3632051282051281E-3</v>
      </c>
      <c r="O72" s="13" t="s">
        <v>877</v>
      </c>
      <c r="P72" s="13">
        <f>AVERAGEIF(survey_data_reliable[Use in refrigerants average?],"Y",survey_data_reliable[Refrigerant emissions (kgCO2e/£ revenue)])</f>
        <v>1.8214525260950552E-3</v>
      </c>
    </row>
    <row r="73" spans="1:16">
      <c r="A73" t="s">
        <v>89</v>
      </c>
      <c r="B73" t="s">
        <v>870</v>
      </c>
      <c r="C73">
        <v>12639</v>
      </c>
      <c r="D73">
        <v>4854</v>
      </c>
      <c r="E73">
        <v>0</v>
      </c>
      <c r="F73">
        <v>0</v>
      </c>
      <c r="G73">
        <v>0</v>
      </c>
      <c r="I73" s="21">
        <v>2940601000</v>
      </c>
      <c r="J73" s="13">
        <f>(survey_data_reliable[[#This Row],[Vehicle fuel: HGVs]]+survey_data_reliable[[#This Row],[Vehicle fuel: Cars]])*1000/survey_data_reliable[[#This Row],[Revenue UK]]</f>
        <v>5.9487839390655172E-3</v>
      </c>
      <c r="K73" s="13" t="s">
        <v>877</v>
      </c>
      <c r="L73" s="13">
        <f>(survey_data_reliable[[#This Row],[Building fuel use]]+survey_data_reliable[[#This Row],[S2 emissions - Location Based (tCO2e)]])*1000/survey_data_reliable[[#This Row],[Revenue UK]]</f>
        <v>0</v>
      </c>
      <c r="M73" s="13" t="s">
        <v>879</v>
      </c>
      <c r="N73" s="13">
        <f>survey_data_reliable[[#This Row],[Refrigerant leaks]]*1000/survey_data_reliable[[#This Row],[Revenue UK]]</f>
        <v>0</v>
      </c>
      <c r="O73" s="13" t="s">
        <v>879</v>
      </c>
      <c r="P73" s="13">
        <f>AVERAGEIF(survey_data_reliable[Use in refrigerants average?],"Y",survey_data_reliable[Refrigerant emissions (kgCO2e/£ revenue)])</f>
        <v>1.8214525260950552E-3</v>
      </c>
    </row>
    <row r="74" spans="1:16">
      <c r="A74" t="s">
        <v>14</v>
      </c>
      <c r="B74" t="s">
        <v>31</v>
      </c>
      <c r="C74">
        <v>42006</v>
      </c>
      <c r="D74">
        <v>810</v>
      </c>
      <c r="E74">
        <v>2844</v>
      </c>
      <c r="F74">
        <v>1526</v>
      </c>
      <c r="G74">
        <v>0</v>
      </c>
      <c r="H74">
        <f>_xlfn.XLOOKUP(survey_data_reliable[[#This Row],[Scope 1 detail: Reliable (FWD)]],Table16[Name],Table16[Total Scope 2 emissions (tCO2e) – Market-based (if applicable)])</f>
        <v>9157</v>
      </c>
      <c r="I74" s="21">
        <v>1286000000</v>
      </c>
      <c r="J74" s="13">
        <f>(survey_data_reliable[[#This Row],[Vehicle fuel: HGVs]]+survey_data_reliable[[#This Row],[Vehicle fuel: Cars]])*1000/survey_data_reliable[[#This Row],[Revenue UK]]</f>
        <v>3.3293934681181962E-2</v>
      </c>
      <c r="K74" s="13" t="s">
        <v>877</v>
      </c>
      <c r="L74" s="13">
        <f>(survey_data_reliable[[#This Row],[Building fuel use]]+survey_data_reliable[[#This Row],[S2 emissions - Location Based (tCO2e)]])*1000/survey_data_reliable[[#This Row],[Revenue UK]]</f>
        <v>8.3071539657853816E-3</v>
      </c>
      <c r="M74" s="13" t="s">
        <v>877</v>
      </c>
      <c r="N74" s="13">
        <f>survey_data_reliable[[#This Row],[Refrigerant leaks]]*1000/survey_data_reliable[[#This Row],[Revenue UK]]</f>
        <v>2.2115085536547432E-3</v>
      </c>
      <c r="O74" s="13" t="s">
        <v>877</v>
      </c>
      <c r="P74" s="13">
        <f>AVERAGEIF(survey_data_reliable[Use in refrigerants average?],"Y",survey_data_reliable[Refrigerant emissions (kgCO2e/£ revenue)])</f>
        <v>1.8214525260950552E-3</v>
      </c>
    </row>
    <row r="75" spans="1:16">
      <c r="A75" t="s">
        <v>10</v>
      </c>
      <c r="B75" t="s">
        <v>25</v>
      </c>
      <c r="C75">
        <v>23958</v>
      </c>
      <c r="E75">
        <v>0</v>
      </c>
      <c r="F75">
        <v>184</v>
      </c>
      <c r="G75" t="s">
        <v>60</v>
      </c>
      <c r="H75">
        <f>_xlfn.XLOOKUP(survey_data_reliable[[#This Row],[Scope 1 detail: Reliable (FWD)]],Table16[Name],Table16[Total Scope 2 emissions (tCO2e) – Market-based (if applicable)])</f>
        <v>8962</v>
      </c>
      <c r="I75" s="21">
        <v>1189000000</v>
      </c>
      <c r="J75" s="13">
        <f>(survey_data_reliable[[#This Row],[Vehicle fuel: HGVs]]+survey_data_reliable[[#This Row],[Vehicle fuel: Cars]])*1000/survey_data_reliable[[#This Row],[Revenue UK]]</f>
        <v>2.0149705634987386E-2</v>
      </c>
      <c r="K75" s="13" t="s">
        <v>877</v>
      </c>
      <c r="L75" s="13">
        <f>(survey_data_reliable[[#This Row],[Building fuel use]]+survey_data_reliable[[#This Row],[S2 emissions - Location Based (tCO2e)]])*1000/survey_data_reliable[[#This Row],[Revenue UK]]</f>
        <v>7.692178301093356E-3</v>
      </c>
      <c r="M75" s="13" t="s">
        <v>877</v>
      </c>
      <c r="N75" s="13">
        <f>survey_data_reliable[[#This Row],[Refrigerant leaks]]*1000/survey_data_reliable[[#This Row],[Revenue UK]]</f>
        <v>0</v>
      </c>
      <c r="O75" s="13" t="s">
        <v>879</v>
      </c>
      <c r="P75" s="13">
        <f>AVERAGEIF(survey_data_reliable[Use in refrigerants average?],"Y",survey_data_reliable[Refrigerant emissions (kgCO2e/£ revenue)])</f>
        <v>1.8214525260950552E-3</v>
      </c>
    </row>
    <row r="76" spans="1:16">
      <c r="A76" t="s">
        <v>16</v>
      </c>
      <c r="B76" t="s">
        <v>29</v>
      </c>
      <c r="C76">
        <v>13361</v>
      </c>
      <c r="E76">
        <v>983</v>
      </c>
      <c r="F76">
        <v>151</v>
      </c>
      <c r="G76" t="s">
        <v>60</v>
      </c>
      <c r="H76">
        <f>_xlfn.XLOOKUP(survey_data_reliable[[#This Row],[Scope 1 detail: Reliable (FWD)]],Table16[Name],Table16[Total Scope 2 emissions (tCO2e) – Market-based (if applicable)])</f>
        <v>2191</v>
      </c>
      <c r="I76" s="21">
        <v>503628078.45999998</v>
      </c>
      <c r="J76" s="13">
        <f>(survey_data_reliable[[#This Row],[Vehicle fuel: HGVs]]+survey_data_reliable[[#This Row],[Vehicle fuel: Cars]])*1000/survey_data_reliable[[#This Row],[Revenue UK]]</f>
        <v>2.652949780094753E-2</v>
      </c>
      <c r="K76" s="13" t="s">
        <v>877</v>
      </c>
      <c r="L76" s="13">
        <f>(survey_data_reliable[[#This Row],[Building fuel use]]+survey_data_reliable[[#This Row],[S2 emissions - Location Based (tCO2e)]])*1000/survey_data_reliable[[#This Row],[Revenue UK]]</f>
        <v>4.6502570054501244E-3</v>
      </c>
      <c r="M76" s="13" t="s">
        <v>877</v>
      </c>
      <c r="N76" s="13">
        <f>survey_data_reliable[[#This Row],[Refrigerant leaks]]*1000/survey_data_reliable[[#This Row],[Revenue UK]]</f>
        <v>1.9518371632610899E-3</v>
      </c>
      <c r="O76" s="13" t="s">
        <v>877</v>
      </c>
      <c r="P76" s="13">
        <f>AVERAGEIF(survey_data_reliable[Use in refrigerants average?],"Y",survey_data_reliable[Refrigerant emissions (kgCO2e/£ revenue)])</f>
        <v>1.8214525260950552E-3</v>
      </c>
    </row>
    <row r="77" spans="1:16">
      <c r="A77" t="s">
        <v>17</v>
      </c>
      <c r="B77" t="s">
        <v>30</v>
      </c>
      <c r="C77">
        <v>3007.4688159522434</v>
      </c>
      <c r="E77">
        <v>0</v>
      </c>
      <c r="F77">
        <v>72.163595965866676</v>
      </c>
      <c r="G77" t="s">
        <v>60</v>
      </c>
      <c r="H77" t="str">
        <f>_xlfn.XLOOKUP(survey_data_reliable[[#This Row],[Scope 1 detail: Reliable (FWD)]],Table16[Name],Table16[Total Scope 2 emissions (tCO2e) – Market-based (if applicable)])</f>
        <v>n/a</v>
      </c>
      <c r="I77" s="21">
        <v>270000000</v>
      </c>
      <c r="J77" s="13">
        <f>(survey_data_reliable[[#This Row],[Vehicle fuel: HGVs]]+survey_data_reliable[[#This Row],[Vehicle fuel: Cars]])*1000/survey_data_reliable[[#This Row],[Revenue UK]]</f>
        <v>1.1138773392415716E-2</v>
      </c>
      <c r="K77" s="13" t="s">
        <v>877</v>
      </c>
      <c r="L77" s="13" t="e">
        <f>(survey_data_reliable[[#This Row],[Building fuel use]]+survey_data_reliable[[#This Row],[S2 emissions - Location Based (tCO2e)]])*1000/survey_data_reliable[[#This Row],[Revenue UK]]</f>
        <v>#VALUE!</v>
      </c>
      <c r="M77" s="13" t="s">
        <v>1061</v>
      </c>
      <c r="N77" s="13">
        <f>survey_data_reliable[[#This Row],[Refrigerant leaks]]*1000/survey_data_reliable[[#This Row],[Revenue UK]]</f>
        <v>0</v>
      </c>
      <c r="O77" s="13" t="s">
        <v>879</v>
      </c>
      <c r="P77" s="13">
        <f>AVERAGEIF(survey_data_reliable[Use in refrigerants average?],"Y",survey_data_reliable[Refrigerant emissions (kgCO2e/£ revenue)])</f>
        <v>1.8214525260950552E-3</v>
      </c>
    </row>
    <row r="78" spans="1:16">
      <c r="A78" t="s">
        <v>6</v>
      </c>
      <c r="B78" t="s">
        <v>23</v>
      </c>
      <c r="C78">
        <v>2874</v>
      </c>
      <c r="D78">
        <v>7</v>
      </c>
      <c r="E78">
        <v>0</v>
      </c>
      <c r="F78">
        <v>408</v>
      </c>
      <c r="G78">
        <v>101</v>
      </c>
      <c r="H78" t="str">
        <f>_xlfn.XLOOKUP(survey_data_reliable[[#This Row],[Scope 1 detail: Reliable (FWD)]],Table16[Name],Table16[Total Scope 2 emissions (tCO2e) – Market-based (if applicable)])</f>
        <v>?</v>
      </c>
      <c r="I78" s="21">
        <v>212000000</v>
      </c>
      <c r="J78" s="13">
        <f>(survey_data_reliable[[#This Row],[Vehicle fuel: HGVs]]+survey_data_reliable[[#This Row],[Vehicle fuel: Cars]])*1000/survey_data_reliable[[#This Row],[Revenue UK]]</f>
        <v>1.3589622641509433E-2</v>
      </c>
      <c r="K78" s="13" t="s">
        <v>877</v>
      </c>
      <c r="L78" s="13" t="e">
        <f>(survey_data_reliable[[#This Row],[Building fuel use]]+survey_data_reliable[[#This Row],[S2 emissions - Location Based (tCO2e)]])*1000/survey_data_reliable[[#This Row],[Revenue UK]]</f>
        <v>#VALUE!</v>
      </c>
      <c r="M78" s="13" t="s">
        <v>1061</v>
      </c>
      <c r="N78" s="13">
        <f>survey_data_reliable[[#This Row],[Refrigerant leaks]]*1000/survey_data_reliable[[#This Row],[Revenue UK]]</f>
        <v>0</v>
      </c>
      <c r="O78" s="13" t="s">
        <v>879</v>
      </c>
      <c r="P78" s="13">
        <f>AVERAGEIF(survey_data_reliable[Use in refrigerants average?],"Y",survey_data_reliable[Refrigerant emissions (kgCO2e/£ revenue)])</f>
        <v>1.8214525260950552E-3</v>
      </c>
    </row>
    <row r="79" spans="1:16">
      <c r="A79" t="s">
        <v>9</v>
      </c>
      <c r="B79" t="s">
        <v>24</v>
      </c>
      <c r="C79">
        <v>7684</v>
      </c>
      <c r="E79">
        <v>0</v>
      </c>
      <c r="F79">
        <v>1348</v>
      </c>
      <c r="G79" t="s">
        <v>60</v>
      </c>
      <c r="H79" t="str">
        <f>_xlfn.XLOOKUP(survey_data_reliable[[#This Row],[Scope 1 detail: Reliable (FWD)]],Table16[Name],Table16[Total Scope 2 emissions (tCO2e) – Market-based (if applicable)])</f>
        <v>n/a</v>
      </c>
      <c r="I79" s="21">
        <v>134125275</v>
      </c>
      <c r="J79" s="13">
        <f>(survey_data_reliable[[#This Row],[Vehicle fuel: HGVs]]+survey_data_reliable[[#This Row],[Vehicle fuel: Cars]])*1000/survey_data_reliable[[#This Row],[Revenue UK]]</f>
        <v>5.7289724103081988E-2</v>
      </c>
      <c r="K79" s="13" t="s">
        <v>877</v>
      </c>
      <c r="L79" s="13" t="e">
        <f>(survey_data_reliable[[#This Row],[Building fuel use]]+survey_data_reliable[[#This Row],[S2 emissions - Location Based (tCO2e)]])*1000/survey_data_reliable[[#This Row],[Revenue UK]]</f>
        <v>#VALUE!</v>
      </c>
      <c r="M79" s="13" t="s">
        <v>1061</v>
      </c>
      <c r="N79" s="13">
        <f>survey_data_reliable[[#This Row],[Refrigerant leaks]]*1000/survey_data_reliable[[#This Row],[Revenue UK]]</f>
        <v>0</v>
      </c>
      <c r="O79" s="13" t="s">
        <v>879</v>
      </c>
      <c r="P79" s="13">
        <f>AVERAGEIF(survey_data_reliable[Use in refrigerants average?],"Y",survey_data_reliable[Refrigerant emissions (kgCO2e/£ revenue)])</f>
        <v>1.8214525260950552E-3</v>
      </c>
    </row>
    <row r="80" spans="1:16">
      <c r="A80" t="s">
        <v>5</v>
      </c>
      <c r="B80" t="s">
        <v>22</v>
      </c>
      <c r="C80">
        <v>3072</v>
      </c>
      <c r="E80">
        <v>82</v>
      </c>
      <c r="G80" t="s">
        <v>60</v>
      </c>
      <c r="H80">
        <f>_xlfn.XLOOKUP(survey_data_reliable[[#This Row],[Scope 1 detail: Reliable (FWD)]],Table16[Name],Table16[Total Scope 2 emissions (tCO2e) – Market-based (if applicable)])</f>
        <v>1081</v>
      </c>
      <c r="I80" s="21">
        <v>108000000</v>
      </c>
      <c r="J80" s="13">
        <f>(survey_data_reliable[[#This Row],[Vehicle fuel: HGVs]]+survey_data_reliable[[#This Row],[Vehicle fuel: Cars]])*1000/survey_data_reliable[[#This Row],[Revenue UK]]</f>
        <v>2.8444444444444446E-2</v>
      </c>
      <c r="K80" s="13" t="s">
        <v>877</v>
      </c>
      <c r="L80" s="13">
        <f>(survey_data_reliable[[#This Row],[Building fuel use]]+survey_data_reliable[[#This Row],[S2 emissions - Location Based (tCO2e)]])*1000/survey_data_reliable[[#This Row],[Revenue UK]]</f>
        <v>1.0009259259259259E-2</v>
      </c>
      <c r="M80" s="13" t="s">
        <v>879</v>
      </c>
      <c r="N80" s="13">
        <f>survey_data_reliable[[#This Row],[Refrigerant leaks]]*1000/survey_data_reliable[[#This Row],[Revenue UK]]</f>
        <v>7.5925925925925922E-4</v>
      </c>
      <c r="O80" s="13" t="s">
        <v>877</v>
      </c>
      <c r="P80" s="13">
        <f>AVERAGEIF(survey_data_reliable[Use in refrigerants average?],"Y",survey_data_reliable[Refrigerant emissions (kgCO2e/£ revenue)])</f>
        <v>1.8214525260950552E-3</v>
      </c>
    </row>
    <row r="81" spans="1:16">
      <c r="A81" t="s">
        <v>12</v>
      </c>
      <c r="B81" t="s">
        <v>26</v>
      </c>
      <c r="C81">
        <v>326.60289999999998</v>
      </c>
      <c r="E81">
        <v>0</v>
      </c>
      <c r="F81">
        <v>5.856757</v>
      </c>
      <c r="G81" t="s">
        <v>105</v>
      </c>
      <c r="H81">
        <f>_xlfn.XLOOKUP(survey_data_reliable[[#This Row],[Scope 1 detail: Reliable (FWD)]],Table16[Name],Table16[Total Scope 2 emissions (tCO2e) – Market-based (if applicable)])</f>
        <v>136.06382429000001</v>
      </c>
      <c r="I81" s="21">
        <v>9513158</v>
      </c>
      <c r="J81" s="13">
        <f>(survey_data_reliable[[#This Row],[Vehicle fuel: HGVs]]+survey_data_reliable[[#This Row],[Vehicle fuel: Cars]])*1000/survey_data_reliable[[#This Row],[Revenue UK]]</f>
        <v>3.4331701418183105E-2</v>
      </c>
      <c r="K81" s="13" t="s">
        <v>877</v>
      </c>
      <c r="L81" s="13">
        <f>(survey_data_reliable[[#This Row],[Building fuel use]]+survey_data_reliable[[#This Row],[S2 emissions - Location Based (tCO2e)]])*1000/survey_data_reliable[[#This Row],[Revenue UK]]</f>
        <v>1.4918345862646242E-2</v>
      </c>
      <c r="M81" s="13" t="s">
        <v>877</v>
      </c>
      <c r="N81" s="13">
        <f>survey_data_reliable[[#This Row],[Refrigerant leaks]]*1000/survey_data_reliable[[#This Row],[Revenue UK]]</f>
        <v>0</v>
      </c>
      <c r="O81" s="13" t="s">
        <v>879</v>
      </c>
      <c r="P81" s="13">
        <f>AVERAGEIF(survey_data_reliable[Use in refrigerants average?],"Y",survey_data_reliable[Refrigerant emissions (kgCO2e/£ revenue)])</f>
        <v>1.8214525260950552E-3</v>
      </c>
    </row>
    <row r="84" spans="1:16" ht="54">
      <c r="A84" s="22" t="s">
        <v>872</v>
      </c>
      <c r="B84" s="22" t="s">
        <v>881</v>
      </c>
      <c r="C84" s="22" t="s">
        <v>882</v>
      </c>
      <c r="D84" s="22" t="s">
        <v>1004</v>
      </c>
    </row>
    <row r="85" spans="1:16">
      <c r="A85" cm="1">
        <f t="array" ref="A85">AVERAGE(_xlfn._xlws.FILTER(survey_data_reliable[Logistics emissions (kgCO2e/£ revenue)],survey_data_reliable[Use in logistics average?]="Y"))/1000</f>
        <v>2.4255426497889401E-5</v>
      </c>
      <c r="B85" cm="1">
        <f t="array" ref="B85">AVERAGE(_xlfn._xlws.FILTER(survey_data_reliable[Buildings &amp; Electricity Emissions (kgCO2e/£ revenue)],survey_data_reliable[Use in B&amp;E average?]="Y"))/1000</f>
        <v>7.4937152321232265E-6</v>
      </c>
      <c r="C85" cm="1">
        <f t="array" ref="C85">AVERAGE(_xlfn._xlws.FILTER(survey_data_reliable[Refrigerant emissions (kgCO2e/£ revenue)],survey_data_reliable[Use in refrigerants average?]="Y"))/1000</f>
        <v>1.8214525260950553E-6</v>
      </c>
      <c r="D85">
        <f>SUMIF('HIDE - Value Chain %'!A5:A12,"&lt;&gt;Direct",'HIDE - Value Chain %'!D5:D12)*1000000/inputs_valchain_FWD_turnover_GBP</f>
        <v>5.5658627087198519E-4</v>
      </c>
    </row>
    <row r="87" spans="1:16">
      <c r="G87" t="s">
        <v>36</v>
      </c>
      <c r="H87" t="s">
        <v>1049</v>
      </c>
    </row>
    <row r="88" spans="1:16">
      <c r="A88" t="s">
        <v>18</v>
      </c>
      <c r="B88" t="s">
        <v>493</v>
      </c>
      <c r="C88" t="s">
        <v>494</v>
      </c>
      <c r="D88" t="s">
        <v>495</v>
      </c>
      <c r="E88" t="s">
        <v>496</v>
      </c>
      <c r="G88" t="s">
        <v>4</v>
      </c>
      <c r="H88">
        <f>SUMIF('HIDE - Value Chain %'!A5:A12,"&lt;&gt;Direct",'HIDE - Value Chain %'!D5:D12)*1000000/inputs_valchain_FWD_turnover_GBP</f>
        <v>5.5658627087198519E-4</v>
      </c>
    </row>
    <row r="89" spans="1:16">
      <c r="A89" t="s">
        <v>5</v>
      </c>
      <c r="B89" t="s">
        <v>60</v>
      </c>
      <c r="G89" t="s">
        <v>0</v>
      </c>
      <c r="H89" cm="1">
        <f t="array" ref="H89">AVERAGE(_xlfn._xlws.FILTER(survey_data_reliable[Logistics emissions (kgCO2e/£ revenue)],survey_data_reliable[Use in logistics average?]="Y"))/1000</f>
        <v>2.4255426497889401E-5</v>
      </c>
    </row>
    <row r="90" spans="1:16">
      <c r="A90" t="s">
        <v>6</v>
      </c>
      <c r="B90" t="s">
        <v>69</v>
      </c>
      <c r="C90">
        <v>0.6</v>
      </c>
      <c r="D90">
        <v>0.3</v>
      </c>
      <c r="E90">
        <v>0.1</v>
      </c>
      <c r="G90" t="s">
        <v>469</v>
      </c>
      <c r="H90" cm="1">
        <f t="array" ref="H90">AVERAGE(_xlfn._xlws.FILTER(survey_data_reliable[Buildings &amp; Electricity Emissions (kgCO2e/£ revenue)],survey_data_reliable[Use in B&amp;E average?]="Y"))/1000</f>
        <v>7.4937152321232265E-6</v>
      </c>
    </row>
    <row r="91" spans="1:16">
      <c r="A91" t="s">
        <v>7</v>
      </c>
      <c r="B91">
        <v>1</v>
      </c>
      <c r="G91" t="s">
        <v>3</v>
      </c>
      <c r="H91" cm="1">
        <f t="array" ref="H91">AVERAGE(_xlfn._xlws.FILTER(survey_data_reliable[Refrigerant emissions (kgCO2e/£ revenue)],survey_data_reliable[Use in refrigerants average?]="Y"))/1000</f>
        <v>1.8214525260950553E-6</v>
      </c>
    </row>
    <row r="92" spans="1:16">
      <c r="A92" t="s">
        <v>8</v>
      </c>
      <c r="B92" t="s">
        <v>70</v>
      </c>
      <c r="C92">
        <v>0.65136130829364725</v>
      </c>
      <c r="D92">
        <v>7.9072692964327437E-2</v>
      </c>
      <c r="E92">
        <v>0.26956599874202536</v>
      </c>
    </row>
    <row r="93" spans="1:16">
      <c r="A93" t="s">
        <v>9</v>
      </c>
      <c r="B93" t="s">
        <v>71</v>
      </c>
      <c r="C93">
        <v>0.3</v>
      </c>
      <c r="D93">
        <v>0.2</v>
      </c>
      <c r="E93">
        <v>0.5</v>
      </c>
    </row>
    <row r="94" spans="1:16">
      <c r="A94" t="s">
        <v>10</v>
      </c>
      <c r="B94" t="s">
        <v>72</v>
      </c>
    </row>
    <row r="95" spans="1:16">
      <c r="A95" t="s">
        <v>11</v>
      </c>
      <c r="B95" t="s">
        <v>73</v>
      </c>
      <c r="C95">
        <v>0.4</v>
      </c>
      <c r="D95">
        <v>0.2</v>
      </c>
      <c r="E95">
        <v>0.4</v>
      </c>
    </row>
    <row r="96" spans="1:16">
      <c r="A96" t="s">
        <v>12</v>
      </c>
      <c r="B96" t="s">
        <v>74</v>
      </c>
      <c r="C96">
        <v>0.4</v>
      </c>
      <c r="D96">
        <v>0.05</v>
      </c>
      <c r="E96">
        <v>0.55000000000000004</v>
      </c>
    </row>
    <row r="97" spans="1:8">
      <c r="A97" t="s">
        <v>13</v>
      </c>
      <c r="B97" t="s">
        <v>60</v>
      </c>
    </row>
    <row r="98" spans="1:8">
      <c r="A98" t="s">
        <v>14</v>
      </c>
      <c r="B98" t="s">
        <v>75</v>
      </c>
      <c r="C98">
        <v>0.25</v>
      </c>
      <c r="D98">
        <v>0.35</v>
      </c>
      <c r="E98">
        <v>0.4</v>
      </c>
    </row>
    <row r="99" spans="1:8">
      <c r="A99" t="s">
        <v>15</v>
      </c>
      <c r="B99" t="s">
        <v>76</v>
      </c>
    </row>
    <row r="100" spans="1:8">
      <c r="A100" t="s">
        <v>87</v>
      </c>
      <c r="B100">
        <v>0</v>
      </c>
    </row>
    <row r="101" spans="1:8">
      <c r="A101" t="s">
        <v>88</v>
      </c>
      <c r="B101">
        <v>0</v>
      </c>
    </row>
    <row r="102" spans="1:8">
      <c r="A102" t="s">
        <v>16</v>
      </c>
      <c r="B102" t="s">
        <v>77</v>
      </c>
      <c r="C102">
        <v>0.57692307692307687</v>
      </c>
      <c r="D102">
        <v>0.11538461538461539</v>
      </c>
      <c r="E102">
        <v>0.30769230769230771</v>
      </c>
    </row>
    <row r="103" spans="1:8">
      <c r="A103" t="s">
        <v>89</v>
      </c>
      <c r="B103" t="s">
        <v>78</v>
      </c>
      <c r="C103">
        <v>0.9</v>
      </c>
      <c r="D103">
        <v>0.05</v>
      </c>
      <c r="E103">
        <v>0.05</v>
      </c>
    </row>
    <row r="104" spans="1:8">
      <c r="A104" t="s">
        <v>17</v>
      </c>
      <c r="B104" t="s">
        <v>79</v>
      </c>
      <c r="C104">
        <v>0.56499999999999995</v>
      </c>
      <c r="D104">
        <v>0.125</v>
      </c>
      <c r="E104">
        <v>0.31</v>
      </c>
    </row>
    <row r="105" spans="1:8">
      <c r="A105" t="s">
        <v>32</v>
      </c>
      <c r="B105" t="s">
        <v>60</v>
      </c>
    </row>
    <row r="106" spans="1:8">
      <c r="A106" t="s">
        <v>34</v>
      </c>
      <c r="B106" t="s">
        <v>80</v>
      </c>
      <c r="C106">
        <v>0.9</v>
      </c>
      <c r="D106">
        <v>0.05</v>
      </c>
      <c r="E106">
        <v>0.05</v>
      </c>
    </row>
    <row r="109" spans="1:8" ht="17">
      <c r="A109" s="57" t="s">
        <v>68</v>
      </c>
      <c r="B109" s="58" t="s">
        <v>528</v>
      </c>
      <c r="C109" t="s">
        <v>529</v>
      </c>
      <c r="D109" t="s">
        <v>530</v>
      </c>
      <c r="E109" s="55" t="s">
        <v>1057</v>
      </c>
      <c r="F109" s="55" t="s">
        <v>1058</v>
      </c>
      <c r="G109" s="55" t="s">
        <v>1059</v>
      </c>
      <c r="H109" s="55" t="s">
        <v>1060</v>
      </c>
    </row>
    <row r="110" spans="1:8">
      <c r="A110" s="56" t="s">
        <v>5</v>
      </c>
      <c r="B110" s="56">
        <f>_xlfn.XLOOKUP(Table5[[#This Row],[Name]],Table16[Name],Table16[Vehicle fuel: HGVs (tCO2e)])</f>
        <v>3072</v>
      </c>
      <c r="C110" s="56" t="str">
        <f>_xlfn.XLOOKUP(Table5[[#This Row],[Name]],Table16[Name],Table16[Vehicle fuel: Vans / LGVs (tCO2e)])</f>
        <v/>
      </c>
      <c r="D110" s="56" t="str">
        <f>_xlfn.XLOOKUP(Table5[[#This Row],[Name]],Table16[Name],Table16[Vehicle fuel: Cars (tCO2e)])</f>
        <v/>
      </c>
      <c r="E110" s="36">
        <f>IFERROR(Table5[[#This Row],[Vehicle fuel: HGVs (tCO2e)]]/SUM(Table5[[#This Row],[Vehicle fuel: HGVs (tCO2e)]:[Vehicle fuel: Cars (tCO2e)]]),"")</f>
        <v>1</v>
      </c>
      <c r="F110" s="36" t="str">
        <f>IFERROR(Table5[[#This Row],[Vehicle fuel: Vans / LGVs (tCO2e)]]/SUM(Table5[[#This Row],[Vehicle fuel: HGVs (tCO2e)]:[Vehicle fuel: Cars (tCO2e)]]),"")</f>
        <v/>
      </c>
      <c r="G110" s="36" t="str">
        <f>IFERROR(Table5[[#This Row],[Vehicle fuel: Cars (tCO2e)]]/SUM(Table5[[#This Row],[Vehicle fuel: HGVs (tCO2e)]:[Vehicle fuel: Cars (tCO2e)]]),"")</f>
        <v/>
      </c>
      <c r="H110" s="59" t="s">
        <v>879</v>
      </c>
    </row>
    <row r="111" spans="1:8">
      <c r="A111" s="43" t="s">
        <v>6</v>
      </c>
      <c r="B111" s="43">
        <f>_xlfn.XLOOKUP(Table5[[#This Row],[Name]],Table16[Name],Table16[Vehicle fuel: HGVs (tCO2e)])</f>
        <v>2874</v>
      </c>
      <c r="C111" s="43" t="str">
        <f>_xlfn.XLOOKUP(Table5[[#This Row],[Name]],Table16[Name],Table16[Vehicle fuel: Vans / LGVs (tCO2e)])</f>
        <v>n/a</v>
      </c>
      <c r="D111" s="43">
        <f>_xlfn.XLOOKUP(Table5[[#This Row],[Name]],Table16[Name],Table16[Vehicle fuel: Cars (tCO2e)])</f>
        <v>7</v>
      </c>
      <c r="E111" s="60">
        <f>IFERROR(Table5[[#This Row],[Vehicle fuel: HGVs (tCO2e)]]/SUM(Table5[[#This Row],[Vehicle fuel: HGVs (tCO2e)]:[Vehicle fuel: Cars (tCO2e)]]),"")</f>
        <v>0.99757028809441162</v>
      </c>
      <c r="F111" s="60" t="str">
        <f>IFERROR(Table5[[#This Row],[Vehicle fuel: Vans / LGVs (tCO2e)]]/SUM(Table5[[#This Row],[Vehicle fuel: HGVs (tCO2e)]:[Vehicle fuel: Cars (tCO2e)]]),"")</f>
        <v/>
      </c>
      <c r="G111" s="60">
        <f>IFERROR(Table5[[#This Row],[Vehicle fuel: Cars (tCO2e)]]/SUM(Table5[[#This Row],[Vehicle fuel: HGVs (tCO2e)]:[Vehicle fuel: Cars (tCO2e)]]),"")</f>
        <v>2.4297119055883376E-3</v>
      </c>
      <c r="H111" s="59" t="s">
        <v>879</v>
      </c>
    </row>
    <row r="112" spans="1:8">
      <c r="A112" s="28" t="s">
        <v>7</v>
      </c>
      <c r="B112" s="28">
        <f>_xlfn.XLOOKUP(Table5[[#This Row],[Name]],Table16[Name],Table16[Vehicle fuel: HGVs (tCO2e)])</f>
        <v>10683265</v>
      </c>
      <c r="C112" s="28" t="str">
        <f>_xlfn.XLOOKUP(Table5[[#This Row],[Name]],Table16[Name],Table16[Vehicle fuel: Vans / LGVs (tCO2e)])</f>
        <v/>
      </c>
      <c r="D112" s="28" t="str">
        <f>_xlfn.XLOOKUP(Table5[[#This Row],[Name]],Table16[Name],Table16[Vehicle fuel: Cars (tCO2e)])</f>
        <v/>
      </c>
      <c r="E112" s="36">
        <f>IFERROR(Table5[[#This Row],[Vehicle fuel: HGVs (tCO2e)]]/SUM(Table5[[#This Row],[Vehicle fuel: HGVs (tCO2e)]:[Vehicle fuel: Cars (tCO2e)]]),"")</f>
        <v>1</v>
      </c>
      <c r="F112" s="36" t="str">
        <f>IFERROR(Table5[[#This Row],[Vehicle fuel: Vans / LGVs (tCO2e)]]/SUM(Table5[[#This Row],[Vehicle fuel: HGVs (tCO2e)]:[Vehicle fuel: Cars (tCO2e)]]),"")</f>
        <v/>
      </c>
      <c r="G112" s="36" t="str">
        <f>IFERROR(Table5[[#This Row],[Vehicle fuel: Cars (tCO2e)]]/SUM(Table5[[#This Row],[Vehicle fuel: HGVs (tCO2e)]:[Vehicle fuel: Cars (tCO2e)]]),"")</f>
        <v/>
      </c>
      <c r="H112" s="59" t="s">
        <v>879</v>
      </c>
    </row>
    <row r="113" spans="1:8">
      <c r="A113" s="43" t="s">
        <v>8</v>
      </c>
      <c r="B113" s="43">
        <f>_xlfn.XLOOKUP(Table5[[#This Row],[Name]],Table16[Name],Table16[Vehicle fuel: HGVs (tCO2e)])</f>
        <v>36312</v>
      </c>
      <c r="C113" s="43">
        <f>_xlfn.XLOOKUP(Table5[[#This Row],[Name]],Table16[Name],Table16[Vehicle fuel: Vans / LGVs (tCO2e)])</f>
        <v>0</v>
      </c>
      <c r="D113" s="43">
        <f>_xlfn.XLOOKUP(Table5[[#This Row],[Name]],Table16[Name],Table16[Vehicle fuel: Cars (tCO2e)])</f>
        <v>1645</v>
      </c>
      <c r="E113" s="60">
        <f>IFERROR(Table5[[#This Row],[Vehicle fuel: HGVs (tCO2e)]]/SUM(Table5[[#This Row],[Vehicle fuel: HGVs (tCO2e)]:[Vehicle fuel: Cars (tCO2e)]]),"")</f>
        <v>0.95666148536501827</v>
      </c>
      <c r="F113" s="60">
        <f>IFERROR(Table5[[#This Row],[Vehicle fuel: Vans / LGVs (tCO2e)]]/SUM(Table5[[#This Row],[Vehicle fuel: HGVs (tCO2e)]:[Vehicle fuel: Cars (tCO2e)]]),"")</f>
        <v>0</v>
      </c>
      <c r="G113" s="60">
        <f>IFERROR(Table5[[#This Row],[Vehicle fuel: Cars (tCO2e)]]/SUM(Table5[[#This Row],[Vehicle fuel: HGVs (tCO2e)]:[Vehicle fuel: Cars (tCO2e)]]),"")</f>
        <v>4.3338514634981687E-2</v>
      </c>
      <c r="H113" s="59" t="s">
        <v>877</v>
      </c>
    </row>
    <row r="114" spans="1:8">
      <c r="A114" s="28" t="s">
        <v>9</v>
      </c>
      <c r="B114" s="28">
        <f>_xlfn.XLOOKUP(Table5[[#This Row],[Name]],Table16[Name],Table16[Vehicle fuel: HGVs (tCO2e)])</f>
        <v>7684</v>
      </c>
      <c r="C114" s="28" t="str">
        <f>_xlfn.XLOOKUP(Table5[[#This Row],[Name]],Table16[Name],Table16[Vehicle fuel: Vans / LGVs (tCO2e)])</f>
        <v/>
      </c>
      <c r="D114" s="28" t="str">
        <f>_xlfn.XLOOKUP(Table5[[#This Row],[Name]],Table16[Name],Table16[Vehicle fuel: Cars (tCO2e)])</f>
        <v/>
      </c>
      <c r="E114" s="36">
        <f>IFERROR(Table5[[#This Row],[Vehicle fuel: HGVs (tCO2e)]]/SUM(Table5[[#This Row],[Vehicle fuel: HGVs (tCO2e)]:[Vehicle fuel: Cars (tCO2e)]]),"")</f>
        <v>1</v>
      </c>
      <c r="F114" s="36" t="str">
        <f>IFERROR(Table5[[#This Row],[Vehicle fuel: Vans / LGVs (tCO2e)]]/SUM(Table5[[#This Row],[Vehicle fuel: HGVs (tCO2e)]:[Vehicle fuel: Cars (tCO2e)]]),"")</f>
        <v/>
      </c>
      <c r="G114" s="36" t="str">
        <f>IFERROR(Table5[[#This Row],[Vehicle fuel: Cars (tCO2e)]]/SUM(Table5[[#This Row],[Vehicle fuel: HGVs (tCO2e)]:[Vehicle fuel: Cars (tCO2e)]]),"")</f>
        <v/>
      </c>
      <c r="H114" s="59" t="s">
        <v>879</v>
      </c>
    </row>
    <row r="115" spans="1:8">
      <c r="A115" s="43" t="s">
        <v>10</v>
      </c>
      <c r="B115" s="43">
        <f>_xlfn.XLOOKUP(Table5[[#This Row],[Name]],Table16[Name],Table16[Vehicle fuel: HGVs (tCO2e)])</f>
        <v>23958</v>
      </c>
      <c r="C115" s="43" t="str">
        <f>_xlfn.XLOOKUP(Table5[[#This Row],[Name]],Table16[Name],Table16[Vehicle fuel: Vans / LGVs (tCO2e)])</f>
        <v/>
      </c>
      <c r="D115" s="43" t="str">
        <f>_xlfn.XLOOKUP(Table5[[#This Row],[Name]],Table16[Name],Table16[Vehicle fuel: Cars (tCO2e)])</f>
        <v/>
      </c>
      <c r="E115" s="60">
        <f>IFERROR(Table5[[#This Row],[Vehicle fuel: HGVs (tCO2e)]]/SUM(Table5[[#This Row],[Vehicle fuel: HGVs (tCO2e)]:[Vehicle fuel: Cars (tCO2e)]]),"")</f>
        <v>1</v>
      </c>
      <c r="F115" s="60" t="str">
        <f>IFERROR(Table5[[#This Row],[Vehicle fuel: Vans / LGVs (tCO2e)]]/SUM(Table5[[#This Row],[Vehicle fuel: HGVs (tCO2e)]:[Vehicle fuel: Cars (tCO2e)]]),"")</f>
        <v/>
      </c>
      <c r="G115" s="60" t="str">
        <f>IFERROR(Table5[[#This Row],[Vehicle fuel: Cars (tCO2e)]]/SUM(Table5[[#This Row],[Vehicle fuel: HGVs (tCO2e)]:[Vehicle fuel: Cars (tCO2e)]]),"")</f>
        <v/>
      </c>
      <c r="H115" s="59" t="s">
        <v>879</v>
      </c>
    </row>
    <row r="116" spans="1:8">
      <c r="A116" s="28" t="s">
        <v>11</v>
      </c>
      <c r="B116" s="28">
        <f>_xlfn.XLOOKUP(Table5[[#This Row],[Name]],Table16[Name],Table16[Vehicle fuel: HGVs (tCO2e)])</f>
        <v>1321.847</v>
      </c>
      <c r="C116" s="28">
        <f>_xlfn.XLOOKUP(Table5[[#This Row],[Name]],Table16[Name],Table16[Vehicle fuel: Vans / LGVs (tCO2e)])</f>
        <v>310.16890000000001</v>
      </c>
      <c r="D116" s="28">
        <f>_xlfn.XLOOKUP(Table5[[#This Row],[Name]],Table16[Name],Table16[Vehicle fuel: Cars (tCO2e)])</f>
        <v>154.25307000000001</v>
      </c>
      <c r="E116" s="36">
        <f>IFERROR(Table5[[#This Row],[Vehicle fuel: HGVs (tCO2e)]]/SUM(Table5[[#This Row],[Vehicle fuel: HGVs (tCO2e)]:[Vehicle fuel: Cars (tCO2e)]]),"")</f>
        <v>0.7400044574474135</v>
      </c>
      <c r="F116" s="36">
        <f>IFERROR(Table5[[#This Row],[Vehicle fuel: Vans / LGVs (tCO2e)]]/SUM(Table5[[#This Row],[Vehicle fuel: HGVs (tCO2e)]:[Vehicle fuel: Cars (tCO2e)]]),"")</f>
        <v>0.17364064718652086</v>
      </c>
      <c r="G116" s="36">
        <f>IFERROR(Table5[[#This Row],[Vehicle fuel: Cars (tCO2e)]]/SUM(Table5[[#This Row],[Vehicle fuel: HGVs (tCO2e)]:[Vehicle fuel: Cars (tCO2e)]]),"")</f>
        <v>8.6354895366065734E-2</v>
      </c>
      <c r="H116" s="59" t="s">
        <v>877</v>
      </c>
    </row>
    <row r="117" spans="1:8">
      <c r="A117" s="43" t="s">
        <v>12</v>
      </c>
      <c r="B117" s="43">
        <f>_xlfn.XLOOKUP(Table5[[#This Row],[Name]],Table16[Name],Table16[Vehicle fuel: HGVs (tCO2e)])</f>
        <v>326.60289999999998</v>
      </c>
      <c r="C117" s="43" t="str">
        <f>_xlfn.XLOOKUP(Table5[[#This Row],[Name]],Table16[Name],Table16[Vehicle fuel: Vans / LGVs (tCO2e)])</f>
        <v>NA</v>
      </c>
      <c r="D117" s="43" t="str">
        <f>_xlfn.XLOOKUP(Table5[[#This Row],[Name]],Table16[Name],Table16[Vehicle fuel: Cars (tCO2e)])</f>
        <v>NA</v>
      </c>
      <c r="E117" s="60">
        <f>IFERROR(Table5[[#This Row],[Vehicle fuel: HGVs (tCO2e)]]/SUM(Table5[[#This Row],[Vehicle fuel: HGVs (tCO2e)]:[Vehicle fuel: Cars (tCO2e)]]),"")</f>
        <v>1</v>
      </c>
      <c r="F117" s="60" t="str">
        <f>IFERROR(Table5[[#This Row],[Vehicle fuel: Vans / LGVs (tCO2e)]]/SUM(Table5[[#This Row],[Vehicle fuel: HGVs (tCO2e)]:[Vehicle fuel: Cars (tCO2e)]]),"")</f>
        <v/>
      </c>
      <c r="G117" s="60" t="str">
        <f>IFERROR(Table5[[#This Row],[Vehicle fuel: Cars (tCO2e)]]/SUM(Table5[[#This Row],[Vehicle fuel: HGVs (tCO2e)]:[Vehicle fuel: Cars (tCO2e)]]),"")</f>
        <v/>
      </c>
      <c r="H117" s="59" t="s">
        <v>879</v>
      </c>
    </row>
    <row r="118" spans="1:8">
      <c r="A118" s="28" t="s">
        <v>13</v>
      </c>
      <c r="B118" s="28">
        <f>_xlfn.XLOOKUP(Table5[[#This Row],[Name]],Table16[Name],Table16[Vehicle fuel: HGVs (tCO2e)])</f>
        <v>90490.26</v>
      </c>
      <c r="C118" s="28">
        <f>_xlfn.XLOOKUP(Table5[[#This Row],[Name]],Table16[Name],Table16[Vehicle fuel: Vans / LGVs (tCO2e)])</f>
        <v>0</v>
      </c>
      <c r="D118" s="28">
        <f>_xlfn.XLOOKUP(Table5[[#This Row],[Name]],Table16[Name],Table16[Vehicle fuel: Cars (tCO2e)])</f>
        <v>1846.74</v>
      </c>
      <c r="E118" s="36">
        <f>IFERROR(Table5[[#This Row],[Vehicle fuel: HGVs (tCO2e)]]/SUM(Table5[[#This Row],[Vehicle fuel: HGVs (tCO2e)]:[Vehicle fuel: Cars (tCO2e)]]),"")</f>
        <v>0.98</v>
      </c>
      <c r="F118" s="36">
        <f>IFERROR(Table5[[#This Row],[Vehicle fuel: Vans / LGVs (tCO2e)]]/SUM(Table5[[#This Row],[Vehicle fuel: HGVs (tCO2e)]:[Vehicle fuel: Cars (tCO2e)]]),"")</f>
        <v>0</v>
      </c>
      <c r="G118" s="36">
        <f>IFERROR(Table5[[#This Row],[Vehicle fuel: Cars (tCO2e)]]/SUM(Table5[[#This Row],[Vehicle fuel: HGVs (tCO2e)]:[Vehicle fuel: Cars (tCO2e)]]),"")</f>
        <v>0.02</v>
      </c>
      <c r="H118" s="59" t="s">
        <v>877</v>
      </c>
    </row>
    <row r="119" spans="1:8">
      <c r="A119" s="43" t="s">
        <v>14</v>
      </c>
      <c r="B119" s="43">
        <f>_xlfn.XLOOKUP(Table5[[#This Row],[Name]],Table16[Name],Table16[Vehicle fuel: HGVs (tCO2e)])</f>
        <v>42006</v>
      </c>
      <c r="C119" s="43" t="str">
        <f>_xlfn.XLOOKUP(Table5[[#This Row],[Name]],Table16[Name],Table16[Vehicle fuel: Vans / LGVs (tCO2e)])</f>
        <v/>
      </c>
      <c r="D119" s="43">
        <f>_xlfn.XLOOKUP(Table5[[#This Row],[Name]],Table16[Name],Table16[Vehicle fuel: Cars (tCO2e)])</f>
        <v>810</v>
      </c>
      <c r="E119" s="60">
        <f>IFERROR(Table5[[#This Row],[Vehicle fuel: HGVs (tCO2e)]]/SUM(Table5[[#This Row],[Vehicle fuel: HGVs (tCO2e)]:[Vehicle fuel: Cars (tCO2e)]]),"")</f>
        <v>0.9810818385650224</v>
      </c>
      <c r="F119" s="60" t="str">
        <f>IFERROR(Table5[[#This Row],[Vehicle fuel: Vans / LGVs (tCO2e)]]/SUM(Table5[[#This Row],[Vehicle fuel: HGVs (tCO2e)]:[Vehicle fuel: Cars (tCO2e)]]),"")</f>
        <v/>
      </c>
      <c r="G119" s="60">
        <f>IFERROR(Table5[[#This Row],[Vehicle fuel: Cars (tCO2e)]]/SUM(Table5[[#This Row],[Vehicle fuel: HGVs (tCO2e)]:[Vehicle fuel: Cars (tCO2e)]]),"")</f>
        <v>1.8918161434977578E-2</v>
      </c>
      <c r="H119" s="59" t="s">
        <v>877</v>
      </c>
    </row>
    <row r="120" spans="1:8">
      <c r="A120" s="28" t="s">
        <v>15</v>
      </c>
      <c r="B120" s="28" t="str">
        <f>_xlfn.XLOOKUP(Table5[[#This Row],[Name]],Table16[Name],Table16[Vehicle fuel: HGVs (tCO2e)])</f>
        <v/>
      </c>
      <c r="C120" s="28" t="str">
        <f>_xlfn.XLOOKUP(Table5[[#This Row],[Name]],Table16[Name],Table16[Vehicle fuel: Vans / LGVs (tCO2e)])</f>
        <v/>
      </c>
      <c r="D120" s="28" t="str">
        <f>_xlfn.XLOOKUP(Table5[[#This Row],[Name]],Table16[Name],Table16[Vehicle fuel: Cars (tCO2e)])</f>
        <v/>
      </c>
      <c r="E120" s="36" t="str">
        <f>IFERROR(Table5[[#This Row],[Vehicle fuel: HGVs (tCO2e)]]/SUM(Table5[[#This Row],[Vehicle fuel: HGVs (tCO2e)]:[Vehicle fuel: Cars (tCO2e)]]),"")</f>
        <v/>
      </c>
      <c r="F120" s="36" t="str">
        <f>IFERROR(Table5[[#This Row],[Vehicle fuel: Vans / LGVs (tCO2e)]]/SUM(Table5[[#This Row],[Vehicle fuel: HGVs (tCO2e)]:[Vehicle fuel: Cars (tCO2e)]]),"")</f>
        <v/>
      </c>
      <c r="G120" s="36" t="str">
        <f>IFERROR(Table5[[#This Row],[Vehicle fuel: Cars (tCO2e)]]/SUM(Table5[[#This Row],[Vehicle fuel: HGVs (tCO2e)]:[Vehicle fuel: Cars (tCO2e)]]),"")</f>
        <v/>
      </c>
      <c r="H120" s="59" t="s">
        <v>879</v>
      </c>
    </row>
    <row r="121" spans="1:8">
      <c r="A121" s="43" t="s">
        <v>87</v>
      </c>
      <c r="B121" s="43">
        <f>_xlfn.XLOOKUP(Table5[[#This Row],[Name]],Table16[Name],Table16[Vehicle fuel: HGVs (tCO2e)])</f>
        <v>0</v>
      </c>
      <c r="C121" s="43">
        <f>_xlfn.XLOOKUP(Table5[[#This Row],[Name]],Table16[Name],Table16[Vehicle fuel: Vans / LGVs (tCO2e)])</f>
        <v>0</v>
      </c>
      <c r="D121" s="43">
        <f>_xlfn.XLOOKUP(Table5[[#This Row],[Name]],Table16[Name],Table16[Vehicle fuel: Cars (tCO2e)])</f>
        <v>0</v>
      </c>
      <c r="E121" s="60" t="str">
        <f>IFERROR(Table5[[#This Row],[Vehicle fuel: HGVs (tCO2e)]]/SUM(Table5[[#This Row],[Vehicle fuel: HGVs (tCO2e)]:[Vehicle fuel: Cars (tCO2e)]]),"")</f>
        <v/>
      </c>
      <c r="F121" s="60" t="str">
        <f>IFERROR(Table5[[#This Row],[Vehicle fuel: Vans / LGVs (tCO2e)]]/SUM(Table5[[#This Row],[Vehicle fuel: HGVs (tCO2e)]:[Vehicle fuel: Cars (tCO2e)]]),"")</f>
        <v/>
      </c>
      <c r="G121" s="60" t="str">
        <f>IFERROR(Table5[[#This Row],[Vehicle fuel: Cars (tCO2e)]]/SUM(Table5[[#This Row],[Vehicle fuel: HGVs (tCO2e)]:[Vehicle fuel: Cars (tCO2e)]]),"")</f>
        <v/>
      </c>
      <c r="H121" s="59" t="s">
        <v>879</v>
      </c>
    </row>
    <row r="122" spans="1:8">
      <c r="A122" s="28" t="s">
        <v>88</v>
      </c>
      <c r="B122" s="28">
        <f>_xlfn.XLOOKUP(Table5[[#This Row],[Name]],Table16[Name],Table16[Vehicle fuel: HGVs (tCO2e)])</f>
        <v>0</v>
      </c>
      <c r="C122" s="28">
        <f>_xlfn.XLOOKUP(Table5[[#This Row],[Name]],Table16[Name],Table16[Vehicle fuel: Vans / LGVs (tCO2e)])</f>
        <v>0</v>
      </c>
      <c r="D122" s="28">
        <f>_xlfn.XLOOKUP(Table5[[#This Row],[Name]],Table16[Name],Table16[Vehicle fuel: Cars (tCO2e)])</f>
        <v>0</v>
      </c>
      <c r="E122" s="36" t="str">
        <f>IFERROR(Table5[[#This Row],[Vehicle fuel: HGVs (tCO2e)]]/SUM(Table5[[#This Row],[Vehicle fuel: HGVs (tCO2e)]:[Vehicle fuel: Cars (tCO2e)]]),"")</f>
        <v/>
      </c>
      <c r="F122" s="36" t="str">
        <f>IFERROR(Table5[[#This Row],[Vehicle fuel: Vans / LGVs (tCO2e)]]/SUM(Table5[[#This Row],[Vehicle fuel: HGVs (tCO2e)]:[Vehicle fuel: Cars (tCO2e)]]),"")</f>
        <v/>
      </c>
      <c r="G122" s="36" t="str">
        <f>IFERROR(Table5[[#This Row],[Vehicle fuel: Cars (tCO2e)]]/SUM(Table5[[#This Row],[Vehicle fuel: HGVs (tCO2e)]:[Vehicle fuel: Cars (tCO2e)]]),"")</f>
        <v/>
      </c>
      <c r="H122" s="59" t="s">
        <v>879</v>
      </c>
    </row>
    <row r="123" spans="1:8">
      <c r="A123" s="43" t="s">
        <v>16</v>
      </c>
      <c r="B123" s="43">
        <f>_xlfn.XLOOKUP(Table5[[#This Row],[Name]],Table16[Name],Table16[Vehicle fuel: HGVs (tCO2e)])</f>
        <v>13361</v>
      </c>
      <c r="C123" s="43" t="str">
        <f>_xlfn.XLOOKUP(Table5[[#This Row],[Name]],Table16[Name],Table16[Vehicle fuel: Vans / LGVs (tCO2e)])</f>
        <v/>
      </c>
      <c r="D123" s="43" t="str">
        <f>_xlfn.XLOOKUP(Table5[[#This Row],[Name]],Table16[Name],Table16[Vehicle fuel: Cars (tCO2e)])</f>
        <v/>
      </c>
      <c r="E123" s="60">
        <f>IFERROR(Table5[[#This Row],[Vehicle fuel: HGVs (tCO2e)]]/SUM(Table5[[#This Row],[Vehicle fuel: HGVs (tCO2e)]:[Vehicle fuel: Cars (tCO2e)]]),"")</f>
        <v>1</v>
      </c>
      <c r="F123" s="60" t="str">
        <f>IFERROR(Table5[[#This Row],[Vehicle fuel: Vans / LGVs (tCO2e)]]/SUM(Table5[[#This Row],[Vehicle fuel: HGVs (tCO2e)]:[Vehicle fuel: Cars (tCO2e)]]),"")</f>
        <v/>
      </c>
      <c r="G123" s="60" t="str">
        <f>IFERROR(Table5[[#This Row],[Vehicle fuel: Cars (tCO2e)]]/SUM(Table5[[#This Row],[Vehicle fuel: HGVs (tCO2e)]:[Vehicle fuel: Cars (tCO2e)]]),"")</f>
        <v/>
      </c>
      <c r="H123" s="59" t="s">
        <v>879</v>
      </c>
    </row>
    <row r="124" spans="1:8">
      <c r="A124" s="28" t="s">
        <v>89</v>
      </c>
      <c r="B124" s="28">
        <f>_xlfn.XLOOKUP(Table5[[#This Row],[Name]],Table16[Name],Table16[Vehicle fuel: HGVs (tCO2e)])</f>
        <v>12639</v>
      </c>
      <c r="C124" s="28">
        <f>_xlfn.XLOOKUP(Table5[[#This Row],[Name]],Table16[Name],Table16[Vehicle fuel: Vans / LGVs (tCO2e)])</f>
        <v>0</v>
      </c>
      <c r="D124" s="28">
        <f>_xlfn.XLOOKUP(Table5[[#This Row],[Name]],Table16[Name],Table16[Vehicle fuel: Cars (tCO2e)])</f>
        <v>4854</v>
      </c>
      <c r="E124" s="36">
        <f>IFERROR(Table5[[#This Row],[Vehicle fuel: HGVs (tCO2e)]]/SUM(Table5[[#This Row],[Vehicle fuel: HGVs (tCO2e)]:[Vehicle fuel: Cars (tCO2e)]]),"")</f>
        <v>0.72251757845995546</v>
      </c>
      <c r="F124" s="36">
        <f>IFERROR(Table5[[#This Row],[Vehicle fuel: Vans / LGVs (tCO2e)]]/SUM(Table5[[#This Row],[Vehicle fuel: HGVs (tCO2e)]:[Vehicle fuel: Cars (tCO2e)]]),"")</f>
        <v>0</v>
      </c>
      <c r="G124" s="36">
        <f>IFERROR(Table5[[#This Row],[Vehicle fuel: Cars (tCO2e)]]/SUM(Table5[[#This Row],[Vehicle fuel: HGVs (tCO2e)]:[Vehicle fuel: Cars (tCO2e)]]),"")</f>
        <v>0.2774824215400446</v>
      </c>
      <c r="H124" s="59" t="s">
        <v>877</v>
      </c>
    </row>
    <row r="125" spans="1:8">
      <c r="A125" s="43" t="s">
        <v>17</v>
      </c>
      <c r="B125" s="43">
        <f>_xlfn.XLOOKUP(Table5[[#This Row],[Name]],Table16[Name],Table16[Vehicle fuel: HGVs (tCO2e)])</f>
        <v>3007.4688159522434</v>
      </c>
      <c r="C125" s="43" t="str">
        <f>_xlfn.XLOOKUP(Table5[[#This Row],[Name]],Table16[Name],Table16[Vehicle fuel: Vans / LGVs (tCO2e)])</f>
        <v>r404a</v>
      </c>
      <c r="D125" s="43" t="str">
        <f>_xlfn.XLOOKUP(Table5[[#This Row],[Name]],Table16[Name],Table16[Vehicle fuel: Cars (tCO2e)])</f>
        <v>No available</v>
      </c>
      <c r="E125" s="60">
        <f>IFERROR(Table5[[#This Row],[Vehicle fuel: HGVs (tCO2e)]]/SUM(Table5[[#This Row],[Vehicle fuel: HGVs (tCO2e)]:[Vehicle fuel: Cars (tCO2e)]]),"")</f>
        <v>1</v>
      </c>
      <c r="F125" s="60" t="str">
        <f>IFERROR(Table5[[#This Row],[Vehicle fuel: Vans / LGVs (tCO2e)]]/SUM(Table5[[#This Row],[Vehicle fuel: HGVs (tCO2e)]:[Vehicle fuel: Cars (tCO2e)]]),"")</f>
        <v/>
      </c>
      <c r="G125" s="60" t="str">
        <f>IFERROR(Table5[[#This Row],[Vehicle fuel: Cars (tCO2e)]]/SUM(Table5[[#This Row],[Vehicle fuel: HGVs (tCO2e)]:[Vehicle fuel: Cars (tCO2e)]]),"")</f>
        <v/>
      </c>
      <c r="H125" s="59" t="s">
        <v>879</v>
      </c>
    </row>
    <row r="126" spans="1:8">
      <c r="A126" s="28" t="s">
        <v>32</v>
      </c>
      <c r="B126" s="28">
        <f>_xlfn.XLOOKUP(Table5[[#This Row],[Name]],Table16[Name],Table16[Vehicle fuel: HGVs (tCO2e)])</f>
        <v>178.19454224</v>
      </c>
      <c r="C126" s="28" t="str">
        <f>_xlfn.XLOOKUP(Table5[[#This Row],[Name]],Table16[Name],Table16[Vehicle fuel: Vans / LGVs (tCO2e)])</f>
        <v/>
      </c>
      <c r="D126" s="28" t="str">
        <f>_xlfn.XLOOKUP(Table5[[#This Row],[Name]],Table16[Name],Table16[Vehicle fuel: Cars (tCO2e)])</f>
        <v/>
      </c>
      <c r="E126" s="36">
        <f>IFERROR(Table5[[#This Row],[Vehicle fuel: HGVs (tCO2e)]]/SUM(Table5[[#This Row],[Vehicle fuel: HGVs (tCO2e)]:[Vehicle fuel: Cars (tCO2e)]]),"")</f>
        <v>1</v>
      </c>
      <c r="F126" s="36" t="str">
        <f>IFERROR(Table5[[#This Row],[Vehicle fuel: Vans / LGVs (tCO2e)]]/SUM(Table5[[#This Row],[Vehicle fuel: HGVs (tCO2e)]:[Vehicle fuel: Cars (tCO2e)]]),"")</f>
        <v/>
      </c>
      <c r="G126" s="36" t="str">
        <f>IFERROR(Table5[[#This Row],[Vehicle fuel: Cars (tCO2e)]]/SUM(Table5[[#This Row],[Vehicle fuel: HGVs (tCO2e)]:[Vehicle fuel: Cars (tCO2e)]]),"")</f>
        <v/>
      </c>
      <c r="H126" s="59" t="s">
        <v>879</v>
      </c>
    </row>
    <row r="127" spans="1:8">
      <c r="A127" s="43" t="s">
        <v>34</v>
      </c>
      <c r="B127" s="43">
        <f>_xlfn.XLOOKUP(Table5[[#This Row],[Name]],Table16[Name],Table16[Vehicle fuel: HGVs (tCO2e)])</f>
        <v>476</v>
      </c>
      <c r="C127" s="43">
        <f>_xlfn.XLOOKUP(Table5[[#This Row],[Name]],Table16[Name],Table16[Vehicle fuel: Vans / LGVs (tCO2e)])</f>
        <v>27</v>
      </c>
      <c r="D127" s="43">
        <f>_xlfn.XLOOKUP(Table5[[#This Row],[Name]],Table16[Name],Table16[Vehicle fuel: Cars (tCO2e)])</f>
        <v>87</v>
      </c>
      <c r="E127" s="60">
        <f>IFERROR(Table5[[#This Row],[Vehicle fuel: HGVs (tCO2e)]]/SUM(Table5[[#This Row],[Vehicle fuel: HGVs (tCO2e)]:[Vehicle fuel: Cars (tCO2e)]]),"")</f>
        <v>0.8067796610169492</v>
      </c>
      <c r="F127" s="60">
        <f>IFERROR(Table5[[#This Row],[Vehicle fuel: Vans / LGVs (tCO2e)]]/SUM(Table5[[#This Row],[Vehicle fuel: HGVs (tCO2e)]:[Vehicle fuel: Cars (tCO2e)]]),"")</f>
        <v>4.576271186440678E-2</v>
      </c>
      <c r="G127" s="60">
        <f>IFERROR(Table5[[#This Row],[Vehicle fuel: Cars (tCO2e)]]/SUM(Table5[[#This Row],[Vehicle fuel: HGVs (tCO2e)]:[Vehicle fuel: Cars (tCO2e)]]),"")</f>
        <v>0.14745762711864407</v>
      </c>
      <c r="H127" s="59" t="s">
        <v>877</v>
      </c>
    </row>
    <row r="128" spans="1:8">
      <c r="A128" s="28" t="s">
        <v>90</v>
      </c>
      <c r="B128" s="28" t="str">
        <f>_xlfn.XLOOKUP(Table5[[#This Row],[Name]],Table16[Name],Table16[Vehicle fuel: HGVs (tCO2e)])</f>
        <v/>
      </c>
      <c r="C128" s="28">
        <f>_xlfn.XLOOKUP(Table5[[#This Row],[Name]],Table16[Name],Table16[Vehicle fuel: Vans / LGVs (tCO2e)])</f>
        <v>20.28</v>
      </c>
      <c r="D128" s="28" t="str">
        <f>_xlfn.XLOOKUP(Table5[[#This Row],[Name]],Table16[Name],Table16[Vehicle fuel: Cars (tCO2e)])</f>
        <v>included above</v>
      </c>
      <c r="E128" s="36" t="str">
        <f>IFERROR(Table5[[#This Row],[Vehicle fuel: HGVs (tCO2e)]]/SUM(Table5[[#This Row],[Vehicle fuel: HGVs (tCO2e)]:[Vehicle fuel: Cars (tCO2e)]]),"")</f>
        <v/>
      </c>
      <c r="F128" s="36">
        <f>IFERROR(Table5[[#This Row],[Vehicle fuel: Vans / LGVs (tCO2e)]]/SUM(Table5[[#This Row],[Vehicle fuel: HGVs (tCO2e)]:[Vehicle fuel: Cars (tCO2e)]]),"")</f>
        <v>1</v>
      </c>
      <c r="G128" s="36" t="str">
        <f>IFERROR(Table5[[#This Row],[Vehicle fuel: Cars (tCO2e)]]/SUM(Table5[[#This Row],[Vehicle fuel: HGVs (tCO2e)]:[Vehicle fuel: Cars (tCO2e)]]),"")</f>
        <v/>
      </c>
      <c r="H128" s="59" t="s">
        <v>879</v>
      </c>
    </row>
    <row r="129" spans="1:8">
      <c r="A129" s="43" t="s">
        <v>91</v>
      </c>
      <c r="B129" s="43">
        <f>_xlfn.XLOOKUP(Table5[[#This Row],[Name]],Table16[Name],Table16[Vehicle fuel: HGVs (tCO2e)])</f>
        <v>763</v>
      </c>
      <c r="C129" s="43">
        <f>_xlfn.XLOOKUP(Table5[[#This Row],[Name]],Table16[Name],Table16[Vehicle fuel: Vans / LGVs (tCO2e)])</f>
        <v>63</v>
      </c>
      <c r="D129" s="43">
        <f>_xlfn.XLOOKUP(Table5[[#This Row],[Name]],Table16[Name],Table16[Vehicle fuel: Cars (tCO2e)])</f>
        <v>0</v>
      </c>
      <c r="E129" s="60">
        <f>IFERROR(Table5[[#This Row],[Vehicle fuel: HGVs (tCO2e)]]/SUM(Table5[[#This Row],[Vehicle fuel: HGVs (tCO2e)]:[Vehicle fuel: Cars (tCO2e)]]),"")</f>
        <v>0.92372881355932202</v>
      </c>
      <c r="F129" s="60">
        <f>IFERROR(Table5[[#This Row],[Vehicle fuel: Vans / LGVs (tCO2e)]]/SUM(Table5[[#This Row],[Vehicle fuel: HGVs (tCO2e)]:[Vehicle fuel: Cars (tCO2e)]]),"")</f>
        <v>7.6271186440677971E-2</v>
      </c>
      <c r="G129" s="60">
        <f>IFERROR(Table5[[#This Row],[Vehicle fuel: Cars (tCO2e)]]/SUM(Table5[[#This Row],[Vehicle fuel: HGVs (tCO2e)]:[Vehicle fuel: Cars (tCO2e)]]),"")</f>
        <v>0</v>
      </c>
      <c r="H129" s="59" t="s">
        <v>877</v>
      </c>
    </row>
    <row r="130" spans="1:8">
      <c r="A130" s="28" t="s">
        <v>47</v>
      </c>
      <c r="B130" s="28">
        <f>_xlfn.XLOOKUP(Table5[[#This Row],[Name]],Table16[Name],Table16[Vehicle fuel: HGVs (tCO2e)])</f>
        <v>31.24</v>
      </c>
      <c r="C130" s="28">
        <f>_xlfn.XLOOKUP(Table5[[#This Row],[Name]],Table16[Name],Table16[Vehicle fuel: Vans / LGVs (tCO2e)])</f>
        <v>31.24</v>
      </c>
      <c r="D130" s="28" t="str">
        <f>_xlfn.XLOOKUP(Table5[[#This Row],[Name]],Table16[Name],Table16[Vehicle fuel: Cars (tCO2e)])</f>
        <v/>
      </c>
      <c r="E130" s="36">
        <f>IFERROR(Table5[[#This Row],[Vehicle fuel: HGVs (tCO2e)]]/SUM(Table5[[#This Row],[Vehicle fuel: HGVs (tCO2e)]:[Vehicle fuel: Cars (tCO2e)]]),"")</f>
        <v>0.5</v>
      </c>
      <c r="F130" s="36">
        <f>IFERROR(Table5[[#This Row],[Vehicle fuel: Vans / LGVs (tCO2e)]]/SUM(Table5[[#This Row],[Vehicle fuel: HGVs (tCO2e)]:[Vehicle fuel: Cars (tCO2e)]]),"")</f>
        <v>0.5</v>
      </c>
      <c r="G130" s="36" t="str">
        <f>IFERROR(Table5[[#This Row],[Vehicle fuel: Cars (tCO2e)]]/SUM(Table5[[#This Row],[Vehicle fuel: HGVs (tCO2e)]:[Vehicle fuel: Cars (tCO2e)]]),"")</f>
        <v/>
      </c>
      <c r="H130" s="59" t="s">
        <v>879</v>
      </c>
    </row>
    <row r="131" spans="1:8">
      <c r="A131" s="43" t="s">
        <v>44</v>
      </c>
      <c r="B131" s="43">
        <f>_xlfn.XLOOKUP(Table5[[#This Row],[Name]],Table16[Name],Table16[Vehicle fuel: HGVs (tCO2e)])</f>
        <v>8.6454991999999979</v>
      </c>
      <c r="C131" s="43" t="str">
        <f>_xlfn.XLOOKUP(Table5[[#This Row],[Name]],Table16[Name],Table16[Vehicle fuel: Vans / LGVs (tCO2e)])</f>
        <v>NA</v>
      </c>
      <c r="D131" s="43" t="str">
        <f>_xlfn.XLOOKUP(Table5[[#This Row],[Name]],Table16[Name],Table16[Vehicle fuel: Cars (tCO2e)])</f>
        <v>NA</v>
      </c>
      <c r="E131" s="60">
        <f>IFERROR(Table5[[#This Row],[Vehicle fuel: HGVs (tCO2e)]]/SUM(Table5[[#This Row],[Vehicle fuel: HGVs (tCO2e)]:[Vehicle fuel: Cars (tCO2e)]]),"")</f>
        <v>1</v>
      </c>
      <c r="F131" s="60" t="str">
        <f>IFERROR(Table5[[#This Row],[Vehicle fuel: Vans / LGVs (tCO2e)]]/SUM(Table5[[#This Row],[Vehicle fuel: HGVs (tCO2e)]:[Vehicle fuel: Cars (tCO2e)]]),"")</f>
        <v/>
      </c>
      <c r="G131" s="60" t="str">
        <f>IFERROR(Table5[[#This Row],[Vehicle fuel: Cars (tCO2e)]]/SUM(Table5[[#This Row],[Vehicle fuel: HGVs (tCO2e)]:[Vehicle fuel: Cars (tCO2e)]]),"")</f>
        <v/>
      </c>
      <c r="H131" s="59" t="s">
        <v>879</v>
      </c>
    </row>
    <row r="132" spans="1:8">
      <c r="A132" s="28" t="s">
        <v>586</v>
      </c>
      <c r="B132" s="28">
        <f>_xlfn.XLOOKUP(Table5[[#This Row],[Name]],Table16[Name],Table16[Vehicle fuel: HGVs (tCO2e)])</f>
        <v>50.901015999999998</v>
      </c>
      <c r="C132" s="28" t="str">
        <f>_xlfn.XLOOKUP(Table5[[#This Row],[Name]],Table16[Name],Table16[Vehicle fuel: Vans / LGVs (tCO2e)])</f>
        <v>NA</v>
      </c>
      <c r="D132" s="28" t="str">
        <f>_xlfn.XLOOKUP(Table5[[#This Row],[Name]],Table16[Name],Table16[Vehicle fuel: Cars (tCO2e)])</f>
        <v>NA</v>
      </c>
      <c r="E132" s="36">
        <f>IFERROR(Table5[[#This Row],[Vehicle fuel: HGVs (tCO2e)]]/SUM(Table5[[#This Row],[Vehicle fuel: HGVs (tCO2e)]:[Vehicle fuel: Cars (tCO2e)]]),"")</f>
        <v>1</v>
      </c>
      <c r="F132" s="36" t="str">
        <f>IFERROR(Table5[[#This Row],[Vehicle fuel: Vans / LGVs (tCO2e)]]/SUM(Table5[[#This Row],[Vehicle fuel: HGVs (tCO2e)]:[Vehicle fuel: Cars (tCO2e)]]),"")</f>
        <v/>
      </c>
      <c r="G132" s="36" t="str">
        <f>IFERROR(Table5[[#This Row],[Vehicle fuel: Cars (tCO2e)]]/SUM(Table5[[#This Row],[Vehicle fuel: HGVs (tCO2e)]:[Vehicle fuel: Cars (tCO2e)]]),"")</f>
        <v/>
      </c>
      <c r="H132" s="59" t="s">
        <v>879</v>
      </c>
    </row>
    <row r="133" spans="1:8">
      <c r="A133" s="43" t="s">
        <v>45</v>
      </c>
      <c r="B133" s="43">
        <f>_xlfn.XLOOKUP(Table5[[#This Row],[Name]],Table16[Name],Table16[Vehicle fuel: HGVs (tCO2e)])</f>
        <v>0</v>
      </c>
      <c r="C133" s="43" t="str">
        <f>_xlfn.XLOOKUP(Table5[[#This Row],[Name]],Table16[Name],Table16[Vehicle fuel: Vans / LGVs (tCO2e)])</f>
        <v>NA</v>
      </c>
      <c r="D133" s="43" t="str">
        <f>_xlfn.XLOOKUP(Table5[[#This Row],[Name]],Table16[Name],Table16[Vehicle fuel: Cars (tCO2e)])</f>
        <v>NA</v>
      </c>
      <c r="E133" s="60" t="str">
        <f>IFERROR(Table5[[#This Row],[Vehicle fuel: HGVs (tCO2e)]]/SUM(Table5[[#This Row],[Vehicle fuel: HGVs (tCO2e)]:[Vehicle fuel: Cars (tCO2e)]]),"")</f>
        <v/>
      </c>
      <c r="F133" s="60" t="str">
        <f>IFERROR(Table5[[#This Row],[Vehicle fuel: Vans / LGVs (tCO2e)]]/SUM(Table5[[#This Row],[Vehicle fuel: HGVs (tCO2e)]:[Vehicle fuel: Cars (tCO2e)]]),"")</f>
        <v/>
      </c>
      <c r="G133" s="60" t="str">
        <f>IFERROR(Table5[[#This Row],[Vehicle fuel: Cars (tCO2e)]]/SUM(Table5[[#This Row],[Vehicle fuel: HGVs (tCO2e)]:[Vehicle fuel: Cars (tCO2e)]]),"")</f>
        <v/>
      </c>
      <c r="H133" s="59" t="s">
        <v>879</v>
      </c>
    </row>
    <row r="134" spans="1:8">
      <c r="A134" s="28" t="s">
        <v>46</v>
      </c>
      <c r="B134" s="28">
        <f>_xlfn.XLOOKUP(Table5[[#This Row],[Name]],Table16[Name],Table16[Vehicle fuel: HGVs (tCO2e)])</f>
        <v>1440.3007759839998</v>
      </c>
      <c r="C134" s="28" t="str">
        <f>_xlfn.XLOOKUP(Table5[[#This Row],[Name]],Table16[Name],Table16[Vehicle fuel: Vans / LGVs (tCO2e)])</f>
        <v>NA</v>
      </c>
      <c r="D134" s="28" t="str">
        <f>_xlfn.XLOOKUP(Table5[[#This Row],[Name]],Table16[Name],Table16[Vehicle fuel: Cars (tCO2e)])</f>
        <v>NA</v>
      </c>
      <c r="E134" s="36">
        <f>IFERROR(Table5[[#This Row],[Vehicle fuel: HGVs (tCO2e)]]/SUM(Table5[[#This Row],[Vehicle fuel: HGVs (tCO2e)]:[Vehicle fuel: Cars (tCO2e)]]),"")</f>
        <v>1</v>
      </c>
      <c r="F134" s="36" t="str">
        <f>IFERROR(Table5[[#This Row],[Vehicle fuel: Vans / LGVs (tCO2e)]]/SUM(Table5[[#This Row],[Vehicle fuel: HGVs (tCO2e)]:[Vehicle fuel: Cars (tCO2e)]]),"")</f>
        <v/>
      </c>
      <c r="G134" s="36" t="str">
        <f>IFERROR(Table5[[#This Row],[Vehicle fuel: Cars (tCO2e)]]/SUM(Table5[[#This Row],[Vehicle fuel: HGVs (tCO2e)]:[Vehicle fuel: Cars (tCO2e)]]),"")</f>
        <v/>
      </c>
      <c r="H134" s="59" t="s">
        <v>879</v>
      </c>
    </row>
    <row r="135" spans="1:8">
      <c r="A135" s="28" t="s">
        <v>48</v>
      </c>
      <c r="B135" s="28">
        <f>_xlfn.XLOOKUP(Table5[[#This Row],[Name]],Table16[Name],Table16[Vehicle fuel: HGVs (tCO2e)])</f>
        <v>93.693679199999991</v>
      </c>
      <c r="C135" s="28" t="str">
        <f>_xlfn.XLOOKUP(Table5[[#This Row],[Name]],Table16[Name],Table16[Vehicle fuel: Vans / LGVs (tCO2e)])</f>
        <v>NA</v>
      </c>
      <c r="D135" s="28" t="str">
        <f>_xlfn.XLOOKUP(Table5[[#This Row],[Name]],Table16[Name],Table16[Vehicle fuel: Cars (tCO2e)])</f>
        <v>NA</v>
      </c>
      <c r="E135" s="36">
        <f>IFERROR(Table5[[#This Row],[Vehicle fuel: HGVs (tCO2e)]]/SUM(Table5[[#This Row],[Vehicle fuel: HGVs (tCO2e)]:[Vehicle fuel: Cars (tCO2e)]]),"")</f>
        <v>1</v>
      </c>
      <c r="F135" s="36" t="str">
        <f>IFERROR(Table5[[#This Row],[Vehicle fuel: Vans / LGVs (tCO2e)]]/SUM(Table5[[#This Row],[Vehicle fuel: HGVs (tCO2e)]:[Vehicle fuel: Cars (tCO2e)]]),"")</f>
        <v/>
      </c>
      <c r="G135" s="36" t="str">
        <f>IFERROR(Table5[[#This Row],[Vehicle fuel: Cars (tCO2e)]]/SUM(Table5[[#This Row],[Vehicle fuel: HGVs (tCO2e)]:[Vehicle fuel: Cars (tCO2e)]]),"")</f>
        <v/>
      </c>
      <c r="H135" s="59" t="s">
        <v>879</v>
      </c>
    </row>
    <row r="136" spans="1:8">
      <c r="A136" s="43" t="s">
        <v>49</v>
      </c>
      <c r="B136" s="43">
        <f>_xlfn.XLOOKUP(Table5[[#This Row],[Name]],Table16[Name],Table16[Vehicle fuel: HGVs (tCO2e)])</f>
        <v>218.21781888037893</v>
      </c>
      <c r="C136" s="43" t="str">
        <f>_xlfn.XLOOKUP(Table5[[#This Row],[Name]],Table16[Name],Table16[Vehicle fuel: Vans / LGVs (tCO2e)])</f>
        <v>NA</v>
      </c>
      <c r="D136" s="43" t="str">
        <f>_xlfn.XLOOKUP(Table5[[#This Row],[Name]],Table16[Name],Table16[Vehicle fuel: Cars (tCO2e)])</f>
        <v>NA</v>
      </c>
      <c r="E136" s="60">
        <f>IFERROR(Table5[[#This Row],[Vehicle fuel: HGVs (tCO2e)]]/SUM(Table5[[#This Row],[Vehicle fuel: HGVs (tCO2e)]:[Vehicle fuel: Cars (tCO2e)]]),"")</f>
        <v>1</v>
      </c>
      <c r="F136" s="60" t="str">
        <f>IFERROR(Table5[[#This Row],[Vehicle fuel: Vans / LGVs (tCO2e)]]/SUM(Table5[[#This Row],[Vehicle fuel: HGVs (tCO2e)]:[Vehicle fuel: Cars (tCO2e)]]),"")</f>
        <v/>
      </c>
      <c r="G136" s="60" t="str">
        <f>IFERROR(Table5[[#This Row],[Vehicle fuel: Cars (tCO2e)]]/SUM(Table5[[#This Row],[Vehicle fuel: HGVs (tCO2e)]:[Vehicle fuel: Cars (tCO2e)]]),"")</f>
        <v/>
      </c>
      <c r="H136" s="59" t="s">
        <v>879</v>
      </c>
    </row>
    <row r="137" spans="1:8">
      <c r="A137" s="28" t="s">
        <v>50</v>
      </c>
      <c r="B137" s="28">
        <f>_xlfn.XLOOKUP(Table5[[#This Row],[Name]],Table16[Name],Table16[Vehicle fuel: HGVs (tCO2e)])</f>
        <v>225.78659656679997</v>
      </c>
      <c r="C137" s="28" t="str">
        <f>_xlfn.XLOOKUP(Table5[[#This Row],[Name]],Table16[Name],Table16[Vehicle fuel: Vans / LGVs (tCO2e)])</f>
        <v>NA</v>
      </c>
      <c r="D137" s="28" t="str">
        <f>_xlfn.XLOOKUP(Table5[[#This Row],[Name]],Table16[Name],Table16[Vehicle fuel: Cars (tCO2e)])</f>
        <v>NA</v>
      </c>
      <c r="E137" s="36">
        <f>IFERROR(Table5[[#This Row],[Vehicle fuel: HGVs (tCO2e)]]/SUM(Table5[[#This Row],[Vehicle fuel: HGVs (tCO2e)]:[Vehicle fuel: Cars (tCO2e)]]),"")</f>
        <v>1</v>
      </c>
      <c r="F137" s="36" t="str">
        <f>IFERROR(Table5[[#This Row],[Vehicle fuel: Vans / LGVs (tCO2e)]]/SUM(Table5[[#This Row],[Vehicle fuel: HGVs (tCO2e)]:[Vehicle fuel: Cars (tCO2e)]]),"")</f>
        <v/>
      </c>
      <c r="G137" s="36" t="str">
        <f>IFERROR(Table5[[#This Row],[Vehicle fuel: Cars (tCO2e)]]/SUM(Table5[[#This Row],[Vehicle fuel: HGVs (tCO2e)]:[Vehicle fuel: Cars (tCO2e)]]),"")</f>
        <v/>
      </c>
      <c r="H137" s="59" t="s">
        <v>879</v>
      </c>
    </row>
    <row r="138" spans="1:8">
      <c r="A138" s="34" t="s">
        <v>51</v>
      </c>
      <c r="B138" s="34">
        <f>_xlfn.XLOOKUP(Table5[[#This Row],[Name]],Table16[Name],Table16[Vehicle fuel: HGVs (tCO2e)])</f>
        <v>140.68119999999999</v>
      </c>
      <c r="C138" s="34" t="str">
        <f>_xlfn.XLOOKUP(Table5[[#This Row],[Name]],Table16[Name],Table16[Vehicle fuel: Vans / LGVs (tCO2e)])</f>
        <v>NA</v>
      </c>
      <c r="D138" s="34" t="str">
        <f>_xlfn.XLOOKUP(Table5[[#This Row],[Name]],Table16[Name],Table16[Vehicle fuel: Cars (tCO2e)])</f>
        <v>NA</v>
      </c>
      <c r="E138" s="35">
        <f>IFERROR(Table5[[#This Row],[Vehicle fuel: HGVs (tCO2e)]]/SUM(Table5[[#This Row],[Vehicle fuel: HGVs (tCO2e)]:[Vehicle fuel: Cars (tCO2e)]]),"")</f>
        <v>1</v>
      </c>
      <c r="F138" s="35" t="str">
        <f>IFERROR(Table5[[#This Row],[Vehicle fuel: Vans / LGVs (tCO2e)]]/SUM(Table5[[#This Row],[Vehicle fuel: HGVs (tCO2e)]:[Vehicle fuel: Cars (tCO2e)]]),"")</f>
        <v/>
      </c>
      <c r="G138" s="35" t="str">
        <f>IFERROR(Table5[[#This Row],[Vehicle fuel: Cars (tCO2e)]]/SUM(Table5[[#This Row],[Vehicle fuel: HGVs (tCO2e)]:[Vehicle fuel: Cars (tCO2e)]]),"")</f>
        <v/>
      </c>
      <c r="H138" s="59" t="s">
        <v>879</v>
      </c>
    </row>
    <row r="141" spans="1:8">
      <c r="A141" t="s">
        <v>1068</v>
      </c>
      <c r="B141" t="s">
        <v>1069</v>
      </c>
      <c r="C141" t="s">
        <v>1070</v>
      </c>
    </row>
    <row r="142" spans="1:8">
      <c r="A142" s="61">
        <f>AVERAGEIF(Table5[Include in stats?],"Y",Table5[HGV emissions %])</f>
        <v>0.87296769063052582</v>
      </c>
      <c r="B142" s="61">
        <f>AVERAGEIF(Table5[Include in stats?],"Y",Table5[LGVs emissions %])</f>
        <v>4.9279090915267602E-2</v>
      </c>
      <c r="C142" s="61">
        <f>AVERAGEIF(Table5[Include in stats?],"Y",Table5[Company Car emissions %])</f>
        <v>8.4793088584959084E-2</v>
      </c>
    </row>
    <row r="144" spans="1:8">
      <c r="A144" t="s">
        <v>1071</v>
      </c>
      <c r="B144" t="s">
        <v>1072</v>
      </c>
      <c r="C144" t="s">
        <v>1073</v>
      </c>
    </row>
    <row r="145" spans="1:3">
      <c r="A145" s="61" cm="1">
        <f t="array" ref="A145">Table6[HGV avg % of emissions (not normalised)]/SUM(Table6[])</f>
        <v>0.86686507309505134</v>
      </c>
      <c r="B145" s="61" cm="1">
        <f t="array" ref="B145">Table6[LGV avg % of emissions (not normalised)]/SUM(Table6[])</f>
        <v>4.8934597702541091E-2</v>
      </c>
      <c r="C145" s="61" cm="1">
        <f t="array" ref="C145">Table6[Company Car avg % of emissions (not normalised)]/SUM(Table6[])</f>
        <v>8.4200329202407526E-2</v>
      </c>
    </row>
  </sheetData>
  <phoneticPr fontId="2" type="noConversion"/>
  <pageMargins left="0.7" right="0.7" top="0.75" bottom="0.75" header="0.3" footer="0.3"/>
  <pageSetup paperSize="9" orientation="portrait" horizontalDpi="0" verticalDpi="0"/>
  <tableParts count="9">
    <tablePart r:id="rId1"/>
    <tablePart r:id="rId2"/>
    <tablePart r:id="rId3"/>
    <tablePart r:id="rId4"/>
    <tablePart r:id="rId5"/>
    <tablePart r:id="rId6"/>
    <tablePart r:id="rId7"/>
    <tablePart r:id="rId8"/>
    <tablePart r:id="rId9"/>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CEA8A-C3F1-8A4D-85C0-E574E0368406}">
  <sheetPr codeName="Sheet3">
    <tabColor theme="8"/>
  </sheetPr>
  <dimension ref="A1:Z58"/>
  <sheetViews>
    <sheetView zoomScaleNormal="100" workbookViewId="0">
      <selection activeCell="B9" sqref="B9"/>
    </sheetView>
  </sheetViews>
  <sheetFormatPr baseColWidth="10" defaultColWidth="4" defaultRowHeight="28.25" customHeight="1"/>
  <cols>
    <col min="1" max="1" width="29.42578125" style="97" customWidth="1"/>
    <col min="2" max="2" width="17.5703125" style="97" customWidth="1"/>
    <col min="3" max="3" width="12" style="97" customWidth="1"/>
    <col min="4" max="4" width="2.85546875" style="97" customWidth="1"/>
    <col min="5" max="5" width="13.5703125" style="100" customWidth="1"/>
    <col min="6" max="6" width="2.85546875" style="100" customWidth="1"/>
    <col min="7" max="7" width="24.7109375" style="100" customWidth="1"/>
    <col min="8" max="8" width="10" style="97" customWidth="1"/>
    <col min="9" max="9" width="12.140625" style="97" customWidth="1"/>
    <col min="10" max="10" width="4" style="97"/>
    <col min="11" max="11" width="12.7109375" style="97" customWidth="1"/>
    <col min="12" max="12" width="12.85546875" style="100" customWidth="1"/>
    <col min="13" max="13" width="7.5703125" style="100" customWidth="1"/>
    <col min="14" max="14" width="39.85546875" style="128" customWidth="1"/>
    <col min="15" max="17" width="4" style="100"/>
    <col min="18" max="18" width="5.28515625" style="100" customWidth="1"/>
    <col min="19" max="22" width="4" style="100"/>
    <col min="23" max="23" width="6.7109375" style="100" customWidth="1"/>
    <col min="24" max="24" width="7.85546875" style="100" customWidth="1"/>
    <col min="25" max="25" width="7.5703125" style="100" customWidth="1"/>
    <col min="26" max="27" width="4" style="100"/>
    <col min="28" max="28" width="7.5703125" style="100" bestFit="1" customWidth="1"/>
    <col min="29" max="16384" width="4" style="100"/>
  </cols>
  <sheetData>
    <row r="1" spans="1:23" ht="45">
      <c r="B1" s="98"/>
      <c r="C1" s="98"/>
      <c r="D1" s="98"/>
      <c r="E1" s="220" t="s">
        <v>98</v>
      </c>
      <c r="F1" s="98"/>
      <c r="G1" s="98"/>
      <c r="H1" s="98"/>
      <c r="I1" s="98"/>
      <c r="J1" s="98"/>
      <c r="K1" s="98"/>
      <c r="N1" s="101"/>
    </row>
    <row r="2" spans="1:23" ht="28.25" customHeight="1">
      <c r="A2" s="98"/>
      <c r="B2" s="98"/>
      <c r="C2" s="98"/>
      <c r="D2" s="98"/>
      <c r="E2" s="98"/>
      <c r="F2" s="98"/>
      <c r="G2" s="98"/>
      <c r="H2" s="98"/>
      <c r="I2" s="98"/>
      <c r="J2" s="98"/>
      <c r="K2" s="98"/>
      <c r="N2" s="102"/>
      <c r="O2" s="103"/>
    </row>
    <row r="3" spans="1:23" ht="66" customHeight="1">
      <c r="A3" s="240" t="s">
        <v>1184</v>
      </c>
      <c r="B3" s="241"/>
      <c r="C3" s="241"/>
      <c r="D3" s="84"/>
      <c r="E3" s="99"/>
      <c r="F3" s="99"/>
      <c r="G3" s="242" t="s">
        <v>1185</v>
      </c>
      <c r="H3" s="243"/>
      <c r="I3" s="243"/>
      <c r="J3" s="243"/>
      <c r="K3" s="243"/>
      <c r="L3" s="243"/>
      <c r="N3" s="104"/>
      <c r="O3" s="103"/>
    </row>
    <row r="4" spans="1:23" ht="28" customHeight="1">
      <c r="A4" s="105"/>
      <c r="B4" s="84"/>
      <c r="C4" s="84"/>
      <c r="D4" s="84"/>
      <c r="E4" s="99"/>
      <c r="F4" s="99"/>
      <c r="G4" s="106"/>
      <c r="H4" s="99"/>
      <c r="I4" s="99"/>
      <c r="J4" s="99"/>
      <c r="K4" s="99"/>
      <c r="L4" s="99"/>
      <c r="N4" s="107"/>
      <c r="O4" s="103"/>
    </row>
    <row r="5" spans="1:23" ht="28" customHeight="1">
      <c r="A5" s="105"/>
      <c r="B5" s="84"/>
      <c r="C5" s="84"/>
      <c r="D5" s="84"/>
      <c r="E5" s="221" t="s">
        <v>1096</v>
      </c>
      <c r="F5" s="99"/>
      <c r="G5" s="106"/>
      <c r="H5" s="99"/>
      <c r="I5" s="99"/>
      <c r="J5" s="99"/>
      <c r="K5" s="99"/>
      <c r="L5" s="99"/>
      <c r="N5" s="108"/>
    </row>
    <row r="6" spans="1:23" ht="28" customHeight="1">
      <c r="A6" s="109"/>
      <c r="B6" s="110"/>
      <c r="C6" s="111"/>
      <c r="D6" s="84"/>
      <c r="E6" s="112" t="s">
        <v>1022</v>
      </c>
      <c r="F6" s="99"/>
      <c r="G6" s="106"/>
      <c r="H6" s="99"/>
      <c r="I6" s="99"/>
      <c r="J6" s="99"/>
      <c r="K6" s="99"/>
      <c r="L6" s="99"/>
      <c r="N6" s="113"/>
    </row>
    <row r="7" spans="1:23" ht="28" customHeight="1">
      <c r="A7" s="244" t="s">
        <v>483</v>
      </c>
      <c r="B7" s="245"/>
      <c r="C7" s="246"/>
      <c r="D7" s="84"/>
      <c r="F7" s="99"/>
      <c r="G7" s="106"/>
      <c r="H7" s="99"/>
      <c r="I7" s="99"/>
      <c r="J7" s="99"/>
      <c r="K7" s="99"/>
      <c r="L7" s="99"/>
      <c r="N7" s="114" t="s">
        <v>1076</v>
      </c>
    </row>
    <row r="8" spans="1:23" ht="45">
      <c r="A8" s="115"/>
      <c r="B8" s="116" t="s">
        <v>1167</v>
      </c>
      <c r="C8" s="117" t="s">
        <v>52</v>
      </c>
      <c r="D8" s="84"/>
      <c r="E8" s="99"/>
      <c r="F8" s="99"/>
      <c r="G8" s="106"/>
      <c r="H8" s="99"/>
      <c r="I8" s="99"/>
      <c r="J8" s="99"/>
      <c r="K8" s="99"/>
      <c r="L8" s="99"/>
      <c r="N8" s="118">
        <f>1-inputs_basic_data_qual</f>
        <v>1</v>
      </c>
    </row>
    <row r="9" spans="1:23" ht="57">
      <c r="A9" s="119" t="s">
        <v>1082</v>
      </c>
      <c r="B9" s="120"/>
      <c r="C9" s="121" t="s">
        <v>53</v>
      </c>
      <c r="D9" s="122"/>
      <c r="E9" s="99"/>
      <c r="F9" s="99"/>
      <c r="G9" s="106"/>
      <c r="H9" s="99"/>
      <c r="I9" s="99"/>
      <c r="J9" s="99"/>
      <c r="K9" s="99"/>
      <c r="L9" s="99"/>
      <c r="N9" s="123" t="str" cm="1">
        <f t="array" ref="N9">_xlfn.IFS(inputs_basic_data_qual&lt;0.5,text_incomplete_key_inputs,inputs_basic_data_qual=0.5,text_complete_key_inputs_only,inputs_basic_data_qual=1,text_all_adv_inputs,inputs_basic_data_qual&gt;0.5,text_some_adv_inputs)</f>
        <v>Not all key inputs have been filled in, please fill in all key inputs highlighted in orange.</v>
      </c>
    </row>
    <row r="10" spans="1:23" ht="66" customHeight="1">
      <c r="A10" s="124" t="s">
        <v>1168</v>
      </c>
      <c r="B10" s="125"/>
      <c r="C10" s="126" t="s">
        <v>107</v>
      </c>
      <c r="D10" s="127"/>
      <c r="F10" s="99"/>
      <c r="G10" s="106"/>
      <c r="H10" s="99"/>
      <c r="I10" s="99"/>
      <c r="J10" s="99"/>
      <c r="K10" s="99"/>
      <c r="L10" s="99"/>
    </row>
    <row r="11" spans="1:23" ht="28.25" customHeight="1">
      <c r="A11" s="129"/>
      <c r="B11" s="130"/>
      <c r="C11" s="130"/>
      <c r="D11" s="84"/>
      <c r="E11" s="99"/>
      <c r="F11" s="99"/>
      <c r="G11" s="106"/>
      <c r="H11" s="99"/>
      <c r="I11" s="99"/>
      <c r="J11" s="99"/>
      <c r="K11" s="99"/>
      <c r="L11" s="99"/>
      <c r="N11" s="113"/>
    </row>
    <row r="12" spans="1:23" ht="28.25" customHeight="1">
      <c r="A12" s="100"/>
      <c r="B12" s="131"/>
      <c r="C12" s="131"/>
      <c r="D12" s="131"/>
      <c r="E12" s="221" t="s">
        <v>1009</v>
      </c>
      <c r="F12" s="131"/>
      <c r="G12" s="131"/>
      <c r="H12" s="131"/>
      <c r="I12" s="131"/>
      <c r="J12" s="131"/>
      <c r="K12" s="131"/>
      <c r="L12" s="131"/>
      <c r="N12" s="113"/>
    </row>
    <row r="13" spans="1:23" ht="28" customHeight="1">
      <c r="A13" s="132"/>
      <c r="B13" s="133"/>
      <c r="C13" s="133"/>
      <c r="E13" s="112" t="s">
        <v>1023</v>
      </c>
      <c r="G13" s="134"/>
      <c r="H13" s="133"/>
      <c r="I13" s="133"/>
      <c r="J13" s="133"/>
      <c r="K13" s="133"/>
      <c r="L13" s="134"/>
      <c r="N13" s="101"/>
      <c r="O13" s="134"/>
      <c r="P13" s="134"/>
      <c r="Q13" s="134"/>
      <c r="R13" s="134"/>
      <c r="S13" s="134"/>
      <c r="T13" s="134"/>
      <c r="U13" s="134"/>
    </row>
    <row r="14" spans="1:23" ht="28.25" customHeight="1">
      <c r="A14" s="244" t="s">
        <v>483</v>
      </c>
      <c r="B14" s="245"/>
      <c r="C14" s="246"/>
      <c r="D14" s="135"/>
      <c r="F14" s="136"/>
      <c r="G14" s="247" t="s">
        <v>484</v>
      </c>
      <c r="H14" s="248"/>
      <c r="I14" s="248"/>
      <c r="J14" s="248"/>
      <c r="K14" s="248"/>
      <c r="L14" s="249"/>
      <c r="M14" s="103"/>
      <c r="N14" s="114" t="s">
        <v>1076</v>
      </c>
      <c r="O14" s="137"/>
      <c r="P14" s="102"/>
      <c r="Q14" s="102"/>
      <c r="R14" s="102"/>
      <c r="V14" s="103"/>
    </row>
    <row r="15" spans="1:23" ht="45">
      <c r="A15" s="138"/>
      <c r="B15" s="116" t="s">
        <v>1167</v>
      </c>
      <c r="C15" s="139" t="s">
        <v>1169</v>
      </c>
      <c r="D15" s="140"/>
      <c r="F15" s="136"/>
      <c r="G15" s="138"/>
      <c r="H15" s="116" t="s">
        <v>1167</v>
      </c>
      <c r="I15" s="141" t="s">
        <v>52</v>
      </c>
      <c r="J15" s="142"/>
      <c r="K15" s="116" t="s">
        <v>1167</v>
      </c>
      <c r="L15" s="143" t="s">
        <v>52</v>
      </c>
      <c r="M15" s="103"/>
      <c r="N15" s="118">
        <f>1-inputs_log_dataqual_percent</f>
        <v>1</v>
      </c>
      <c r="O15" s="144"/>
      <c r="P15" s="104"/>
      <c r="Q15" s="104"/>
      <c r="R15" s="104"/>
      <c r="V15" s="103"/>
      <c r="W15" s="145"/>
    </row>
    <row r="16" spans="1:23" ht="57">
      <c r="A16" s="146" t="s">
        <v>440</v>
      </c>
      <c r="B16" s="147"/>
      <c r="C16" s="148" t="s">
        <v>53</v>
      </c>
      <c r="D16" s="149"/>
      <c r="F16" s="136"/>
      <c r="G16" s="146" t="s">
        <v>440</v>
      </c>
      <c r="H16" s="147"/>
      <c r="I16" s="113" t="s">
        <v>53</v>
      </c>
      <c r="K16" s="113" t="s">
        <v>53</v>
      </c>
      <c r="L16" s="148" t="s">
        <v>53</v>
      </c>
      <c r="M16" s="103"/>
      <c r="N16" s="150" t="str" cm="1">
        <f t="array" ref="N16">_xlfn.IFS(inputs_log_dataqual_percent&lt;0.5,text_incomplete_key_inputs,inputs_log_dataqual_percent=0.5,text_complete_key_inputs_only,inputs_log_dataqual_percent=1,text_all_adv_inputs,inputs_log_dataqual_percent&gt;0.5,text_some_adv_inputs)</f>
        <v>Not all key inputs have been filled in, please fill in all key inputs highlighted in orange.</v>
      </c>
      <c r="O16" s="151"/>
      <c r="P16" s="107"/>
      <c r="Q16" s="107"/>
      <c r="R16" s="107"/>
      <c r="V16" s="103"/>
    </row>
    <row r="17" spans="1:26" ht="54" customHeight="1">
      <c r="A17" s="152" t="s">
        <v>1170</v>
      </c>
      <c r="B17" s="153"/>
      <c r="C17" s="154"/>
      <c r="D17" s="155"/>
      <c r="E17" s="156" t="str" cm="1">
        <f t="array" ref="E17">_xlfn.IFS(AND(NOT(ISBLANK(_xlfn.VSTACK(inputs_log_adv_reporting_period,inputs_log_adv_HGV_diesel_Litres)))),text_using_advanced_input,AND(NOT(ISBLANK(_xlfn.VSTACK(inputs_log_key_reporting_period,inputs_log_key_HGV_value,inputs_log_key_HGV_unit)))),text_using_key_input,TRUE,"")</f>
        <v/>
      </c>
      <c r="F17" s="157"/>
      <c r="G17" s="152" t="s">
        <v>1171</v>
      </c>
      <c r="H17" s="153"/>
      <c r="I17" s="97" t="s">
        <v>434</v>
      </c>
      <c r="K17" s="113" t="s">
        <v>53</v>
      </c>
      <c r="L17" s="148" t="s">
        <v>53</v>
      </c>
      <c r="M17" s="103"/>
      <c r="N17" s="158"/>
      <c r="O17" s="140"/>
      <c r="P17" s="156"/>
      <c r="Q17" s="156"/>
      <c r="R17" s="156"/>
      <c r="V17" s="103"/>
    </row>
    <row r="18" spans="1:26" ht="45">
      <c r="A18" s="152" t="s">
        <v>1172</v>
      </c>
      <c r="B18" s="153"/>
      <c r="C18" s="154"/>
      <c r="D18" s="155"/>
      <c r="E18" s="156" t="str" cm="1">
        <f t="array" ref="E18">_xlfn.IFS(AND(NOT(ISBLANK(_xlfn.VSTACK(inputs_log_adv_reporting_period,inputs_log_adv_LGV_diesel_Litres,inputs_log_adv_LGV_petrol_Litres)))),text_using_advanced_input,AND(NOT(ISBLANK(_xlfn.VSTACK(inputs_log_key_reporting_period,inputs_log_key_LGV_value,inputs_log_key_LGV_unit)))),text_using_key_input,TRUE,"")</f>
        <v/>
      </c>
      <c r="F18" s="157"/>
      <c r="G18" s="152" t="s">
        <v>1173</v>
      </c>
      <c r="H18" s="153"/>
      <c r="I18" s="97" t="s">
        <v>434</v>
      </c>
      <c r="J18" s="113" t="s">
        <v>102</v>
      </c>
      <c r="K18" s="153"/>
      <c r="L18" s="159" t="s">
        <v>435</v>
      </c>
      <c r="M18" s="103"/>
      <c r="N18" s="160"/>
      <c r="V18" s="103"/>
    </row>
    <row r="19" spans="1:26" ht="45">
      <c r="A19" s="161" t="s">
        <v>1174</v>
      </c>
      <c r="B19" s="162"/>
      <c r="C19" s="163"/>
      <c r="D19" s="164"/>
      <c r="E19" s="165" t="str" cm="1">
        <f t="array" ref="E19">_xlfn.IFS(AND(NOT(ISBLANK(_xlfn.VSTACK(inputs_log_adv_reporting_period,inputs_log_adv_cars_diesel_Litres,inputs_log_adv_cars_petrol_Litres)))),text_using_advanced_input,AND(NOT(ISBLANK(_xlfn.VSTACK(inputs_log_key_reporting_period,inputs_log_key_cars_value,inputs_log_key_cars_unit)))),text_using_key_input,TRUE,"")</f>
        <v/>
      </c>
      <c r="F19" s="166"/>
      <c r="G19" s="161" t="s">
        <v>1175</v>
      </c>
      <c r="H19" s="162"/>
      <c r="I19" s="167" t="s">
        <v>434</v>
      </c>
      <c r="J19" s="168" t="s">
        <v>102</v>
      </c>
      <c r="K19" s="162"/>
      <c r="L19" s="169" t="s">
        <v>435</v>
      </c>
      <c r="M19" s="103"/>
      <c r="V19" s="103"/>
    </row>
    <row r="20" spans="1:26" ht="28.25" customHeight="1">
      <c r="A20" s="170"/>
      <c r="B20" s="170"/>
      <c r="C20" s="170"/>
      <c r="G20" s="171"/>
      <c r="H20" s="171"/>
      <c r="I20" s="171"/>
      <c r="J20" s="171"/>
      <c r="K20" s="171"/>
      <c r="L20" s="171"/>
    </row>
    <row r="21" spans="1:26" ht="28.25" customHeight="1">
      <c r="A21" s="100"/>
      <c r="B21" s="131"/>
      <c r="C21" s="131"/>
      <c r="D21" s="131"/>
      <c r="E21" s="221" t="s">
        <v>1010</v>
      </c>
      <c r="F21" s="131"/>
      <c r="G21" s="131"/>
      <c r="H21" s="131"/>
      <c r="I21" s="131"/>
    </row>
    <row r="22" spans="1:26" ht="28.25" customHeight="1">
      <c r="A22" s="132"/>
      <c r="B22" s="133"/>
      <c r="C22" s="133"/>
      <c r="E22" s="112" t="s">
        <v>1044</v>
      </c>
      <c r="G22" s="134"/>
      <c r="H22" s="133"/>
      <c r="I22" s="133"/>
    </row>
    <row r="23" spans="1:26" ht="28.25" customHeight="1">
      <c r="A23" s="260" t="s">
        <v>483</v>
      </c>
      <c r="B23" s="261"/>
      <c r="C23" s="262"/>
      <c r="D23" s="172"/>
      <c r="F23" s="136"/>
      <c r="G23" s="244" t="s">
        <v>484</v>
      </c>
      <c r="H23" s="245"/>
      <c r="I23" s="246"/>
      <c r="J23" s="173"/>
      <c r="N23" s="114" t="s">
        <v>1076</v>
      </c>
      <c r="O23" s="137"/>
      <c r="P23" s="102"/>
      <c r="Q23" s="102"/>
      <c r="R23" s="102"/>
    </row>
    <row r="24" spans="1:26" ht="51" customHeight="1">
      <c r="A24" s="174"/>
      <c r="B24" s="158" t="s">
        <v>1167</v>
      </c>
      <c r="C24" s="117" t="s">
        <v>52</v>
      </c>
      <c r="D24" s="149"/>
      <c r="F24" s="136"/>
      <c r="G24" s="174"/>
      <c r="H24" s="158" t="s">
        <v>1167</v>
      </c>
      <c r="I24" s="117" t="s">
        <v>52</v>
      </c>
      <c r="J24" s="173"/>
      <c r="N24" s="118">
        <f>1-inputs_energy_dataqual_percent</f>
        <v>1</v>
      </c>
      <c r="O24" s="144"/>
      <c r="P24" s="104"/>
      <c r="Q24" s="104"/>
      <c r="R24" s="104"/>
    </row>
    <row r="25" spans="1:26" ht="57">
      <c r="A25" s="152" t="s">
        <v>1187</v>
      </c>
      <c r="B25" s="175"/>
      <c r="C25" s="148" t="s">
        <v>53</v>
      </c>
      <c r="D25" s="173"/>
      <c r="F25" s="136"/>
      <c r="G25" s="146" t="s">
        <v>1187</v>
      </c>
      <c r="H25" s="175"/>
      <c r="I25" s="159"/>
      <c r="J25" s="173"/>
      <c r="N25" s="150" t="str" cm="1">
        <f t="array" ref="N25">_xlfn.IFS(inputs_energy_dataqual_percent&lt;0.5,text_incomplete_key_inputs,inputs_energy_dataqual_percent=0.5,text_complete_key_inputs_only,inputs_energy_dataqual_percent=1,text_all_adv_inputs,inputs_energy_dataqual_percent&gt;0.5,text_some_adv_inputs)</f>
        <v>Not all key inputs have been filled in, please fill in all key inputs highlighted in orange.</v>
      </c>
      <c r="O25" s="151"/>
      <c r="P25" s="107"/>
      <c r="Q25" s="107"/>
      <c r="R25" s="107"/>
    </row>
    <row r="26" spans="1:26" ht="54" customHeight="1">
      <c r="A26" s="152" t="s">
        <v>1176</v>
      </c>
      <c r="B26" s="176"/>
      <c r="C26" s="159" t="s">
        <v>107</v>
      </c>
      <c r="D26" s="173"/>
      <c r="E26" s="156" t="str" cm="1">
        <f t="array" ref="E26">_xlfn.IFS(AND(NOT(ISBLANK(_xlfn.VSTACK(inputs_energy_adv_reporting_period,inputs_energy_adv_gas_usage_kWh)))),text_using_advanced_input,AND(NOT(ISBLANK(_xlfn.VSTACK(inputs_energy_key_reporting_period,inputs_energy_key_gas_spend_gbp)))),text_using_key_input,TRUE,"")</f>
        <v/>
      </c>
      <c r="F26" s="157"/>
      <c r="G26" s="152" t="s">
        <v>1177</v>
      </c>
      <c r="H26" s="177"/>
      <c r="I26" s="178" t="s">
        <v>54</v>
      </c>
      <c r="J26" s="173"/>
      <c r="N26" s="158"/>
      <c r="O26" s="140"/>
      <c r="P26" s="156"/>
      <c r="Q26" s="156"/>
      <c r="R26" s="156"/>
    </row>
    <row r="27" spans="1:26" ht="45">
      <c r="A27" s="152" t="s">
        <v>1178</v>
      </c>
      <c r="B27" s="176"/>
      <c r="C27" s="159" t="s">
        <v>107</v>
      </c>
      <c r="D27" s="173"/>
      <c r="E27" s="156" t="str" cm="1">
        <f t="array" ref="E27">_xlfn.IFS(AND(NOT(ISBLANK(_xlfn.VSTACK(inputs_energy_adv_reporting_period,inputs_energy_adv_oil_usage_kWh)))),text_using_advanced_input,AND(NOT(ISBLANK(_xlfn.VSTACK(inputs_energy_key_reporting_period,inputs_energy_key_oil_spend_gbp)))),text_using_key_input,TRUE,"")</f>
        <v/>
      </c>
      <c r="F27" s="157"/>
      <c r="G27" s="179" t="s">
        <v>1179</v>
      </c>
      <c r="H27" s="153"/>
      <c r="I27" s="178" t="s">
        <v>54</v>
      </c>
      <c r="J27" s="103"/>
      <c r="N27" s="160"/>
      <c r="Z27" s="180"/>
    </row>
    <row r="28" spans="1:26" ht="45">
      <c r="A28" s="152" t="s">
        <v>1200</v>
      </c>
      <c r="B28" s="176"/>
      <c r="C28" s="159" t="s">
        <v>107</v>
      </c>
      <c r="D28" s="173"/>
      <c r="E28" s="156" t="str" cm="1">
        <f t="array" ref="E28">_xlfn.IFS(AND(NOT(ISBLANK(_xlfn.VSTACK(inputs_energy_adv_reporting_period,inputs_energy_adv_elec_usage_kWh)))),text_using_advanced_input,AND(NOT(ISBLANK(_xlfn.VSTACK(inputs_energy_key_reporting_period,inputs_energy_key_elec_spend_gbp)))),text_using_key_input,TRUE,"")</f>
        <v/>
      </c>
      <c r="F28" s="157"/>
      <c r="G28" s="152" t="s">
        <v>1180</v>
      </c>
      <c r="H28" s="153"/>
      <c r="I28" s="178" t="s">
        <v>54</v>
      </c>
      <c r="J28" s="173"/>
    </row>
    <row r="29" spans="1:26" ht="62">
      <c r="A29" s="161" t="s">
        <v>1119</v>
      </c>
      <c r="B29" s="181"/>
      <c r="C29" s="169"/>
      <c r="D29" s="173"/>
      <c r="E29" s="156" t="str" cm="1">
        <f t="array" ref="E29">_xlfn.IFS(AND(NOT(ISBLANK(_xlfn.VSTACK(inputs_energy_adv_reporting_period,inputs_energy_adv_renewable_percent)))),text_using_advanced_input,AND(NOT(ISBLANK(_xlfn.VSTACK(inputs_energy_key_reporting_period,inputs_energy_key_renewable_yn)))),text_using_key_input,TRUE,"")</f>
        <v/>
      </c>
      <c r="F29" s="157"/>
      <c r="G29" s="161" t="s">
        <v>1181</v>
      </c>
      <c r="H29" s="182"/>
      <c r="I29" s="183" t="s">
        <v>436</v>
      </c>
      <c r="J29" s="173"/>
    </row>
    <row r="30" spans="1:26" s="10" customFormat="1" ht="28.25" customHeight="1">
      <c r="A30" s="170"/>
      <c r="B30" s="184"/>
      <c r="C30" s="184"/>
      <c r="D30" s="133"/>
      <c r="E30" s="20"/>
      <c r="F30" s="20"/>
      <c r="G30" s="185"/>
      <c r="H30" s="184"/>
      <c r="I30" s="170"/>
      <c r="N30" s="186"/>
    </row>
    <row r="31" spans="1:26" ht="28.25" customHeight="1">
      <c r="A31" s="136"/>
      <c r="B31" s="131"/>
      <c r="C31" s="131"/>
      <c r="D31" s="131"/>
      <c r="E31" s="221" t="s">
        <v>1011</v>
      </c>
      <c r="F31" s="131"/>
      <c r="G31" s="131"/>
      <c r="H31" s="131"/>
      <c r="I31" s="187"/>
    </row>
    <row r="32" spans="1:26" ht="28.25" customHeight="1">
      <c r="A32" s="132"/>
      <c r="B32" s="184"/>
      <c r="C32" s="184"/>
      <c r="D32" s="170"/>
      <c r="E32" s="112" t="s">
        <v>1045</v>
      </c>
      <c r="F32" s="171"/>
      <c r="G32" s="185"/>
      <c r="H32" s="184"/>
      <c r="I32" s="133"/>
      <c r="J32" s="133"/>
      <c r="K32" s="133"/>
      <c r="L32" s="134"/>
    </row>
    <row r="33" spans="1:18" ht="28.25" customHeight="1">
      <c r="A33" s="244" t="s">
        <v>442</v>
      </c>
      <c r="B33" s="245"/>
      <c r="C33" s="246"/>
      <c r="D33" s="135"/>
      <c r="F33" s="136"/>
      <c r="G33" s="252" t="s">
        <v>443</v>
      </c>
      <c r="H33" s="253"/>
      <c r="I33" s="253"/>
      <c r="J33" s="253"/>
      <c r="K33" s="253"/>
      <c r="L33" s="254"/>
      <c r="M33" s="103"/>
      <c r="N33" s="114" t="s">
        <v>1076</v>
      </c>
      <c r="O33" s="188"/>
      <c r="P33" s="189"/>
      <c r="Q33" s="189"/>
      <c r="R33" s="189"/>
    </row>
    <row r="34" spans="1:18" ht="59" customHeight="1">
      <c r="A34" s="190"/>
      <c r="B34" s="158" t="s">
        <v>1167</v>
      </c>
      <c r="C34" s="191" t="s">
        <v>1169</v>
      </c>
      <c r="D34" s="140"/>
      <c r="F34" s="136"/>
      <c r="G34" s="138"/>
      <c r="H34" s="116" t="s">
        <v>1167</v>
      </c>
      <c r="I34" s="142"/>
      <c r="J34" s="142"/>
      <c r="K34" s="142"/>
      <c r="L34" s="192"/>
      <c r="M34" s="103"/>
      <c r="N34" s="193">
        <f>1-inputs_refrig_dataqual_percent</f>
        <v>1</v>
      </c>
      <c r="O34" s="194"/>
      <c r="P34" s="195"/>
      <c r="Q34" s="195"/>
      <c r="R34" s="195"/>
    </row>
    <row r="35" spans="1:18" ht="57">
      <c r="A35" s="161" t="s">
        <v>1182</v>
      </c>
      <c r="B35" s="162"/>
      <c r="C35" s="163"/>
      <c r="D35" s="155"/>
      <c r="E35" s="156" t="str" cm="1">
        <f t="array" ref="E35">_xlfn.IFS(AND(NOT(ISBLANK(_xlfn.VSTACK(inputs_refrig_adv_reporting_period,inputs_refrig_adv_1_mass_kg,inputs_refrig_1)))),text_using_advanced_input,AND(NOT(ISBLANK(_xlfn.VSTACK(inputs_refrig_key_floorarea_value,inputs_refrig_key_floorarea_unit)))),text_using_key_input,TRUE,"")</f>
        <v/>
      </c>
      <c r="F35" s="136"/>
      <c r="G35" s="146" t="s">
        <v>97</v>
      </c>
      <c r="H35" s="175"/>
      <c r="L35" s="196"/>
      <c r="M35" s="103"/>
      <c r="N35" s="197" t="str" cm="1">
        <f t="array" ref="N35">_xlfn.IFS(inputs_refrig_dataqual_percent&lt;0.5,text_incomplete_key_inputs,inputs_refrig_dataqual_percent=0.5,text_complete_key_inputs_only,inputs_refrig_dataqual_percent=1,text_all_adv_inputs,inputs_refrig_dataqual_percent&gt;0.5,text_some_adv_inputs)</f>
        <v>Not all key inputs have been filled in, please fill in all key inputs highlighted in orange.</v>
      </c>
      <c r="O35" s="198"/>
      <c r="P35" s="199"/>
      <c r="Q35" s="199"/>
      <c r="R35" s="199"/>
    </row>
    <row r="36" spans="1:18" ht="40" customHeight="1">
      <c r="A36" s="100"/>
      <c r="F36" s="136"/>
      <c r="G36" s="127"/>
      <c r="H36" s="153"/>
      <c r="I36" s="97" t="s">
        <v>108</v>
      </c>
      <c r="J36" s="97" t="s">
        <v>862</v>
      </c>
      <c r="K36" s="258"/>
      <c r="L36" s="259"/>
      <c r="M36" s="103"/>
      <c r="N36" s="158"/>
      <c r="O36" s="200"/>
      <c r="P36" s="201"/>
      <c r="Q36" s="201"/>
      <c r="R36" s="201"/>
    </row>
    <row r="37" spans="1:18" ht="40" customHeight="1">
      <c r="A37" s="100"/>
      <c r="F37" s="136"/>
      <c r="G37" s="202"/>
      <c r="H37" s="153"/>
      <c r="I37" s="97" t="s">
        <v>108</v>
      </c>
      <c r="J37" s="97" t="s">
        <v>862</v>
      </c>
      <c r="K37" s="258"/>
      <c r="L37" s="259"/>
      <c r="M37" s="103"/>
      <c r="N37" s="160"/>
    </row>
    <row r="38" spans="1:18" ht="40" customHeight="1">
      <c r="A38" s="100"/>
      <c r="F38" s="136"/>
      <c r="G38" s="203" t="s">
        <v>1038</v>
      </c>
      <c r="H38" s="153"/>
      <c r="I38" s="97" t="s">
        <v>108</v>
      </c>
      <c r="J38" s="97" t="s">
        <v>862</v>
      </c>
      <c r="K38" s="258"/>
      <c r="L38" s="259"/>
      <c r="M38" s="103"/>
    </row>
    <row r="39" spans="1:18" ht="40" customHeight="1">
      <c r="A39" s="100"/>
      <c r="C39" s="204"/>
      <c r="F39" s="136"/>
      <c r="G39" s="205" t="s">
        <v>1142</v>
      </c>
      <c r="H39" s="153"/>
      <c r="I39" s="97" t="s">
        <v>108</v>
      </c>
      <c r="J39" s="97" t="s">
        <v>862</v>
      </c>
      <c r="K39" s="258"/>
      <c r="L39" s="259"/>
      <c r="M39" s="103"/>
    </row>
    <row r="40" spans="1:18" ht="40" customHeight="1">
      <c r="A40" s="100"/>
      <c r="F40" s="136"/>
      <c r="G40" s="206"/>
      <c r="H40" s="162"/>
      <c r="I40" s="167" t="s">
        <v>108</v>
      </c>
      <c r="J40" s="167" t="s">
        <v>862</v>
      </c>
      <c r="K40" s="250"/>
      <c r="L40" s="251"/>
      <c r="M40" s="103"/>
    </row>
    <row r="41" spans="1:18" ht="28.25" customHeight="1">
      <c r="A41" s="100"/>
      <c r="G41" s="171"/>
      <c r="H41" s="170"/>
      <c r="I41" s="170"/>
      <c r="J41" s="170"/>
      <c r="K41" s="170"/>
      <c r="L41" s="171"/>
    </row>
    <row r="42" spans="1:18" ht="28.25" customHeight="1">
      <c r="A42" s="100"/>
      <c r="B42" s="207"/>
      <c r="C42" s="131"/>
      <c r="D42" s="207"/>
      <c r="E42" s="222" t="s">
        <v>1012</v>
      </c>
      <c r="F42" s="187"/>
      <c r="G42" s="131"/>
      <c r="H42" s="131"/>
      <c r="I42" s="187"/>
    </row>
    <row r="43" spans="1:18" ht="28.25" customHeight="1">
      <c r="A43" s="208"/>
      <c r="B43" s="167"/>
      <c r="C43" s="209"/>
      <c r="D43" s="210"/>
      <c r="E43" s="112" t="s">
        <v>1046</v>
      </c>
      <c r="F43" s="97"/>
      <c r="G43" s="167"/>
      <c r="H43" s="167"/>
      <c r="I43" s="211"/>
    </row>
    <row r="44" spans="1:18" ht="28.25" customHeight="1">
      <c r="A44" s="252" t="s">
        <v>442</v>
      </c>
      <c r="B44" s="253"/>
      <c r="C44" s="254"/>
      <c r="D44" s="173"/>
      <c r="F44" s="136"/>
      <c r="G44" s="255" t="s">
        <v>443</v>
      </c>
      <c r="H44" s="256"/>
      <c r="I44" s="257"/>
      <c r="J44" s="173"/>
      <c r="N44" s="114" t="s">
        <v>1076</v>
      </c>
      <c r="O44" s="188"/>
      <c r="P44" s="189"/>
      <c r="Q44" s="189"/>
      <c r="R44" s="189"/>
    </row>
    <row r="45" spans="1:18" ht="45">
      <c r="A45" s="127"/>
      <c r="B45" s="158" t="s">
        <v>1167</v>
      </c>
      <c r="C45" s="191" t="s">
        <v>1169</v>
      </c>
      <c r="D45" s="103"/>
      <c r="F45" s="136"/>
      <c r="G45" s="138"/>
      <c r="H45" s="116" t="s">
        <v>1167</v>
      </c>
      <c r="I45" s="143" t="s">
        <v>52</v>
      </c>
      <c r="J45" s="103"/>
      <c r="K45" s="100"/>
      <c r="N45" s="193">
        <f>1-inputs_valchain_dataqual_percent</f>
        <v>1</v>
      </c>
      <c r="O45" s="194"/>
      <c r="P45" s="195"/>
      <c r="Q45" s="195"/>
      <c r="R45" s="195"/>
    </row>
    <row r="46" spans="1:18" ht="57">
      <c r="A46" s="152" t="s">
        <v>1075</v>
      </c>
      <c r="B46" s="212"/>
      <c r="C46" s="213" t="s">
        <v>924</v>
      </c>
      <c r="D46" s="103"/>
      <c r="E46" s="156" t="str" cm="1">
        <f t="array" ref="E46">_xlfn.IFS(AND(NOT(ISBLANK(_xlfn.VSTACK(inputs_valchain_adv_commuting_emissions_tCO2e)))),text_using_advanced_input,AND(NOT(ISBLANK(_xlfn.VSTACK(inputs_num_FTEs)))),text_using_key_input,TRUE,"")</f>
        <v/>
      </c>
      <c r="F46" s="136"/>
      <c r="G46" s="232" t="s">
        <v>927</v>
      </c>
      <c r="H46" s="214"/>
      <c r="I46" s="159" t="s">
        <v>1183</v>
      </c>
      <c r="J46" s="103"/>
      <c r="K46" s="100"/>
      <c r="N46" s="197" t="str" cm="1">
        <f t="array" ref="N46">_xlfn.IFS(inputs_valchain_dataqual_percent&lt;0.5,text_incomplete_key_inputs,inputs_valchain_dataqual_percent=0.5,text_complete_key_inputs_only,inputs_valchain_dataqual_percent=1,text_all_adv_inputs,inputs_valchain_dataqual_percent&gt;0.5,text_some_adv_inputs)</f>
        <v>Not all key inputs have been filled in, please fill in all key inputs highlighted in orange.</v>
      </c>
      <c r="O46" s="198"/>
      <c r="P46" s="199"/>
      <c r="Q46" s="199"/>
      <c r="R46" s="199"/>
    </row>
    <row r="47" spans="1:18" ht="51">
      <c r="A47" s="161" t="s">
        <v>1067</v>
      </c>
      <c r="B47" s="162"/>
      <c r="C47" s="163"/>
      <c r="D47" s="173"/>
      <c r="E47" s="156" t="str" cm="1">
        <f t="array" ref="E47">_xlfn.IFS(AND(NOT(ISBLANK(_xlfn.VSTACK(inputs_valchain_adv_biztravel_emissions_tCO2e)))),text_using_advanced_input,AND(NOT(ISBLANK(_xlfn.VSTACK(inputs_valchain_key_biztravel_value,inputs_valchain_key_biztravel_unit)))),text_using_key_input,TRUE,"")</f>
        <v/>
      </c>
      <c r="F47" s="136"/>
      <c r="G47" s="233" t="s">
        <v>973</v>
      </c>
      <c r="H47" s="215"/>
      <c r="I47" s="169" t="s">
        <v>1183</v>
      </c>
      <c r="J47" s="103"/>
      <c r="K47" s="100"/>
      <c r="N47" s="158"/>
      <c r="O47" s="200"/>
      <c r="P47" s="201"/>
      <c r="Q47" s="201"/>
      <c r="R47" s="201"/>
    </row>
    <row r="48" spans="1:18" ht="28.25" customHeight="1">
      <c r="G48" s="171"/>
      <c r="H48" s="171"/>
      <c r="I48" s="171"/>
      <c r="J48" s="100"/>
      <c r="K48" s="100"/>
      <c r="N48" s="160"/>
    </row>
    <row r="49" spans="1:5" ht="16">
      <c r="A49" s="100"/>
      <c r="B49" s="100"/>
      <c r="C49" s="100"/>
      <c r="D49" s="100"/>
    </row>
    <row r="50" spans="1:5" ht="28.25" customHeight="1">
      <c r="A50" s="100"/>
      <c r="B50" s="100"/>
      <c r="C50" s="100"/>
      <c r="D50" s="100"/>
    </row>
    <row r="51" spans="1:5" ht="28.25" customHeight="1">
      <c r="A51" s="100"/>
      <c r="B51" s="100"/>
      <c r="C51" s="100"/>
      <c r="D51" s="100"/>
    </row>
    <row r="52" spans="1:5" ht="28.25" customHeight="1">
      <c r="A52" s="100"/>
      <c r="B52" s="100"/>
      <c r="C52" s="100"/>
      <c r="D52" s="100"/>
    </row>
    <row r="53" spans="1:5" ht="28.25" customHeight="1">
      <c r="A53" s="100"/>
      <c r="B53" s="100"/>
      <c r="C53" s="100"/>
      <c r="D53" s="100"/>
    </row>
    <row r="54" spans="1:5" ht="28.25" customHeight="1">
      <c r="A54" s="100"/>
      <c r="B54" s="171"/>
      <c r="C54" s="216"/>
      <c r="D54" s="100"/>
    </row>
    <row r="55" spans="1:5" ht="28.25" customHeight="1">
      <c r="A55" s="100"/>
      <c r="B55" s="100"/>
      <c r="C55" s="100"/>
      <c r="D55" s="100"/>
    </row>
    <row r="56" spans="1:5" ht="28.25" customHeight="1">
      <c r="A56" s="100"/>
      <c r="B56" s="100"/>
      <c r="C56" s="100"/>
      <c r="D56" s="100"/>
    </row>
    <row r="57" spans="1:5" ht="28.25" customHeight="1">
      <c r="A57" s="100"/>
      <c r="B57" s="100"/>
      <c r="C57" s="100"/>
      <c r="D57" s="100"/>
    </row>
    <row r="58" spans="1:5" ht="28.25" customHeight="1">
      <c r="A58" s="217"/>
      <c r="B58" s="158"/>
      <c r="C58" s="218"/>
      <c r="E58" s="219"/>
    </row>
  </sheetData>
  <sheetProtection algorithmName="SHA-512" hashValue="0DgfV2wBm1A8pFwcOFV4TRYi5cex8LR2qPeK+/BbrjeOrvoyp08mWK7wRKsy6AosTM52TzktZBIwtzcztAykkQ==" saltValue="LYdgk6skb9IaIAVEbl4PlQ==" spinCount="100000" sheet="1" objects="1" scenarios="1" formatColumns="0" formatRows="0" selectLockedCells="1"/>
  <mergeCells count="16">
    <mergeCell ref="A23:C23"/>
    <mergeCell ref="G23:I23"/>
    <mergeCell ref="K36:L36"/>
    <mergeCell ref="K37:L37"/>
    <mergeCell ref="K38:L38"/>
    <mergeCell ref="K40:L40"/>
    <mergeCell ref="A33:C33"/>
    <mergeCell ref="A44:C44"/>
    <mergeCell ref="G44:I44"/>
    <mergeCell ref="G33:L33"/>
    <mergeCell ref="K39:L39"/>
    <mergeCell ref="A3:C3"/>
    <mergeCell ref="G3:L3"/>
    <mergeCell ref="A7:C7"/>
    <mergeCell ref="A14:C14"/>
    <mergeCell ref="G14:L14"/>
  </mergeCells>
  <conditionalFormatting sqref="B9:B10 B16:B19 C17:C19 B25:B29 B35:C35 B46 B47:C47">
    <cfRule type="containsBlanks" dxfId="19" priority="34">
      <formula>LEN(TRIM(B9))=0</formula>
    </cfRule>
  </conditionalFormatting>
  <conditionalFormatting sqref="B17">
    <cfRule type="expression" dxfId="18" priority="39">
      <formula>(inputs_log_key_HGV_unit="£")</formula>
    </cfRule>
  </conditionalFormatting>
  <conditionalFormatting sqref="B18">
    <cfRule type="expression" dxfId="17" priority="40">
      <formula>(inputs_log_key_LGV_unit="£")</formula>
    </cfRule>
  </conditionalFormatting>
  <conditionalFormatting sqref="B19">
    <cfRule type="expression" dxfId="16" priority="41">
      <formula>(inputs_log_key_cars_unit="£")</formula>
    </cfRule>
  </conditionalFormatting>
  <conditionalFormatting sqref="B47">
    <cfRule type="expression" dxfId="15" priority="37" stopIfTrue="1">
      <formula>(inputs_valchain_key_biztravel_unit="£")</formula>
    </cfRule>
  </conditionalFormatting>
  <conditionalFormatting sqref="H16:H19 K18:K19 H25:H29 H35:H40 K36:L40 H46:H47">
    <cfRule type="containsBlanks" dxfId="14" priority="38">
      <formula>LEN(TRIM(H16))=0</formula>
    </cfRule>
  </conditionalFormatting>
  <conditionalFormatting sqref="N8 N15 N24 N34 N45">
    <cfRule type="cellIs" dxfId="13" priority="27" operator="equal">
      <formula>0.5</formula>
    </cfRule>
    <cfRule type="cellIs" dxfId="12" priority="28" operator="greaterThan">
      <formula>0.5</formula>
    </cfRule>
    <cfRule type="cellIs" dxfId="11" priority="26" operator="lessThan">
      <formula>0.5</formula>
    </cfRule>
  </conditionalFormatting>
  <conditionalFormatting sqref="N9 N16 N25 N35 N46">
    <cfRule type="cellIs" dxfId="10" priority="1" operator="equal">
      <formula>text_incomplete_key_inputs</formula>
    </cfRule>
    <cfRule type="cellIs" dxfId="9" priority="21" operator="equal">
      <formula>text_all_adv_inputs</formula>
    </cfRule>
    <cfRule type="cellIs" dxfId="8" priority="19" operator="equal">
      <formula>text_some_adv_inputs</formula>
    </cfRule>
    <cfRule type="cellIs" dxfId="7" priority="18" operator="equal">
      <formula>text_complete_key_inputs_only</formula>
    </cfRule>
  </conditionalFormatting>
  <conditionalFormatting sqref="N15 N24 N34 N45 N8">
    <cfRule type="dataBar" priority="29">
      <dataBar showValue="0">
        <cfvo type="num" val="0"/>
        <cfvo type="num" val="1"/>
        <color theme="0"/>
      </dataBar>
      <extLst>
        <ext xmlns:x14="http://schemas.microsoft.com/office/spreadsheetml/2009/9/main" uri="{B025F937-C7B1-47D3-B67F-A62EFF666E3E}">
          <x14:id>{CFF20131-E59F-8C44-9FD7-92DCF1E0C590}</x14:id>
        </ext>
      </extLst>
    </cfRule>
  </conditionalFormatting>
  <dataValidations count="11">
    <dataValidation type="list" showInputMessage="1" showErrorMessage="1" sqref="C35:D35" xr:uid="{EEDAB542-04D8-BB42-B9C9-F0CD5684134D}">
      <formula1>DD_floor_area_units</formula1>
    </dataValidation>
    <dataValidation type="list" allowBlank="1" showInputMessage="1" showErrorMessage="1" sqref="H25 B25 B16 H35 H16" xr:uid="{DDA9CDFC-0EBA-B049-AF04-60B0202115B2}">
      <formula1>DD_reporting_period</formula1>
    </dataValidation>
    <dataValidation type="list" allowBlank="1" showInputMessage="1" showErrorMessage="1" sqref="C17:C19" xr:uid="{BFAFD03E-2D0C-0F4F-B385-CE5AC8E855FF}">
      <formula1>DD_logistics_input_units</formula1>
    </dataValidation>
    <dataValidation type="list" allowBlank="1" showInputMessage="1" showErrorMessage="1" sqref="B29" xr:uid="{B30A0408-E04B-7E47-9B3C-6EBE50B2AFB8}">
      <formula1>DD_yes_no</formula1>
    </dataValidation>
    <dataValidation type="whole" allowBlank="1" showInputMessage="1" showErrorMessage="1" sqref="H29" xr:uid="{FEBC6A10-C30A-6D43-AEE2-F63AA739CAC0}">
      <formula1>0</formula1>
      <formula2>100</formula2>
    </dataValidation>
    <dataValidation type="decimal" operator="greaterThanOrEqual" allowBlank="1" showInputMessage="1" showErrorMessage="1" sqref="H46:H47 C39 B46 B18:B19 B10" xr:uid="{13E914CB-9CDB-E447-B5F6-7C9E1B0E1AEC}">
      <formula1>0</formula1>
    </dataValidation>
    <dataValidation type="decimal" errorStyle="warning" operator="greaterThanOrEqual" allowBlank="1" showErrorMessage="1" errorTitle="Invalid response" error="Please enter a value greater than or equal to 0." promptTitle="HGV key input" prompt="Input the total miles driven or £ spend on fuel for HGVs. Choose a unit in the cell on the right." sqref="B17" xr:uid="{B90FA41E-2FF7-6947-9E03-DE225BE8C4C2}">
      <formula1>0</formula1>
    </dataValidation>
    <dataValidation type="list" allowBlank="1" showInputMessage="1" showErrorMessage="1" sqref="K36:K40" xr:uid="{10334AFB-030A-E841-8E0A-37CC147C5F4F}">
      <formula1>DD_refrigerants</formula1>
    </dataValidation>
    <dataValidation type="list" allowBlank="1" showInputMessage="1" showErrorMessage="1" sqref="C47" xr:uid="{EF210D63-B82A-C14B-9001-2DA39D7C9412}">
      <formula1>DD_valchain_businesstravel_units</formula1>
    </dataValidation>
    <dataValidation type="decimal" errorStyle="warning" operator="greaterThanOrEqual" allowBlank="1" showErrorMessage="1" errorTitle="Invalid response" error="Please enter a value greater than or equal to 0." sqref="B47" xr:uid="{72A1CEFF-9BA2-E448-9BE5-D9948C9E4EA2}">
      <formula1>0</formula1>
    </dataValidation>
    <dataValidation type="decimal" operator="greaterThan" allowBlank="1" showInputMessage="1" showErrorMessage="1" sqref="H36:H40" xr:uid="{09E9F259-24CF-534B-87F7-70F8C4D8E896}">
      <formula1>0</formula1>
    </dataValidation>
  </dataValidations>
  <pageMargins left="0.7" right="0.7" top="0.75" bottom="0.75" header="0.3" footer="0.3"/>
  <pageSetup paperSize="9" orientation="portrait" horizontalDpi="0" verticalDpi="0"/>
  <drawing r:id="rId1"/>
  <extLst>
    <ext xmlns:x14="http://schemas.microsoft.com/office/spreadsheetml/2009/9/main" uri="{78C0D931-6437-407d-A8EE-F0AAD7539E65}">
      <x14:conditionalFormattings>
        <x14:conditionalFormatting xmlns:xm="http://schemas.microsoft.com/office/excel/2006/main">
          <x14:cfRule type="dataBar" id="{CFF20131-E59F-8C44-9FD7-92DCF1E0C590}">
            <x14:dataBar minLength="0" maxLength="100" border="1" gradient="0" direction="rightToLeft">
              <x14:cfvo type="num">
                <xm:f>0</xm:f>
              </x14:cfvo>
              <x14:cfvo type="num">
                <xm:f>1</xm:f>
              </x14:cfvo>
              <x14:borderColor theme="0"/>
              <x14:negativeFillColor theme="0"/>
              <x14:axisColor rgb="FF000000"/>
            </x14:dataBar>
          </x14:cfRule>
          <xm:sqref>N15 N24 N34 N45 N8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466EE-21DA-EF4C-A9FF-DD5DD7BA51F0}">
  <sheetPr codeName="Sheet4">
    <tabColor theme="5"/>
    <pageSetUpPr fitToPage="1"/>
  </sheetPr>
  <dimension ref="B3:V35"/>
  <sheetViews>
    <sheetView workbookViewId="0">
      <selection activeCell="H34" sqref="H34"/>
    </sheetView>
  </sheetViews>
  <sheetFormatPr baseColWidth="10" defaultRowHeight="16"/>
  <cols>
    <col min="1" max="1" width="1.7109375" style="10" customWidth="1"/>
    <col min="2" max="2" width="10.7109375" style="25"/>
    <col min="3" max="3" width="6.5703125" style="10" customWidth="1"/>
    <col min="4" max="4" width="18" style="10" customWidth="1"/>
    <col min="5" max="15" width="10.7109375" style="10"/>
    <col min="16" max="16" width="1.85546875" style="10" customWidth="1"/>
    <col min="17" max="16384" width="10.7109375" style="10"/>
  </cols>
  <sheetData>
    <row r="3" spans="6:18">
      <c r="Q3" s="12"/>
    </row>
    <row r="7" spans="6:18">
      <c r="F7"/>
    </row>
    <row r="10" spans="6:18">
      <c r="R10"/>
    </row>
    <row r="21" spans="2:22" ht="70" customHeight="1">
      <c r="D21" s="224" t="str">
        <f ca="1">IFERROR("Total:"&amp;CHAR(10)&amp;TEXT(SUM(_xlfn.ANCHORARRAY('HIDE - Summary Chart Data'!C4)),"#,##0"),"")</f>
        <v/>
      </c>
    </row>
    <row r="22" spans="2:22" ht="24">
      <c r="D22" s="223" t="s">
        <v>1186</v>
      </c>
    </row>
    <row r="24" spans="2:22">
      <c r="V24" s="40"/>
    </row>
    <row r="32" spans="2:22" ht="17" customHeight="1">
      <c r="B32" s="263" t="s">
        <v>1118</v>
      </c>
      <c r="C32" s="264"/>
      <c r="D32" s="264"/>
      <c r="E32" s="264"/>
      <c r="F32" s="265"/>
      <c r="J32" s="263" t="s">
        <v>1083</v>
      </c>
      <c r="K32" s="264"/>
      <c r="L32" s="264"/>
      <c r="M32" s="264"/>
      <c r="N32" s="264"/>
      <c r="O32" s="265"/>
      <c r="P32" s="26"/>
    </row>
    <row r="33" spans="2:16">
      <c r="B33" s="266"/>
      <c r="C33" s="267"/>
      <c r="D33" s="267"/>
      <c r="E33" s="267"/>
      <c r="F33" s="268"/>
      <c r="J33" s="266"/>
      <c r="K33" s="267"/>
      <c r="L33" s="267"/>
      <c r="M33" s="267"/>
      <c r="N33" s="267"/>
      <c r="O33" s="268"/>
      <c r="P33" s="26"/>
    </row>
    <row r="34" spans="2:16">
      <c r="B34" s="266"/>
      <c r="C34" s="267"/>
      <c r="D34" s="267"/>
      <c r="E34" s="267"/>
      <c r="F34" s="268"/>
      <c r="J34" s="266"/>
      <c r="K34" s="267"/>
      <c r="L34" s="267"/>
      <c r="M34" s="267"/>
      <c r="N34" s="267"/>
      <c r="O34" s="268"/>
      <c r="P34" s="26"/>
    </row>
    <row r="35" spans="2:16">
      <c r="B35" s="269"/>
      <c r="C35" s="270"/>
      <c r="D35" s="270"/>
      <c r="E35" s="270"/>
      <c r="F35" s="271"/>
      <c r="J35" s="269"/>
      <c r="K35" s="270"/>
      <c r="L35" s="270"/>
      <c r="M35" s="270"/>
      <c r="N35" s="270"/>
      <c r="O35" s="271"/>
    </row>
  </sheetData>
  <sheetProtection algorithmName="SHA-512" hashValue="Yps3pnTMAUb92cEGSl+5+TxMrwowY9gmUJ5zONiwSq9J3alMEnb47YHSunD0+T5X2eg9bTmXGceEEaGAnnUKfQ==" saltValue="szyi/cHTurGOR8WytEdzVA==" spinCount="100000" sheet="1" objects="1" scenarios="1" formatColumns="0" formatRows="0" selectLockedCells="1" selectUnlockedCells="1"/>
  <mergeCells count="2">
    <mergeCell ref="B32:F35"/>
    <mergeCell ref="J32:O35"/>
  </mergeCells>
  <pageMargins left="0.7" right="0.7" top="0.75" bottom="0.75" header="0.3" footer="0.3"/>
  <pageSetup paperSize="9" scale="47" orientation="landscape" horizontalDpi="0" verticalDpi="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D2816-B711-AB46-8A3D-A1B67CA7391A}">
  <sheetPr codeName="Sheet5">
    <tabColor theme="5"/>
    <pageSetUpPr fitToPage="1"/>
  </sheetPr>
  <dimension ref="B6:AP46"/>
  <sheetViews>
    <sheetView zoomScale="50" zoomScaleNormal="100" workbookViewId="0">
      <selection activeCell="X8" sqref="X8"/>
    </sheetView>
  </sheetViews>
  <sheetFormatPr baseColWidth="10" defaultColWidth="4" defaultRowHeight="28.25" customHeight="1"/>
  <cols>
    <col min="1" max="23" width="4" style="10"/>
    <col min="24" max="24" width="79.28515625" style="10" customWidth="1"/>
    <col min="25" max="30" width="4" style="10"/>
    <col min="31" max="31" width="24.7109375" style="10" customWidth="1"/>
    <col min="32" max="33" width="4" style="10"/>
    <col min="34" max="34" width="10.7109375" style="10" customWidth="1"/>
    <col min="35" max="16384" width="4" style="10"/>
  </cols>
  <sheetData>
    <row r="6" spans="2:42" ht="28.25" customHeight="1">
      <c r="B6" s="225" t="str">
        <f ca="1">IFERROR('HIDE - Summary Chart Data'!D67,"")</f>
        <v/>
      </c>
      <c r="C6" s="46"/>
      <c r="D6" s="46"/>
      <c r="E6" s="46"/>
      <c r="F6" s="46"/>
      <c r="G6" s="46"/>
      <c r="H6" s="46"/>
      <c r="I6" s="46"/>
      <c r="J6" s="46"/>
      <c r="K6" s="46"/>
      <c r="L6" s="46"/>
      <c r="M6" s="46"/>
      <c r="N6" s="46"/>
      <c r="O6" s="46"/>
      <c r="P6" s="46"/>
      <c r="Q6" s="46"/>
      <c r="R6" s="46"/>
      <c r="S6" s="46"/>
      <c r="T6" s="46"/>
      <c r="U6" s="46"/>
      <c r="V6" s="46"/>
      <c r="W6" s="46"/>
    </row>
    <row r="7" spans="2:42" ht="28.25" customHeight="1">
      <c r="AH7" s="51"/>
    </row>
    <row r="8" spans="2:42" ht="28.25" customHeight="1">
      <c r="R8" s="45"/>
      <c r="S8" s="45"/>
      <c r="T8" s="45"/>
      <c r="U8" s="45"/>
      <c r="V8" s="45"/>
      <c r="W8" s="45"/>
      <c r="X8" s="226" t="str">
        <f ca="1">IF('HIDE - Summary Chart Data'!B61="","","Key emissions reductions actions for "&amp;LOWER('HIDE - Summary Chart Data'!B61))</f>
        <v>Key emissions reductions actions for value chain</v>
      </c>
      <c r="AH8" s="51"/>
    </row>
    <row r="9" spans="2:42" ht="15" customHeight="1">
      <c r="R9" s="45"/>
      <c r="S9" s="45"/>
      <c r="T9" s="45"/>
      <c r="U9" s="45"/>
      <c r="V9" s="45"/>
      <c r="W9" s="45"/>
      <c r="X9" s="48"/>
      <c r="AH9" s="51"/>
    </row>
    <row r="10" spans="2:42" ht="24" customHeight="1">
      <c r="R10" s="45"/>
      <c r="S10" s="45"/>
      <c r="T10" s="45"/>
      <c r="U10" s="45"/>
      <c r="V10" s="45"/>
      <c r="W10" s="45"/>
      <c r="X10" s="227" t="str">
        <f ca="1">IFERROR('HIDE - Summary Chart Data'!C69&amp;"","")</f>
        <v/>
      </c>
      <c r="AE10" s="114" t="s">
        <v>1076</v>
      </c>
      <c r="AH10" s="51"/>
    </row>
    <row r="11" spans="2:42" s="50" customFormat="1" ht="60" customHeight="1">
      <c r="X11" s="228" t="str">
        <f ca="1">IFERROR('HIDE - Summary Chart Data'!D69&amp;"","")</f>
        <v/>
      </c>
      <c r="AE11" s="118">
        <f ca="1">IFERROR(1-AE12,"")</f>
        <v>1</v>
      </c>
      <c r="AH11" s="52"/>
      <c r="AL11" s="276"/>
      <c r="AM11" s="276"/>
      <c r="AN11" s="276"/>
      <c r="AO11" s="276"/>
      <c r="AP11" s="276"/>
    </row>
    <row r="12" spans="2:42" s="50" customFormat="1" ht="28.25" customHeight="1">
      <c r="X12" s="227" t="str">
        <f>'HIDE - Summary Chart Data'!C70&amp;""</f>
        <v/>
      </c>
      <c r="AE12" s="230">
        <f ca="1">IFERROR('HIDE - Summary Chart Data'!G67,"")</f>
        <v>0</v>
      </c>
      <c r="AH12" s="52"/>
      <c r="AL12" s="276"/>
      <c r="AM12" s="276"/>
      <c r="AN12" s="276"/>
      <c r="AO12" s="276"/>
      <c r="AP12" s="276"/>
    </row>
    <row r="13" spans="2:42" s="50" customFormat="1" ht="60" customHeight="1">
      <c r="X13" s="229" t="str">
        <f>'HIDE - Summary Chart Data'!D70&amp;""</f>
        <v/>
      </c>
      <c r="AL13" s="274"/>
      <c r="AM13" s="275"/>
      <c r="AN13" s="275"/>
      <c r="AO13" s="275"/>
      <c r="AP13" s="275"/>
    </row>
    <row r="14" spans="2:42" s="50" customFormat="1" ht="28.25" customHeight="1">
      <c r="X14" s="227" t="str">
        <f>'HIDE - Summary Chart Data'!C71&amp;""</f>
        <v/>
      </c>
      <c r="AH14" s="52"/>
    </row>
    <row r="15" spans="2:42" s="50" customFormat="1" ht="60" customHeight="1">
      <c r="X15" s="229" t="str">
        <f>'HIDE - Summary Chart Data'!D71&amp;""</f>
        <v/>
      </c>
      <c r="AH15" s="52"/>
    </row>
    <row r="17" spans="2:42" ht="31">
      <c r="B17" s="225" t="str">
        <f ca="1">IFERROR('HIDE - Summary Chart Data'!D81,"")</f>
        <v/>
      </c>
      <c r="C17" s="46"/>
      <c r="D17" s="46"/>
      <c r="E17" s="46"/>
      <c r="F17" s="46"/>
      <c r="G17" s="46"/>
      <c r="H17" s="46"/>
      <c r="I17" s="46"/>
      <c r="J17" s="46"/>
      <c r="K17" s="46"/>
      <c r="L17" s="46"/>
      <c r="M17" s="46"/>
      <c r="N17" s="46"/>
      <c r="O17" s="46"/>
      <c r="P17" s="46"/>
    </row>
    <row r="18" spans="2:42" ht="31">
      <c r="B18" s="46"/>
      <c r="C18" s="46"/>
      <c r="D18" s="46"/>
      <c r="E18" s="46"/>
      <c r="F18" s="46"/>
      <c r="G18" s="46"/>
      <c r="H18" s="46"/>
      <c r="I18" s="46"/>
      <c r="J18" s="46"/>
      <c r="K18" s="46"/>
      <c r="L18" s="46"/>
      <c r="M18" s="46"/>
      <c r="N18" s="46"/>
      <c r="O18" s="46"/>
      <c r="P18" s="46"/>
      <c r="R18" s="45"/>
      <c r="S18" s="45"/>
      <c r="T18" s="45"/>
      <c r="U18" s="45"/>
      <c r="V18" s="45"/>
      <c r="W18" s="45"/>
      <c r="X18" s="45"/>
    </row>
    <row r="19" spans="2:42" ht="28.25" customHeight="1">
      <c r="R19" s="45"/>
      <c r="S19" s="45"/>
      <c r="T19" s="45"/>
      <c r="U19" s="45"/>
      <c r="V19" s="45"/>
      <c r="W19" s="45"/>
      <c r="X19" s="226" t="str">
        <f ca="1">IFERROR("Key emissions reductions actions for "&amp;LOWER('HIDE - Summary Chart Data'!B81),"")</f>
        <v>Key emissions reductions actions for logistics</v>
      </c>
      <c r="AH19" s="51"/>
    </row>
    <row r="20" spans="2:42" ht="15" customHeight="1">
      <c r="R20" s="45"/>
      <c r="S20" s="45"/>
      <c r="T20" s="45"/>
      <c r="U20" s="45"/>
      <c r="V20" s="45"/>
      <c r="W20" s="45"/>
      <c r="X20" s="48"/>
      <c r="AH20" s="51"/>
    </row>
    <row r="21" spans="2:42" ht="24" customHeight="1">
      <c r="R21" s="45"/>
      <c r="S21" s="45"/>
      <c r="T21" s="45"/>
      <c r="U21" s="45"/>
      <c r="V21" s="45"/>
      <c r="W21" s="45"/>
      <c r="X21" s="227" t="str">
        <f ca="1">IFERROR('HIDE - Summary Chart Data'!C83&amp;"","")</f>
        <v/>
      </c>
      <c r="AE21" s="114" t="s">
        <v>1076</v>
      </c>
      <c r="AH21" s="51"/>
    </row>
    <row r="22" spans="2:42" s="50" customFormat="1" ht="60" customHeight="1">
      <c r="X22" s="228" t="str">
        <f ca="1">IFERROR('HIDE - Summary Chart Data'!D83&amp;"","")</f>
        <v/>
      </c>
      <c r="AE22" s="118">
        <f ca="1">IFERROR(1-AE23,"")</f>
        <v>1</v>
      </c>
      <c r="AH22" s="52"/>
      <c r="AL22" s="276"/>
      <c r="AM22" s="276"/>
      <c r="AN22" s="276"/>
      <c r="AO22" s="276"/>
      <c r="AP22" s="276"/>
    </row>
    <row r="23" spans="2:42" s="50" customFormat="1" ht="28.25" customHeight="1">
      <c r="X23" s="227" t="str">
        <f>'HIDE - Summary Chart Data'!C84&amp;""</f>
        <v/>
      </c>
      <c r="AE23" s="230">
        <f ca="1">IFERROR('HIDE - Summary Chart Data'!G81,"")</f>
        <v>0</v>
      </c>
      <c r="AH23" s="52"/>
      <c r="AL23" s="276"/>
      <c r="AM23" s="276"/>
      <c r="AN23" s="276"/>
      <c r="AO23" s="276"/>
      <c r="AP23" s="276"/>
    </row>
    <row r="24" spans="2:42" s="50" customFormat="1" ht="60" customHeight="1">
      <c r="X24" s="229" t="str">
        <f>'HIDE - Summary Chart Data'!D84&amp;""</f>
        <v/>
      </c>
      <c r="AL24" s="274"/>
      <c r="AM24" s="275"/>
      <c r="AN24" s="275"/>
      <c r="AO24" s="275"/>
      <c r="AP24" s="275"/>
    </row>
    <row r="25" spans="2:42" s="50" customFormat="1" ht="28.25" customHeight="1">
      <c r="X25" s="227" t="str">
        <f>'HIDE - Summary Chart Data'!C85&amp;""</f>
        <v/>
      </c>
      <c r="AH25" s="52"/>
    </row>
    <row r="26" spans="2:42" s="50" customFormat="1" ht="60" customHeight="1">
      <c r="X26" s="229" t="str">
        <f>'HIDE - Summary Chart Data'!D85&amp;""</f>
        <v/>
      </c>
      <c r="AH26" s="52"/>
    </row>
    <row r="27" spans="2:42" ht="28.25" customHeight="1">
      <c r="B27" s="46"/>
      <c r="C27" s="46"/>
      <c r="D27" s="46"/>
      <c r="E27" s="46"/>
      <c r="F27" s="46"/>
      <c r="G27" s="46"/>
      <c r="H27" s="46"/>
      <c r="I27" s="46"/>
      <c r="J27" s="46"/>
      <c r="K27" s="46"/>
      <c r="L27" s="46"/>
      <c r="M27" s="46"/>
      <c r="N27" s="46"/>
      <c r="O27" s="46"/>
      <c r="P27" s="46"/>
    </row>
    <row r="28" spans="2:42" ht="31">
      <c r="B28" s="225" t="str">
        <f ca="1">IFERROR('HIDE - Summary Chart Data'!D93,"")</f>
        <v/>
      </c>
      <c r="C28" s="46"/>
      <c r="D28" s="46"/>
      <c r="E28" s="46"/>
      <c r="F28" s="46"/>
      <c r="G28" s="46"/>
      <c r="H28" s="46"/>
      <c r="I28" s="46"/>
      <c r="J28" s="46"/>
      <c r="K28" s="46"/>
      <c r="L28" s="46"/>
      <c r="M28" s="46"/>
      <c r="N28" s="46"/>
      <c r="O28" s="46"/>
      <c r="P28" s="46"/>
    </row>
    <row r="29" spans="2:42" ht="28.25" customHeight="1">
      <c r="R29" s="45"/>
      <c r="S29" s="45"/>
      <c r="T29" s="45"/>
      <c r="U29" s="45"/>
      <c r="V29" s="45"/>
      <c r="W29" s="45"/>
      <c r="X29" s="226" t="str">
        <f ca="1">IFERROR("Key emissions reductions actions for "&amp;LOWER('HIDE - Summary Chart Data'!B93),"")</f>
        <v>Key emissions reductions actions for buildings &amp; electricity</v>
      </c>
      <c r="AH29" s="51"/>
    </row>
    <row r="30" spans="2:42" ht="15" customHeight="1">
      <c r="R30" s="45"/>
      <c r="S30" s="45"/>
      <c r="T30" s="45"/>
      <c r="U30" s="45"/>
      <c r="V30" s="45"/>
      <c r="W30" s="45"/>
      <c r="X30" s="48"/>
      <c r="AH30" s="51"/>
    </row>
    <row r="31" spans="2:42" ht="24" customHeight="1">
      <c r="R31" s="45"/>
      <c r="S31" s="45"/>
      <c r="T31" s="45"/>
      <c r="U31" s="45"/>
      <c r="V31" s="45"/>
      <c r="W31" s="45"/>
      <c r="X31" s="227" t="str">
        <f ca="1">IFERROR('HIDE - Summary Chart Data'!C95&amp;"","")</f>
        <v/>
      </c>
      <c r="AE31" s="114" t="s">
        <v>1076</v>
      </c>
      <c r="AH31" s="51"/>
    </row>
    <row r="32" spans="2:42" s="50" customFormat="1" ht="60" customHeight="1">
      <c r="X32" s="228" t="str">
        <f ca="1">IFERROR('HIDE - Summary Chart Data'!D95&amp;"","")</f>
        <v/>
      </c>
      <c r="AE32" s="118">
        <f ca="1">IFERROR(1-AE33,"")</f>
        <v>1</v>
      </c>
      <c r="AH32" s="52"/>
      <c r="AL32" s="276"/>
      <c r="AM32" s="276"/>
      <c r="AN32" s="276"/>
      <c r="AO32" s="276"/>
      <c r="AP32" s="276"/>
    </row>
    <row r="33" spans="2:42" s="50" customFormat="1" ht="28.25" customHeight="1">
      <c r="X33" s="227" t="str">
        <f>'HIDE - Summary Chart Data'!C96&amp;""</f>
        <v/>
      </c>
      <c r="AE33" s="230">
        <f ca="1">IFERROR('HIDE - Summary Chart Data'!G93,"")</f>
        <v>0</v>
      </c>
      <c r="AH33" s="54"/>
      <c r="AL33" s="276"/>
      <c r="AM33" s="276"/>
      <c r="AN33" s="276"/>
      <c r="AO33" s="276"/>
      <c r="AP33" s="276"/>
    </row>
    <row r="34" spans="2:42" s="50" customFormat="1" ht="60" customHeight="1">
      <c r="X34" s="229" t="str">
        <f>'HIDE - Summary Chart Data'!D96&amp;""</f>
        <v/>
      </c>
      <c r="AL34" s="274"/>
      <c r="AM34" s="275"/>
      <c r="AN34" s="275"/>
      <c r="AO34" s="275"/>
      <c r="AP34" s="275"/>
    </row>
    <row r="35" spans="2:42" s="50" customFormat="1" ht="28.25" customHeight="1">
      <c r="X35" s="227" t="str">
        <f>'HIDE - Summary Chart Data'!C97&amp;""</f>
        <v/>
      </c>
      <c r="AH35" s="52"/>
    </row>
    <row r="36" spans="2:42" s="50" customFormat="1" ht="60" customHeight="1">
      <c r="X36" s="229" t="str">
        <f>'HIDE - Summary Chart Data'!D97&amp;""</f>
        <v/>
      </c>
      <c r="AH36" s="52"/>
    </row>
    <row r="37" spans="2:42" ht="17" customHeight="1">
      <c r="B37" s="46"/>
      <c r="C37" s="46"/>
      <c r="D37" s="46"/>
      <c r="E37" s="46"/>
      <c r="F37" s="46"/>
      <c r="G37" s="46"/>
      <c r="H37" s="46"/>
      <c r="I37" s="46"/>
      <c r="J37" s="46"/>
      <c r="K37" s="46"/>
      <c r="L37" s="46"/>
      <c r="M37" s="46"/>
      <c r="N37" s="46"/>
      <c r="O37" s="46"/>
      <c r="P37" s="46"/>
    </row>
    <row r="38" spans="2:42" ht="23">
      <c r="AH38" s="51"/>
    </row>
    <row r="39" spans="2:42" ht="23">
      <c r="AH39" s="51"/>
    </row>
    <row r="40" spans="2:42" ht="16">
      <c r="AH40" s="49"/>
    </row>
    <row r="41" spans="2:42" ht="23">
      <c r="AH41" s="47"/>
      <c r="AL41" s="277"/>
      <c r="AM41" s="277"/>
      <c r="AN41" s="277"/>
      <c r="AO41" s="277"/>
      <c r="AP41" s="277"/>
    </row>
    <row r="42" spans="2:42" ht="23">
      <c r="AH42" s="47"/>
      <c r="AL42" s="277"/>
      <c r="AM42" s="277"/>
      <c r="AN42" s="277"/>
      <c r="AO42" s="277"/>
      <c r="AP42" s="277"/>
    </row>
    <row r="43" spans="2:42" ht="23">
      <c r="AH43" s="49"/>
      <c r="AL43" s="272"/>
      <c r="AM43" s="273"/>
      <c r="AN43" s="273"/>
      <c r="AO43" s="273"/>
      <c r="AP43" s="273"/>
    </row>
    <row r="44" spans="2:42" ht="23">
      <c r="AH44" s="47"/>
    </row>
    <row r="45" spans="2:42" ht="23">
      <c r="AH45" s="47"/>
    </row>
    <row r="46" spans="2:42" ht="28.25" customHeight="1">
      <c r="AH46" s="49"/>
    </row>
  </sheetData>
  <sheetProtection algorithmName="SHA-512" hashValue="1vI+g5WksczK9tU4YY7J2UnzwOOuPhxNF2dkGgVgL5iwqawTOUIWjgZl81QvzcUFz4/MeXYaPOkByribgB8Wdw==" saltValue="a+lnXOFaitSmwflo1YlWnw==" spinCount="100000" sheet="1" objects="1" scenarios="1" formatColumns="0" formatRows="0" selectLockedCells="1" selectUnlockedCells="1"/>
  <mergeCells count="8">
    <mergeCell ref="AL43:AP43"/>
    <mergeCell ref="AL13:AP13"/>
    <mergeCell ref="AL11:AP12"/>
    <mergeCell ref="AL34:AP34"/>
    <mergeCell ref="AL22:AP23"/>
    <mergeCell ref="AL24:AP24"/>
    <mergeCell ref="AL32:AP33"/>
    <mergeCell ref="AL41:AP42"/>
  </mergeCells>
  <conditionalFormatting sqref="AE11 AE22 AE32">
    <cfRule type="cellIs" dxfId="6" priority="20" operator="lessThan">
      <formula>0.5</formula>
    </cfRule>
    <cfRule type="cellIs" dxfId="5" priority="22" operator="greaterThan">
      <formula>0.5</formula>
    </cfRule>
    <cfRule type="cellIs" dxfId="4" priority="21" operator="equal">
      <formula>0.5</formula>
    </cfRule>
  </conditionalFormatting>
  <conditionalFormatting sqref="AE11:AE12 AE22:AE23 AE32:AE33">
    <cfRule type="cellIs" dxfId="3" priority="1" operator="equal">
      <formula>""</formula>
    </cfRule>
  </conditionalFormatting>
  <conditionalFormatting sqref="AE12 AE23 AE33">
    <cfRule type="cellIs" dxfId="2" priority="19" operator="greaterThan">
      <formula>0.5</formula>
    </cfRule>
    <cfRule type="cellIs" dxfId="1" priority="18" operator="equal">
      <formula>0.5</formula>
    </cfRule>
    <cfRule type="cellIs" dxfId="0" priority="17" operator="lessThan">
      <formula>0.5</formula>
    </cfRule>
  </conditionalFormatting>
  <conditionalFormatting sqref="AE22 AE11 AE32">
    <cfRule type="dataBar" priority="23">
      <dataBar showValue="0">
        <cfvo type="num" val="0"/>
        <cfvo type="num" val="1"/>
        <color theme="0"/>
      </dataBar>
      <extLst>
        <ext xmlns:x14="http://schemas.microsoft.com/office/spreadsheetml/2009/9/main" uri="{B025F937-C7B1-47D3-B67F-A62EFF666E3E}">
          <x14:id>{9C67EA51-33E7-D14A-ACB5-8DA0A92254A8}</x14:id>
        </ext>
      </extLst>
    </cfRule>
  </conditionalFormatting>
  <pageMargins left="0.7" right="0.7" top="0.75" bottom="0.75" header="0.3" footer="0.3"/>
  <pageSetup paperSize="9" scale="32" orientation="landscape" horizontalDpi="0" verticalDpi="0"/>
  <drawing r:id="rId1"/>
  <extLst>
    <ext xmlns:x14="http://schemas.microsoft.com/office/spreadsheetml/2009/9/main" uri="{78C0D931-6437-407d-A8EE-F0AAD7539E65}">
      <x14:conditionalFormattings>
        <x14:conditionalFormatting xmlns:xm="http://schemas.microsoft.com/office/excel/2006/main">
          <x14:cfRule type="dataBar" id="{9C67EA51-33E7-D14A-ACB5-8DA0A92254A8}">
            <x14:dataBar minLength="0" maxLength="100" border="1" gradient="0" direction="rightToLeft">
              <x14:cfvo type="num">
                <xm:f>0</xm:f>
              </x14:cfvo>
              <x14:cfvo type="num">
                <xm:f>1</xm:f>
              </x14:cfvo>
              <x14:borderColor theme="0"/>
              <x14:negativeFillColor theme="0"/>
              <x14:axisColor rgb="FF000000"/>
            </x14:dataBar>
          </x14:cfRule>
          <xm:sqref>AE22 AE11 AE32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8E63C-2B73-584A-A1A8-B55981325898}">
  <sheetPr codeName="Sheet7">
    <tabColor theme="5"/>
  </sheetPr>
  <dimension ref="A2:I19"/>
  <sheetViews>
    <sheetView topLeftCell="D1" zoomScale="81" workbookViewId="0">
      <selection activeCell="D4" sqref="D4:E4"/>
    </sheetView>
  </sheetViews>
  <sheetFormatPr baseColWidth="10" defaultRowHeight="16"/>
  <cols>
    <col min="1" max="1" width="0" style="10" hidden="1" customWidth="1"/>
    <col min="2" max="2" width="17.7109375" style="10" hidden="1" customWidth="1"/>
    <col min="3" max="3" width="30.5703125" style="10" hidden="1" customWidth="1"/>
    <col min="4" max="4" width="53.28515625" style="10" customWidth="1"/>
    <col min="5" max="5" width="82.85546875" style="10" customWidth="1"/>
    <col min="6" max="6" width="18.28515625" style="10" customWidth="1"/>
    <col min="7" max="7" width="24.42578125" style="10" customWidth="1"/>
    <col min="8" max="8" width="25.28515625" style="10" customWidth="1"/>
    <col min="9" max="16384" width="10.7109375" style="10"/>
  </cols>
  <sheetData>
    <row r="2" spans="1:9" ht="45">
      <c r="D2" s="231" t="s">
        <v>1115</v>
      </c>
    </row>
    <row r="4" spans="1:9" ht="53" customHeight="1">
      <c r="D4" s="278" t="s">
        <v>1201</v>
      </c>
      <c r="E4" s="279"/>
      <c r="F4" s="79"/>
      <c r="G4" s="76"/>
    </row>
    <row r="5" spans="1:9">
      <c r="D5" s="20"/>
      <c r="E5" s="20"/>
      <c r="F5" s="20"/>
      <c r="G5" s="20"/>
      <c r="H5" s="20"/>
    </row>
    <row r="6" spans="1:9">
      <c r="A6" s="10" t="s">
        <v>917</v>
      </c>
      <c r="B6" s="10" t="s">
        <v>918</v>
      </c>
      <c r="C6" s="45" t="s">
        <v>68</v>
      </c>
      <c r="D6" s="67" t="s">
        <v>919</v>
      </c>
      <c r="E6" s="68" t="s">
        <v>1095</v>
      </c>
      <c r="F6" s="68" t="s">
        <v>454</v>
      </c>
      <c r="G6" s="68" t="s">
        <v>964</v>
      </c>
      <c r="H6" s="69" t="s">
        <v>920</v>
      </c>
      <c r="I6" s="25"/>
    </row>
    <row r="7" spans="1:9">
      <c r="A7" s="10">
        <v>1</v>
      </c>
      <c r="B7" s="10">
        <v>1</v>
      </c>
      <c r="C7" s="45" t="s">
        <v>911</v>
      </c>
      <c r="D7" s="70" t="s">
        <v>1110</v>
      </c>
      <c r="E7" t="s">
        <v>1111</v>
      </c>
      <c r="F7" s="4">
        <f ca="1">SUMIF(calcs_emissions[GHG Protocol Category Name],GHG_categories[[#This Row],[Name]],calcs_emissions[Emissions (tCO2e)])</f>
        <v>0</v>
      </c>
      <c r="G7" s="61" t="str">
        <f ca="1">IFERROR(GHG_categories[[#This Row],[Emissions (tCO2e)]]/SUM(GHG_categories[Emissions (tCO2e)]),"")</f>
        <v/>
      </c>
      <c r="H7" s="71" t="s">
        <v>1116</v>
      </c>
      <c r="I7" s="25"/>
    </row>
    <row r="8" spans="1:9">
      <c r="A8" s="10">
        <v>1</v>
      </c>
      <c r="B8" s="10">
        <v>2</v>
      </c>
      <c r="C8" s="45" t="s">
        <v>912</v>
      </c>
      <c r="D8" s="70" t="s">
        <v>1094</v>
      </c>
      <c r="E8" t="s">
        <v>1112</v>
      </c>
      <c r="F8" s="4">
        <f ca="1">SUMIF(calcs_emissions[GHG Protocol Category Name],GHG_categories[[#This Row],[Name]],calcs_emissions[Emissions (tCO2e)])</f>
        <v>0</v>
      </c>
      <c r="G8" s="61" t="str">
        <f ca="1">IFERROR(GHG_categories[[#This Row],[Emissions (tCO2e)]]/SUM(GHG_categories[Emissions (tCO2e)]),"")</f>
        <v/>
      </c>
      <c r="H8" s="71" t="s">
        <v>1116</v>
      </c>
      <c r="I8" s="25"/>
    </row>
    <row r="9" spans="1:9">
      <c r="A9" s="10">
        <v>1</v>
      </c>
      <c r="B9" s="10">
        <v>3</v>
      </c>
      <c r="C9" s="45" t="s">
        <v>3</v>
      </c>
      <c r="D9" s="70" t="s">
        <v>1093</v>
      </c>
      <c r="E9" t="s">
        <v>1113</v>
      </c>
      <c r="F9" s="4">
        <f ca="1">SUMIF(calcs_emissions[GHG Protocol Category Name],GHG_categories[[#This Row],[Name]],calcs_emissions[Emissions (tCO2e)])</f>
        <v>0</v>
      </c>
      <c r="G9" s="61" t="str">
        <f ca="1">IFERROR(GHG_categories[[#This Row],[Emissions (tCO2e)]]/SUM(GHG_categories[Emissions (tCO2e)]),"")</f>
        <v/>
      </c>
      <c r="H9" s="71" t="s">
        <v>1116</v>
      </c>
      <c r="I9" s="25"/>
    </row>
    <row r="10" spans="1:9">
      <c r="A10" s="10">
        <v>2</v>
      </c>
      <c r="B10" s="10">
        <v>0</v>
      </c>
      <c r="C10" s="45" t="s">
        <v>2</v>
      </c>
      <c r="D10" s="70" t="s">
        <v>1092</v>
      </c>
      <c r="E10" t="s">
        <v>1114</v>
      </c>
      <c r="F10" s="4">
        <f ca="1">SUMIF(calcs_emissions[GHG Protocol Category Name],GHG_categories[[#This Row],[Name]],calcs_emissions[Emissions (tCO2e)])</f>
        <v>0</v>
      </c>
      <c r="G10" s="61" t="str">
        <f ca="1">IFERROR(GHG_categories[[#This Row],[Emissions (tCO2e)]]/SUM(GHG_categories[Emissions (tCO2e)]),"")</f>
        <v/>
      </c>
      <c r="H10" s="71" t="s">
        <v>1116</v>
      </c>
      <c r="I10" s="25"/>
    </row>
    <row r="11" spans="1:9">
      <c r="A11" s="10">
        <v>3</v>
      </c>
      <c r="B11" s="10">
        <v>1</v>
      </c>
      <c r="C11" s="45" t="s">
        <v>907</v>
      </c>
      <c r="D11" s="70" t="s">
        <v>1084</v>
      </c>
      <c r="E11" t="s">
        <v>1102</v>
      </c>
      <c r="F11" s="4">
        <f ca="1">SUMIF(calcs_emissions[GHG Protocol Category Name],GHG_categories[[#This Row],[Name]],calcs_emissions[Emissions (tCO2e)])</f>
        <v>0</v>
      </c>
      <c r="G11" s="61" t="str">
        <f ca="1">IFERROR(GHG_categories[[#This Row],[Emissions (tCO2e)]]/SUM(GHG_categories[Emissions (tCO2e)]),"")</f>
        <v/>
      </c>
      <c r="H11" s="71" t="s">
        <v>1117</v>
      </c>
      <c r="I11" s="25"/>
    </row>
    <row r="12" spans="1:9">
      <c r="A12" s="10">
        <v>3</v>
      </c>
      <c r="B12" s="10">
        <v>3</v>
      </c>
      <c r="C12" s="45" t="s">
        <v>910</v>
      </c>
      <c r="D12" s="70" t="s">
        <v>1085</v>
      </c>
      <c r="E12" t="s">
        <v>1103</v>
      </c>
      <c r="F12" s="4">
        <f ca="1">SUMIF(calcs_emissions[GHG Protocol Category Name],GHG_categories[[#This Row],[Name]],calcs_emissions[Emissions (tCO2e)])</f>
        <v>0</v>
      </c>
      <c r="G12" s="61" t="str">
        <f ca="1">IFERROR(GHG_categories[[#This Row],[Emissions (tCO2e)]]/SUM(GHG_categories[Emissions (tCO2e)]),"")</f>
        <v/>
      </c>
      <c r="H12" s="71" t="s">
        <v>1117</v>
      </c>
      <c r="I12" s="25"/>
    </row>
    <row r="13" spans="1:9">
      <c r="A13" s="10">
        <v>3</v>
      </c>
      <c r="B13" s="10">
        <v>4</v>
      </c>
      <c r="C13" s="45" t="s">
        <v>914</v>
      </c>
      <c r="D13" s="70" t="s">
        <v>1086</v>
      </c>
      <c r="E13" t="s">
        <v>1104</v>
      </c>
      <c r="F13" s="4">
        <f ca="1">SUMIF(calcs_emissions[GHG Protocol Category Name],GHG_categories[[#This Row],[Name]],calcs_emissions[Emissions (tCO2e)])</f>
        <v>0</v>
      </c>
      <c r="G13" s="61" t="str">
        <f ca="1">IFERROR(GHG_categories[[#This Row],[Emissions (tCO2e)]]/SUM(GHG_categories[Emissions (tCO2e)]),"")</f>
        <v/>
      </c>
      <c r="H13" s="71" t="s">
        <v>1117</v>
      </c>
      <c r="I13" s="25"/>
    </row>
    <row r="14" spans="1:9">
      <c r="A14" s="10">
        <v>3</v>
      </c>
      <c r="B14" s="10">
        <v>5</v>
      </c>
      <c r="C14" s="45" t="s">
        <v>915</v>
      </c>
      <c r="D14" s="70" t="s">
        <v>1087</v>
      </c>
      <c r="E14" t="s">
        <v>1105</v>
      </c>
      <c r="F14" s="4">
        <f>SUMIF(calcs_emissions[GHG Protocol Category Name],GHG_categories[[#This Row],[Name]],calcs_emissions[Emissions (tCO2e)])</f>
        <v>0</v>
      </c>
      <c r="G14" s="61" t="str">
        <f ca="1">IFERROR(GHG_categories[[#This Row],[Emissions (tCO2e)]]/SUM(GHG_categories[Emissions (tCO2e)]),"")</f>
        <v/>
      </c>
      <c r="H14" s="71" t="s">
        <v>1117</v>
      </c>
      <c r="I14" s="25"/>
    </row>
    <row r="15" spans="1:9">
      <c r="A15" s="10">
        <v>3</v>
      </c>
      <c r="B15" s="10">
        <v>6</v>
      </c>
      <c r="C15" s="45" t="s">
        <v>909</v>
      </c>
      <c r="D15" s="70" t="s">
        <v>1088</v>
      </c>
      <c r="E15" t="s">
        <v>1106</v>
      </c>
      <c r="F15" s="4">
        <f ca="1">SUMIF(calcs_emissions[GHG Protocol Category Name],GHG_categories[[#This Row],[Name]],calcs_emissions[Emissions (tCO2e)])</f>
        <v>0</v>
      </c>
      <c r="G15" s="61" t="str">
        <f ca="1">IFERROR(GHG_categories[[#This Row],[Emissions (tCO2e)]]/SUM(GHG_categories[Emissions (tCO2e)]),"")</f>
        <v/>
      </c>
      <c r="H15" s="71" t="s">
        <v>1116</v>
      </c>
      <c r="I15" s="25"/>
    </row>
    <row r="16" spans="1:9">
      <c r="A16" s="10">
        <v>3</v>
      </c>
      <c r="B16" s="10">
        <v>7</v>
      </c>
      <c r="C16" s="45" t="s">
        <v>908</v>
      </c>
      <c r="D16" s="70" t="s">
        <v>1089</v>
      </c>
      <c r="E16" t="s">
        <v>1107</v>
      </c>
      <c r="F16" s="4">
        <f ca="1">SUMIF(calcs_emissions[GHG Protocol Category Name],GHG_categories[[#This Row],[Name]],calcs_emissions[Emissions (tCO2e)])</f>
        <v>0</v>
      </c>
      <c r="G16" s="61" t="str">
        <f ca="1">IFERROR(GHG_categories[[#This Row],[Emissions (tCO2e)]]/SUM(GHG_categories[Emissions (tCO2e)]),"")</f>
        <v/>
      </c>
      <c r="H16" s="71" t="s">
        <v>1116</v>
      </c>
      <c r="I16" s="25"/>
    </row>
    <row r="17" spans="1:9">
      <c r="A17" s="10">
        <v>3</v>
      </c>
      <c r="B17" s="10">
        <v>9</v>
      </c>
      <c r="C17" s="45" t="s">
        <v>950</v>
      </c>
      <c r="D17" s="70" t="s">
        <v>1090</v>
      </c>
      <c r="E17" t="s">
        <v>1108</v>
      </c>
      <c r="F17" s="4">
        <f ca="1">SUMIF(calcs_emissions[GHG Protocol Category Name],GHG_categories[[#This Row],[Name]],calcs_emissions[Emissions (tCO2e)])</f>
        <v>0</v>
      </c>
      <c r="G17" s="61" t="str">
        <f ca="1">IFERROR(GHG_categories[[#This Row],[Emissions (tCO2e)]]/SUM(GHG_categories[Emissions (tCO2e)]),"")</f>
        <v/>
      </c>
      <c r="H17" s="71" t="s">
        <v>1117</v>
      </c>
      <c r="I17" s="25"/>
    </row>
    <row r="18" spans="1:9">
      <c r="A18" s="10">
        <v>3</v>
      </c>
      <c r="B18" s="10">
        <v>12</v>
      </c>
      <c r="C18" s="45" t="s">
        <v>916</v>
      </c>
      <c r="D18" s="72" t="s">
        <v>1091</v>
      </c>
      <c r="E18" s="73" t="s">
        <v>1109</v>
      </c>
      <c r="F18" s="77">
        <f ca="1">SUMIF(calcs_emissions[GHG Protocol Category Name],GHG_categories[[#This Row],[Name]],calcs_emissions[Emissions (tCO2e)])</f>
        <v>0</v>
      </c>
      <c r="G18" s="78" t="str">
        <f ca="1">IFERROR(GHG_categories[[#This Row],[Emissions (tCO2e)]]/SUM(GHG_categories[Emissions (tCO2e)]),"")</f>
        <v/>
      </c>
      <c r="H18" s="71" t="s">
        <v>1117</v>
      </c>
      <c r="I18" s="25"/>
    </row>
    <row r="19" spans="1:9">
      <c r="D19" s="66"/>
      <c r="E19" s="66"/>
      <c r="F19" s="66"/>
      <c r="G19" s="66"/>
      <c r="H19" s="66"/>
    </row>
  </sheetData>
  <sheetProtection algorithmName="SHA-512" hashValue="6Nnw3YXb0xU6VEBGIO2oopjixc94txF4KXBUirhN9D8/LGfTBOGQ+4wf1lCVRMnF0es45LxcnEf0M/pPoAWVtw==" saltValue="kl70yFxaMUkdyKe9iu0HWg==" spinCount="100000" sheet="1" objects="1" scenarios="1" formatColumns="0" formatRows="0" selectLockedCells="1" selectUnlockedCells="1"/>
  <mergeCells count="1">
    <mergeCell ref="D4:E4"/>
  </mergeCells>
  <pageMargins left="0.7" right="0.7" top="0.75" bottom="0.75" header="0.3" footer="0.3"/>
  <pageSetup paperSize="9" orientation="portrait" horizontalDpi="0" verticalDpi="0"/>
  <drawing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28F68-4550-834A-92EF-9DDE307AE894}">
  <sheetPr codeName="Sheet2"/>
  <dimension ref="A1:E26"/>
  <sheetViews>
    <sheetView workbookViewId="0">
      <selection activeCell="D27" sqref="D27"/>
    </sheetView>
  </sheetViews>
  <sheetFormatPr baseColWidth="10" defaultRowHeight="16"/>
  <cols>
    <col min="1" max="1" width="17.85546875" style="80" customWidth="1"/>
    <col min="2" max="2" width="27.7109375" style="80" customWidth="1"/>
    <col min="3" max="3" width="9.28515625" style="80" customWidth="1"/>
    <col min="4" max="4" width="121.28515625" style="80" customWidth="1"/>
    <col min="5" max="16384" width="10.7109375" style="80"/>
  </cols>
  <sheetData>
    <row r="1" spans="1:5" ht="40">
      <c r="A1" s="88" t="s">
        <v>1145</v>
      </c>
    </row>
    <row r="2" spans="1:5">
      <c r="A2" s="10" t="s">
        <v>1166</v>
      </c>
    </row>
    <row r="3" spans="1:5" ht="33" customHeight="1">
      <c r="A3" s="89" t="s">
        <v>36</v>
      </c>
      <c r="B3" s="89" t="s">
        <v>37</v>
      </c>
      <c r="C3" s="89" t="s">
        <v>52</v>
      </c>
      <c r="D3" s="89" t="s">
        <v>1062</v>
      </c>
    </row>
    <row r="4" spans="1:5">
      <c r="A4" s="81"/>
      <c r="B4" s="81"/>
      <c r="C4" s="81"/>
      <c r="D4" s="81"/>
    </row>
    <row r="5" spans="1:5">
      <c r="A5" s="280" t="s">
        <v>0</v>
      </c>
      <c r="B5" s="90" t="s">
        <v>995</v>
      </c>
      <c r="C5" s="90" t="s">
        <v>107</v>
      </c>
      <c r="D5" s="91" t="s">
        <v>1130</v>
      </c>
      <c r="E5" s="85"/>
    </row>
    <row r="6" spans="1:5">
      <c r="A6" s="281"/>
      <c r="B6" s="92" t="s">
        <v>995</v>
      </c>
      <c r="C6" s="92" t="s">
        <v>428</v>
      </c>
      <c r="D6" s="93" t="s">
        <v>1131</v>
      </c>
      <c r="E6" s="85"/>
    </row>
    <row r="7" spans="1:5">
      <c r="A7" s="282"/>
      <c r="B7" s="94" t="s">
        <v>996</v>
      </c>
      <c r="C7" s="94" t="s">
        <v>65</v>
      </c>
      <c r="D7" s="95" t="s">
        <v>1132</v>
      </c>
      <c r="E7" s="85"/>
    </row>
    <row r="8" spans="1:5">
      <c r="A8" s="82"/>
      <c r="B8" s="96"/>
      <c r="C8" s="96"/>
      <c r="D8" s="96"/>
    </row>
    <row r="9" spans="1:5" ht="23" customHeight="1">
      <c r="A9" s="280" t="s">
        <v>469</v>
      </c>
      <c r="B9" s="90" t="s">
        <v>997</v>
      </c>
      <c r="C9" s="90" t="s">
        <v>107</v>
      </c>
      <c r="D9" s="91" t="s">
        <v>1133</v>
      </c>
      <c r="E9" s="85"/>
    </row>
    <row r="10" spans="1:5" ht="23" customHeight="1">
      <c r="A10" s="282"/>
      <c r="B10" s="94" t="s">
        <v>997</v>
      </c>
      <c r="C10" s="94" t="s">
        <v>54</v>
      </c>
      <c r="D10" s="95" t="s">
        <v>1140</v>
      </c>
      <c r="E10" s="85"/>
    </row>
    <row r="11" spans="1:5">
      <c r="A11" s="82"/>
      <c r="B11" s="96"/>
      <c r="C11" s="96"/>
      <c r="D11" s="96"/>
    </row>
    <row r="12" spans="1:5">
      <c r="A12" s="280" t="s">
        <v>3</v>
      </c>
      <c r="B12" s="90" t="s">
        <v>998</v>
      </c>
      <c r="C12" s="90" t="s">
        <v>994</v>
      </c>
      <c r="D12" s="91" t="s">
        <v>1134</v>
      </c>
      <c r="E12" s="85"/>
    </row>
    <row r="13" spans="1:5">
      <c r="A13" s="282"/>
      <c r="B13" s="94" t="s">
        <v>999</v>
      </c>
      <c r="C13" s="94" t="s">
        <v>108</v>
      </c>
      <c r="D13" s="95" t="s">
        <v>1135</v>
      </c>
      <c r="E13" s="85"/>
    </row>
    <row r="14" spans="1:5">
      <c r="A14" s="82"/>
      <c r="B14" s="96"/>
      <c r="C14" s="96"/>
      <c r="D14" s="96"/>
    </row>
    <row r="15" spans="1:5">
      <c r="A15" s="280" t="s">
        <v>4</v>
      </c>
      <c r="B15" s="90" t="s">
        <v>922</v>
      </c>
      <c r="C15" s="90" t="s">
        <v>924</v>
      </c>
      <c r="D15" s="91" t="s">
        <v>1136</v>
      </c>
      <c r="E15" s="85"/>
    </row>
    <row r="16" spans="1:5">
      <c r="A16" s="281"/>
      <c r="B16" s="92" t="s">
        <v>935</v>
      </c>
      <c r="C16" s="92" t="s">
        <v>53</v>
      </c>
      <c r="D16" s="93" t="s">
        <v>1137</v>
      </c>
      <c r="E16" s="85"/>
    </row>
    <row r="17" spans="1:5">
      <c r="A17" s="281"/>
      <c r="B17" s="92" t="s">
        <v>941</v>
      </c>
      <c r="C17" s="92" t="s">
        <v>53</v>
      </c>
      <c r="D17" s="93" t="s">
        <v>1138</v>
      </c>
      <c r="E17" s="85"/>
    </row>
    <row r="18" spans="1:5">
      <c r="A18" s="281"/>
      <c r="B18" s="92" t="s">
        <v>940</v>
      </c>
      <c r="C18" s="92" t="s">
        <v>53</v>
      </c>
      <c r="D18" s="93" t="s">
        <v>1127</v>
      </c>
      <c r="E18" s="85"/>
    </row>
    <row r="19" spans="1:5">
      <c r="A19" s="281"/>
      <c r="B19" s="92" t="s">
        <v>39</v>
      </c>
      <c r="C19" s="92" t="s">
        <v>53</v>
      </c>
      <c r="D19" s="93" t="s">
        <v>1128</v>
      </c>
      <c r="E19" s="85"/>
    </row>
    <row r="20" spans="1:5">
      <c r="A20" s="281"/>
      <c r="B20" s="92" t="s">
        <v>937</v>
      </c>
      <c r="C20" s="92" t="s">
        <v>53</v>
      </c>
      <c r="D20" s="93" t="s">
        <v>1129</v>
      </c>
      <c r="E20" s="85"/>
    </row>
    <row r="21" spans="1:5">
      <c r="A21" s="281"/>
      <c r="B21" s="92" t="s">
        <v>936</v>
      </c>
      <c r="C21" s="92" t="s">
        <v>53</v>
      </c>
      <c r="D21" s="93" t="s">
        <v>1002</v>
      </c>
      <c r="E21" s="85"/>
    </row>
    <row r="22" spans="1:5">
      <c r="A22" s="281"/>
      <c r="B22" s="92" t="s">
        <v>109</v>
      </c>
      <c r="C22" s="92" t="s">
        <v>53</v>
      </c>
      <c r="D22" s="93" t="s">
        <v>1139</v>
      </c>
      <c r="E22" s="85"/>
    </row>
    <row r="23" spans="1:5">
      <c r="A23" s="281"/>
      <c r="B23" s="92" t="s">
        <v>910</v>
      </c>
      <c r="C23" s="92" t="s">
        <v>53</v>
      </c>
      <c r="D23" s="93" t="s">
        <v>1003</v>
      </c>
      <c r="E23" s="85"/>
    </row>
    <row r="24" spans="1:5">
      <c r="A24" s="281"/>
      <c r="B24" s="92" t="s">
        <v>909</v>
      </c>
      <c r="C24" s="92" t="s">
        <v>107</v>
      </c>
      <c r="D24" s="93" t="s">
        <v>1000</v>
      </c>
      <c r="E24" s="85"/>
    </row>
    <row r="25" spans="1:5">
      <c r="A25" s="282"/>
      <c r="B25" s="94" t="s">
        <v>909</v>
      </c>
      <c r="C25" s="94" t="s">
        <v>972</v>
      </c>
      <c r="D25" s="95" t="s">
        <v>1001</v>
      </c>
      <c r="E25" s="85"/>
    </row>
    <row r="26" spans="1:5">
      <c r="A26" s="83"/>
      <c r="B26" s="83"/>
      <c r="C26" s="83"/>
      <c r="D26" s="83"/>
    </row>
  </sheetData>
  <sheetProtection algorithmName="SHA-512" hashValue="CApX8Q+hzZGgMLV5skg0dNEQ2OA90m+1yKmF/mUIvGvK7DVVP1W8VVFSwJ5zUOSxgEDoYCJoV9bmCbo68tyYLw==" saltValue="yqo102cJzx9zlSu0wz4+yw==" spinCount="100000" sheet="1" objects="1" scenarios="1" formatColumns="0" formatRows="0" selectLockedCells="1" selectUnlockedCells="1"/>
  <mergeCells count="4">
    <mergeCell ref="A15:A25"/>
    <mergeCell ref="A12:A13"/>
    <mergeCell ref="A9:A10"/>
    <mergeCell ref="A5:A7"/>
  </mergeCells>
  <pageMargins left="0.7" right="0.7" top="0.75" bottom="0.75" header="0.3" footer="0.3"/>
  <pageSetup paperSize="9"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3E136-FF6B-AE4D-AAF8-65CA72B1917E}">
  <dimension ref="B1:B13"/>
  <sheetViews>
    <sheetView workbookViewId="0">
      <selection activeCell="B9" sqref="B9"/>
    </sheetView>
  </sheetViews>
  <sheetFormatPr baseColWidth="10" defaultRowHeight="16"/>
  <cols>
    <col min="1" max="1" width="2.85546875" style="10" customWidth="1"/>
    <col min="2" max="2" width="70.5703125" style="10" customWidth="1"/>
    <col min="3" max="16384" width="10.7109375" style="10"/>
  </cols>
  <sheetData>
    <row r="1" spans="2:2" ht="45">
      <c r="B1" s="231" t="s">
        <v>1195</v>
      </c>
    </row>
    <row r="2" spans="2:2">
      <c r="B2" s="236"/>
    </row>
    <row r="3" spans="2:2" ht="25">
      <c r="B3" s="234" t="s">
        <v>1190</v>
      </c>
    </row>
    <row r="4" spans="2:2">
      <c r="B4" s="10" t="s">
        <v>1188</v>
      </c>
    </row>
    <row r="5" spans="2:2">
      <c r="B5" s="10" t="s">
        <v>1189</v>
      </c>
    </row>
    <row r="7" spans="2:2" ht="25">
      <c r="B7" s="234" t="s">
        <v>1191</v>
      </c>
    </row>
    <row r="8" spans="2:2">
      <c r="B8" s="10" t="s">
        <v>1197</v>
      </c>
    </row>
    <row r="9" spans="2:2">
      <c r="B9" s="235" t="s">
        <v>1194</v>
      </c>
    </row>
    <row r="10" spans="2:2" ht="85">
      <c r="B10" s="237" t="s">
        <v>1196</v>
      </c>
    </row>
    <row r="12" spans="2:2" ht="25">
      <c r="B12" s="234" t="s">
        <v>1192</v>
      </c>
    </row>
    <row r="13" spans="2:2" ht="170">
      <c r="B13" s="62" t="s">
        <v>1193</v>
      </c>
    </row>
  </sheetData>
  <sheetProtection algorithmName="SHA-512" hashValue="YC9AoKu0te74pbMuNGn4cBXbBCK9MyMCMdeQVSCewkpuUgonSJDJrhKgwiKFbPIsg8eZm6FrAq6sYGyfbqbr1w==" saltValue="MQprXTFdaWpkNhBLHcCLMg==" spinCount="100000" sheet="1" objects="1" scenarios="1" formatColumns="0" formatRows="0" selectLockedCells="1" selectUnlockedCells="1"/>
  <hyperlinks>
    <hyperlink ref="B9" r:id="rId1" xr:uid="{FCF0FB3E-1EA1-3A49-9FFA-8836D1265628}"/>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665D6-5433-B04B-8F3A-B62630BFE943}">
  <dimension ref="A1:N25"/>
  <sheetViews>
    <sheetView workbookViewId="0">
      <selection activeCell="N25" sqref="N25"/>
    </sheetView>
  </sheetViews>
  <sheetFormatPr baseColWidth="10" defaultRowHeight="16"/>
  <cols>
    <col min="1" max="1" width="32.5703125" customWidth="1"/>
  </cols>
  <sheetData>
    <row r="1" spans="1:2" ht="28">
      <c r="A1" s="39" t="s">
        <v>1007</v>
      </c>
    </row>
    <row r="2" spans="1:2" ht="34">
      <c r="A2" s="14" t="s">
        <v>900</v>
      </c>
    </row>
    <row r="3" spans="1:2" ht="34">
      <c r="A3" s="14" t="s">
        <v>901</v>
      </c>
    </row>
    <row r="4" spans="1:2" ht="34">
      <c r="A4" s="14" t="s">
        <v>902</v>
      </c>
      <c r="B4" t="s">
        <v>1008</v>
      </c>
    </row>
    <row r="5" spans="1:2" ht="17">
      <c r="A5" s="14" t="s">
        <v>903</v>
      </c>
    </row>
    <row r="6" spans="1:2">
      <c r="A6" s="14"/>
    </row>
    <row r="7" spans="1:2">
      <c r="A7" s="14"/>
    </row>
    <row r="8" spans="1:2" ht="34">
      <c r="A8" s="14" t="s">
        <v>904</v>
      </c>
    </row>
    <row r="9" spans="1:2" ht="17">
      <c r="A9" s="14" t="s">
        <v>905</v>
      </c>
    </row>
    <row r="10" spans="1:2" ht="34">
      <c r="A10" s="14" t="s">
        <v>906</v>
      </c>
    </row>
    <row r="25" spans="14:14">
      <c r="N25" s="64"/>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14CDD-A48E-0A45-BDD2-A55924230898}">
  <dimension ref="A2:N40"/>
  <sheetViews>
    <sheetView workbookViewId="0">
      <selection activeCell="G10" sqref="G10"/>
    </sheetView>
  </sheetViews>
  <sheetFormatPr baseColWidth="10" defaultRowHeight="16"/>
  <cols>
    <col min="1" max="1" width="14.42578125" customWidth="1"/>
    <col min="6" max="6" width="14.85546875" customWidth="1"/>
  </cols>
  <sheetData>
    <row r="2" spans="1:7">
      <c r="A2" t="s">
        <v>1027</v>
      </c>
      <c r="B2" t="s">
        <v>1028</v>
      </c>
    </row>
    <row r="3" spans="1:7">
      <c r="B3" t="s">
        <v>1029</v>
      </c>
    </row>
    <row r="4" spans="1:7">
      <c r="B4" t="s">
        <v>1030</v>
      </c>
    </row>
    <row r="5" spans="1:7">
      <c r="B5" t="s">
        <v>1032</v>
      </c>
    </row>
    <row r="7" spans="1:7">
      <c r="A7" t="s">
        <v>1098</v>
      </c>
      <c r="D7" t="s">
        <v>441</v>
      </c>
      <c r="F7" t="s">
        <v>1141</v>
      </c>
    </row>
    <row r="8" spans="1:7">
      <c r="A8" t="s">
        <v>68</v>
      </c>
      <c r="B8">
        <f>IF(ISBLANK(inputs_username),0,2)</f>
        <v>0</v>
      </c>
      <c r="D8" t="b">
        <f>NOT(ISBLANK(inputs_username))</f>
        <v>0</v>
      </c>
      <c r="F8" t="b">
        <f>D8</f>
        <v>0</v>
      </c>
      <c r="G8">
        <f>IF(D8,2,0)</f>
        <v>0</v>
      </c>
    </row>
    <row r="9" spans="1:7">
      <c r="A9" t="s">
        <v>853</v>
      </c>
      <c r="B9">
        <f>IF(ISBLANK(inputs_revenue_GBP),0,2)</f>
        <v>0</v>
      </c>
      <c r="D9" t="b">
        <f>NOT(ISBLANK(inputs_revenue_GBP))</f>
        <v>0</v>
      </c>
      <c r="F9" t="b">
        <f>D9</f>
        <v>0</v>
      </c>
      <c r="G9">
        <f>IF(D9,2,0)</f>
        <v>0</v>
      </c>
    </row>
    <row r="10" spans="1:7">
      <c r="A10" t="s">
        <v>1099</v>
      </c>
      <c r="B10" s="2">
        <f>SUM(B8:B9)/4</f>
        <v>0</v>
      </c>
      <c r="F10" t="b">
        <f>AND(F8:F9)</f>
        <v>0</v>
      </c>
      <c r="G10" s="2">
        <f>IF(F10,SUM(G8:G9)/4,MIN(0.49,SUM(G8:G9)/4))</f>
        <v>0</v>
      </c>
    </row>
    <row r="12" spans="1:7" ht="17">
      <c r="A12" s="17" t="s">
        <v>0</v>
      </c>
    </row>
    <row r="13" spans="1:7" ht="17">
      <c r="A13" s="17"/>
    </row>
    <row r="14" spans="1:7">
      <c r="A14" t="s">
        <v>1024</v>
      </c>
      <c r="B14" cm="1">
        <f t="array" ref="B14">IF(AND(IF(inputs_log_HGV_Key_or_Adv:inputs_log_cars_Key_or_Adv=text_using_advanced_input,TRUE,FALSE)),2,COUNTA(inputs_log_key_reporting_period))</f>
        <v>0</v>
      </c>
      <c r="D14" t="s">
        <v>441</v>
      </c>
      <c r="E14" t="s">
        <v>457</v>
      </c>
      <c r="F14" t="s">
        <v>1101</v>
      </c>
    </row>
    <row r="15" spans="1:7">
      <c r="A15" t="s">
        <v>1025</v>
      </c>
      <c r="B15">
        <f>MAX(COUNTA(inputs_log_key_HGV_value,inputs_log_key_HGV_unit)/2,IF(inputs_log_HGV_Key_or_Adv=text_using_advanced_input,2,0))</f>
        <v>0</v>
      </c>
      <c r="D15" t="b">
        <f>AND(NOT(ISBLANK(inputs_log_key_reporting_period)),NOT(ISBLANK(inputs_log_key_HGV_value)),NOT(ISBLANK(inputs_log_key_HGV_unit)))</f>
        <v>0</v>
      </c>
      <c r="E15" t="b">
        <f>inputs_log_HGV_Key_or_Adv=text_using_advanced_input</f>
        <v>0</v>
      </c>
      <c r="F15" t="b">
        <f>OR(D15,E15)</f>
        <v>0</v>
      </c>
      <c r="G15" cm="1">
        <f t="array" ref="G15">_xlfn.IFS(E15,2,D15,1,TRUE,0)</f>
        <v>0</v>
      </c>
    </row>
    <row r="16" spans="1:7">
      <c r="A16" t="s">
        <v>1026</v>
      </c>
      <c r="B16">
        <f>MAX(COUNTA(inputs_log_key_LGV_value,inputs_log_key_LGV_unit)/2,IF(inputs_log_LGV_Key_or_Adv=text_using_advanced_input,2,0))</f>
        <v>0</v>
      </c>
      <c r="D16" t="b">
        <f>AND(NOT(ISBLANK(inputs_log_key_reporting_period)),NOT(ISBLANK(inputs_log_key_LGV_value)),NOT(ISBLANK(inputs_log_key_LGV_unit)))</f>
        <v>0</v>
      </c>
      <c r="E16" t="b">
        <f>inputs_log_LGV_Key_or_Adv=text_using_advanced_input</f>
        <v>0</v>
      </c>
      <c r="F16" t="b">
        <f t="shared" ref="F16:F17" si="0">OR(D16,E16)</f>
        <v>0</v>
      </c>
      <c r="G16" cm="1">
        <f t="array" ref="G16">_xlfn.IFS(E16,2,D16,1,TRUE,0)</f>
        <v>0</v>
      </c>
    </row>
    <row r="17" spans="1:7">
      <c r="A17" t="s">
        <v>40</v>
      </c>
      <c r="B17">
        <f>MAX(COUNTA(inputs_log_key_cars_value,inputs_log_key_cars_unit)/2,IF(inputs_log_cars_Key_or_Adv=text_using_advanced_input,2,0))</f>
        <v>0</v>
      </c>
      <c r="D17" t="b">
        <f>AND(NOT(ISBLANK(inputs_log_key_reporting_period)),NOT(ISBLANK(inputs_log_key_cars_value)),NOT(ISBLANK(inputs_log_key_cars_unit)))</f>
        <v>0</v>
      </c>
      <c r="E17" t="b">
        <f>inputs_log_cars_Key_or_Adv=text_using_advanced_input</f>
        <v>0</v>
      </c>
      <c r="F17" t="b">
        <f t="shared" si="0"/>
        <v>0</v>
      </c>
      <c r="G17" cm="1">
        <f t="array" ref="G17">_xlfn.IFS(E17,2,D17,1,TRUE,0)</f>
        <v>0</v>
      </c>
    </row>
    <row r="18" spans="1:7" ht="17">
      <c r="A18" s="17" t="s">
        <v>1031</v>
      </c>
      <c r="B18" s="44">
        <f>SUM(B14:B17)/8</f>
        <v>0</v>
      </c>
      <c r="F18" t="b">
        <f>AND(F15:F17)</f>
        <v>0</v>
      </c>
      <c r="G18" s="2">
        <f>IF(F18,SUM(G15:G17)/6,MIN(0.49,SUM(G15:G17)/6))</f>
        <v>0</v>
      </c>
    </row>
    <row r="20" spans="1:7" ht="17">
      <c r="A20" s="17" t="s">
        <v>1033</v>
      </c>
    </row>
    <row r="21" spans="1:7">
      <c r="A21" t="s">
        <v>1024</v>
      </c>
      <c r="B21" cm="1">
        <f t="array" ref="B21">IF(AND(IF(inputs_energy_gas_Key_or_Adv:inputs_energy_renew_Key_or_Adv=text_using_advanced_input,TRUE,FALSE)),1,COUNTA(inputs_energy_key_reporting_period))</f>
        <v>0</v>
      </c>
      <c r="D21" t="s">
        <v>441</v>
      </c>
      <c r="E21" t="s">
        <v>457</v>
      </c>
      <c r="F21" t="s">
        <v>1101</v>
      </c>
    </row>
    <row r="22" spans="1:7">
      <c r="A22" t="s">
        <v>38</v>
      </c>
      <c r="B22">
        <f>MAX(COUNTA(inputs_energy_key_gas_spend_gbp),IF(inputs_energy_gas_Key_or_Adv=text_using_advanced_input,2,0))</f>
        <v>0</v>
      </c>
      <c r="D22" t="b">
        <f>AND(NOT(ISBLANK(inputs_energy_key_reporting_period)),NOT(ISBLANK(inputs_energy_key_gas_spend_gbp)))</f>
        <v>0</v>
      </c>
      <c r="E22" t="b">
        <f>inputs_energy_gas_Key_or_Adv=text_using_advanced_input</f>
        <v>0</v>
      </c>
      <c r="F22" t="b">
        <f>OR(D22,E22)</f>
        <v>0</v>
      </c>
      <c r="G22" cm="1">
        <f t="array" ref="G22">_xlfn.IFS(E22,2,D22,1,TRUE,0)</f>
        <v>0</v>
      </c>
    </row>
    <row r="23" spans="1:7">
      <c r="A23" t="s">
        <v>471</v>
      </c>
      <c r="B23">
        <f>MAX(COUNTA(inputs_energy_key_oil_spend_gbp),IF(inputs_energy_oil_Key_or_Adv=text_using_advanced_input,2,0))</f>
        <v>0</v>
      </c>
      <c r="D23" t="b">
        <f>AND(NOT(ISBLANK(inputs_energy_key_reporting_period)),NOT(ISBLANK(inputs_energy_key_oil_spend_gbp)))</f>
        <v>0</v>
      </c>
      <c r="E23" t="b">
        <f>inputs_energy_oil_Key_or_Adv=text_using_advanced_input</f>
        <v>0</v>
      </c>
      <c r="F23" t="b">
        <f t="shared" ref="F23:F24" si="1">OR(D23,E23)</f>
        <v>0</v>
      </c>
      <c r="G23" cm="1">
        <f t="array" ref="G23">_xlfn.IFS(E23,2,D23,1,TRUE,0)</f>
        <v>0</v>
      </c>
    </row>
    <row r="24" spans="1:7">
      <c r="A24" t="s">
        <v>1034</v>
      </c>
      <c r="B24">
        <f>MAX(COUNTA(inputs_energy_key_elec_spend_gbp),IF(inputs_energy_elec_Key_or_Adv=text_using_advanced_input,2,0))</f>
        <v>0</v>
      </c>
      <c r="D24" t="b">
        <f>AND(NOT(ISBLANK(inputs_energy_key_reporting_period)),NOT(ISBLANK(inputs_energy_key_elec_spend_gbp)))</f>
        <v>0</v>
      </c>
      <c r="E24" t="b">
        <f>inputs_energy_elec_Key_or_Adv=text_using_advanced_input</f>
        <v>0</v>
      </c>
      <c r="F24" t="b">
        <f t="shared" si="1"/>
        <v>0</v>
      </c>
      <c r="G24" cm="1">
        <f t="array" ref="G24">_xlfn.IFS(E24,2,D24,1,TRUE,0)</f>
        <v>0</v>
      </c>
    </row>
    <row r="25" spans="1:7">
      <c r="A25" t="s">
        <v>1035</v>
      </c>
      <c r="B25">
        <f>MAX(COUNTA(inputs_energy_key_renewable_yn),IF(inputs_energy_renew_Key_or_Adv=text_using_advanced_input,2,0))</f>
        <v>0</v>
      </c>
      <c r="D25" t="b">
        <f>AND(NOT(ISBLANK(inputs_energy_key_reporting_period)),NOT(ISBLANK(inputs_energy_key_renewable_yn)))</f>
        <v>0</v>
      </c>
      <c r="E25" t="b">
        <f>inputs_energy_renew_Key_or_Adv=text_using_advanced_input</f>
        <v>0</v>
      </c>
      <c r="F25" t="b">
        <f t="shared" ref="F25" si="2">OR(D25,E25)</f>
        <v>0</v>
      </c>
      <c r="G25" cm="1">
        <f t="array" ref="G25">_xlfn.IFS(E25,2,D25,1,TRUE,0)</f>
        <v>0</v>
      </c>
    </row>
    <row r="26" spans="1:7" ht="17">
      <c r="A26" s="17" t="s">
        <v>1036</v>
      </c>
      <c r="B26" s="44">
        <f>SUM(B21:B25)/10</f>
        <v>0</v>
      </c>
      <c r="F26" t="b">
        <f>AND(F22:F25)</f>
        <v>0</v>
      </c>
      <c r="G26" s="2">
        <f>IF(F26,SUM(G22:G25)/8,MIN(SUM(G22:G25)/8,0.49))</f>
        <v>0</v>
      </c>
    </row>
    <row r="28" spans="1:7">
      <c r="D28" t="s">
        <v>441</v>
      </c>
      <c r="E28" t="s">
        <v>457</v>
      </c>
      <c r="F28" t="s">
        <v>1101</v>
      </c>
    </row>
    <row r="29" spans="1:7" ht="17">
      <c r="A29" s="17" t="s">
        <v>1037</v>
      </c>
      <c r="B29">
        <f>MAX(COUNTA(inputs_refrig_key_floorarea_value,inputs_refrig_key_floorarea_unit)/2,IF(inputs_refrig_Key_or_Adv=text_using_advanced_input,2,0))</f>
        <v>0</v>
      </c>
      <c r="D29" t="b">
        <f>AND(NOT(ISBLANK(inputs_refrig_key_floorarea_unit)),NOT(ISBLANK(inputs_refrig_key_floorarea_value)))</f>
        <v>0</v>
      </c>
      <c r="E29" t="b">
        <f>inputs_refrig_Key_or_Adv=text_using_advanced_input</f>
        <v>0</v>
      </c>
      <c r="F29" t="b">
        <f>OR(D29,E29)</f>
        <v>0</v>
      </c>
      <c r="G29" cm="1">
        <f t="array" ref="G29">_xlfn.IFS(E29,2,D29,1,TRUE,0)</f>
        <v>0</v>
      </c>
    </row>
    <row r="30" spans="1:7" ht="17">
      <c r="A30" s="17" t="s">
        <v>1036</v>
      </c>
      <c r="B30" s="44">
        <f>B29/2</f>
        <v>0</v>
      </c>
      <c r="F30" t="b">
        <f>AND(F29)</f>
        <v>0</v>
      </c>
      <c r="G30" s="2">
        <f>IF(F30,SUM(G29)/2,MIN(SUM(G29)/2,0.49))</f>
        <v>0</v>
      </c>
    </row>
    <row r="32" spans="1:7" ht="17">
      <c r="A32" s="17" t="s">
        <v>4</v>
      </c>
      <c r="D32" t="s">
        <v>441</v>
      </c>
      <c r="E32" t="s">
        <v>457</v>
      </c>
      <c r="F32" t="s">
        <v>1101</v>
      </c>
    </row>
    <row r="33" spans="1:14">
      <c r="A33" t="s">
        <v>922</v>
      </c>
      <c r="B33">
        <f>MAX(COUNTA(inputs_num_FTEs),IF(inputs_commuting_Key_or_Adv=text_using_advanced_input,2,0))</f>
        <v>0</v>
      </c>
      <c r="D33" t="b">
        <f>NOT(ISBLANK(inputs_num_FTEs))</f>
        <v>0</v>
      </c>
      <c r="E33" t="b">
        <f>inputs_commuting_Key_or_Adv=text_using_advanced_input</f>
        <v>0</v>
      </c>
      <c r="F33" t="b">
        <f>OR(D33,E33)</f>
        <v>0</v>
      </c>
      <c r="G33" cm="1">
        <f t="array" ref="G33">_xlfn.IFS(E33,2,D33,1,TRUE,0)</f>
        <v>0</v>
      </c>
    </row>
    <row r="34" spans="1:14">
      <c r="A34" t="s">
        <v>909</v>
      </c>
      <c r="B34">
        <f>MAX(COUNTA(inputs_valchain_key_biztravel_value,inputs_valchain_key_biztravel_unit)/2,IF(inputs_biztravel_key_or_adv=text_using_advanced_input,2,0))</f>
        <v>0</v>
      </c>
      <c r="D34" t="b">
        <f>AND(NOT(ISBLANK(inputs_valchain_key_biztravel_value)),NOT(ISBLANK(inputs_valchain_key_biztravel_unit)))</f>
        <v>0</v>
      </c>
      <c r="E34" t="b">
        <f>inputs_biztravel_key_or_adv=text_using_advanced_input</f>
        <v>0</v>
      </c>
      <c r="F34" t="b">
        <f t="shared" ref="F34" si="3">OR(D34,E34)</f>
        <v>0</v>
      </c>
      <c r="G34" cm="1">
        <f t="array" ref="G34">_xlfn.IFS(E34,2,D34,1,TRUE,0)</f>
        <v>0</v>
      </c>
    </row>
    <row r="35" spans="1:14" ht="17">
      <c r="A35" s="17" t="s">
        <v>1036</v>
      </c>
      <c r="B35" s="44">
        <f>SUM(B33:B34)/4</f>
        <v>0</v>
      </c>
      <c r="F35" t="b">
        <f>AND(F33:F34)</f>
        <v>0</v>
      </c>
      <c r="G35" s="2">
        <f>IF(F35,SUM(G33:G34)/4,MIN(SUM(G33:G34)/4,0.49))</f>
        <v>0</v>
      </c>
    </row>
    <row r="40" spans="1:14" ht="17">
      <c r="N40" s="63"/>
    </row>
  </sheetData>
  <pageMargins left="0.7" right="0.7" top="0.75" bottom="0.75" header="0.3" footer="0.3"/>
  <pageSetup paperSize="9"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E283EE2E9DD4A4EB37C1D460ED9F7D7" ma:contentTypeVersion="16" ma:contentTypeDescription="Create a new document." ma:contentTypeScope="" ma:versionID="fa7be0a098550ac9950a52832587c255">
  <xsd:schema xmlns:xsd="http://www.w3.org/2001/XMLSchema" xmlns:xs="http://www.w3.org/2001/XMLSchema" xmlns:p="http://schemas.microsoft.com/office/2006/metadata/properties" xmlns:ns2="1340aa98-e476-4872-bbbf-71c4ef596eeb" xmlns:ns3="386e6de1-7b9d-4e9e-b0b1-a99192b6f932" xmlns:ns4="fcc25f0f-f0d0-42c1-9cdc-caecc9293d3a" targetNamespace="http://schemas.microsoft.com/office/2006/metadata/properties" ma:root="true" ma:fieldsID="1dcd045d2afad7c330bf6be7035e6592" ns2:_="" ns3:_="" ns4:_="">
    <xsd:import namespace="1340aa98-e476-4872-bbbf-71c4ef596eeb"/>
    <xsd:import namespace="386e6de1-7b9d-4e9e-b0b1-a99192b6f932"/>
    <xsd:import namespace="fcc25f0f-f0d0-42c1-9cdc-caecc9293d3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EventHashCode" minOccurs="0"/>
                <xsd:element ref="ns3:MediaServiceGenerationTime" minOccurs="0"/>
                <xsd:element ref="ns3:MediaServiceAutoTags" minOccurs="0"/>
                <xsd:element ref="ns3:MediaServiceOCR" minOccurs="0"/>
                <xsd:element ref="ns3:MediaServiceDateTaken" minOccurs="0"/>
                <xsd:element ref="ns3:MediaServiceLocation" minOccurs="0"/>
                <xsd:element ref="ns3:MediaServiceAutoKeyPoints" minOccurs="0"/>
                <xsd:element ref="ns3:MediaServiceKeyPoints" minOccurs="0"/>
                <xsd:element ref="ns3:MediaLengthInSeconds" minOccurs="0"/>
                <xsd:element ref="ns3: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40aa98-e476-4872-bbbf-71c4ef596ee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86e6de1-7b9d-4e9e-b0b1-a99192b6f93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ca0021b2-9f5f-425e-9fa3-fe7ce55946f7"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cc25f0f-f0d0-42c1-9cdc-caecc9293d3a"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b16b426c-8cc4-4936-8e27-0c1dd3d49670}" ma:internalName="TaxCatchAll" ma:showField="CatchAllData" ma:web="fcc25f0f-f0d0-42c1-9cdc-caecc9293d3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E4D9948-085C-4274-A523-7187F5AE84A2}"/>
</file>

<file path=customXml/itemProps2.xml><?xml version="1.0" encoding="utf-8"?>
<ds:datastoreItem xmlns:ds="http://schemas.openxmlformats.org/officeDocument/2006/customXml" ds:itemID="{06EBED17-66D8-441F-A714-1293E7EF0E40}"/>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15</vt:i4>
      </vt:variant>
      <vt:variant>
        <vt:lpstr>Named Ranges</vt:lpstr>
      </vt:variant>
      <vt:variant>
        <vt:i4>75</vt:i4>
      </vt:variant>
    </vt:vector>
  </HeadingPairs>
  <TitlesOfParts>
    <vt:vector size="90" baseType="lpstr">
      <vt:lpstr>User Guide</vt:lpstr>
      <vt:lpstr>Inputs</vt:lpstr>
      <vt:lpstr>Brief Summary</vt:lpstr>
      <vt:lpstr>Detailed Summary</vt:lpstr>
      <vt:lpstr>Estimates of GHG Categories</vt:lpstr>
      <vt:lpstr>Methodology</vt:lpstr>
      <vt:lpstr>Authors &amp; Disclaimer</vt:lpstr>
      <vt:lpstr>HIDE - notes</vt:lpstr>
      <vt:lpstr>HIDE - Data Quality</vt:lpstr>
      <vt:lpstr>HIDE - Summary Chart Data</vt:lpstr>
      <vt:lpstr>HIDE - Calculations</vt:lpstr>
      <vt:lpstr>HIDE - EFs</vt:lpstr>
      <vt:lpstr>HIDE - Value Chain %</vt:lpstr>
      <vt:lpstr>HIDE - Dropdowns</vt:lpstr>
      <vt:lpstr>HIDE - Survey Data</vt:lpstr>
      <vt:lpstr>DD_arrows</vt:lpstr>
      <vt:lpstr>DD_floor_area_units</vt:lpstr>
      <vt:lpstr>DD_logistics_input_units</vt:lpstr>
      <vt:lpstr>DD_refrigerants</vt:lpstr>
      <vt:lpstr>DD_reporting_period</vt:lpstr>
      <vt:lpstr>DD_valchain_businesstravel_units</vt:lpstr>
      <vt:lpstr>DD_yes_no</vt:lpstr>
      <vt:lpstr>inputs_basic_data_qual</vt:lpstr>
      <vt:lpstr>inputs_biztravel_key_or_adv</vt:lpstr>
      <vt:lpstr>inputs_commuting_Key_or_Adv</vt:lpstr>
      <vt:lpstr>inputs_energy_adv_elec_usage_kWh</vt:lpstr>
      <vt:lpstr>inputs_energy_adv_gas_usage_kWh</vt:lpstr>
      <vt:lpstr>inputs_energy_adv_oil_usage_kWh</vt:lpstr>
      <vt:lpstr>inputs_energy_adv_renewable_percent</vt:lpstr>
      <vt:lpstr>inputs_energy_adv_reporting_period</vt:lpstr>
      <vt:lpstr>inputs_energy_dataqual_percent</vt:lpstr>
      <vt:lpstr>inputs_energy_elec_Key_or_Adv</vt:lpstr>
      <vt:lpstr>inputs_energy_gas_Key_or_Adv</vt:lpstr>
      <vt:lpstr>inputs_energy_key_elec_spend_gbp</vt:lpstr>
      <vt:lpstr>inputs_energy_key_gas_spend_gbp</vt:lpstr>
      <vt:lpstr>inputs_energy_key_oil_spend_gbp</vt:lpstr>
      <vt:lpstr>inputs_energy_key_renewable_yn</vt:lpstr>
      <vt:lpstr>inputs_energy_key_reporting_period</vt:lpstr>
      <vt:lpstr>inputs_energy_oil_Key_or_Adv</vt:lpstr>
      <vt:lpstr>inputs_energy_renew_Key_or_Adv</vt:lpstr>
      <vt:lpstr>inputs_log_adv_cars_diesel_Litres</vt:lpstr>
      <vt:lpstr>inputs_log_adv_cars_petrol_Litres</vt:lpstr>
      <vt:lpstr>inputs_log_adv_HGV_diesel_Litres</vt:lpstr>
      <vt:lpstr>inputs_log_adv_LGV_diesel_Litres</vt:lpstr>
      <vt:lpstr>inputs_log_adv_LGV_petrol_Litres</vt:lpstr>
      <vt:lpstr>inputs_log_adv_reporting_period</vt:lpstr>
      <vt:lpstr>inputs_log_cars_Key_or_Adv</vt:lpstr>
      <vt:lpstr>inputs_log_dataqual_percent</vt:lpstr>
      <vt:lpstr>inputs_log_HGV_Key_or_Adv</vt:lpstr>
      <vt:lpstr>inputs_log_key_cars_unit</vt:lpstr>
      <vt:lpstr>inputs_log_key_cars_value</vt:lpstr>
      <vt:lpstr>inputs_log_key_HGV_unit</vt:lpstr>
      <vt:lpstr>inputs_log_key_HGV_value</vt:lpstr>
      <vt:lpstr>inputs_log_key_LGV_unit</vt:lpstr>
      <vt:lpstr>inputs_log_key_LGV_value</vt:lpstr>
      <vt:lpstr>inputs_log_key_reporting_period</vt:lpstr>
      <vt:lpstr>inputs_log_LGV_Key_or_Adv</vt:lpstr>
      <vt:lpstr>inputs_num_FTEs</vt:lpstr>
      <vt:lpstr>inputs_refrig_1</vt:lpstr>
      <vt:lpstr>inputs_refrig_2</vt:lpstr>
      <vt:lpstr>inputs_refrig_3</vt:lpstr>
      <vt:lpstr>inputs_refrig_4</vt:lpstr>
      <vt:lpstr>inputs_refrig_5</vt:lpstr>
      <vt:lpstr>inputs_refrig_adv_1_mass_kg</vt:lpstr>
      <vt:lpstr>inputs_refrig_adv_2_mass_kg</vt:lpstr>
      <vt:lpstr>inputs_refrig_adv_3_mass_kg</vt:lpstr>
      <vt:lpstr>inputs_refrig_adv_4_mass_kg</vt:lpstr>
      <vt:lpstr>inputs_refrig_adv_5_mass_kg</vt:lpstr>
      <vt:lpstr>inputs_refrig_adv_reporting_period</vt:lpstr>
      <vt:lpstr>inputs_refrig_dataqual_percent</vt:lpstr>
      <vt:lpstr>inputs_refrig_key_floorarea_unit</vt:lpstr>
      <vt:lpstr>inputs_refrig_key_floorarea_value</vt:lpstr>
      <vt:lpstr>inputs_refrig_Key_or_Adv</vt:lpstr>
      <vt:lpstr>inputs_revenue_GBP</vt:lpstr>
      <vt:lpstr>inputs_username</vt:lpstr>
      <vt:lpstr>inputs_valchain_adv_biztravel_emissions_tCO2e</vt:lpstr>
      <vt:lpstr>inputs_valchain_adv_commuting_emissions_tCO2e</vt:lpstr>
      <vt:lpstr>inputs_valchain_dataqual_percent</vt:lpstr>
      <vt:lpstr>inputs_valchain_est_consumer_emissions_tCO2e</vt:lpstr>
      <vt:lpstr>inputs_valchain_est_ingredients_emissions_tCO2e</vt:lpstr>
      <vt:lpstr>inputs_valchain_est_manuf_emissions_tCO2e</vt:lpstr>
      <vt:lpstr>inputs_valchain_est_packaging_emissions_tCO2e</vt:lpstr>
      <vt:lpstr>inputs_valchain_est_retailops_emissions_tCO2e</vt:lpstr>
      <vt:lpstr>inputs_valchain_est_transport_emissions_tCO2e</vt:lpstr>
      <vt:lpstr>inputs_valchain_est_waste_emissions_tCO2e</vt:lpstr>
      <vt:lpstr>inputs_valchain_est_wtt_emissions_tCO2e</vt:lpstr>
      <vt:lpstr>inputs_valchain_FWD_turnover_GBP</vt:lpstr>
      <vt:lpstr>inputs_valchain_key_biztravel_unit</vt:lpstr>
      <vt:lpstr>inputs_valchain_key_biztravel_value</vt:lpstr>
      <vt:lpstr>inputs_valchain_key_commuting_employees_FTEs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cp:lastPrinted>2023-06-20T15:42:12Z</cp:lastPrinted>
  <dcterms:created xsi:type="dcterms:W3CDTF">2023-05-09T13:34:19Z</dcterms:created>
  <dcterms:modified xsi:type="dcterms:W3CDTF">2023-06-26T08:51:23Z</dcterms:modified>
</cp:coreProperties>
</file>