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premgoyal/Physitrack Dropbox/Prem Goyal/conf Finance/Quarterly reporting/2025/Q2/"/>
    </mc:Choice>
  </mc:AlternateContent>
  <xr:revisionPtr revIDLastSave="0" documentId="13_ncr:1_{4FCB374E-07ED-0B4C-8991-73182C40BBC7}" xr6:coauthVersionLast="47" xr6:coauthVersionMax="47" xr10:uidLastSave="{00000000-0000-0000-0000-000000000000}"/>
  <bookViews>
    <workbookView xWindow="34200" yWindow="1040" windowWidth="38400" windowHeight="21100" xr2:uid="{D213D1FA-C09E-6142-A7FE-8BC23B09B40D}"/>
  </bookViews>
  <sheets>
    <sheet name="Summary pro-forma" sheetId="1" r:id="rId1"/>
    <sheet name="Wellness pro-forma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9" i="1" l="1"/>
  <c r="M26" i="1"/>
  <c r="M25" i="1"/>
  <c r="O22" i="1"/>
  <c r="N22" i="1"/>
  <c r="M22" i="1"/>
  <c r="L22" i="1"/>
  <c r="K47" i="2" l="1"/>
  <c r="K46" i="2"/>
  <c r="M34" i="1"/>
  <c r="M36" i="1"/>
  <c r="M35" i="1"/>
  <c r="M14" i="1"/>
  <c r="M11" i="1"/>
  <c r="M10" i="1"/>
  <c r="M7" i="1"/>
  <c r="L7" i="1"/>
  <c r="Z90" i="1" l="1"/>
  <c r="Z61" i="1"/>
  <c r="Z48" i="1"/>
  <c r="Z36" i="1"/>
  <c r="AA36" i="1" s="1"/>
  <c r="Z35" i="1"/>
  <c r="Z34" i="1"/>
  <c r="Z29" i="1"/>
  <c r="AA29" i="1" s="1"/>
  <c r="AB29" i="1" s="1"/>
  <c r="AC29" i="1" s="1"/>
  <c r="Z26" i="1"/>
  <c r="AA26" i="1" s="1"/>
  <c r="AB26" i="1" s="1"/>
  <c r="AC26" i="1" s="1"/>
  <c r="Z25" i="1"/>
  <c r="Z27" i="1" s="1"/>
  <c r="Z23" i="1"/>
  <c r="AA23" i="1" s="1"/>
  <c r="AB23" i="1" s="1"/>
  <c r="AC23" i="1" s="1"/>
  <c r="Z22" i="1"/>
  <c r="AA22" i="1" s="1"/>
  <c r="Z21" i="1"/>
  <c r="AA21" i="1" s="1"/>
  <c r="AB21" i="1" s="1"/>
  <c r="AC21" i="1" s="1"/>
  <c r="Z20" i="1"/>
  <c r="AA20" i="1" s="1"/>
  <c r="AB20" i="1" s="1"/>
  <c r="AC20" i="1" s="1"/>
  <c r="AC19" i="1"/>
  <c r="AB19" i="1"/>
  <c r="AA19" i="1"/>
  <c r="Z19" i="1"/>
  <c r="Z14" i="1"/>
  <c r="AA14" i="1" s="1"/>
  <c r="Z11" i="1"/>
  <c r="AA7" i="1"/>
  <c r="Z7" i="1"/>
  <c r="Z6" i="1"/>
  <c r="AC5" i="1"/>
  <c r="AB5" i="1"/>
  <c r="AA5" i="1"/>
  <c r="Z5" i="1"/>
  <c r="L92" i="1"/>
  <c r="L104" i="1" s="1"/>
  <c r="L91" i="1"/>
  <c r="Z91" i="1" s="1"/>
  <c r="L90" i="1"/>
  <c r="L82" i="1"/>
  <c r="Z82" i="1" s="1"/>
  <c r="O79" i="1"/>
  <c r="N79" i="1"/>
  <c r="M79" i="1"/>
  <c r="L78" i="1"/>
  <c r="Z78" i="1" s="1"/>
  <c r="AA78" i="1" s="1"/>
  <c r="O77" i="1"/>
  <c r="O75" i="1"/>
  <c r="AC75" i="1" s="1"/>
  <c r="N75" i="1"/>
  <c r="AB75" i="1" s="1"/>
  <c r="M75" i="1"/>
  <c r="AA75" i="1" s="1"/>
  <c r="L70" i="1"/>
  <c r="Z70" i="1" s="1"/>
  <c r="AA70" i="1" s="1"/>
  <c r="L67" i="1"/>
  <c r="Z67" i="1" s="1"/>
  <c r="L62" i="1"/>
  <c r="Z62" i="1" s="1"/>
  <c r="O61" i="1"/>
  <c r="AC61" i="1" s="1"/>
  <c r="N61" i="1"/>
  <c r="AB61" i="1" s="1"/>
  <c r="M61" i="1"/>
  <c r="AA61" i="1" s="1"/>
  <c r="L61" i="1"/>
  <c r="L48" i="1"/>
  <c r="M41" i="1"/>
  <c r="L41" i="1"/>
  <c r="L37" i="1"/>
  <c r="N36" i="1"/>
  <c r="N35" i="1"/>
  <c r="M90" i="1"/>
  <c r="O29" i="1"/>
  <c r="O85" i="1" s="1"/>
  <c r="N29" i="1"/>
  <c r="N85" i="1" s="1"/>
  <c r="M85" i="1"/>
  <c r="L52" i="1"/>
  <c r="O26" i="1"/>
  <c r="O82" i="1" s="1"/>
  <c r="N26" i="1"/>
  <c r="N82" i="1" s="1"/>
  <c r="M82" i="1"/>
  <c r="L47" i="1"/>
  <c r="O25" i="1"/>
  <c r="O27" i="1" s="1"/>
  <c r="N25" i="1"/>
  <c r="N27" i="1" s="1"/>
  <c r="M81" i="1"/>
  <c r="O23" i="1"/>
  <c r="N23" i="1"/>
  <c r="L79" i="1"/>
  <c r="Z79" i="1" s="1"/>
  <c r="O78" i="1"/>
  <c r="N78" i="1"/>
  <c r="M78" i="1"/>
  <c r="O21" i="1"/>
  <c r="N21" i="1"/>
  <c r="N77" i="1" s="1"/>
  <c r="M77" i="1"/>
  <c r="L42" i="1"/>
  <c r="O76" i="1"/>
  <c r="O97" i="1" s="1"/>
  <c r="N76" i="1"/>
  <c r="M76" i="1"/>
  <c r="L76" i="1"/>
  <c r="L97" i="1" s="1"/>
  <c r="O40" i="1"/>
  <c r="N40" i="1"/>
  <c r="M40" i="1"/>
  <c r="L40" i="1"/>
  <c r="N14" i="1"/>
  <c r="O14" i="1" s="1"/>
  <c r="M70" i="1"/>
  <c r="N11" i="1"/>
  <c r="N6" i="1"/>
  <c r="AA82" i="1" l="1"/>
  <c r="AB82" i="1" s="1"/>
  <c r="AC82" i="1" s="1"/>
  <c r="AA25" i="1"/>
  <c r="AA27" i="1" s="1"/>
  <c r="AA30" i="1" s="1"/>
  <c r="AA31" i="1" s="1"/>
  <c r="AA79" i="1"/>
  <c r="AB79" i="1" s="1"/>
  <c r="AC79" i="1" s="1"/>
  <c r="AA90" i="1"/>
  <c r="Z37" i="1"/>
  <c r="Z92" i="1"/>
  <c r="M37" i="1"/>
  <c r="L93" i="1"/>
  <c r="AA35" i="1"/>
  <c r="AB35" i="1" s="1"/>
  <c r="AC35" i="1" s="1"/>
  <c r="AA34" i="1"/>
  <c r="Z93" i="1"/>
  <c r="Z103" i="1"/>
  <c r="AA11" i="1"/>
  <c r="AA47" i="1" s="1"/>
  <c r="M67" i="1"/>
  <c r="AA67" i="1" s="1"/>
  <c r="AA6" i="1"/>
  <c r="AA9" i="1" s="1"/>
  <c r="Z42" i="1"/>
  <c r="AC41" i="1"/>
  <c r="N97" i="1"/>
  <c r="AA96" i="1"/>
  <c r="Z76" i="1"/>
  <c r="AA76" i="1" s="1"/>
  <c r="AB76" i="1" s="1"/>
  <c r="AB41" i="1"/>
  <c r="Z40" i="1"/>
  <c r="Z28" i="1"/>
  <c r="Z30" i="1"/>
  <c r="Z31" i="1" s="1"/>
  <c r="AA40" i="1"/>
  <c r="AB14" i="1"/>
  <c r="AA52" i="1"/>
  <c r="AB36" i="1"/>
  <c r="AA48" i="1"/>
  <c r="AB78" i="1"/>
  <c r="Z52" i="1"/>
  <c r="AB40" i="1"/>
  <c r="AC40" i="1"/>
  <c r="AA97" i="1"/>
  <c r="Z47" i="1"/>
  <c r="Z97" i="1"/>
  <c r="AB22" i="1"/>
  <c r="AA24" i="1"/>
  <c r="AB25" i="1"/>
  <c r="AB96" i="1"/>
  <c r="Z9" i="1"/>
  <c r="Z41" i="1"/>
  <c r="Z43" i="1"/>
  <c r="AB70" i="1"/>
  <c r="AC96" i="1"/>
  <c r="AA43" i="1"/>
  <c r="AA42" i="1"/>
  <c r="AB6" i="1"/>
  <c r="Z24" i="1"/>
  <c r="AA41" i="1"/>
  <c r="N80" i="1"/>
  <c r="O96" i="1"/>
  <c r="L63" i="1"/>
  <c r="L64" i="1" s="1"/>
  <c r="O80" i="1"/>
  <c r="L8" i="1"/>
  <c r="M96" i="1"/>
  <c r="N96" i="1"/>
  <c r="N34" i="1"/>
  <c r="L24" i="1"/>
  <c r="L27" i="1"/>
  <c r="L30" i="1" s="1"/>
  <c r="L31" i="1" s="1"/>
  <c r="M47" i="1"/>
  <c r="N81" i="1"/>
  <c r="M91" i="1"/>
  <c r="AA91" i="1" s="1"/>
  <c r="L43" i="1"/>
  <c r="L45" i="1" s="1"/>
  <c r="M108" i="1"/>
  <c r="M97" i="1"/>
  <c r="M80" i="1"/>
  <c r="M27" i="1"/>
  <c r="M30" i="1" s="1"/>
  <c r="M31" i="1" s="1"/>
  <c r="L103" i="1"/>
  <c r="O81" i="1"/>
  <c r="O70" i="1"/>
  <c r="O108" i="1" s="1"/>
  <c r="O52" i="1"/>
  <c r="M83" i="1"/>
  <c r="O11" i="1"/>
  <c r="N47" i="1"/>
  <c r="N67" i="1"/>
  <c r="O35" i="1"/>
  <c r="O91" i="1" s="1"/>
  <c r="N91" i="1"/>
  <c r="N83" i="1"/>
  <c r="N62" i="1"/>
  <c r="N42" i="1"/>
  <c r="O6" i="1"/>
  <c r="N28" i="1"/>
  <c r="N30" i="1"/>
  <c r="N31" i="1" s="1"/>
  <c r="M9" i="1"/>
  <c r="M63" i="1"/>
  <c r="N7" i="1"/>
  <c r="N8" i="1" s="1"/>
  <c r="N44" i="1" s="1"/>
  <c r="M43" i="1"/>
  <c r="O30" i="1"/>
  <c r="O31" i="1" s="1"/>
  <c r="O28" i="1"/>
  <c r="O36" i="1"/>
  <c r="N92" i="1"/>
  <c r="N104" i="1" s="1"/>
  <c r="N48" i="1"/>
  <c r="O83" i="1"/>
  <c r="N41" i="1"/>
  <c r="M8" i="1"/>
  <c r="M44" i="1" s="1"/>
  <c r="O41" i="1"/>
  <c r="M24" i="1"/>
  <c r="L75" i="1"/>
  <c r="L77" i="1"/>
  <c r="L81" i="1"/>
  <c r="L85" i="1"/>
  <c r="M42" i="1"/>
  <c r="M48" i="1"/>
  <c r="M52" i="1"/>
  <c r="M62" i="1"/>
  <c r="AA62" i="1" s="1"/>
  <c r="M92" i="1"/>
  <c r="M104" i="1" s="1"/>
  <c r="N24" i="1"/>
  <c r="L9" i="1"/>
  <c r="N52" i="1"/>
  <c r="N70" i="1"/>
  <c r="N108" i="1" s="1"/>
  <c r="O24" i="1"/>
  <c r="K60" i="2"/>
  <c r="J60" i="2"/>
  <c r="I60" i="2"/>
  <c r="H60" i="2"/>
  <c r="G60" i="2"/>
  <c r="F60" i="2"/>
  <c r="E60" i="2"/>
  <c r="D60" i="2"/>
  <c r="C60" i="2"/>
  <c r="L28" i="1" l="1"/>
  <c r="AA28" i="1"/>
  <c r="L108" i="1"/>
  <c r="Z85" i="1"/>
  <c r="L83" i="1"/>
  <c r="L86" i="1" s="1"/>
  <c r="L87" i="1" s="1"/>
  <c r="Z81" i="1"/>
  <c r="L98" i="1"/>
  <c r="Z77" i="1"/>
  <c r="Z45" i="1"/>
  <c r="AA92" i="1"/>
  <c r="Z104" i="1"/>
  <c r="AB91" i="1"/>
  <c r="AC91" i="1" s="1"/>
  <c r="AA93" i="1"/>
  <c r="AA37" i="1"/>
  <c r="AB34" i="1"/>
  <c r="AA103" i="1"/>
  <c r="AB67" i="1"/>
  <c r="M103" i="1"/>
  <c r="AB11" i="1"/>
  <c r="L99" i="1"/>
  <c r="L101" i="1" s="1"/>
  <c r="Z63" i="1"/>
  <c r="L65" i="1"/>
  <c r="AB7" i="1"/>
  <c r="AC7" i="1" s="1"/>
  <c r="AB62" i="1"/>
  <c r="L44" i="1"/>
  <c r="Z8" i="1"/>
  <c r="L100" i="1"/>
  <c r="Z64" i="1"/>
  <c r="L96" i="1"/>
  <c r="Z75" i="1"/>
  <c r="Z96" i="1" s="1"/>
  <c r="AC22" i="1"/>
  <c r="AC24" i="1" s="1"/>
  <c r="AB24" i="1"/>
  <c r="AC70" i="1"/>
  <c r="AA45" i="1"/>
  <c r="AB27" i="1"/>
  <c r="AC25" i="1"/>
  <c r="AC27" i="1" s="1"/>
  <c r="AC78" i="1"/>
  <c r="AC14" i="1"/>
  <c r="AC52" i="1" s="1"/>
  <c r="AB52" i="1"/>
  <c r="AB103" i="1"/>
  <c r="AC76" i="1"/>
  <c r="AC97" i="1" s="1"/>
  <c r="AB97" i="1"/>
  <c r="AC6" i="1"/>
  <c r="AC42" i="1" s="1"/>
  <c r="AB42" i="1"/>
  <c r="AC36" i="1"/>
  <c r="AC48" i="1" s="1"/>
  <c r="AB48" i="1"/>
  <c r="AB47" i="1"/>
  <c r="AC11" i="1"/>
  <c r="AC47" i="1" s="1"/>
  <c r="N90" i="1"/>
  <c r="AB90" i="1" s="1"/>
  <c r="O34" i="1"/>
  <c r="N93" i="1"/>
  <c r="N37" i="1"/>
  <c r="M28" i="1"/>
  <c r="L80" i="1"/>
  <c r="O67" i="1"/>
  <c r="O103" i="1" s="1"/>
  <c r="O47" i="1"/>
  <c r="O62" i="1"/>
  <c r="O42" i="1"/>
  <c r="O8" i="1"/>
  <c r="O44" i="1" s="1"/>
  <c r="O86" i="1"/>
  <c r="O87" i="1" s="1"/>
  <c r="O84" i="1"/>
  <c r="N86" i="1"/>
  <c r="N87" i="1" s="1"/>
  <c r="N84" i="1"/>
  <c r="M45" i="1"/>
  <c r="N63" i="1"/>
  <c r="N64" i="1" s="1"/>
  <c r="N100" i="1" s="1"/>
  <c r="N43" i="1"/>
  <c r="N45" i="1" s="1"/>
  <c r="O7" i="1"/>
  <c r="N9" i="1"/>
  <c r="O92" i="1"/>
  <c r="O104" i="1" s="1"/>
  <c r="O48" i="1"/>
  <c r="N103" i="1"/>
  <c r="M86" i="1"/>
  <c r="M87" i="1" s="1"/>
  <c r="M84" i="1"/>
  <c r="M93" i="1"/>
  <c r="N98" i="1"/>
  <c r="M98" i="1"/>
  <c r="M64" i="1"/>
  <c r="M100" i="1" s="1"/>
  <c r="M65" i="1"/>
  <c r="M99" i="1"/>
  <c r="K61" i="2"/>
  <c r="K62" i="2" s="1"/>
  <c r="I61" i="2"/>
  <c r="I62" i="2" s="1"/>
  <c r="H61" i="2"/>
  <c r="H62" i="2" s="1"/>
  <c r="J61" i="2"/>
  <c r="J62" i="2" s="1"/>
  <c r="G61" i="2"/>
  <c r="G62" i="2" s="1"/>
  <c r="F61" i="2"/>
  <c r="F62" i="2" s="1"/>
  <c r="E61" i="2"/>
  <c r="E62" i="2" s="1"/>
  <c r="D61" i="2"/>
  <c r="D62" i="2" s="1"/>
  <c r="C61" i="2"/>
  <c r="C62" i="2" s="1"/>
  <c r="H92" i="1"/>
  <c r="H104" i="1" s="1"/>
  <c r="D92" i="1"/>
  <c r="D104" i="1" s="1"/>
  <c r="C92" i="1"/>
  <c r="C104" i="1" s="1"/>
  <c r="H91" i="1"/>
  <c r="V91" i="1" s="1"/>
  <c r="D91" i="1"/>
  <c r="C91" i="1"/>
  <c r="H90" i="1"/>
  <c r="V90" i="1" s="1"/>
  <c r="D90" i="1"/>
  <c r="R90" i="1" s="1"/>
  <c r="C90" i="1"/>
  <c r="Q90" i="1" s="1"/>
  <c r="H70" i="1"/>
  <c r="V70" i="1" s="1"/>
  <c r="D70" i="1"/>
  <c r="R70" i="1" s="1"/>
  <c r="C70" i="1"/>
  <c r="Q70" i="1" s="1"/>
  <c r="H67" i="1"/>
  <c r="V67" i="1" s="1"/>
  <c r="D67" i="1"/>
  <c r="R67" i="1" s="1"/>
  <c r="C67" i="1"/>
  <c r="C68" i="1" s="1"/>
  <c r="H66" i="1"/>
  <c r="V66" i="1" s="1"/>
  <c r="D66" i="1"/>
  <c r="R66" i="1" s="1"/>
  <c r="C66" i="1"/>
  <c r="Q66" i="1" s="1"/>
  <c r="H62" i="1"/>
  <c r="V62" i="1" s="1"/>
  <c r="D62" i="1"/>
  <c r="R62" i="1" s="1"/>
  <c r="K61" i="1"/>
  <c r="Y61" i="1" s="1"/>
  <c r="J61" i="1"/>
  <c r="X61" i="1" s="1"/>
  <c r="I61" i="1"/>
  <c r="H61" i="1"/>
  <c r="V61" i="1" s="1"/>
  <c r="G61" i="1"/>
  <c r="U61" i="1" s="1"/>
  <c r="F61" i="1"/>
  <c r="E61" i="1"/>
  <c r="S61" i="1" s="1"/>
  <c r="D61" i="1"/>
  <c r="R61" i="1" s="1"/>
  <c r="C61" i="1"/>
  <c r="Q61" i="1" s="1"/>
  <c r="Q91" i="1"/>
  <c r="W61" i="1"/>
  <c r="T61" i="1"/>
  <c r="V36" i="1"/>
  <c r="R36" i="1"/>
  <c r="R48" i="1" s="1"/>
  <c r="V35" i="1"/>
  <c r="R35" i="1"/>
  <c r="V34" i="1"/>
  <c r="V37" i="1" s="1"/>
  <c r="R34" i="1"/>
  <c r="R37" i="1" s="1"/>
  <c r="V14" i="1"/>
  <c r="R14" i="1"/>
  <c r="V11" i="1"/>
  <c r="R11" i="1"/>
  <c r="V10" i="1"/>
  <c r="R10" i="1"/>
  <c r="V6" i="1"/>
  <c r="R6" i="1"/>
  <c r="Q36" i="1"/>
  <c r="Q48" i="1" s="1"/>
  <c r="Q35" i="1"/>
  <c r="Q34" i="1"/>
  <c r="V48" i="1"/>
  <c r="Q14" i="1"/>
  <c r="Q11" i="1"/>
  <c r="Q10" i="1"/>
  <c r="Y5" i="1"/>
  <c r="X5" i="1"/>
  <c r="W5" i="1"/>
  <c r="V5" i="1"/>
  <c r="U5" i="1"/>
  <c r="T5" i="1"/>
  <c r="S5" i="1"/>
  <c r="R5" i="1"/>
  <c r="Q5" i="1"/>
  <c r="L84" i="1" l="1"/>
  <c r="AA85" i="1"/>
  <c r="Z108" i="1"/>
  <c r="AA81" i="1"/>
  <c r="Z83" i="1"/>
  <c r="Z86" i="1" s="1"/>
  <c r="Z87" i="1" s="1"/>
  <c r="AC43" i="1"/>
  <c r="AA77" i="1"/>
  <c r="Z80" i="1"/>
  <c r="Z98" i="1"/>
  <c r="AB92" i="1"/>
  <c r="AA104" i="1"/>
  <c r="AC34" i="1"/>
  <c r="AC37" i="1" s="1"/>
  <c r="AB37" i="1"/>
  <c r="AC67" i="1"/>
  <c r="AC103" i="1" s="1"/>
  <c r="AB43" i="1"/>
  <c r="AB45" i="1" s="1"/>
  <c r="AB9" i="1"/>
  <c r="AA63" i="1"/>
  <c r="Z99" i="1"/>
  <c r="Z65" i="1"/>
  <c r="AC9" i="1"/>
  <c r="AC62" i="1"/>
  <c r="AA64" i="1"/>
  <c r="Z100" i="1"/>
  <c r="AC45" i="1"/>
  <c r="AA8" i="1"/>
  <c r="Z44" i="1"/>
  <c r="AB30" i="1"/>
  <c r="AB31" i="1" s="1"/>
  <c r="AB28" i="1"/>
  <c r="AC30" i="1"/>
  <c r="AC31" i="1" s="1"/>
  <c r="AC28" i="1"/>
  <c r="M101" i="1"/>
  <c r="O90" i="1"/>
  <c r="AC90" i="1" s="1"/>
  <c r="O37" i="1"/>
  <c r="O98" i="1"/>
  <c r="O43" i="1"/>
  <c r="O45" i="1" s="1"/>
  <c r="O9" i="1"/>
  <c r="O63" i="1"/>
  <c r="O64" i="1" s="1"/>
  <c r="O100" i="1" s="1"/>
  <c r="N99" i="1"/>
  <c r="N101" i="1" s="1"/>
  <c r="N65" i="1"/>
  <c r="O93" i="1"/>
  <c r="Q12" i="1"/>
  <c r="C71" i="1"/>
  <c r="R12" i="1"/>
  <c r="R15" i="1" s="1"/>
  <c r="Q67" i="1"/>
  <c r="Q68" i="1" s="1"/>
  <c r="Q71" i="1" s="1"/>
  <c r="Q15" i="1"/>
  <c r="Q92" i="1"/>
  <c r="Q104" i="1" s="1"/>
  <c r="R92" i="1"/>
  <c r="R104" i="1" s="1"/>
  <c r="V92" i="1"/>
  <c r="V104" i="1" s="1"/>
  <c r="C93" i="1"/>
  <c r="Q37" i="1"/>
  <c r="H68" i="1"/>
  <c r="H71" i="1" s="1"/>
  <c r="H72" i="1" s="1"/>
  <c r="D93" i="1"/>
  <c r="R91" i="1"/>
  <c r="H93" i="1"/>
  <c r="V68" i="1"/>
  <c r="V69" i="1" s="1"/>
  <c r="D68" i="1"/>
  <c r="D69" i="1" s="1"/>
  <c r="R68" i="1"/>
  <c r="V12" i="1"/>
  <c r="V15" i="1" s="1"/>
  <c r="V16" i="1" s="1"/>
  <c r="R13" i="1"/>
  <c r="R16" i="1"/>
  <c r="Z84" i="1" l="1"/>
  <c r="AB85" i="1"/>
  <c r="AA108" i="1"/>
  <c r="AB81" i="1"/>
  <c r="AA83" i="1"/>
  <c r="AA86" i="1" s="1"/>
  <c r="AA87" i="1" s="1"/>
  <c r="Z101" i="1"/>
  <c r="AB77" i="1"/>
  <c r="AA80" i="1"/>
  <c r="AA98" i="1"/>
  <c r="AB104" i="1"/>
  <c r="AB93" i="1"/>
  <c r="AC92" i="1"/>
  <c r="AB63" i="1"/>
  <c r="AA99" i="1"/>
  <c r="AA65" i="1"/>
  <c r="AA44" i="1"/>
  <c r="AB8" i="1"/>
  <c r="AB64" i="1"/>
  <c r="AA100" i="1"/>
  <c r="O99" i="1"/>
  <c r="O101" i="1" s="1"/>
  <c r="O65" i="1"/>
  <c r="V71" i="1"/>
  <c r="V72" i="1" s="1"/>
  <c r="H69" i="1"/>
  <c r="V93" i="1"/>
  <c r="R93" i="1"/>
  <c r="Q93" i="1"/>
  <c r="D71" i="1"/>
  <c r="D72" i="1" s="1"/>
  <c r="R71" i="1"/>
  <c r="R72" i="1" s="1"/>
  <c r="R69" i="1"/>
  <c r="V13" i="1"/>
  <c r="AA84" i="1" l="1"/>
  <c r="AC85" i="1"/>
  <c r="AC108" i="1" s="1"/>
  <c r="AB108" i="1"/>
  <c r="AC81" i="1"/>
  <c r="AC83" i="1" s="1"/>
  <c r="AC86" i="1" s="1"/>
  <c r="AB83" i="1"/>
  <c r="AB86" i="1" s="1"/>
  <c r="AB87" i="1" s="1"/>
  <c r="AA101" i="1"/>
  <c r="AC77" i="1"/>
  <c r="AB98" i="1"/>
  <c r="AB80" i="1"/>
  <c r="AC104" i="1"/>
  <c r="AC93" i="1"/>
  <c r="AC63" i="1"/>
  <c r="AB65" i="1"/>
  <c r="AB99" i="1"/>
  <c r="AB101" i="1" s="1"/>
  <c r="AC8" i="1"/>
  <c r="AC44" i="1" s="1"/>
  <c r="AB44" i="1"/>
  <c r="AB100" i="1"/>
  <c r="AC64" i="1"/>
  <c r="AC100" i="1" s="1"/>
  <c r="D36" i="2"/>
  <c r="D40" i="2"/>
  <c r="C40" i="2"/>
  <c r="K40" i="2"/>
  <c r="J40" i="2"/>
  <c r="I40" i="2"/>
  <c r="H40" i="2"/>
  <c r="K36" i="2"/>
  <c r="J36" i="2"/>
  <c r="I36" i="2"/>
  <c r="H36" i="2"/>
  <c r="AB84" i="1" l="1"/>
  <c r="AC80" i="1"/>
  <c r="AC84" i="1"/>
  <c r="AC98" i="1"/>
  <c r="AC87" i="1"/>
  <c r="AC99" i="1"/>
  <c r="AC101" i="1" s="1"/>
  <c r="AC65" i="1"/>
  <c r="E24" i="2"/>
  <c r="E23" i="2"/>
  <c r="E22" i="2"/>
  <c r="E21" i="2"/>
  <c r="F24" i="2" l="1"/>
  <c r="F23" i="2"/>
  <c r="F22" i="2"/>
  <c r="F21" i="2"/>
  <c r="G24" i="2" l="1"/>
  <c r="G23" i="2"/>
  <c r="G22" i="2"/>
  <c r="G21" i="2"/>
  <c r="E29" i="2" l="1"/>
  <c r="D46" i="2"/>
  <c r="C46" i="2"/>
  <c r="I24" i="2" l="1"/>
  <c r="I23" i="2"/>
  <c r="I22" i="2"/>
  <c r="I21" i="2"/>
  <c r="J24" i="2" l="1"/>
  <c r="J23" i="2"/>
  <c r="J22" i="2"/>
  <c r="J21" i="2"/>
  <c r="K24" i="2" l="1"/>
  <c r="K23" i="2"/>
  <c r="K22" i="2"/>
  <c r="K21" i="2"/>
  <c r="D7" i="1" l="1"/>
  <c r="G30" i="2"/>
  <c r="G32" i="2" s="1"/>
  <c r="F30" i="2"/>
  <c r="F32" i="2" s="1"/>
  <c r="E30" i="2"/>
  <c r="E32" i="2" s="1"/>
  <c r="D30" i="2"/>
  <c r="D32" i="2" s="1"/>
  <c r="H28" i="2"/>
  <c r="D28" i="2"/>
  <c r="C28" i="2"/>
  <c r="R7" i="1" l="1"/>
  <c r="D63" i="1"/>
  <c r="E7" i="1"/>
  <c r="E63" i="1" s="1"/>
  <c r="R63" i="1" l="1"/>
  <c r="D65" i="1"/>
  <c r="D64" i="1"/>
  <c r="R64" i="1" s="1"/>
  <c r="S7" i="1"/>
  <c r="R9" i="1"/>
  <c r="I25" i="2"/>
  <c r="J25" i="2" s="1"/>
  <c r="K25" i="2" s="1"/>
  <c r="I15" i="2"/>
  <c r="J15" i="2" s="1"/>
  <c r="K15" i="2" s="1"/>
  <c r="I14" i="1"/>
  <c r="R65" i="1" l="1"/>
  <c r="S63" i="1"/>
  <c r="I70" i="1"/>
  <c r="W70" i="1" s="1"/>
  <c r="W14" i="1"/>
  <c r="J14" i="1"/>
  <c r="J70" i="1" l="1"/>
  <c r="K14" i="1"/>
  <c r="K70" i="1" s="1"/>
  <c r="X14" i="1"/>
  <c r="Y14" i="1" s="1"/>
  <c r="X70" i="1"/>
  <c r="Y70" i="1" s="1"/>
  <c r="E25" i="2" l="1"/>
  <c r="F25" i="2" s="1"/>
  <c r="G25" i="2" s="1"/>
  <c r="E15" i="2"/>
  <c r="F15" i="2" s="1"/>
  <c r="G15" i="2" s="1"/>
  <c r="E14" i="1"/>
  <c r="E70" i="1" l="1"/>
  <c r="S70" i="1" s="1"/>
  <c r="S14" i="1"/>
  <c r="F14" i="1"/>
  <c r="C54" i="2"/>
  <c r="C29" i="1" s="1"/>
  <c r="C44" i="2"/>
  <c r="F70" i="1" l="1"/>
  <c r="G14" i="1"/>
  <c r="G70" i="1" s="1"/>
  <c r="T14" i="1"/>
  <c r="U14" i="1" s="1"/>
  <c r="T70" i="1"/>
  <c r="U70" i="1" s="1"/>
  <c r="Q29" i="1"/>
  <c r="Q52" i="1" s="1"/>
  <c r="C85" i="1"/>
  <c r="I12" i="2"/>
  <c r="J12" i="2" s="1"/>
  <c r="K12" i="2" s="1"/>
  <c r="I11" i="2"/>
  <c r="I7" i="2"/>
  <c r="I9" i="2"/>
  <c r="J9" i="2" s="1"/>
  <c r="K9" i="2" s="1"/>
  <c r="F12" i="2"/>
  <c r="F9" i="2"/>
  <c r="G9" i="2" s="1"/>
  <c r="E12" i="2"/>
  <c r="E11" i="2"/>
  <c r="F11" i="2" s="1"/>
  <c r="G11" i="2" s="1"/>
  <c r="E7" i="2"/>
  <c r="F7" i="2" s="1"/>
  <c r="G7" i="2" s="1"/>
  <c r="E9" i="2"/>
  <c r="C8" i="2"/>
  <c r="C10" i="2" s="1"/>
  <c r="E54" i="2"/>
  <c r="E29" i="1" s="1"/>
  <c r="E85" i="1" s="1"/>
  <c r="E108" i="1" s="1"/>
  <c r="H54" i="2"/>
  <c r="H29" i="1" s="1"/>
  <c r="D54" i="2"/>
  <c r="D29" i="1" s="1"/>
  <c r="H51" i="2"/>
  <c r="H26" i="1" s="1"/>
  <c r="E51" i="2"/>
  <c r="E26" i="1" s="1"/>
  <c r="E82" i="1" s="1"/>
  <c r="D51" i="2"/>
  <c r="D26" i="1" s="1"/>
  <c r="H50" i="2"/>
  <c r="H25" i="1" s="1"/>
  <c r="D50" i="2"/>
  <c r="D25" i="1" s="1"/>
  <c r="H46" i="2"/>
  <c r="D21" i="1"/>
  <c r="H44" i="2"/>
  <c r="H19" i="1" s="1"/>
  <c r="D44" i="2"/>
  <c r="D19" i="1" s="1"/>
  <c r="C51" i="2"/>
  <c r="C26" i="1" s="1"/>
  <c r="C50" i="2"/>
  <c r="C25" i="1" s="1"/>
  <c r="C21" i="1"/>
  <c r="C19" i="1"/>
  <c r="K20" i="1"/>
  <c r="J20" i="1"/>
  <c r="I20" i="1"/>
  <c r="I76" i="1" s="1"/>
  <c r="I97" i="1" s="1"/>
  <c r="H20" i="1"/>
  <c r="G20" i="1"/>
  <c r="G76" i="1" s="1"/>
  <c r="G97" i="1" s="1"/>
  <c r="F20" i="1"/>
  <c r="E20" i="1"/>
  <c r="E76" i="1" s="1"/>
  <c r="E97" i="1" s="1"/>
  <c r="D20" i="1"/>
  <c r="C20" i="1"/>
  <c r="I13" i="2"/>
  <c r="I16" i="2" s="1"/>
  <c r="H13" i="2"/>
  <c r="H16" i="2" s="1"/>
  <c r="H17" i="2" s="1"/>
  <c r="D13" i="2"/>
  <c r="D16" i="2" s="1"/>
  <c r="D17" i="2" s="1"/>
  <c r="C13" i="2"/>
  <c r="C16" i="2" s="1"/>
  <c r="C17" i="2" s="1"/>
  <c r="J41" i="1" l="1"/>
  <c r="J76" i="1"/>
  <c r="J97" i="1" s="1"/>
  <c r="G12" i="2"/>
  <c r="F51" i="2"/>
  <c r="C81" i="1"/>
  <c r="Q25" i="1"/>
  <c r="D82" i="1"/>
  <c r="R26" i="1"/>
  <c r="H40" i="1"/>
  <c r="H75" i="1"/>
  <c r="V19" i="1"/>
  <c r="V40" i="1" s="1"/>
  <c r="H85" i="1"/>
  <c r="V29" i="1"/>
  <c r="D41" i="1"/>
  <c r="D76" i="1"/>
  <c r="R20" i="1"/>
  <c r="R25" i="1"/>
  <c r="D81" i="1"/>
  <c r="J7" i="2"/>
  <c r="K7" i="2" s="1"/>
  <c r="I46" i="2"/>
  <c r="C47" i="2"/>
  <c r="C22" i="1" s="1"/>
  <c r="V25" i="1"/>
  <c r="H81" i="1"/>
  <c r="C108" i="1"/>
  <c r="Q85" i="1"/>
  <c r="Q108" i="1" s="1"/>
  <c r="R29" i="1"/>
  <c r="D85" i="1"/>
  <c r="C41" i="1"/>
  <c r="Q20" i="1"/>
  <c r="Q41" i="1" s="1"/>
  <c r="C76" i="1"/>
  <c r="K41" i="1"/>
  <c r="K76" i="1"/>
  <c r="K97" i="1" s="1"/>
  <c r="R21" i="1"/>
  <c r="D77" i="1"/>
  <c r="C40" i="1"/>
  <c r="C75" i="1"/>
  <c r="Q19" i="1"/>
  <c r="Q40" i="1" s="1"/>
  <c r="C77" i="1"/>
  <c r="Q21" i="1"/>
  <c r="F41" i="1"/>
  <c r="F76" i="1"/>
  <c r="F97" i="1" s="1"/>
  <c r="J11" i="2"/>
  <c r="K11" i="2" s="1"/>
  <c r="I50" i="2"/>
  <c r="H41" i="1"/>
  <c r="V20" i="1"/>
  <c r="H76" i="1"/>
  <c r="Q26" i="1"/>
  <c r="Q47" i="1" s="1"/>
  <c r="C82" i="1"/>
  <c r="D40" i="1"/>
  <c r="R19" i="1"/>
  <c r="R40" i="1" s="1"/>
  <c r="D75" i="1"/>
  <c r="H82" i="1"/>
  <c r="V26" i="1"/>
  <c r="F50" i="2"/>
  <c r="F52" i="2" s="1"/>
  <c r="E40" i="2"/>
  <c r="F46" i="2"/>
  <c r="F21" i="1" s="1"/>
  <c r="F77" i="1" s="1"/>
  <c r="E36" i="2"/>
  <c r="I28" i="2"/>
  <c r="I44" i="2" s="1"/>
  <c r="I19" i="1" s="1"/>
  <c r="E28" i="2"/>
  <c r="E41" i="1"/>
  <c r="I21" i="1"/>
  <c r="I77" i="1" s="1"/>
  <c r="G54" i="2"/>
  <c r="G29" i="1" s="1"/>
  <c r="G85" i="1" s="1"/>
  <c r="G108" i="1" s="1"/>
  <c r="I41" i="1"/>
  <c r="I54" i="2"/>
  <c r="I29" i="1" s="1"/>
  <c r="I85" i="1" s="1"/>
  <c r="I108" i="1" s="1"/>
  <c r="I51" i="2"/>
  <c r="I26" i="1" s="1"/>
  <c r="I82" i="1" s="1"/>
  <c r="I17" i="2"/>
  <c r="E13" i="2"/>
  <c r="E14" i="2" s="1"/>
  <c r="C52" i="2"/>
  <c r="C53" i="2" s="1"/>
  <c r="E50" i="2"/>
  <c r="E52" i="2" s="1"/>
  <c r="E55" i="2" s="1"/>
  <c r="I25" i="1"/>
  <c r="I81" i="1" s="1"/>
  <c r="E46" i="2"/>
  <c r="E21" i="1" s="1"/>
  <c r="E77" i="1" s="1"/>
  <c r="K54" i="2"/>
  <c r="K29" i="1" s="1"/>
  <c r="K85" i="1" s="1"/>
  <c r="K108" i="1" s="1"/>
  <c r="J54" i="2"/>
  <c r="J29" i="1" s="1"/>
  <c r="J85" i="1" s="1"/>
  <c r="J108" i="1" s="1"/>
  <c r="G51" i="2"/>
  <c r="G26" i="1" s="1"/>
  <c r="G82" i="1" s="1"/>
  <c r="H52" i="2"/>
  <c r="H53" i="2" s="1"/>
  <c r="F54" i="2"/>
  <c r="F29" i="1" s="1"/>
  <c r="F85" i="1" s="1"/>
  <c r="F108" i="1" s="1"/>
  <c r="F13" i="2"/>
  <c r="F16" i="2" s="1"/>
  <c r="F17" i="2" s="1"/>
  <c r="K51" i="2"/>
  <c r="K26" i="1" s="1"/>
  <c r="K82" i="1" s="1"/>
  <c r="J51" i="2"/>
  <c r="J26" i="1" s="1"/>
  <c r="J82" i="1" s="1"/>
  <c r="F26" i="1"/>
  <c r="F82" i="1" s="1"/>
  <c r="J13" i="2"/>
  <c r="J16" i="2" s="1"/>
  <c r="D52" i="2"/>
  <c r="H21" i="1"/>
  <c r="G41" i="1"/>
  <c r="C49" i="2"/>
  <c r="H14" i="2"/>
  <c r="I14" i="2"/>
  <c r="C14" i="2"/>
  <c r="D14" i="2"/>
  <c r="C103" i="1" l="1"/>
  <c r="Q82" i="1"/>
  <c r="Q103" i="1" s="1"/>
  <c r="R41" i="1"/>
  <c r="S20" i="1"/>
  <c r="S26" i="1"/>
  <c r="R47" i="1"/>
  <c r="I83" i="1"/>
  <c r="H83" i="1"/>
  <c r="V81" i="1"/>
  <c r="H102" i="1"/>
  <c r="R76" i="1"/>
  <c r="D97" i="1"/>
  <c r="D103" i="1"/>
  <c r="R82" i="1"/>
  <c r="C48" i="2"/>
  <c r="C23" i="1" s="1"/>
  <c r="V82" i="1"/>
  <c r="H103" i="1"/>
  <c r="Q75" i="1"/>
  <c r="Q96" i="1" s="1"/>
  <c r="C96" i="1"/>
  <c r="H108" i="1"/>
  <c r="V85" i="1"/>
  <c r="R85" i="1"/>
  <c r="D108" i="1"/>
  <c r="Q77" i="1"/>
  <c r="W26" i="1"/>
  <c r="V47" i="1"/>
  <c r="W20" i="1"/>
  <c r="V41" i="1"/>
  <c r="C78" i="1"/>
  <c r="Q22" i="1"/>
  <c r="W29" i="1"/>
  <c r="V52" i="1"/>
  <c r="Q81" i="1"/>
  <c r="C102" i="1"/>
  <c r="C105" i="1" s="1"/>
  <c r="C83" i="1"/>
  <c r="V21" i="1"/>
  <c r="H77" i="1"/>
  <c r="R75" i="1"/>
  <c r="R96" i="1" s="1"/>
  <c r="D96" i="1"/>
  <c r="I40" i="1"/>
  <c r="W19" i="1"/>
  <c r="W40" i="1" s="1"/>
  <c r="I75" i="1"/>
  <c r="R77" i="1"/>
  <c r="D98" i="1"/>
  <c r="S29" i="1"/>
  <c r="R52" i="1"/>
  <c r="D102" i="1"/>
  <c r="R81" i="1"/>
  <c r="D83" i="1"/>
  <c r="V75" i="1"/>
  <c r="V96" i="1" s="1"/>
  <c r="H96" i="1"/>
  <c r="V76" i="1"/>
  <c r="H97" i="1"/>
  <c r="C97" i="1"/>
  <c r="Q76" i="1"/>
  <c r="Q97" i="1" s="1"/>
  <c r="V27" i="1"/>
  <c r="W25" i="1"/>
  <c r="V46" i="1"/>
  <c r="Q27" i="1"/>
  <c r="Q46" i="1"/>
  <c r="Q49" i="1" s="1"/>
  <c r="E44" i="2"/>
  <c r="E19" i="1" s="1"/>
  <c r="S21" i="1"/>
  <c r="R42" i="1"/>
  <c r="R27" i="1"/>
  <c r="R46" i="1"/>
  <c r="G40" i="2"/>
  <c r="F40" i="2"/>
  <c r="G36" i="2"/>
  <c r="F36" i="2"/>
  <c r="C55" i="2"/>
  <c r="C56" i="2" s="1"/>
  <c r="K28" i="2"/>
  <c r="K44" i="2" s="1"/>
  <c r="K19" i="1" s="1"/>
  <c r="J28" i="2"/>
  <c r="J44" i="2" s="1"/>
  <c r="J19" i="1" s="1"/>
  <c r="F28" i="2"/>
  <c r="E16" i="2"/>
  <c r="E17" i="2" s="1"/>
  <c r="J50" i="2"/>
  <c r="J25" i="1" s="1"/>
  <c r="J81" i="1" s="1"/>
  <c r="J17" i="2"/>
  <c r="J14" i="2"/>
  <c r="I52" i="2"/>
  <c r="I53" i="2" s="1"/>
  <c r="F14" i="2"/>
  <c r="E25" i="1"/>
  <c r="E81" i="1" s="1"/>
  <c r="E56" i="2"/>
  <c r="E53" i="2"/>
  <c r="H55" i="2"/>
  <c r="H56" i="2" s="1"/>
  <c r="K50" i="2"/>
  <c r="K13" i="2"/>
  <c r="K16" i="2" s="1"/>
  <c r="F25" i="1"/>
  <c r="F81" i="1" s="1"/>
  <c r="G50" i="2"/>
  <c r="G13" i="2"/>
  <c r="J46" i="2"/>
  <c r="D55" i="2"/>
  <c r="D56" i="2" s="1"/>
  <c r="D53" i="2"/>
  <c r="E83" i="1" l="1"/>
  <c r="J40" i="1"/>
  <c r="X19" i="1"/>
  <c r="X40" i="1" s="1"/>
  <c r="J75" i="1"/>
  <c r="S25" i="1"/>
  <c r="Q30" i="1"/>
  <c r="Q31" i="1" s="1"/>
  <c r="Q28" i="1"/>
  <c r="S77" i="1"/>
  <c r="R98" i="1"/>
  <c r="W21" i="1"/>
  <c r="V42" i="1"/>
  <c r="W85" i="1"/>
  <c r="V108" i="1"/>
  <c r="K40" i="1"/>
  <c r="Y19" i="1"/>
  <c r="Y40" i="1" s="1"/>
  <c r="K75" i="1"/>
  <c r="R30" i="1"/>
  <c r="R31" i="1" s="1"/>
  <c r="R28" i="1"/>
  <c r="V49" i="1"/>
  <c r="I96" i="1"/>
  <c r="W75" i="1"/>
  <c r="W96" i="1" s="1"/>
  <c r="C84" i="1"/>
  <c r="C86" i="1"/>
  <c r="C87" i="1" s="1"/>
  <c r="W41" i="1"/>
  <c r="X20" i="1"/>
  <c r="T26" i="1"/>
  <c r="D105" i="1"/>
  <c r="V102" i="1"/>
  <c r="V83" i="1"/>
  <c r="W81" i="1"/>
  <c r="J83" i="1"/>
  <c r="X29" i="1"/>
  <c r="W52" i="1"/>
  <c r="W82" i="1"/>
  <c r="V103" i="1"/>
  <c r="H86" i="1"/>
  <c r="H87" i="1" s="1"/>
  <c r="H84" i="1"/>
  <c r="S41" i="1"/>
  <c r="T20" i="1"/>
  <c r="T21" i="1"/>
  <c r="V30" i="1"/>
  <c r="V31" i="1" s="1"/>
  <c r="V28" i="1"/>
  <c r="R102" i="1"/>
  <c r="R83" i="1"/>
  <c r="S81" i="1"/>
  <c r="Q102" i="1"/>
  <c r="Q105" i="1" s="1"/>
  <c r="Q83" i="1"/>
  <c r="X26" i="1"/>
  <c r="E40" i="1"/>
  <c r="S19" i="1"/>
  <c r="S40" i="1" s="1"/>
  <c r="E75" i="1"/>
  <c r="H105" i="1"/>
  <c r="F83" i="1"/>
  <c r="T29" i="1"/>
  <c r="S52" i="1"/>
  <c r="Q24" i="1"/>
  <c r="C79" i="1"/>
  <c r="Q23" i="1"/>
  <c r="X25" i="1"/>
  <c r="W27" i="1"/>
  <c r="D84" i="1"/>
  <c r="D86" i="1"/>
  <c r="D87" i="1" s="1"/>
  <c r="C109" i="1"/>
  <c r="C107" i="1"/>
  <c r="S76" i="1"/>
  <c r="R97" i="1"/>
  <c r="R49" i="1"/>
  <c r="Q53" i="1"/>
  <c r="Q51" i="1"/>
  <c r="W76" i="1"/>
  <c r="V97" i="1"/>
  <c r="V77" i="1"/>
  <c r="H98" i="1"/>
  <c r="C80" i="1"/>
  <c r="Q78" i="1"/>
  <c r="S85" i="1"/>
  <c r="R108" i="1"/>
  <c r="S82" i="1"/>
  <c r="R103" i="1"/>
  <c r="I86" i="1"/>
  <c r="I87" i="1" s="1"/>
  <c r="I84" i="1"/>
  <c r="F44" i="2"/>
  <c r="F19" i="1" s="1"/>
  <c r="J52" i="2"/>
  <c r="J55" i="2" s="1"/>
  <c r="J56" i="2" s="1"/>
  <c r="G28" i="2"/>
  <c r="G44" i="2" s="1"/>
  <c r="G19" i="1" s="1"/>
  <c r="G46" i="2"/>
  <c r="G21" i="1" s="1"/>
  <c r="G77" i="1" s="1"/>
  <c r="I55" i="2"/>
  <c r="I56" i="2" s="1"/>
  <c r="G16" i="2"/>
  <c r="G17" i="2" s="1"/>
  <c r="G14" i="2"/>
  <c r="G52" i="2"/>
  <c r="G25" i="1"/>
  <c r="G81" i="1" s="1"/>
  <c r="F55" i="2"/>
  <c r="F56" i="2" s="1"/>
  <c r="F53" i="2"/>
  <c r="K52" i="2"/>
  <c r="K55" i="2" s="1"/>
  <c r="K25" i="1"/>
  <c r="K81" i="1" s="1"/>
  <c r="J21" i="1"/>
  <c r="J77" i="1" s="1"/>
  <c r="J53" i="2"/>
  <c r="K14" i="2"/>
  <c r="K17" i="2"/>
  <c r="R105" i="1" l="1"/>
  <c r="R109" i="1" s="1"/>
  <c r="R110" i="1" s="1"/>
  <c r="R51" i="1"/>
  <c r="R53" i="1"/>
  <c r="R54" i="1" s="1"/>
  <c r="R50" i="1"/>
  <c r="Q79" i="1"/>
  <c r="X81" i="1"/>
  <c r="W83" i="1"/>
  <c r="V86" i="1"/>
  <c r="V87" i="1" s="1"/>
  <c r="V84" i="1"/>
  <c r="X82" i="1"/>
  <c r="V105" i="1"/>
  <c r="T25" i="1"/>
  <c r="S27" i="1"/>
  <c r="J96" i="1"/>
  <c r="X75" i="1"/>
  <c r="X96" i="1" s="1"/>
  <c r="W30" i="1"/>
  <c r="W31" i="1" s="1"/>
  <c r="W28" i="1"/>
  <c r="K83" i="1"/>
  <c r="G40" i="1"/>
  <c r="G75" i="1"/>
  <c r="U19" i="1"/>
  <c r="U40" i="1" s="1"/>
  <c r="T85" i="1"/>
  <c r="S108" i="1"/>
  <c r="F86" i="1"/>
  <c r="F87" i="1" s="1"/>
  <c r="F84" i="1"/>
  <c r="T41" i="1"/>
  <c r="U20" i="1"/>
  <c r="U41" i="1" s="1"/>
  <c r="U26" i="1"/>
  <c r="X21" i="1"/>
  <c r="X76" i="1"/>
  <c r="W97" i="1"/>
  <c r="U29" i="1"/>
  <c r="U52" i="1" s="1"/>
  <c r="T52" i="1"/>
  <c r="Q84" i="1"/>
  <c r="Q86" i="1"/>
  <c r="Q87" i="1" s="1"/>
  <c r="Y29" i="1"/>
  <c r="Y52" i="1" s="1"/>
  <c r="X52" i="1"/>
  <c r="V51" i="1"/>
  <c r="V53" i="1"/>
  <c r="V54" i="1" s="1"/>
  <c r="V50" i="1"/>
  <c r="Q80" i="1"/>
  <c r="H107" i="1"/>
  <c r="H106" i="1"/>
  <c r="H109" i="1"/>
  <c r="H110" i="1" s="1"/>
  <c r="T81" i="1"/>
  <c r="S83" i="1"/>
  <c r="X41" i="1"/>
  <c r="Y20" i="1"/>
  <c r="Y41" i="1" s="1"/>
  <c r="Q109" i="1"/>
  <c r="Q107" i="1"/>
  <c r="V98" i="1"/>
  <c r="W77" i="1"/>
  <c r="T82" i="1"/>
  <c r="S97" i="1"/>
  <c r="T76" i="1"/>
  <c r="Y25" i="1"/>
  <c r="X27" i="1"/>
  <c r="Y26" i="1"/>
  <c r="U21" i="1"/>
  <c r="D109" i="1"/>
  <c r="D110" i="1" s="1"/>
  <c r="D106" i="1"/>
  <c r="D107" i="1"/>
  <c r="X85" i="1"/>
  <c r="W108" i="1"/>
  <c r="G83" i="1"/>
  <c r="F40" i="1"/>
  <c r="T19" i="1"/>
  <c r="T40" i="1" s="1"/>
  <c r="F75" i="1"/>
  <c r="S75" i="1"/>
  <c r="S96" i="1" s="1"/>
  <c r="E96" i="1"/>
  <c r="R86" i="1"/>
  <c r="R87" i="1" s="1"/>
  <c r="R84" i="1"/>
  <c r="J86" i="1"/>
  <c r="J87" i="1" s="1"/>
  <c r="J84" i="1"/>
  <c r="K96" i="1"/>
  <c r="Y75" i="1"/>
  <c r="Y96" i="1" s="1"/>
  <c r="T77" i="1"/>
  <c r="E84" i="1"/>
  <c r="E86" i="1"/>
  <c r="E87" i="1" s="1"/>
  <c r="G55" i="2"/>
  <c r="G56" i="2" s="1"/>
  <c r="G53" i="2"/>
  <c r="K21" i="1"/>
  <c r="K77" i="1" s="1"/>
  <c r="K53" i="2"/>
  <c r="K56" i="2"/>
  <c r="R107" i="1" l="1"/>
  <c r="R106" i="1"/>
  <c r="U81" i="1"/>
  <c r="T83" i="1"/>
  <c r="U85" i="1"/>
  <c r="U108" i="1" s="1"/>
  <c r="T108" i="1"/>
  <c r="X77" i="1"/>
  <c r="U75" i="1"/>
  <c r="U96" i="1" s="1"/>
  <c r="G96" i="1"/>
  <c r="Y85" i="1"/>
  <c r="Y108" i="1" s="1"/>
  <c r="X108" i="1"/>
  <c r="S30" i="1"/>
  <c r="S31" i="1" s="1"/>
  <c r="S28" i="1"/>
  <c r="X30" i="1"/>
  <c r="X31" i="1" s="1"/>
  <c r="X28" i="1"/>
  <c r="Y27" i="1"/>
  <c r="K84" i="1"/>
  <c r="K86" i="1"/>
  <c r="K87" i="1" s="1"/>
  <c r="V107" i="1"/>
  <c r="V106" i="1"/>
  <c r="V109" i="1"/>
  <c r="V110" i="1" s="1"/>
  <c r="W84" i="1"/>
  <c r="W86" i="1"/>
  <c r="W87" i="1" s="1"/>
  <c r="U82" i="1"/>
  <c r="X97" i="1"/>
  <c r="Y76" i="1"/>
  <c r="Y97" i="1" s="1"/>
  <c r="Y21" i="1"/>
  <c r="U25" i="1"/>
  <c r="T27" i="1"/>
  <c r="T97" i="1"/>
  <c r="U76" i="1"/>
  <c r="U97" i="1" s="1"/>
  <c r="Y81" i="1"/>
  <c r="X83" i="1"/>
  <c r="G84" i="1"/>
  <c r="G86" i="1"/>
  <c r="G87" i="1" s="1"/>
  <c r="U77" i="1"/>
  <c r="T75" i="1"/>
  <c r="T96" i="1" s="1"/>
  <c r="F96" i="1"/>
  <c r="S86" i="1"/>
  <c r="S87" i="1" s="1"/>
  <c r="S84" i="1"/>
  <c r="Y82" i="1"/>
  <c r="H7" i="1"/>
  <c r="I36" i="1"/>
  <c r="I35" i="1"/>
  <c r="I34" i="1"/>
  <c r="I11" i="1"/>
  <c r="I10" i="1"/>
  <c r="I6" i="1"/>
  <c r="H42" i="1"/>
  <c r="K52" i="1"/>
  <c r="J52" i="1"/>
  <c r="I52" i="1"/>
  <c r="H52" i="1"/>
  <c r="G52" i="1"/>
  <c r="F52" i="1"/>
  <c r="E52" i="1"/>
  <c r="D52" i="1"/>
  <c r="C52" i="1"/>
  <c r="E36" i="1"/>
  <c r="E35" i="1"/>
  <c r="E34" i="1"/>
  <c r="E11" i="1"/>
  <c r="E10" i="1"/>
  <c r="E6" i="1"/>
  <c r="D8" i="1"/>
  <c r="R8" i="1" s="1"/>
  <c r="H12" i="1"/>
  <c r="D12" i="1"/>
  <c r="D13" i="1" s="1"/>
  <c r="C7" i="1"/>
  <c r="C6" i="1"/>
  <c r="H37" i="1"/>
  <c r="D37" i="1"/>
  <c r="H48" i="1"/>
  <c r="D48" i="1"/>
  <c r="H47" i="1"/>
  <c r="D47" i="1"/>
  <c r="H46" i="1"/>
  <c r="D46" i="1"/>
  <c r="C48" i="1"/>
  <c r="C47" i="1"/>
  <c r="C46" i="1"/>
  <c r="D42" i="1"/>
  <c r="C37" i="1"/>
  <c r="K27" i="1"/>
  <c r="K30" i="1" s="1"/>
  <c r="K31" i="1" s="1"/>
  <c r="J27" i="1"/>
  <c r="J28" i="1" s="1"/>
  <c r="I27" i="1"/>
  <c r="I28" i="1" s="1"/>
  <c r="H27" i="1"/>
  <c r="H28" i="1" s="1"/>
  <c r="G27" i="1"/>
  <c r="G28" i="1" s="1"/>
  <c r="F27" i="1"/>
  <c r="F30" i="1" s="1"/>
  <c r="F31" i="1" s="1"/>
  <c r="E27" i="1"/>
  <c r="E28" i="1" s="1"/>
  <c r="D27" i="1"/>
  <c r="D30" i="1" s="1"/>
  <c r="D31" i="1" s="1"/>
  <c r="C27" i="1"/>
  <c r="C30" i="1" s="1"/>
  <c r="C31" i="1" s="1"/>
  <c r="C24" i="1"/>
  <c r="C12" i="1"/>
  <c r="D9" i="1"/>
  <c r="C43" i="1" l="1"/>
  <c r="Q7" i="1"/>
  <c r="Q43" i="1" s="1"/>
  <c r="C63" i="1"/>
  <c r="J34" i="1"/>
  <c r="I90" i="1"/>
  <c r="W34" i="1"/>
  <c r="E48" i="1"/>
  <c r="E92" i="1"/>
  <c r="S36" i="1"/>
  <c r="J35" i="1"/>
  <c r="I91" i="1"/>
  <c r="W91" i="1" s="1"/>
  <c r="W35" i="1"/>
  <c r="X35" i="1" s="1"/>
  <c r="J36" i="1"/>
  <c r="I92" i="1"/>
  <c r="W36" i="1"/>
  <c r="J6" i="1"/>
  <c r="I62" i="1"/>
  <c r="W6" i="1"/>
  <c r="E62" i="1"/>
  <c r="S6" i="1"/>
  <c r="F35" i="1"/>
  <c r="E91" i="1"/>
  <c r="S91" i="1" s="1"/>
  <c r="S35" i="1"/>
  <c r="I7" i="1"/>
  <c r="I8" i="1" s="1"/>
  <c r="V7" i="1"/>
  <c r="H63" i="1"/>
  <c r="H9" i="1"/>
  <c r="F10" i="1"/>
  <c r="E66" i="1"/>
  <c r="S10" i="1"/>
  <c r="F11" i="1"/>
  <c r="E67" i="1"/>
  <c r="S11" i="1"/>
  <c r="I66" i="1"/>
  <c r="W10" i="1"/>
  <c r="C42" i="1"/>
  <c r="C45" i="1" s="1"/>
  <c r="C62" i="1"/>
  <c r="Q6" i="1"/>
  <c r="Q42" i="1" s="1"/>
  <c r="F34" i="1"/>
  <c r="E90" i="1"/>
  <c r="S34" i="1"/>
  <c r="J11" i="1"/>
  <c r="I67" i="1"/>
  <c r="W11" i="1"/>
  <c r="X84" i="1"/>
  <c r="X86" i="1"/>
  <c r="X87" i="1" s="1"/>
  <c r="Y83" i="1"/>
  <c r="Y30" i="1"/>
  <c r="Y31" i="1" s="1"/>
  <c r="Y28" i="1"/>
  <c r="T30" i="1"/>
  <c r="T31" i="1" s="1"/>
  <c r="T28" i="1"/>
  <c r="T86" i="1"/>
  <c r="T87" i="1" s="1"/>
  <c r="T84" i="1"/>
  <c r="U27" i="1"/>
  <c r="Y77" i="1"/>
  <c r="U83" i="1"/>
  <c r="F36" i="1"/>
  <c r="F48" i="1" s="1"/>
  <c r="C8" i="1"/>
  <c r="I48" i="1"/>
  <c r="H8" i="1"/>
  <c r="V8" i="1" s="1"/>
  <c r="I47" i="1"/>
  <c r="I46" i="1"/>
  <c r="H49" i="1"/>
  <c r="H51" i="1" s="1"/>
  <c r="J10" i="1"/>
  <c r="I12" i="1"/>
  <c r="I13" i="1" s="1"/>
  <c r="J47" i="1"/>
  <c r="I37" i="1"/>
  <c r="H13" i="1"/>
  <c r="D49" i="1"/>
  <c r="D51" i="1" s="1"/>
  <c r="F7" i="1"/>
  <c r="E8" i="1"/>
  <c r="S8" i="1" s="1"/>
  <c r="E37" i="1"/>
  <c r="F6" i="1"/>
  <c r="E9" i="1"/>
  <c r="E47" i="1"/>
  <c r="E12" i="1"/>
  <c r="E13" i="1" s="1"/>
  <c r="E46" i="1"/>
  <c r="E42" i="1"/>
  <c r="C49" i="1"/>
  <c r="C53" i="1" s="1"/>
  <c r="C9" i="1"/>
  <c r="Q9" i="1" s="1"/>
  <c r="C13" i="1"/>
  <c r="Q13" i="1" s="1"/>
  <c r="D15" i="1"/>
  <c r="D16" i="1" s="1"/>
  <c r="F28" i="1"/>
  <c r="C15" i="1"/>
  <c r="C16" i="1" s="1"/>
  <c r="Q16" i="1" s="1"/>
  <c r="H15" i="1"/>
  <c r="H16" i="1" s="1"/>
  <c r="E30" i="1"/>
  <c r="E31" i="1" s="1"/>
  <c r="G30" i="1"/>
  <c r="G31" i="1" s="1"/>
  <c r="C28" i="1"/>
  <c r="K28" i="1"/>
  <c r="J30" i="1"/>
  <c r="J31" i="1" s="1"/>
  <c r="H30" i="1"/>
  <c r="H31" i="1" s="1"/>
  <c r="I30" i="1"/>
  <c r="I31" i="1" s="1"/>
  <c r="D28" i="1"/>
  <c r="I9" i="1" l="1"/>
  <c r="C54" i="1"/>
  <c r="W8" i="1"/>
  <c r="W67" i="1"/>
  <c r="I103" i="1"/>
  <c r="G10" i="1"/>
  <c r="G66" i="1" s="1"/>
  <c r="F66" i="1"/>
  <c r="G35" i="1"/>
  <c r="G91" i="1" s="1"/>
  <c r="F91" i="1"/>
  <c r="T91" i="1" s="1"/>
  <c r="I104" i="1"/>
  <c r="W92" i="1"/>
  <c r="E104" i="1"/>
  <c r="S92" i="1"/>
  <c r="F47" i="1"/>
  <c r="G7" i="1"/>
  <c r="G63" i="1" s="1"/>
  <c r="F63" i="1"/>
  <c r="T7" i="1"/>
  <c r="K11" i="1"/>
  <c r="J67" i="1"/>
  <c r="W12" i="1"/>
  <c r="X10" i="1"/>
  <c r="W46" i="1"/>
  <c r="K36" i="1"/>
  <c r="K92" i="1" s="1"/>
  <c r="K104" i="1" s="1"/>
  <c r="J92" i="1"/>
  <c r="J104" i="1" s="1"/>
  <c r="C44" i="1"/>
  <c r="Q8" i="1"/>
  <c r="Q44" i="1" s="1"/>
  <c r="T6" i="1"/>
  <c r="S9" i="1"/>
  <c r="S42" i="1"/>
  <c r="T11" i="1"/>
  <c r="S47" i="1"/>
  <c r="X6" i="1"/>
  <c r="W42" i="1"/>
  <c r="G11" i="1"/>
  <c r="F67" i="1"/>
  <c r="W62" i="1"/>
  <c r="I64" i="1"/>
  <c r="I98" i="1"/>
  <c r="X91" i="1"/>
  <c r="Y91" i="1" s="1"/>
  <c r="Q63" i="1"/>
  <c r="Q99" i="1" s="1"/>
  <c r="C65" i="1"/>
  <c r="Q65" i="1" s="1"/>
  <c r="C99" i="1"/>
  <c r="T34" i="1"/>
  <c r="S37" i="1"/>
  <c r="H65" i="1"/>
  <c r="H64" i="1"/>
  <c r="V64" i="1" s="1"/>
  <c r="W64" i="1" s="1"/>
  <c r="V63" i="1"/>
  <c r="W37" i="1"/>
  <c r="X34" i="1"/>
  <c r="G36" i="1"/>
  <c r="F92" i="1"/>
  <c r="F104" i="1" s="1"/>
  <c r="E93" i="1"/>
  <c r="S90" i="1"/>
  <c r="E64" i="1"/>
  <c r="S64" i="1" s="1"/>
  <c r="S62" i="1"/>
  <c r="E65" i="1"/>
  <c r="E98" i="1"/>
  <c r="S67" i="1"/>
  <c r="E103" i="1"/>
  <c r="C69" i="1"/>
  <c r="Q69" i="1" s="1"/>
  <c r="C72" i="1"/>
  <c r="Q72" i="1" s="1"/>
  <c r="C64" i="1"/>
  <c r="Q62" i="1"/>
  <c r="Q98" i="1" s="1"/>
  <c r="C98" i="1"/>
  <c r="T35" i="1"/>
  <c r="K6" i="1"/>
  <c r="K62" i="1" s="1"/>
  <c r="J62" i="1"/>
  <c r="K35" i="1"/>
  <c r="K91" i="1" s="1"/>
  <c r="J91" i="1"/>
  <c r="Q45" i="1"/>
  <c r="I68" i="1"/>
  <c r="W66" i="1"/>
  <c r="I102" i="1"/>
  <c r="W7" i="1"/>
  <c r="V9" i="1"/>
  <c r="I93" i="1"/>
  <c r="W90" i="1"/>
  <c r="K10" i="1"/>
  <c r="K66" i="1" s="1"/>
  <c r="J66" i="1"/>
  <c r="G34" i="1"/>
  <c r="G90" i="1" s="1"/>
  <c r="F90" i="1"/>
  <c r="J7" i="1"/>
  <c r="I63" i="1"/>
  <c r="I65" i="1" s="1"/>
  <c r="K34" i="1"/>
  <c r="K90" i="1" s="1"/>
  <c r="J90" i="1"/>
  <c r="Q50" i="1"/>
  <c r="Q54" i="1"/>
  <c r="G6" i="1"/>
  <c r="G62" i="1" s="1"/>
  <c r="F62" i="1"/>
  <c r="T10" i="1"/>
  <c r="S12" i="1"/>
  <c r="S46" i="1"/>
  <c r="J8" i="1"/>
  <c r="X11" i="1"/>
  <c r="W47" i="1"/>
  <c r="E68" i="1"/>
  <c r="S66" i="1"/>
  <c r="E102" i="1"/>
  <c r="X36" i="1"/>
  <c r="W48" i="1"/>
  <c r="S48" i="1"/>
  <c r="T36" i="1"/>
  <c r="Y86" i="1"/>
  <c r="Y87" i="1" s="1"/>
  <c r="Y84" i="1"/>
  <c r="U30" i="1"/>
  <c r="U31" i="1" s="1"/>
  <c r="U28" i="1"/>
  <c r="U86" i="1"/>
  <c r="U87" i="1" s="1"/>
  <c r="U84" i="1"/>
  <c r="I49" i="1"/>
  <c r="I51" i="1" s="1"/>
  <c r="J12" i="1"/>
  <c r="J15" i="1" s="1"/>
  <c r="J16" i="1" s="1"/>
  <c r="H50" i="1"/>
  <c r="H53" i="1"/>
  <c r="H54" i="1" s="1"/>
  <c r="D53" i="1"/>
  <c r="D54" i="1" s="1"/>
  <c r="D50" i="1"/>
  <c r="C51" i="1"/>
  <c r="C50" i="1"/>
  <c r="I15" i="1"/>
  <c r="I16" i="1" s="1"/>
  <c r="J37" i="1"/>
  <c r="J48" i="1"/>
  <c r="J46" i="1"/>
  <c r="I42" i="1"/>
  <c r="F42" i="1"/>
  <c r="F9" i="1"/>
  <c r="E49" i="1"/>
  <c r="E53" i="1" s="1"/>
  <c r="E54" i="1" s="1"/>
  <c r="F8" i="1"/>
  <c r="T8" i="1" s="1"/>
  <c r="F37" i="1"/>
  <c r="E15" i="1"/>
  <c r="E16" i="1" s="1"/>
  <c r="F12" i="1"/>
  <c r="F46" i="1"/>
  <c r="T90" i="1" l="1"/>
  <c r="G65" i="1"/>
  <c r="J93" i="1"/>
  <c r="K42" i="1"/>
  <c r="E105" i="1"/>
  <c r="E109" i="1" s="1"/>
  <c r="E110" i="1" s="1"/>
  <c r="I53" i="1"/>
  <c r="I54" i="1" s="1"/>
  <c r="J13" i="1"/>
  <c r="U35" i="1"/>
  <c r="U91" i="1"/>
  <c r="K102" i="1"/>
  <c r="J49" i="1"/>
  <c r="J53" i="1" s="1"/>
  <c r="T48" i="1"/>
  <c r="U36" i="1"/>
  <c r="U48" i="1" s="1"/>
  <c r="G64" i="1"/>
  <c r="G98" i="1"/>
  <c r="W68" i="1"/>
  <c r="X66" i="1"/>
  <c r="W102" i="1"/>
  <c r="C106" i="1"/>
  <c r="C110" i="1"/>
  <c r="Y34" i="1"/>
  <c r="X37" i="1"/>
  <c r="U7" i="1"/>
  <c r="T9" i="1"/>
  <c r="G37" i="1"/>
  <c r="K48" i="1"/>
  <c r="Y11" i="1"/>
  <c r="X47" i="1"/>
  <c r="J68" i="1"/>
  <c r="J102" i="1"/>
  <c r="I69" i="1"/>
  <c r="I71" i="1"/>
  <c r="I72" i="1" s="1"/>
  <c r="Q106" i="1"/>
  <c r="Q110" i="1"/>
  <c r="Q101" i="1"/>
  <c r="Y6" i="1"/>
  <c r="Y42" i="1" s="1"/>
  <c r="X42" i="1"/>
  <c r="F65" i="1"/>
  <c r="T63" i="1"/>
  <c r="T62" i="1"/>
  <c r="S65" i="1"/>
  <c r="S98" i="1"/>
  <c r="F68" i="1"/>
  <c r="F102" i="1"/>
  <c r="W49" i="1"/>
  <c r="K93" i="1"/>
  <c r="S93" i="1"/>
  <c r="S104" i="1"/>
  <c r="T92" i="1"/>
  <c r="T93" i="1" s="1"/>
  <c r="S13" i="1"/>
  <c r="S15" i="1"/>
  <c r="S16" i="1" s="1"/>
  <c r="J98" i="1"/>
  <c r="Y35" i="1"/>
  <c r="X62" i="1"/>
  <c r="W98" i="1"/>
  <c r="W15" i="1"/>
  <c r="W16" i="1" s="1"/>
  <c r="W13" i="1"/>
  <c r="X67" i="1"/>
  <c r="W103" i="1"/>
  <c r="Q64" i="1"/>
  <c r="Q100" i="1" s="1"/>
  <c r="C100" i="1"/>
  <c r="G102" i="1"/>
  <c r="G9" i="1"/>
  <c r="S49" i="1"/>
  <c r="G42" i="1"/>
  <c r="F49" i="1"/>
  <c r="F51" i="1" s="1"/>
  <c r="K46" i="1"/>
  <c r="S68" i="1"/>
  <c r="T66" i="1"/>
  <c r="S102" i="1"/>
  <c r="U10" i="1"/>
  <c r="T12" i="1"/>
  <c r="T46" i="1"/>
  <c r="K7" i="1"/>
  <c r="J63" i="1"/>
  <c r="J65" i="1" s="1"/>
  <c r="J9" i="1"/>
  <c r="W9" i="1"/>
  <c r="X7" i="1"/>
  <c r="K98" i="1"/>
  <c r="U34" i="1"/>
  <c r="T37" i="1"/>
  <c r="F103" i="1"/>
  <c r="U6" i="1"/>
  <c r="U42" i="1" s="1"/>
  <c r="T42" i="1"/>
  <c r="J103" i="1"/>
  <c r="X92" i="1"/>
  <c r="W104" i="1"/>
  <c r="X8" i="1"/>
  <c r="W63" i="1"/>
  <c r="V65" i="1"/>
  <c r="X48" i="1"/>
  <c r="Y36" i="1"/>
  <c r="Y48" i="1" s="1"/>
  <c r="W93" i="1"/>
  <c r="X90" i="1"/>
  <c r="U11" i="1"/>
  <c r="T47" i="1"/>
  <c r="U90" i="1"/>
  <c r="Y10" i="1"/>
  <c r="X12" i="1"/>
  <c r="X46" i="1"/>
  <c r="X49" i="1" s="1"/>
  <c r="K12" i="1"/>
  <c r="K15" i="1" s="1"/>
  <c r="K16" i="1" s="1"/>
  <c r="G8" i="1"/>
  <c r="U8" i="1" s="1"/>
  <c r="E71" i="1"/>
  <c r="E72" i="1" s="1"/>
  <c r="E69" i="1"/>
  <c r="F64" i="1"/>
  <c r="T64" i="1" s="1"/>
  <c r="F98" i="1"/>
  <c r="F93" i="1"/>
  <c r="I105" i="1"/>
  <c r="T67" i="1"/>
  <c r="S103" i="1"/>
  <c r="G92" i="1"/>
  <c r="G104" i="1" s="1"/>
  <c r="G48" i="1"/>
  <c r="C101" i="1"/>
  <c r="G67" i="1"/>
  <c r="G103" i="1" s="1"/>
  <c r="G47" i="1"/>
  <c r="K67" i="1"/>
  <c r="K103" i="1" s="1"/>
  <c r="K47" i="1"/>
  <c r="K49" i="1" s="1"/>
  <c r="I50" i="1"/>
  <c r="K37" i="1"/>
  <c r="J42" i="1"/>
  <c r="E51" i="1"/>
  <c r="E50" i="1"/>
  <c r="F53" i="1"/>
  <c r="F54" i="1" s="1"/>
  <c r="F50" i="1"/>
  <c r="G46" i="1"/>
  <c r="G12" i="1"/>
  <c r="F13" i="1"/>
  <c r="F15" i="1"/>
  <c r="F16" i="1" s="1"/>
  <c r="E107" i="1" l="1"/>
  <c r="U64" i="1"/>
  <c r="E106" i="1"/>
  <c r="S105" i="1"/>
  <c r="S106" i="1" s="1"/>
  <c r="U47" i="1"/>
  <c r="J64" i="1"/>
  <c r="X64" i="1" s="1"/>
  <c r="F105" i="1"/>
  <c r="F109" i="1" s="1"/>
  <c r="F110" i="1" s="1"/>
  <c r="K13" i="1"/>
  <c r="G49" i="1"/>
  <c r="G51" i="1" s="1"/>
  <c r="J51" i="1"/>
  <c r="J105" i="1"/>
  <c r="J109" i="1" s="1"/>
  <c r="J110" i="1" s="1"/>
  <c r="K50" i="1"/>
  <c r="K53" i="1"/>
  <c r="K54" i="1" s="1"/>
  <c r="K51" i="1"/>
  <c r="T13" i="1"/>
  <c r="T15" i="1"/>
  <c r="T16" i="1" s="1"/>
  <c r="X50" i="1"/>
  <c r="X53" i="1"/>
  <c r="X54" i="1" s="1"/>
  <c r="X51" i="1"/>
  <c r="U12" i="1"/>
  <c r="U46" i="1"/>
  <c r="U49" i="1" s="1"/>
  <c r="S109" i="1"/>
  <c r="S110" i="1" s="1"/>
  <c r="S107" i="1"/>
  <c r="I109" i="1"/>
  <c r="I110" i="1" s="1"/>
  <c r="I107" i="1"/>
  <c r="I106" i="1"/>
  <c r="U66" i="1"/>
  <c r="T68" i="1"/>
  <c r="T102" i="1"/>
  <c r="Y67" i="1"/>
  <c r="Y103" i="1" s="1"/>
  <c r="X103" i="1"/>
  <c r="Y47" i="1"/>
  <c r="S69" i="1"/>
  <c r="S71" i="1"/>
  <c r="S72" i="1" s="1"/>
  <c r="G105" i="1"/>
  <c r="T104" i="1"/>
  <c r="U92" i="1"/>
  <c r="U104" i="1" s="1"/>
  <c r="Y66" i="1"/>
  <c r="X68" i="1"/>
  <c r="X102" i="1"/>
  <c r="K105" i="1"/>
  <c r="X93" i="1"/>
  <c r="Y90" i="1"/>
  <c r="W53" i="1"/>
  <c r="W54" i="1" s="1"/>
  <c r="W51" i="1"/>
  <c r="W50" i="1"/>
  <c r="J69" i="1"/>
  <c r="J71" i="1"/>
  <c r="J72" i="1" s="1"/>
  <c r="X15" i="1"/>
  <c r="X16" i="1" s="1"/>
  <c r="X13" i="1"/>
  <c r="Y7" i="1"/>
  <c r="Y9" i="1" s="1"/>
  <c r="X9" i="1"/>
  <c r="S50" i="1"/>
  <c r="S51" i="1"/>
  <c r="S53" i="1"/>
  <c r="S54" i="1" s="1"/>
  <c r="F69" i="1"/>
  <c r="F71" i="1"/>
  <c r="F72" i="1" s="1"/>
  <c r="W105" i="1"/>
  <c r="K63" i="1"/>
  <c r="K8" i="1"/>
  <c r="Y8" i="1" s="1"/>
  <c r="K9" i="1"/>
  <c r="U67" i="1"/>
  <c r="U103" i="1" s="1"/>
  <c r="T103" i="1"/>
  <c r="Y92" i="1"/>
  <c r="Y104" i="1" s="1"/>
  <c r="X104" i="1"/>
  <c r="Y37" i="1"/>
  <c r="Y12" i="1"/>
  <c r="Y46" i="1"/>
  <c r="X63" i="1"/>
  <c r="W65" i="1"/>
  <c r="G68" i="1"/>
  <c r="U62" i="1"/>
  <c r="U98" i="1" s="1"/>
  <c r="T98" i="1"/>
  <c r="W71" i="1"/>
  <c r="W72" i="1" s="1"/>
  <c r="W69" i="1"/>
  <c r="K68" i="1"/>
  <c r="U37" i="1"/>
  <c r="T49" i="1"/>
  <c r="Y62" i="1"/>
  <c r="Y98" i="1" s="1"/>
  <c r="X98" i="1"/>
  <c r="T65" i="1"/>
  <c r="U63" i="1"/>
  <c r="U9" i="1"/>
  <c r="G93" i="1"/>
  <c r="J50" i="1"/>
  <c r="J54" i="1"/>
  <c r="G13" i="1"/>
  <c r="G15" i="1"/>
  <c r="G16" i="1" s="1"/>
  <c r="G53" i="1"/>
  <c r="G54" i="1" s="1"/>
  <c r="G50" i="1"/>
  <c r="F107" i="1" l="1"/>
  <c r="F106" i="1"/>
  <c r="J107" i="1"/>
  <c r="J106" i="1"/>
  <c r="Y49" i="1"/>
  <c r="Y53" i="1" s="1"/>
  <c r="Y54" i="1" s="1"/>
  <c r="T105" i="1"/>
  <c r="T107" i="1" s="1"/>
  <c r="Y68" i="1"/>
  <c r="Y102" i="1"/>
  <c r="Y105" i="1" s="1"/>
  <c r="G109" i="1"/>
  <c r="G110" i="1" s="1"/>
  <c r="G107" i="1"/>
  <c r="G106" i="1"/>
  <c r="U93" i="1"/>
  <c r="U68" i="1"/>
  <c r="U102" i="1"/>
  <c r="U105" i="1" s="1"/>
  <c r="W106" i="1"/>
  <c r="W109" i="1"/>
  <c r="W110" i="1" s="1"/>
  <c r="W107" i="1"/>
  <c r="G71" i="1"/>
  <c r="G72" i="1" s="1"/>
  <c r="G69" i="1"/>
  <c r="T50" i="1"/>
  <c r="T51" i="1"/>
  <c r="T53" i="1"/>
  <c r="T54" i="1" s="1"/>
  <c r="U51" i="1"/>
  <c r="U53" i="1"/>
  <c r="U54" i="1" s="1"/>
  <c r="U50" i="1"/>
  <c r="T71" i="1"/>
  <c r="T72" i="1" s="1"/>
  <c r="T69" i="1"/>
  <c r="X65" i="1"/>
  <c r="Y63" i="1"/>
  <c r="Y65" i="1" s="1"/>
  <c r="K107" i="1"/>
  <c r="K106" i="1"/>
  <c r="K109" i="1"/>
  <c r="K110" i="1" s="1"/>
  <c r="K71" i="1"/>
  <c r="K72" i="1" s="1"/>
  <c r="K69" i="1"/>
  <c r="X105" i="1"/>
  <c r="U65" i="1"/>
  <c r="Y15" i="1"/>
  <c r="Y16" i="1" s="1"/>
  <c r="Y13" i="1"/>
  <c r="K65" i="1"/>
  <c r="K64" i="1"/>
  <c r="Y64" i="1" s="1"/>
  <c r="Y93" i="1"/>
  <c r="X71" i="1"/>
  <c r="X72" i="1" s="1"/>
  <c r="X69" i="1"/>
  <c r="U13" i="1"/>
  <c r="U15" i="1"/>
  <c r="U16" i="1" s="1"/>
  <c r="D8" i="2"/>
  <c r="D47" i="2" s="1"/>
  <c r="D10" i="2"/>
  <c r="Y50" i="1" l="1"/>
  <c r="Y51" i="1"/>
  <c r="T109" i="1"/>
  <c r="T110" i="1" s="1"/>
  <c r="T106" i="1"/>
  <c r="U71" i="1"/>
  <c r="U72" i="1" s="1"/>
  <c r="U69" i="1"/>
  <c r="U107" i="1"/>
  <c r="U106" i="1"/>
  <c r="U109" i="1"/>
  <c r="U110" i="1" s="1"/>
  <c r="X107" i="1"/>
  <c r="X109" i="1"/>
  <c r="X110" i="1" s="1"/>
  <c r="X106" i="1"/>
  <c r="Y109" i="1"/>
  <c r="Y110" i="1" s="1"/>
  <c r="Y107" i="1"/>
  <c r="Y106" i="1"/>
  <c r="Y69" i="1"/>
  <c r="Y71" i="1"/>
  <c r="Y72" i="1" s="1"/>
  <c r="D49" i="2"/>
  <c r="D22" i="1"/>
  <c r="D48" i="2"/>
  <c r="D23" i="1" s="1"/>
  <c r="D44" i="1" l="1"/>
  <c r="D79" i="1"/>
  <c r="R23" i="1"/>
  <c r="D78" i="1"/>
  <c r="R22" i="1"/>
  <c r="D43" i="1"/>
  <c r="D45" i="1" s="1"/>
  <c r="D24" i="1"/>
  <c r="K8" i="2"/>
  <c r="H8" i="2"/>
  <c r="H47" i="2" s="1"/>
  <c r="I8" i="2"/>
  <c r="I10" i="2" s="1"/>
  <c r="E8" i="2"/>
  <c r="E10" i="2" s="1"/>
  <c r="F8" i="2"/>
  <c r="F10" i="2" s="1"/>
  <c r="G8" i="2"/>
  <c r="G10" i="2" s="1"/>
  <c r="J8" i="2"/>
  <c r="J10" i="2" s="1"/>
  <c r="D80" i="1" l="1"/>
  <c r="R78" i="1"/>
  <c r="D99" i="1"/>
  <c r="D101" i="1" s="1"/>
  <c r="R44" i="1"/>
  <c r="R79" i="1"/>
  <c r="D100" i="1"/>
  <c r="R24" i="1"/>
  <c r="R43" i="1"/>
  <c r="R45" i="1" s="1"/>
  <c r="J47" i="2"/>
  <c r="J22" i="1" s="1"/>
  <c r="I47" i="2"/>
  <c r="I48" i="2" s="1"/>
  <c r="I23" i="1" s="1"/>
  <c r="J49" i="2"/>
  <c r="K10" i="2"/>
  <c r="K49" i="2"/>
  <c r="K48" i="2"/>
  <c r="K23" i="1" s="1"/>
  <c r="K22" i="1"/>
  <c r="K78" i="1" s="1"/>
  <c r="I49" i="2"/>
  <c r="H10" i="2"/>
  <c r="G47" i="2"/>
  <c r="G48" i="2" s="1"/>
  <c r="G23" i="1" s="1"/>
  <c r="F47" i="2"/>
  <c r="E47" i="2"/>
  <c r="J43" i="1"/>
  <c r="J45" i="1" s="1"/>
  <c r="H48" i="2"/>
  <c r="H23" i="1" s="1"/>
  <c r="H22" i="1"/>
  <c r="H49" i="2"/>
  <c r="J48" i="2"/>
  <c r="J23" i="1" s="1"/>
  <c r="H44" i="1" l="1"/>
  <c r="V23" i="1"/>
  <c r="H79" i="1"/>
  <c r="G44" i="1"/>
  <c r="G79" i="1"/>
  <c r="G100" i="1" s="1"/>
  <c r="I44" i="1"/>
  <c r="I79" i="1"/>
  <c r="I100" i="1" s="1"/>
  <c r="J44" i="1"/>
  <c r="J79" i="1"/>
  <c r="J100" i="1" s="1"/>
  <c r="J24" i="1"/>
  <c r="J78" i="1"/>
  <c r="K44" i="1"/>
  <c r="K79" i="1"/>
  <c r="K100" i="1" s="1"/>
  <c r="R100" i="1"/>
  <c r="R80" i="1"/>
  <c r="R99" i="1"/>
  <c r="R101" i="1" s="1"/>
  <c r="H78" i="1"/>
  <c r="V22" i="1"/>
  <c r="K80" i="1"/>
  <c r="K99" i="1"/>
  <c r="K101" i="1" s="1"/>
  <c r="G49" i="2"/>
  <c r="I22" i="1"/>
  <c r="I78" i="1" s="1"/>
  <c r="G22" i="1"/>
  <c r="K43" i="1"/>
  <c r="K45" i="1" s="1"/>
  <c r="K24" i="1"/>
  <c r="F49" i="2"/>
  <c r="F48" i="2"/>
  <c r="F23" i="1" s="1"/>
  <c r="F22" i="1"/>
  <c r="F78" i="1" s="1"/>
  <c r="E22" i="1"/>
  <c r="E49" i="2"/>
  <c r="E48" i="2"/>
  <c r="E23" i="1" s="1"/>
  <c r="H24" i="1"/>
  <c r="H43" i="1"/>
  <c r="H45" i="1" s="1"/>
  <c r="F44" i="1" l="1"/>
  <c r="F79" i="1"/>
  <c r="F100" i="1" s="1"/>
  <c r="W22" i="1"/>
  <c r="V24" i="1"/>
  <c r="V43" i="1"/>
  <c r="V45" i="1" s="1"/>
  <c r="V78" i="1"/>
  <c r="H80" i="1"/>
  <c r="H99" i="1"/>
  <c r="H101" i="1" s="1"/>
  <c r="V79" i="1"/>
  <c r="H100" i="1"/>
  <c r="E78" i="1"/>
  <c r="S22" i="1"/>
  <c r="I43" i="1"/>
  <c r="I24" i="1"/>
  <c r="W23" i="1"/>
  <c r="V44" i="1"/>
  <c r="I80" i="1"/>
  <c r="I99" i="1"/>
  <c r="I101" i="1" s="1"/>
  <c r="F99" i="1"/>
  <c r="F101" i="1" s="1"/>
  <c r="F80" i="1"/>
  <c r="J80" i="1"/>
  <c r="J99" i="1"/>
  <c r="J101" i="1" s="1"/>
  <c r="E44" i="1"/>
  <c r="E79" i="1"/>
  <c r="S23" i="1"/>
  <c r="G24" i="1"/>
  <c r="G78" i="1"/>
  <c r="G43" i="1"/>
  <c r="G45" i="1" s="1"/>
  <c r="F43" i="1"/>
  <c r="F45" i="1" s="1"/>
  <c r="F24" i="1"/>
  <c r="E43" i="1"/>
  <c r="E45" i="1" s="1"/>
  <c r="E24" i="1"/>
  <c r="I45" i="1" l="1"/>
  <c r="AH43" i="1"/>
  <c r="T22" i="1"/>
  <c r="S24" i="1"/>
  <c r="S43" i="1"/>
  <c r="S45" i="1" s="1"/>
  <c r="G99" i="1"/>
  <c r="G101" i="1" s="1"/>
  <c r="G80" i="1"/>
  <c r="E80" i="1"/>
  <c r="E99" i="1"/>
  <c r="E101" i="1" s="1"/>
  <c r="S78" i="1"/>
  <c r="W24" i="1"/>
  <c r="X22" i="1"/>
  <c r="W43" i="1"/>
  <c r="W45" i="1" s="1"/>
  <c r="X23" i="1"/>
  <c r="W44" i="1"/>
  <c r="W78" i="1"/>
  <c r="V80" i="1"/>
  <c r="V99" i="1"/>
  <c r="V101" i="1" s="1"/>
  <c r="E100" i="1"/>
  <c r="S79" i="1"/>
  <c r="T23" i="1"/>
  <c r="S44" i="1"/>
  <c r="W79" i="1"/>
  <c r="V100" i="1"/>
  <c r="S99" i="1" l="1"/>
  <c r="S101" i="1" s="1"/>
  <c r="T78" i="1"/>
  <c r="S80" i="1"/>
  <c r="Y23" i="1"/>
  <c r="Y44" i="1" s="1"/>
  <c r="X44" i="1"/>
  <c r="U23" i="1"/>
  <c r="U44" i="1" s="1"/>
  <c r="T44" i="1"/>
  <c r="X78" i="1"/>
  <c r="W80" i="1"/>
  <c r="W99" i="1"/>
  <c r="W101" i="1" s="1"/>
  <c r="X79" i="1"/>
  <c r="W100" i="1"/>
  <c r="T79" i="1"/>
  <c r="S100" i="1"/>
  <c r="Y22" i="1"/>
  <c r="X24" i="1"/>
  <c r="X43" i="1"/>
  <c r="X45" i="1" s="1"/>
  <c r="U22" i="1"/>
  <c r="T43" i="1"/>
  <c r="T45" i="1" s="1"/>
  <c r="T24" i="1"/>
  <c r="Y24" i="1" l="1"/>
  <c r="Y43" i="1"/>
  <c r="Y45" i="1" s="1"/>
  <c r="U79" i="1"/>
  <c r="U100" i="1" s="1"/>
  <c r="T100" i="1"/>
  <c r="Y78" i="1"/>
  <c r="X80" i="1"/>
  <c r="X99" i="1"/>
  <c r="X101" i="1" s="1"/>
  <c r="U78" i="1"/>
  <c r="T99" i="1"/>
  <c r="T101" i="1" s="1"/>
  <c r="T80" i="1"/>
  <c r="Y79" i="1"/>
  <c r="Y100" i="1" s="1"/>
  <c r="X100" i="1"/>
  <c r="U43" i="1"/>
  <c r="U45" i="1" s="1"/>
  <c r="U24" i="1"/>
  <c r="U80" i="1" l="1"/>
  <c r="U99" i="1"/>
  <c r="U101" i="1" s="1"/>
  <c r="Y80" i="1"/>
  <c r="Y99" i="1"/>
  <c r="Y101" i="1" s="1"/>
  <c r="M102" i="1" l="1"/>
  <c r="M105" i="1" s="1"/>
  <c r="M66" i="1"/>
  <c r="M68" i="1" s="1"/>
  <c r="AA10" i="1"/>
  <c r="AA46" i="1" s="1"/>
  <c r="AA49" i="1" s="1"/>
  <c r="Z10" i="1"/>
  <c r="Z46" i="1" s="1"/>
  <c r="Z49" i="1" s="1"/>
  <c r="Z12" i="1"/>
  <c r="Z13" i="1" s="1"/>
  <c r="Z15" i="1"/>
  <c r="Z16" i="1" s="1"/>
  <c r="Z102" i="1"/>
  <c r="Z105" i="1"/>
  <c r="Z107" i="1" s="1"/>
  <c r="Z66" i="1"/>
  <c r="Z68" i="1" s="1"/>
  <c r="AA66" i="1"/>
  <c r="AA68" i="1"/>
  <c r="AA69" i="1" s="1"/>
  <c r="L66" i="1"/>
  <c r="L102" i="1" s="1"/>
  <c r="L105" i="1" s="1"/>
  <c r="L68" i="1"/>
  <c r="L69" i="1" s="1"/>
  <c r="L71" i="1"/>
  <c r="L72" i="1" s="1"/>
  <c r="M12" i="1"/>
  <c r="M13" i="1" s="1"/>
  <c r="L46" i="1"/>
  <c r="L49" i="1"/>
  <c r="L53" i="1" s="1"/>
  <c r="L54" i="1" s="1"/>
  <c r="N10" i="1"/>
  <c r="L12" i="1"/>
  <c r="L15" i="1" s="1"/>
  <c r="L16" i="1" s="1"/>
  <c r="L13" i="1"/>
  <c r="L51" i="1" l="1"/>
  <c r="M15" i="1"/>
  <c r="M16" i="1" s="1"/>
  <c r="M109" i="1"/>
  <c r="M110" i="1" s="1"/>
  <c r="M106" i="1"/>
  <c r="M69" i="1"/>
  <c r="M71" i="1"/>
  <c r="M72" i="1" s="1"/>
  <c r="AA71" i="1"/>
  <c r="AA72" i="1" s="1"/>
  <c r="L107" i="1"/>
  <c r="L106" i="1"/>
  <c r="L109" i="1"/>
  <c r="L110" i="1" s="1"/>
  <c r="Z53" i="1"/>
  <c r="Z54" i="1" s="1"/>
  <c r="Z51" i="1"/>
  <c r="Z50" i="1"/>
  <c r="AA50" i="1"/>
  <c r="AA53" i="1"/>
  <c r="AA54" i="1" s="1"/>
  <c r="AA51" i="1"/>
  <c r="Z71" i="1"/>
  <c r="Z72" i="1" s="1"/>
  <c r="Z69" i="1"/>
  <c r="N12" i="1"/>
  <c r="O10" i="1"/>
  <c r="N46" i="1"/>
  <c r="N49" i="1" s="1"/>
  <c r="N66" i="1"/>
  <c r="Z106" i="1"/>
  <c r="AA12" i="1"/>
  <c r="AA102" i="1"/>
  <c r="AA105" i="1" s="1"/>
  <c r="Z109" i="1"/>
  <c r="Z110" i="1" s="1"/>
  <c r="M107" i="1"/>
  <c r="L50" i="1"/>
  <c r="M46" i="1"/>
  <c r="M49" i="1" s="1"/>
  <c r="AB10" i="1"/>
  <c r="N68" i="1" l="1"/>
  <c r="N102" i="1"/>
  <c r="N105" i="1" s="1"/>
  <c r="O66" i="1"/>
  <c r="O12" i="1"/>
  <c r="O46" i="1"/>
  <c r="O49" i="1" s="1"/>
  <c r="M50" i="1"/>
  <c r="M53" i="1"/>
  <c r="M54" i="1" s="1"/>
  <c r="M51" i="1"/>
  <c r="AB46" i="1"/>
  <c r="AB49" i="1" s="1"/>
  <c r="AB12" i="1"/>
  <c r="AC10" i="1"/>
  <c r="N50" i="1"/>
  <c r="N51" i="1"/>
  <c r="N53" i="1"/>
  <c r="N54" i="1" s="1"/>
  <c r="N13" i="1"/>
  <c r="N15" i="1"/>
  <c r="N16" i="1" s="1"/>
  <c r="AA106" i="1"/>
  <c r="AA109" i="1"/>
  <c r="AA110" i="1" s="1"/>
  <c r="AA107" i="1"/>
  <c r="AA13" i="1"/>
  <c r="AA15" i="1"/>
  <c r="AA16" i="1" s="1"/>
  <c r="AB66" i="1"/>
  <c r="AC66" i="1" l="1"/>
  <c r="AB102" i="1"/>
  <c r="AB105" i="1" s="1"/>
  <c r="AB68" i="1"/>
  <c r="O50" i="1"/>
  <c r="O53" i="1"/>
  <c r="O54" i="1" s="1"/>
  <c r="O51" i="1"/>
  <c r="O15" i="1"/>
  <c r="O16" i="1" s="1"/>
  <c r="O13" i="1"/>
  <c r="AC46" i="1"/>
  <c r="AC49" i="1" s="1"/>
  <c r="AC12" i="1"/>
  <c r="O102" i="1"/>
  <c r="O105" i="1" s="1"/>
  <c r="O68" i="1"/>
  <c r="AB15" i="1"/>
  <c r="AB16" i="1" s="1"/>
  <c r="AB13" i="1"/>
  <c r="N107" i="1"/>
  <c r="N109" i="1"/>
  <c r="N110" i="1" s="1"/>
  <c r="N106" i="1"/>
  <c r="AB53" i="1"/>
  <c r="AB54" i="1" s="1"/>
  <c r="AB51" i="1"/>
  <c r="AB50" i="1"/>
  <c r="N71" i="1"/>
  <c r="N72" i="1" s="1"/>
  <c r="N69" i="1"/>
  <c r="O71" i="1" l="1"/>
  <c r="O72" i="1" s="1"/>
  <c r="O69" i="1"/>
  <c r="O109" i="1"/>
  <c r="O110" i="1" s="1"/>
  <c r="O107" i="1"/>
  <c r="O106" i="1"/>
  <c r="AB71" i="1"/>
  <c r="AB72" i="1" s="1"/>
  <c r="AB69" i="1"/>
  <c r="AC13" i="1"/>
  <c r="AC15" i="1"/>
  <c r="AC16" i="1" s="1"/>
  <c r="AB107" i="1"/>
  <c r="AB106" i="1"/>
  <c r="AB109" i="1"/>
  <c r="AB110" i="1" s="1"/>
  <c r="AC50" i="1"/>
  <c r="AC53" i="1"/>
  <c r="AC54" i="1" s="1"/>
  <c r="AC51" i="1"/>
  <c r="AC102" i="1"/>
  <c r="AC105" i="1" s="1"/>
  <c r="AC68" i="1"/>
  <c r="AC107" i="1" l="1"/>
  <c r="AC106" i="1"/>
  <c r="AC109" i="1"/>
  <c r="AC110" i="1" s="1"/>
  <c r="AC69" i="1"/>
  <c r="AC71" i="1"/>
  <c r="AC72" i="1" s="1"/>
</calcChain>
</file>

<file path=xl/sharedStrings.xml><?xml version="1.0" encoding="utf-8"?>
<sst xmlns="http://schemas.openxmlformats.org/spreadsheetml/2006/main" count="215" uniqueCount="40">
  <si>
    <t>FY</t>
  </si>
  <si>
    <t>Q1</t>
  </si>
  <si>
    <t>Q2</t>
  </si>
  <si>
    <t>Q3</t>
  </si>
  <si>
    <t>Q4</t>
  </si>
  <si>
    <t>Lifecare</t>
  </si>
  <si>
    <t>Annualised revenue</t>
  </si>
  <si>
    <t>Total revenue</t>
  </si>
  <si>
    <t>Subscription</t>
  </si>
  <si>
    <t>Non-Subscription</t>
  </si>
  <si>
    <t>% of recurring revenue</t>
  </si>
  <si>
    <t>Adjusted EBITDA</t>
  </si>
  <si>
    <t>Adjusted EBITDA Margin</t>
  </si>
  <si>
    <t>D&amp;A</t>
  </si>
  <si>
    <t>Adjusted EBIT</t>
  </si>
  <si>
    <t>CAPEX</t>
  </si>
  <si>
    <t>Adjusted EBITDA less CAPEX</t>
  </si>
  <si>
    <t>Adjusted EBITDA less CAPEX Margin</t>
  </si>
  <si>
    <t>Wellness</t>
  </si>
  <si>
    <t>Group</t>
  </si>
  <si>
    <t>Adjusting Items</t>
  </si>
  <si>
    <t>Operating profit</t>
  </si>
  <si>
    <t>Consolidated</t>
  </si>
  <si>
    <t>Annualised revenue (recurring)</t>
  </si>
  <si>
    <t>Stripping out Wellnow</t>
  </si>
  <si>
    <t>Revenue</t>
  </si>
  <si>
    <t>CH+ PY Restatements</t>
  </si>
  <si>
    <t>CH+ Closed Clinics</t>
  </si>
  <si>
    <t>Million</t>
  </si>
  <si>
    <t>Revised Champion Health Plus Revenue</t>
  </si>
  <si>
    <t>Original</t>
  </si>
  <si>
    <t>Pro-forma Adjustment</t>
  </si>
  <si>
    <t>Pro-forma revenue</t>
  </si>
  <si>
    <t>Pro-forma revenue €m</t>
  </si>
  <si>
    <t>Adjusted EBITDA Margin %</t>
  </si>
  <si>
    <t>Adjusted EBITDA less CAPEX Margin %</t>
  </si>
  <si>
    <t xml:space="preserve"> € Million</t>
  </si>
  <si>
    <t>Unless otherwise stated</t>
  </si>
  <si>
    <t>Quarterly</t>
  </si>
  <si>
    <t>Quarterly Aggregated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</si>
</sst>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4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b/>
      <i/>
      <sz val="12"/>
      <color theme="1"/>
      <name val="Aptos Narrow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2" fillId="2" borderId="0" xfId="0" applyFont="1" applyFill="1"/>
    <xf numFmtId="9" fontId="0" fillId="2" borderId="0" xfId="2" applyFont="1" applyFill="1" applyAlignment="1">
      <alignment horizontal="center" vertical="center"/>
    </xf>
    <xf numFmtId="43" fontId="0" fillId="2" borderId="0" xfId="1" applyFont="1" applyFill="1" applyAlignment="1">
      <alignment horizontal="center" vertical="center"/>
    </xf>
    <xf numFmtId="164" fontId="0" fillId="2" borderId="0" xfId="1" applyNumberFormat="1" applyFont="1" applyFill="1" applyAlignment="1">
      <alignment horizontal="center" vertical="center"/>
    </xf>
    <xf numFmtId="9" fontId="0" fillId="2" borderId="0" xfId="2" applyFont="1" applyFill="1"/>
    <xf numFmtId="164" fontId="0" fillId="2" borderId="0" xfId="0" applyNumberFormat="1" applyFill="1"/>
    <xf numFmtId="0" fontId="3" fillId="2" borderId="0" xfId="0" applyFont="1" applyFill="1"/>
    <xf numFmtId="164" fontId="0" fillId="2" borderId="0" xfId="1" applyNumberFormat="1" applyFont="1" applyFill="1" applyAlignment="1">
      <alignment horizontal="right" vertical="center"/>
    </xf>
    <xf numFmtId="9" fontId="0" fillId="2" borderId="0" xfId="2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164" fontId="0" fillId="2" borderId="0" xfId="0" applyNumberFormat="1" applyFill="1" applyAlignment="1">
      <alignment horizontal="right" vertical="center"/>
    </xf>
    <xf numFmtId="165" fontId="0" fillId="2" borderId="0" xfId="1" applyNumberFormat="1" applyFont="1" applyFill="1" applyAlignment="1">
      <alignment horizontal="right" vertical="center"/>
    </xf>
    <xf numFmtId="165" fontId="0" fillId="2" borderId="0" xfId="0" applyNumberFormat="1" applyFill="1"/>
    <xf numFmtId="43" fontId="0" fillId="2" borderId="0" xfId="0" applyNumberFormat="1" applyFill="1"/>
    <xf numFmtId="165" fontId="0" fillId="2" borderId="0" xfId="0" applyNumberForma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3" fontId="0" fillId="0" borderId="0" xfId="1" applyFont="1" applyFill="1" applyAlignment="1">
      <alignment horizontal="center" vertical="center"/>
    </xf>
    <xf numFmtId="9" fontId="0" fillId="0" borderId="0" xfId="2" applyFont="1" applyFill="1" applyAlignment="1">
      <alignment horizontal="center" vertical="center"/>
    </xf>
    <xf numFmtId="165" fontId="0" fillId="0" borderId="0" xfId="1" applyNumberFormat="1" applyFont="1" applyFill="1" applyAlignment="1">
      <alignment horizontal="right" vertical="center"/>
    </xf>
    <xf numFmtId="9" fontId="0" fillId="0" borderId="0" xfId="2" applyFon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164" fontId="0" fillId="0" borderId="0" xfId="1" applyNumberFormat="1" applyFont="1" applyFill="1" applyAlignment="1">
      <alignment horizontal="right" vertical="center"/>
    </xf>
    <xf numFmtId="165" fontId="0" fillId="0" borderId="0" xfId="0" applyNumberFormat="1" applyFill="1" applyAlignment="1">
      <alignment horizontal="right" vertical="center"/>
    </xf>
    <xf numFmtId="164" fontId="0" fillId="0" borderId="0" xfId="0" applyNumberForma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64" fontId="0" fillId="3" borderId="0" xfId="1" applyNumberFormat="1" applyFont="1" applyFill="1" applyAlignment="1">
      <alignment horizontal="right" vertical="center"/>
    </xf>
    <xf numFmtId="0" fontId="0" fillId="4" borderId="0" xfId="0" applyFill="1"/>
    <xf numFmtId="0" fontId="2" fillId="4" borderId="0" xfId="0" applyFont="1" applyFill="1"/>
    <xf numFmtId="9" fontId="0" fillId="4" borderId="0" xfId="2" applyFont="1" applyFill="1"/>
    <xf numFmtId="165" fontId="0" fillId="4" borderId="0" xfId="0" applyNumberFormat="1" applyFill="1"/>
    <xf numFmtId="43" fontId="0" fillId="4" borderId="0" xfId="1" applyFont="1" applyFill="1"/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21445-359C-9B47-B652-CCBE09842B52}">
  <dimension ref="B1:AH132"/>
  <sheetViews>
    <sheetView showGridLines="0" tabSelected="1" zoomScale="90" zoomScaleNormal="90" workbookViewId="0">
      <selection activeCell="F8" sqref="F8"/>
    </sheetView>
  </sheetViews>
  <sheetFormatPr baseColWidth="10" defaultRowHeight="16" outlineLevelCol="1" x14ac:dyDescent="0.2"/>
  <cols>
    <col min="1" max="1" width="1.83203125" style="1" bestFit="1" customWidth="1"/>
    <col min="2" max="2" width="31.83203125" style="1" bestFit="1" customWidth="1"/>
    <col min="3" max="3" width="13" style="2" customWidth="1"/>
    <col min="4" max="11" width="13.1640625" style="2" customWidth="1"/>
    <col min="12" max="13" width="13.1640625" style="21" customWidth="1"/>
    <col min="14" max="15" width="13.1640625" style="21" hidden="1" customWidth="1" outlineLevel="1"/>
    <col min="16" max="16" width="1.83203125" style="33" bestFit="1" customWidth="1" collapsed="1"/>
    <col min="17" max="24" width="13" style="1" bestFit="1" customWidth="1"/>
    <col min="25" max="25" width="14" style="1" bestFit="1" customWidth="1"/>
    <col min="26" max="27" width="13" style="1" bestFit="1" customWidth="1"/>
    <col min="28" max="28" width="13" style="1" hidden="1" customWidth="1" outlineLevel="1"/>
    <col min="29" max="29" width="14" style="1" hidden="1" customWidth="1" outlineLevel="1"/>
    <col min="30" max="30" width="10.83203125" style="1" collapsed="1"/>
    <col min="31" max="16384" width="10.83203125" style="1"/>
  </cols>
  <sheetData>
    <row r="1" spans="2:29" x14ac:dyDescent="0.2">
      <c r="C1" s="30" t="s">
        <v>38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Q1" s="30" t="s">
        <v>39</v>
      </c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</row>
    <row r="2" spans="2:29" s="3" customFormat="1" x14ac:dyDescent="0.2">
      <c r="C2" s="18" t="s">
        <v>0</v>
      </c>
      <c r="D2" s="18" t="s">
        <v>1</v>
      </c>
      <c r="E2" s="18" t="s">
        <v>2</v>
      </c>
      <c r="F2" s="18" t="s">
        <v>3</v>
      </c>
      <c r="G2" s="18" t="s">
        <v>4</v>
      </c>
      <c r="H2" s="18" t="s">
        <v>1</v>
      </c>
      <c r="I2" s="18" t="s">
        <v>2</v>
      </c>
      <c r="J2" s="18" t="s">
        <v>3</v>
      </c>
      <c r="K2" s="18" t="s">
        <v>4</v>
      </c>
      <c r="L2" s="20" t="s">
        <v>1</v>
      </c>
      <c r="M2" s="20" t="s">
        <v>2</v>
      </c>
      <c r="N2" s="20" t="s">
        <v>3</v>
      </c>
      <c r="O2" s="20" t="s">
        <v>4</v>
      </c>
      <c r="P2" s="34"/>
      <c r="Q2" s="18" t="s">
        <v>0</v>
      </c>
      <c r="R2" s="18" t="s">
        <v>1</v>
      </c>
      <c r="S2" s="18" t="s">
        <v>2</v>
      </c>
      <c r="T2" s="18" t="s">
        <v>3</v>
      </c>
      <c r="U2" s="18" t="s">
        <v>4</v>
      </c>
      <c r="V2" s="18" t="s">
        <v>1</v>
      </c>
      <c r="W2" s="18" t="s">
        <v>2</v>
      </c>
      <c r="X2" s="18" t="s">
        <v>3</v>
      </c>
      <c r="Y2" s="18" t="s">
        <v>4</v>
      </c>
      <c r="Z2" s="18" t="s">
        <v>1</v>
      </c>
      <c r="AA2" s="18" t="s">
        <v>2</v>
      </c>
      <c r="AB2" s="18" t="s">
        <v>3</v>
      </c>
      <c r="AC2" s="18" t="s">
        <v>4</v>
      </c>
    </row>
    <row r="3" spans="2:29" s="3" customFormat="1" x14ac:dyDescent="0.2">
      <c r="C3" s="18">
        <v>2022</v>
      </c>
      <c r="D3" s="18">
        <v>2023</v>
      </c>
      <c r="E3" s="18">
        <v>2023</v>
      </c>
      <c r="F3" s="18">
        <v>2023</v>
      </c>
      <c r="G3" s="18">
        <v>2023</v>
      </c>
      <c r="H3" s="18">
        <v>2024</v>
      </c>
      <c r="I3" s="18">
        <v>2024</v>
      </c>
      <c r="J3" s="18">
        <v>2024</v>
      </c>
      <c r="K3" s="18">
        <v>2024</v>
      </c>
      <c r="L3" s="20">
        <v>2025</v>
      </c>
      <c r="M3" s="20">
        <v>2025</v>
      </c>
      <c r="N3" s="20">
        <v>2025</v>
      </c>
      <c r="O3" s="20">
        <v>2025</v>
      </c>
      <c r="P3" s="34"/>
      <c r="Q3" s="18">
        <v>2022</v>
      </c>
      <c r="R3" s="18">
        <v>2023</v>
      </c>
      <c r="S3" s="18">
        <v>2023</v>
      </c>
      <c r="T3" s="18">
        <v>2023</v>
      </c>
      <c r="U3" s="18">
        <v>2023</v>
      </c>
      <c r="V3" s="18">
        <v>2024</v>
      </c>
      <c r="W3" s="18">
        <v>2024</v>
      </c>
      <c r="X3" s="18">
        <v>2024</v>
      </c>
      <c r="Y3" s="18">
        <v>2024</v>
      </c>
      <c r="Z3" s="20">
        <v>2025</v>
      </c>
      <c r="AA3" s="20">
        <v>2025</v>
      </c>
      <c r="AB3" s="20">
        <v>2025</v>
      </c>
      <c r="AC3" s="20">
        <v>2025</v>
      </c>
    </row>
    <row r="4" spans="2:29" x14ac:dyDescent="0.2">
      <c r="B4" s="3" t="s">
        <v>5</v>
      </c>
    </row>
    <row r="5" spans="2:29" x14ac:dyDescent="0.2">
      <c r="B5" s="1" t="s">
        <v>6</v>
      </c>
      <c r="C5" s="10">
        <v>9371197.8440890182</v>
      </c>
      <c r="D5" s="10">
        <v>9414098.104939051</v>
      </c>
      <c r="E5" s="10">
        <v>9372244.2342932522</v>
      </c>
      <c r="F5" s="10">
        <v>9464540.4931860529</v>
      </c>
      <c r="G5" s="10">
        <v>9595062.1261069551</v>
      </c>
      <c r="H5" s="10">
        <v>10457693.785862198</v>
      </c>
      <c r="I5" s="10">
        <v>10413787.962066965</v>
      </c>
      <c r="J5" s="10">
        <v>10503377.409366501</v>
      </c>
      <c r="K5" s="10">
        <v>11072433.713688899</v>
      </c>
      <c r="L5" s="27">
        <v>11039838</v>
      </c>
      <c r="M5" s="27">
        <v>11288943</v>
      </c>
      <c r="N5" s="32"/>
      <c r="O5" s="32"/>
      <c r="Q5" s="8">
        <f>C5</f>
        <v>9371197.8440890182</v>
      </c>
      <c r="R5" s="8">
        <f>D5</f>
        <v>9414098.104939051</v>
      </c>
      <c r="S5" s="8">
        <f>E5</f>
        <v>9372244.2342932522</v>
      </c>
      <c r="T5" s="8">
        <f>F5</f>
        <v>9464540.4931860529</v>
      </c>
      <c r="U5" s="8">
        <f>G5</f>
        <v>9595062.1261069551</v>
      </c>
      <c r="V5" s="8">
        <f>H5</f>
        <v>10457693.785862198</v>
      </c>
      <c r="W5" s="8">
        <f>I5</f>
        <v>10413787.962066965</v>
      </c>
      <c r="X5" s="8">
        <f>J5</f>
        <v>10503377.409366501</v>
      </c>
      <c r="Y5" s="8">
        <f>K5</f>
        <v>11072433.713688899</v>
      </c>
      <c r="Z5" s="8">
        <f>L5</f>
        <v>11039838</v>
      </c>
      <c r="AA5" s="8">
        <f>M5</f>
        <v>11288943</v>
      </c>
      <c r="AB5" s="8">
        <f>N5</f>
        <v>0</v>
      </c>
      <c r="AC5" s="8">
        <f>O5</f>
        <v>0</v>
      </c>
    </row>
    <row r="6" spans="2:29" x14ac:dyDescent="0.2">
      <c r="B6" s="1" t="s">
        <v>7</v>
      </c>
      <c r="C6" s="10">
        <f>8646545</f>
        <v>8646545</v>
      </c>
      <c r="D6" s="10">
        <v>2363076</v>
      </c>
      <c r="E6" s="10">
        <f>4720683-D6</f>
        <v>2357607</v>
      </c>
      <c r="F6" s="10">
        <f>7105753-E6-D6</f>
        <v>2385070</v>
      </c>
      <c r="G6" s="10">
        <f>9518252-F6-E6-D6</f>
        <v>2412499</v>
      </c>
      <c r="H6" s="10">
        <v>2591567</v>
      </c>
      <c r="I6" s="10">
        <f>5182209-H6</f>
        <v>2590642</v>
      </c>
      <c r="J6" s="10">
        <f>7732852-I6-H6</f>
        <v>2550643</v>
      </c>
      <c r="K6" s="10">
        <f>10486305-J6-I6-H6</f>
        <v>2753453</v>
      </c>
      <c r="L6" s="27">
        <v>2753725</v>
      </c>
      <c r="M6" s="27">
        <v>2798631</v>
      </c>
      <c r="N6" s="32">
        <f>7732852-M6-L6</f>
        <v>2180496</v>
      </c>
      <c r="O6" s="32">
        <f>10486305-N6-M6-L6</f>
        <v>2753453</v>
      </c>
      <c r="Q6" s="8">
        <f>C6</f>
        <v>8646545</v>
      </c>
      <c r="R6" s="8">
        <f>D6</f>
        <v>2363076</v>
      </c>
      <c r="S6" s="8">
        <f>R6+E6</f>
        <v>4720683</v>
      </c>
      <c r="T6" s="8">
        <f>S6+F6</f>
        <v>7105753</v>
      </c>
      <c r="U6" s="8">
        <f>T6+G6</f>
        <v>9518252</v>
      </c>
      <c r="V6" s="8">
        <f>H6</f>
        <v>2591567</v>
      </c>
      <c r="W6" s="8">
        <f>V6+I6</f>
        <v>5182209</v>
      </c>
      <c r="X6" s="8">
        <f>W6+J6</f>
        <v>7732852</v>
      </c>
      <c r="Y6" s="8">
        <f>X6+K6</f>
        <v>10486305</v>
      </c>
      <c r="Z6" s="8">
        <f>L6</f>
        <v>2753725</v>
      </c>
      <c r="AA6" s="8">
        <f>Z6+M6</f>
        <v>5552356</v>
      </c>
      <c r="AB6" s="8">
        <f>AA6+N6</f>
        <v>7732852</v>
      </c>
      <c r="AC6" s="8">
        <f>AB6+O6</f>
        <v>10486305</v>
      </c>
    </row>
    <row r="7" spans="2:29" x14ac:dyDescent="0.2">
      <c r="B7" s="1" t="s">
        <v>8</v>
      </c>
      <c r="C7" s="10">
        <f>7093380+294374</f>
        <v>7387754</v>
      </c>
      <c r="D7" s="10">
        <f>1965488+100552</f>
        <v>2066040</v>
      </c>
      <c r="E7" s="10">
        <f>(3907930+211575)-D7</f>
        <v>2053465</v>
      </c>
      <c r="F7" s="10">
        <f>(5986187+313984)-E7-D7</f>
        <v>2180666</v>
      </c>
      <c r="G7" s="10">
        <f>(8161751+391347)-F7-E7-D7</f>
        <v>2252927</v>
      </c>
      <c r="H7" s="10">
        <f>(2486943+82481)</f>
        <v>2569424</v>
      </c>
      <c r="I7" s="10">
        <f>(4968642+148253)-H7</f>
        <v>2547471</v>
      </c>
      <c r="J7" s="10">
        <f>(7360888+306649)-I7-H7</f>
        <v>2550642</v>
      </c>
      <c r="K7" s="10">
        <f>(9928793+487379)-J7-I7-H7</f>
        <v>2748635</v>
      </c>
      <c r="L7" s="27">
        <f>(2582610+145589)</f>
        <v>2728199</v>
      </c>
      <c r="M7" s="27">
        <f>(5208929+304618)-L7</f>
        <v>2785348</v>
      </c>
      <c r="N7" s="32">
        <f>(7360888+306649)-M7-L7</f>
        <v>2153990</v>
      </c>
      <c r="O7" s="32">
        <f>(9928793+487379)-N7-M7-L7</f>
        <v>2748635</v>
      </c>
      <c r="Q7" s="8">
        <f t="shared" ref="Q7:Q16" si="0">C7</f>
        <v>7387754</v>
      </c>
      <c r="R7" s="8">
        <f>D7</f>
        <v>2066040</v>
      </c>
      <c r="S7" s="8">
        <f>R7+E7</f>
        <v>4119505</v>
      </c>
      <c r="T7" s="8">
        <f>S7+F7</f>
        <v>6300171</v>
      </c>
      <c r="U7" s="8">
        <f>T7+G7</f>
        <v>8553098</v>
      </c>
      <c r="V7" s="8">
        <f>H7</f>
        <v>2569424</v>
      </c>
      <c r="W7" s="8">
        <f>V7+I7</f>
        <v>5116895</v>
      </c>
      <c r="X7" s="8">
        <f>W7+J7</f>
        <v>7667537</v>
      </c>
      <c r="Y7" s="8">
        <f>X7+K7</f>
        <v>10416172</v>
      </c>
      <c r="Z7" s="8">
        <f>L7</f>
        <v>2728199</v>
      </c>
      <c r="AA7" s="8">
        <f>Z7+M7</f>
        <v>5513547</v>
      </c>
      <c r="AB7" s="8">
        <f>AA7+N7</f>
        <v>7667537</v>
      </c>
      <c r="AC7" s="8">
        <f>AB7+O7</f>
        <v>10416172</v>
      </c>
    </row>
    <row r="8" spans="2:29" x14ac:dyDescent="0.2">
      <c r="B8" s="1" t="s">
        <v>9</v>
      </c>
      <c r="C8" s="10">
        <f>C6-C7</f>
        <v>1258791</v>
      </c>
      <c r="D8" s="10">
        <f t="shared" ref="D8:G8" si="1">D6-D7</f>
        <v>297036</v>
      </c>
      <c r="E8" s="10">
        <f t="shared" si="1"/>
        <v>304142</v>
      </c>
      <c r="F8" s="10">
        <f t="shared" si="1"/>
        <v>204404</v>
      </c>
      <c r="G8" s="10">
        <f t="shared" si="1"/>
        <v>159572</v>
      </c>
      <c r="H8" s="10">
        <f t="shared" ref="H8:I8" si="2">H6-H7</f>
        <v>22143</v>
      </c>
      <c r="I8" s="10">
        <f t="shared" si="2"/>
        <v>43171</v>
      </c>
      <c r="J8" s="10">
        <f t="shared" ref="J8" si="3">J6-J7</f>
        <v>1</v>
      </c>
      <c r="K8" s="10">
        <f t="shared" ref="K8:N8" si="4">K6-K7</f>
        <v>4818</v>
      </c>
      <c r="L8" s="27">
        <f t="shared" si="4"/>
        <v>25526</v>
      </c>
      <c r="M8" s="27">
        <f t="shared" si="4"/>
        <v>13283</v>
      </c>
      <c r="N8" s="27">
        <f t="shared" si="4"/>
        <v>26506</v>
      </c>
      <c r="O8" s="27">
        <f t="shared" ref="O8" si="5">O6-O7</f>
        <v>4818</v>
      </c>
      <c r="Q8" s="8">
        <f t="shared" si="0"/>
        <v>1258791</v>
      </c>
      <c r="R8" s="8">
        <f>D8</f>
        <v>297036</v>
      </c>
      <c r="S8" s="8">
        <f>R8+E8</f>
        <v>601178</v>
      </c>
      <c r="T8" s="8">
        <f>S8+F8</f>
        <v>805582</v>
      </c>
      <c r="U8" s="8">
        <f>T8+G8</f>
        <v>965154</v>
      </c>
      <c r="V8" s="8">
        <f>H8</f>
        <v>22143</v>
      </c>
      <c r="W8" s="8">
        <f>V8+I8</f>
        <v>65314</v>
      </c>
      <c r="X8" s="8">
        <f>W8+J8</f>
        <v>65315</v>
      </c>
      <c r="Y8" s="8">
        <f>X8+K8</f>
        <v>70133</v>
      </c>
      <c r="Z8" s="8">
        <f>L8</f>
        <v>25526</v>
      </c>
      <c r="AA8" s="8">
        <f>Z8+M8</f>
        <v>38809</v>
      </c>
      <c r="AB8" s="8">
        <f>AA8+N8</f>
        <v>65315</v>
      </c>
      <c r="AC8" s="8">
        <f>AB8+O8</f>
        <v>70133</v>
      </c>
    </row>
    <row r="9" spans="2:29" x14ac:dyDescent="0.2">
      <c r="B9" s="1" t="s">
        <v>10</v>
      </c>
      <c r="C9" s="11">
        <f>C7/C6</f>
        <v>0.85441687980574899</v>
      </c>
      <c r="D9" s="11">
        <f t="shared" ref="D9:H9" si="6">D7/D6</f>
        <v>0.87430112277387606</v>
      </c>
      <c r="E9" s="11">
        <f t="shared" si="6"/>
        <v>0.87099546277220929</v>
      </c>
      <c r="F9" s="11">
        <f t="shared" si="6"/>
        <v>0.91429853211855416</v>
      </c>
      <c r="G9" s="11">
        <f t="shared" si="6"/>
        <v>0.93385613838596415</v>
      </c>
      <c r="H9" s="11">
        <f t="shared" si="6"/>
        <v>0.99145574858763053</v>
      </c>
      <c r="I9" s="11">
        <f t="shared" ref="I9:L9" si="7">I7/I6</f>
        <v>0.98333579089661949</v>
      </c>
      <c r="J9" s="11">
        <f t="shared" si="7"/>
        <v>0.99999960794199738</v>
      </c>
      <c r="K9" s="11">
        <f t="shared" si="7"/>
        <v>0.99825019711613017</v>
      </c>
      <c r="L9" s="25">
        <f t="shared" si="7"/>
        <v>0.99073037431116029</v>
      </c>
      <c r="M9" s="25">
        <f t="shared" ref="M9:O9" si="8">M7/M6</f>
        <v>0.99525375085175571</v>
      </c>
      <c r="N9" s="25">
        <f t="shared" si="8"/>
        <v>0.98784405016106425</v>
      </c>
      <c r="O9" s="25">
        <f t="shared" si="8"/>
        <v>0.99825019711613017</v>
      </c>
      <c r="Q9" s="7">
        <f t="shared" si="0"/>
        <v>0.85441687980574899</v>
      </c>
      <c r="R9" s="11">
        <f t="shared" ref="R9:Y9" si="9">R7/R6</f>
        <v>0.87430112277387606</v>
      </c>
      <c r="S9" s="11">
        <f t="shared" si="9"/>
        <v>0.87265020760767031</v>
      </c>
      <c r="T9" s="11">
        <f t="shared" si="9"/>
        <v>0.8866296084313654</v>
      </c>
      <c r="U9" s="11">
        <f t="shared" si="9"/>
        <v>0.89859965884492232</v>
      </c>
      <c r="V9" s="11">
        <f t="shared" si="9"/>
        <v>0.99145574858763053</v>
      </c>
      <c r="W9" s="11">
        <f t="shared" si="9"/>
        <v>0.9873964944293061</v>
      </c>
      <c r="X9" s="11">
        <f t="shared" si="9"/>
        <v>0.99155356911007742</v>
      </c>
      <c r="Y9" s="11">
        <f t="shared" si="9"/>
        <v>0.99331194353015673</v>
      </c>
      <c r="Z9" s="11">
        <f t="shared" ref="Z9:AC9" si="10">Z7/Z6</f>
        <v>0.99073037431116029</v>
      </c>
      <c r="AA9" s="11">
        <f t="shared" si="10"/>
        <v>0.99301035452337705</v>
      </c>
      <c r="AB9" s="11">
        <f t="shared" si="10"/>
        <v>0.99155356911007742</v>
      </c>
      <c r="AC9" s="11">
        <f t="shared" si="10"/>
        <v>0.99331194353015673</v>
      </c>
    </row>
    <row r="10" spans="2:29" x14ac:dyDescent="0.2">
      <c r="B10" s="1" t="s">
        <v>21</v>
      </c>
      <c r="C10" s="10">
        <v>2657386</v>
      </c>
      <c r="D10" s="10">
        <v>638307</v>
      </c>
      <c r="E10" s="10">
        <f>1130136-D10</f>
        <v>491829</v>
      </c>
      <c r="F10" s="10">
        <f>1592646-E10-D10</f>
        <v>462510</v>
      </c>
      <c r="G10" s="10">
        <f>1979497-F10-E10-D10</f>
        <v>386851</v>
      </c>
      <c r="H10" s="10">
        <v>595342</v>
      </c>
      <c r="I10" s="10">
        <f>1086732-H10</f>
        <v>491390</v>
      </c>
      <c r="J10" s="10">
        <f>1509690-I10-H10</f>
        <v>422958</v>
      </c>
      <c r="K10" s="10">
        <f>1855982-J10-I10-H10</f>
        <v>346292</v>
      </c>
      <c r="L10" s="31">
        <v>542773.01248292252</v>
      </c>
      <c r="M10" s="27">
        <f>1234451-L10</f>
        <v>691677.98751707748</v>
      </c>
      <c r="N10" s="32">
        <f>1509690-M10-L10</f>
        <v>275239</v>
      </c>
      <c r="O10" s="32">
        <f>1855982-N10-M10-L10</f>
        <v>346292</v>
      </c>
      <c r="Q10" s="8">
        <f t="shared" si="0"/>
        <v>2657386</v>
      </c>
      <c r="R10" s="8">
        <f t="shared" ref="R10:R11" si="11">D10</f>
        <v>638307</v>
      </c>
      <c r="S10" s="8">
        <f>R10+E10</f>
        <v>1130136</v>
      </c>
      <c r="T10" s="8">
        <f>S10+F10</f>
        <v>1592646</v>
      </c>
      <c r="U10" s="8">
        <f>T10+G10</f>
        <v>1979497</v>
      </c>
      <c r="V10" s="8">
        <f t="shared" ref="V10:V11" si="12">H10</f>
        <v>595342</v>
      </c>
      <c r="W10" s="8">
        <f>V10+I10</f>
        <v>1086732</v>
      </c>
      <c r="X10" s="8">
        <f>W10+J10</f>
        <v>1509690</v>
      </c>
      <c r="Y10" s="8">
        <f>X10+K10</f>
        <v>1855982</v>
      </c>
      <c r="Z10" s="8">
        <f t="shared" ref="Z10:Z11" si="13">L10</f>
        <v>542773.01248292252</v>
      </c>
      <c r="AA10" s="8">
        <f>Z10+M10</f>
        <v>1234451</v>
      </c>
      <c r="AB10" s="8">
        <f>AA10+N10</f>
        <v>1509690</v>
      </c>
      <c r="AC10" s="8">
        <f>AB10+O10</f>
        <v>1855982</v>
      </c>
    </row>
    <row r="11" spans="2:29" x14ac:dyDescent="0.2">
      <c r="B11" s="1" t="s">
        <v>13</v>
      </c>
      <c r="C11" s="10">
        <v>1612801</v>
      </c>
      <c r="D11" s="10">
        <v>527701</v>
      </c>
      <c r="E11" s="10">
        <f>1138053-D11</f>
        <v>610352</v>
      </c>
      <c r="F11" s="10">
        <f>1760750-E11-D11</f>
        <v>622697</v>
      </c>
      <c r="G11" s="10">
        <f>2422093-F11-E11-D11</f>
        <v>661343</v>
      </c>
      <c r="H11" s="10">
        <v>680567</v>
      </c>
      <c r="I11" s="10">
        <f>1391149-H11</f>
        <v>710582</v>
      </c>
      <c r="J11" s="10">
        <f>2136979-I11-H11</f>
        <v>745830</v>
      </c>
      <c r="K11" s="10">
        <f>2915378-J11-I11-H11</f>
        <v>778399</v>
      </c>
      <c r="L11" s="27">
        <v>762828</v>
      </c>
      <c r="M11" s="27">
        <f>1469177-L11</f>
        <v>706349</v>
      </c>
      <c r="N11" s="32">
        <f>2136979-M11-L11</f>
        <v>667802</v>
      </c>
      <c r="O11" s="32">
        <f>2915378-N11-M11-L11</f>
        <v>778399</v>
      </c>
      <c r="Q11" s="8">
        <f t="shared" si="0"/>
        <v>1612801</v>
      </c>
      <c r="R11" s="8">
        <f t="shared" si="11"/>
        <v>527701</v>
      </c>
      <c r="S11" s="8">
        <f>R11+E11</f>
        <v>1138053</v>
      </c>
      <c r="T11" s="8">
        <f>S11+F11</f>
        <v>1760750</v>
      </c>
      <c r="U11" s="8">
        <f>T11+G11</f>
        <v>2422093</v>
      </c>
      <c r="V11" s="8">
        <f t="shared" si="12"/>
        <v>680567</v>
      </c>
      <c r="W11" s="8">
        <f>V11+I11</f>
        <v>1391149</v>
      </c>
      <c r="X11" s="8">
        <f>W11+J11</f>
        <v>2136979</v>
      </c>
      <c r="Y11" s="8">
        <f>X11+K11</f>
        <v>2915378</v>
      </c>
      <c r="Z11" s="8">
        <f t="shared" si="13"/>
        <v>762828</v>
      </c>
      <c r="AA11" s="8">
        <f>Z11+M11</f>
        <v>1469177</v>
      </c>
      <c r="AB11" s="8">
        <f>AA11+N11</f>
        <v>2136979</v>
      </c>
      <c r="AC11" s="8">
        <f>AB11+O11</f>
        <v>2915378</v>
      </c>
    </row>
    <row r="12" spans="2:29" x14ac:dyDescent="0.2">
      <c r="B12" s="1" t="s">
        <v>11</v>
      </c>
      <c r="C12" s="10">
        <f>C10+C11</f>
        <v>4270187</v>
      </c>
      <c r="D12" s="10">
        <f t="shared" ref="D12:H12" si="14">D10+D11</f>
        <v>1166008</v>
      </c>
      <c r="E12" s="10">
        <f t="shared" si="14"/>
        <v>1102181</v>
      </c>
      <c r="F12" s="10">
        <f t="shared" si="14"/>
        <v>1085207</v>
      </c>
      <c r="G12" s="10">
        <f t="shared" si="14"/>
        <v>1048194</v>
      </c>
      <c r="H12" s="10">
        <f t="shared" si="14"/>
        <v>1275909</v>
      </c>
      <c r="I12" s="10">
        <f t="shared" ref="I12" si="15">I10+I11</f>
        <v>1201972</v>
      </c>
      <c r="J12" s="10">
        <f t="shared" ref="J12" si="16">J10+J11</f>
        <v>1168788</v>
      </c>
      <c r="K12" s="10">
        <f t="shared" ref="K12:N12" si="17">K10+K11</f>
        <v>1124691</v>
      </c>
      <c r="L12" s="27">
        <f t="shared" si="17"/>
        <v>1305601.0124829225</v>
      </c>
      <c r="M12" s="27">
        <f t="shared" si="17"/>
        <v>1398026.9875170775</v>
      </c>
      <c r="N12" s="27">
        <f t="shared" si="17"/>
        <v>943041</v>
      </c>
      <c r="O12" s="27">
        <f t="shared" ref="O12" si="18">O10+O11</f>
        <v>1124691</v>
      </c>
      <c r="Q12" s="10">
        <f>Q10+Q11</f>
        <v>4270187</v>
      </c>
      <c r="R12" s="10">
        <f t="shared" ref="R12:Y12" si="19">R10+R11</f>
        <v>1166008</v>
      </c>
      <c r="S12" s="10">
        <f t="shared" si="19"/>
        <v>2268189</v>
      </c>
      <c r="T12" s="10">
        <f t="shared" si="19"/>
        <v>3353396</v>
      </c>
      <c r="U12" s="10">
        <f t="shared" si="19"/>
        <v>4401590</v>
      </c>
      <c r="V12" s="10">
        <f t="shared" si="19"/>
        <v>1275909</v>
      </c>
      <c r="W12" s="10">
        <f t="shared" si="19"/>
        <v>2477881</v>
      </c>
      <c r="X12" s="10">
        <f t="shared" si="19"/>
        <v>3646669</v>
      </c>
      <c r="Y12" s="10">
        <f t="shared" si="19"/>
        <v>4771360</v>
      </c>
      <c r="Z12" s="10">
        <f t="shared" ref="Z12:AC12" si="20">Z10+Z11</f>
        <v>1305601.0124829225</v>
      </c>
      <c r="AA12" s="10">
        <f t="shared" si="20"/>
        <v>2703628</v>
      </c>
      <c r="AB12" s="10">
        <f t="shared" si="20"/>
        <v>3646669</v>
      </c>
      <c r="AC12" s="10">
        <f t="shared" si="20"/>
        <v>4771360</v>
      </c>
    </row>
    <row r="13" spans="2:29" s="7" customFormat="1" x14ac:dyDescent="0.2">
      <c r="B13" s="7" t="s">
        <v>12</v>
      </c>
      <c r="C13" s="11">
        <f>C12/C6</f>
        <v>0.49386049572401464</v>
      </c>
      <c r="D13" s="11">
        <f t="shared" ref="D13:H13" si="21">D12/D6</f>
        <v>0.49342805732866823</v>
      </c>
      <c r="E13" s="11">
        <f t="shared" si="21"/>
        <v>0.46749988441669882</v>
      </c>
      <c r="F13" s="11">
        <f t="shared" si="21"/>
        <v>0.4550000628912359</v>
      </c>
      <c r="G13" s="11">
        <f t="shared" si="21"/>
        <v>0.43448473968279366</v>
      </c>
      <c r="H13" s="11">
        <f t="shared" si="21"/>
        <v>0.49233108771642792</v>
      </c>
      <c r="I13" s="11">
        <f t="shared" ref="I13" si="22">I12/I6</f>
        <v>0.46396684682792916</v>
      </c>
      <c r="J13" s="11">
        <f t="shared" ref="J13" si="23">J12/J6</f>
        <v>0.45823268877690843</v>
      </c>
      <c r="K13" s="11">
        <f t="shared" ref="K13:N13" si="24">K12/K6</f>
        <v>0.40846566111714999</v>
      </c>
      <c r="L13" s="25">
        <f t="shared" si="24"/>
        <v>0.47412178503043062</v>
      </c>
      <c r="M13" s="25">
        <f t="shared" si="24"/>
        <v>0.49953959186369246</v>
      </c>
      <c r="N13" s="25">
        <f t="shared" si="24"/>
        <v>0.43248921346335878</v>
      </c>
      <c r="O13" s="25">
        <f t="shared" ref="O13" si="25">O12/O6</f>
        <v>0.40846566111714999</v>
      </c>
      <c r="P13" s="35"/>
      <c r="Q13" s="7">
        <f t="shared" si="0"/>
        <v>0.49386049572401464</v>
      </c>
      <c r="R13" s="11">
        <f t="shared" ref="R13:Y13" si="26">R12/R6</f>
        <v>0.49342805732866823</v>
      </c>
      <c r="S13" s="11">
        <f t="shared" si="26"/>
        <v>0.48047899001055566</v>
      </c>
      <c r="T13" s="11">
        <f t="shared" si="26"/>
        <v>0.47192690204683446</v>
      </c>
      <c r="U13" s="11">
        <f t="shared" si="26"/>
        <v>0.46243680037048818</v>
      </c>
      <c r="V13" s="11">
        <f t="shared" si="26"/>
        <v>0.49233108771642792</v>
      </c>
      <c r="W13" s="11">
        <f t="shared" si="26"/>
        <v>0.47815149871415841</v>
      </c>
      <c r="X13" s="11">
        <f t="shared" si="26"/>
        <v>0.47158137773747644</v>
      </c>
      <c r="Y13" s="11">
        <f t="shared" si="26"/>
        <v>0.45500869944179573</v>
      </c>
      <c r="Z13" s="11">
        <f t="shared" ref="Z13:AC13" si="27">Z12/Z6</f>
        <v>0.47412178503043062</v>
      </c>
      <c r="AA13" s="11">
        <f t="shared" si="27"/>
        <v>0.48693347472676463</v>
      </c>
      <c r="AB13" s="11">
        <f t="shared" si="27"/>
        <v>0.47158137773747644</v>
      </c>
      <c r="AC13" s="11">
        <f t="shared" si="27"/>
        <v>0.45500869944179573</v>
      </c>
    </row>
    <row r="14" spans="2:29" x14ac:dyDescent="0.2">
      <c r="B14" s="1" t="s">
        <v>15</v>
      </c>
      <c r="C14" s="10">
        <v>4046018</v>
      </c>
      <c r="D14" s="10">
        <v>660928</v>
      </c>
      <c r="E14" s="10">
        <f>1343294-D14</f>
        <v>682366</v>
      </c>
      <c r="F14" s="10">
        <f>2014502-E14-D14</f>
        <v>671208</v>
      </c>
      <c r="G14" s="10">
        <f>2696530-F14-E14-D14</f>
        <v>682028</v>
      </c>
      <c r="H14" s="10">
        <v>692308</v>
      </c>
      <c r="I14" s="10">
        <f>1428574-H14</f>
        <v>736266</v>
      </c>
      <c r="J14" s="10">
        <f>2186226-I14-H14</f>
        <v>757652</v>
      </c>
      <c r="K14" s="10">
        <f>2828556-J14-I14-H14</f>
        <v>642330</v>
      </c>
      <c r="L14" s="27">
        <v>617623</v>
      </c>
      <c r="M14" s="27">
        <f>1199112-L14</f>
        <v>581489</v>
      </c>
      <c r="N14" s="32">
        <f>2186226-M14-L14</f>
        <v>987114</v>
      </c>
      <c r="O14" s="32">
        <f>2828556-N14-M14-L14</f>
        <v>642330</v>
      </c>
      <c r="Q14" s="8">
        <f t="shared" si="0"/>
        <v>4046018</v>
      </c>
      <c r="R14" s="8">
        <f>D14</f>
        <v>660928</v>
      </c>
      <c r="S14" s="8">
        <f>R14+E14</f>
        <v>1343294</v>
      </c>
      <c r="T14" s="8">
        <f>S14+F14</f>
        <v>2014502</v>
      </c>
      <c r="U14" s="8">
        <f>T14+G14</f>
        <v>2696530</v>
      </c>
      <c r="V14" s="8">
        <f>H14</f>
        <v>692308</v>
      </c>
      <c r="W14" s="8">
        <f>V14+I14</f>
        <v>1428574</v>
      </c>
      <c r="X14" s="8">
        <f>W14+J14</f>
        <v>2186226</v>
      </c>
      <c r="Y14" s="8">
        <f>X14+K14</f>
        <v>2828556</v>
      </c>
      <c r="Z14" s="8">
        <f>L14</f>
        <v>617623</v>
      </c>
      <c r="AA14" s="8">
        <f>Z14+M14</f>
        <v>1199112</v>
      </c>
      <c r="AB14" s="8">
        <f>AA14+N14</f>
        <v>2186226</v>
      </c>
      <c r="AC14" s="8">
        <f>AB14+O14</f>
        <v>2828556</v>
      </c>
    </row>
    <row r="15" spans="2:29" x14ac:dyDescent="0.2">
      <c r="B15" s="1" t="s">
        <v>16</v>
      </c>
      <c r="C15" s="10">
        <f>C12-C14</f>
        <v>224169</v>
      </c>
      <c r="D15" s="10">
        <f t="shared" ref="D15:H15" si="28">D12-D14</f>
        <v>505080</v>
      </c>
      <c r="E15" s="10">
        <f t="shared" si="28"/>
        <v>419815</v>
      </c>
      <c r="F15" s="10">
        <f t="shared" si="28"/>
        <v>413999</v>
      </c>
      <c r="G15" s="10">
        <f t="shared" si="28"/>
        <v>366166</v>
      </c>
      <c r="H15" s="10">
        <f t="shared" si="28"/>
        <v>583601</v>
      </c>
      <c r="I15" s="10">
        <f t="shared" ref="I15" si="29">I12-I14</f>
        <v>465706</v>
      </c>
      <c r="J15" s="10">
        <f t="shared" ref="J15" si="30">J12-J14</f>
        <v>411136</v>
      </c>
      <c r="K15" s="10">
        <f t="shared" ref="K15:N15" si="31">K12-K14</f>
        <v>482361</v>
      </c>
      <c r="L15" s="27">
        <f t="shared" si="31"/>
        <v>687978.01248292252</v>
      </c>
      <c r="M15" s="27">
        <f t="shared" si="31"/>
        <v>816537.98751707748</v>
      </c>
      <c r="N15" s="27">
        <f t="shared" si="31"/>
        <v>-44073</v>
      </c>
      <c r="O15" s="27">
        <f t="shared" ref="O15" si="32">O12-O14</f>
        <v>482361</v>
      </c>
      <c r="Q15" s="10">
        <f>Q12-Q14</f>
        <v>224169</v>
      </c>
      <c r="R15" s="10">
        <f t="shared" ref="R15:Y15" si="33">R12-R14</f>
        <v>505080</v>
      </c>
      <c r="S15" s="10">
        <f t="shared" si="33"/>
        <v>924895</v>
      </c>
      <c r="T15" s="10">
        <f t="shared" si="33"/>
        <v>1338894</v>
      </c>
      <c r="U15" s="10">
        <f t="shared" si="33"/>
        <v>1705060</v>
      </c>
      <c r="V15" s="10">
        <f t="shared" si="33"/>
        <v>583601</v>
      </c>
      <c r="W15" s="10">
        <f t="shared" si="33"/>
        <v>1049307</v>
      </c>
      <c r="X15" s="10">
        <f t="shared" si="33"/>
        <v>1460443</v>
      </c>
      <c r="Y15" s="10">
        <f t="shared" si="33"/>
        <v>1942804</v>
      </c>
      <c r="Z15" s="10">
        <f t="shared" ref="Z15:AC15" si="34">Z12-Z14</f>
        <v>687978.01248292252</v>
      </c>
      <c r="AA15" s="10">
        <f t="shared" si="34"/>
        <v>1504516</v>
      </c>
      <c r="AB15" s="10">
        <f t="shared" si="34"/>
        <v>1460443</v>
      </c>
      <c r="AC15" s="10">
        <f t="shared" si="34"/>
        <v>1942804</v>
      </c>
    </row>
    <row r="16" spans="2:29" s="7" customFormat="1" x14ac:dyDescent="0.2">
      <c r="B16" s="7" t="s">
        <v>17</v>
      </c>
      <c r="C16" s="11">
        <f>C15/C6</f>
        <v>2.5925846682114069E-2</v>
      </c>
      <c r="D16" s="11">
        <f t="shared" ref="D16:H16" si="35">D15/D6</f>
        <v>0.21373836474154873</v>
      </c>
      <c r="E16" s="11">
        <f t="shared" si="35"/>
        <v>0.17806827007215367</v>
      </c>
      <c r="F16" s="11">
        <f t="shared" si="35"/>
        <v>0.17357939179982138</v>
      </c>
      <c r="G16" s="11">
        <f t="shared" si="35"/>
        <v>0.15177871576319824</v>
      </c>
      <c r="H16" s="11">
        <f t="shared" si="35"/>
        <v>0.22519232572416611</v>
      </c>
      <c r="I16" s="11">
        <f t="shared" ref="I16" si="36">I15/I6</f>
        <v>0.17976470697224858</v>
      </c>
      <c r="J16" s="11">
        <f t="shared" ref="J16" si="37">J15/J6</f>
        <v>0.16118915896893449</v>
      </c>
      <c r="K16" s="11">
        <f t="shared" ref="K16:N16" si="38">K15/K6</f>
        <v>0.17518403255839124</v>
      </c>
      <c r="L16" s="25">
        <f t="shared" si="38"/>
        <v>0.24983540930300685</v>
      </c>
      <c r="M16" s="25">
        <f t="shared" si="38"/>
        <v>0.2917633612709491</v>
      </c>
      <c r="N16" s="25">
        <f t="shared" si="38"/>
        <v>-2.0212373698461267E-2</v>
      </c>
      <c r="O16" s="25">
        <f t="shared" ref="O16" si="39">O15/O6</f>
        <v>0.17518403255839124</v>
      </c>
      <c r="P16" s="35"/>
      <c r="Q16" s="7">
        <f t="shared" si="0"/>
        <v>2.5925846682114069E-2</v>
      </c>
      <c r="R16" s="11">
        <f t="shared" ref="R16:Y16" si="40">R15/R6</f>
        <v>0.21373836474154873</v>
      </c>
      <c r="S16" s="11">
        <f t="shared" si="40"/>
        <v>0.19592397964447095</v>
      </c>
      <c r="T16" s="11">
        <f t="shared" si="40"/>
        <v>0.18842394324711259</v>
      </c>
      <c r="U16" s="11">
        <f t="shared" si="40"/>
        <v>0.17913583292394444</v>
      </c>
      <c r="V16" s="11">
        <f t="shared" si="40"/>
        <v>0.22519232572416611</v>
      </c>
      <c r="W16" s="11">
        <f t="shared" si="40"/>
        <v>0.20248257065664468</v>
      </c>
      <c r="X16" s="11">
        <f t="shared" si="40"/>
        <v>0.18886214297131251</v>
      </c>
      <c r="Y16" s="11">
        <f t="shared" si="40"/>
        <v>0.18527059817542976</v>
      </c>
      <c r="Z16" s="11">
        <f t="shared" ref="Z16:AC16" si="41">Z15/Z6</f>
        <v>0.24983540930300685</v>
      </c>
      <c r="AA16" s="11">
        <f t="shared" si="41"/>
        <v>0.27096893642986869</v>
      </c>
      <c r="AB16" s="11">
        <f t="shared" si="41"/>
        <v>0.18886214297131251</v>
      </c>
      <c r="AC16" s="11">
        <f t="shared" si="41"/>
        <v>0.18527059817542976</v>
      </c>
    </row>
    <row r="17" spans="2:29" x14ac:dyDescent="0.2">
      <c r="C17" s="12"/>
      <c r="D17" s="12"/>
      <c r="E17" s="12"/>
      <c r="F17" s="12"/>
      <c r="G17" s="12"/>
      <c r="H17" s="12"/>
      <c r="I17" s="12"/>
      <c r="J17" s="12"/>
      <c r="K17" s="12"/>
      <c r="L17" s="26"/>
      <c r="M17" s="26"/>
      <c r="N17" s="26"/>
      <c r="O17" s="26"/>
    </row>
    <row r="18" spans="2:29" x14ac:dyDescent="0.2">
      <c r="B18" s="3" t="s">
        <v>18</v>
      </c>
      <c r="C18" s="12"/>
      <c r="D18" s="12"/>
      <c r="E18" s="12"/>
      <c r="F18" s="12"/>
      <c r="G18" s="12"/>
      <c r="H18" s="12"/>
      <c r="I18" s="12"/>
      <c r="J18" s="12"/>
      <c r="K18" s="12"/>
      <c r="L18" s="26"/>
      <c r="M18" s="26"/>
      <c r="N18" s="26"/>
      <c r="O18" s="26"/>
    </row>
    <row r="19" spans="2:29" x14ac:dyDescent="0.2">
      <c r="B19" s="1" t="s">
        <v>6</v>
      </c>
      <c r="C19" s="10">
        <f>'Wellness pro-forma'!C44</f>
        <v>2379259.8284615376</v>
      </c>
      <c r="D19" s="10">
        <f>'Wellness pro-forma'!D44</f>
        <v>1588259.6475638719</v>
      </c>
      <c r="E19" s="10">
        <f>'Wellness pro-forma'!E44</f>
        <v>1568645.7756588161</v>
      </c>
      <c r="F19" s="10">
        <f>'Wellness pro-forma'!F44</f>
        <v>1382218.796569501</v>
      </c>
      <c r="G19" s="10">
        <f>'Wellness pro-forma'!G44</f>
        <v>1451820.2640412156</v>
      </c>
      <c r="H19" s="10">
        <f>'Wellness pro-forma'!H44</f>
        <v>3234302.2377070999</v>
      </c>
      <c r="I19" s="10">
        <f>'Wellness pro-forma'!I44</f>
        <v>3063282.2815964725</v>
      </c>
      <c r="J19" s="10">
        <f>'Wellness pro-forma'!J44</f>
        <v>3116895.9084733315</v>
      </c>
      <c r="K19" s="10">
        <f>'Wellness pro-forma'!K44</f>
        <v>3190763.5069183186</v>
      </c>
      <c r="L19" s="27">
        <v>3289414.49</v>
      </c>
      <c r="M19" s="27">
        <v>3044843</v>
      </c>
      <c r="N19" s="32"/>
      <c r="O19" s="32"/>
      <c r="Q19" s="8">
        <f>C19</f>
        <v>2379259.8284615376</v>
      </c>
      <c r="R19" s="8">
        <f t="shared" ref="R19:R23" si="42">D19</f>
        <v>1588259.6475638719</v>
      </c>
      <c r="S19" s="8">
        <f t="shared" ref="S19" si="43">E19</f>
        <v>1568645.7756588161</v>
      </c>
      <c r="T19" s="8">
        <f t="shared" ref="T19" si="44">F19</f>
        <v>1382218.796569501</v>
      </c>
      <c r="U19" s="8">
        <f t="shared" ref="U19" si="45">G19</f>
        <v>1451820.2640412156</v>
      </c>
      <c r="V19" s="8">
        <f t="shared" ref="V19:V23" si="46">H19</f>
        <v>3234302.2377070999</v>
      </c>
      <c r="W19" s="8">
        <f t="shared" ref="W19" si="47">I19</f>
        <v>3063282.2815964725</v>
      </c>
      <c r="X19" s="8">
        <f t="shared" ref="X19" si="48">J19</f>
        <v>3116895.9084733315</v>
      </c>
      <c r="Y19" s="8">
        <f t="shared" ref="Y19" si="49">K19</f>
        <v>3190763.5069183186</v>
      </c>
      <c r="Z19" s="8">
        <f t="shared" ref="Z19:Z23" si="50">L19</f>
        <v>3289414.49</v>
      </c>
      <c r="AA19" s="8">
        <f t="shared" ref="AA19" si="51">M19</f>
        <v>3044843</v>
      </c>
      <c r="AB19" s="8">
        <f t="shared" ref="AB19" si="52">N19</f>
        <v>0</v>
      </c>
      <c r="AC19" s="8">
        <f t="shared" ref="AC19" si="53">O19</f>
        <v>0</v>
      </c>
    </row>
    <row r="20" spans="2:29" x14ac:dyDescent="0.2">
      <c r="B20" s="1" t="s">
        <v>23</v>
      </c>
      <c r="C20" s="10">
        <f>'Wellness pro-forma'!C45</f>
        <v>780415.52922167303</v>
      </c>
      <c r="D20" s="10">
        <f>'Wellness pro-forma'!D45</f>
        <v>688167.03735887934</v>
      </c>
      <c r="E20" s="10">
        <f>'Wellness pro-forma'!E45</f>
        <v>706117.43554963171</v>
      </c>
      <c r="F20" s="10">
        <f>'Wellness pro-forma'!F45</f>
        <v>888023.31460373919</v>
      </c>
      <c r="G20" s="10">
        <f>'Wellness pro-forma'!G45</f>
        <v>883265.79310495453</v>
      </c>
      <c r="H20" s="10">
        <f>'Wellness pro-forma'!H45</f>
        <v>966225.73869264079</v>
      </c>
      <c r="I20" s="10">
        <f>'Wellness pro-forma'!I45</f>
        <v>994812.60073056957</v>
      </c>
      <c r="J20" s="10">
        <f>'Wellness pro-forma'!J45</f>
        <v>1029714.2662066348</v>
      </c>
      <c r="K20" s="10">
        <f>'Wellness pro-forma'!K45</f>
        <v>1067384.1980645156</v>
      </c>
      <c r="L20" s="10">
        <v>1074275.55</v>
      </c>
      <c r="M20" s="10">
        <v>1054568.4914482108</v>
      </c>
      <c r="N20" s="32"/>
      <c r="O20" s="32"/>
      <c r="Q20" s="8">
        <f t="shared" ref="Q20:Q23" si="54">C20</f>
        <v>780415.52922167303</v>
      </c>
      <c r="R20" s="8">
        <f t="shared" si="42"/>
        <v>688167.03735887934</v>
      </c>
      <c r="S20" s="8">
        <f>R20+E20</f>
        <v>1394284.4729085111</v>
      </c>
      <c r="T20" s="8">
        <f>S20+F20</f>
        <v>2282307.7875122502</v>
      </c>
      <c r="U20" s="8">
        <f>T20+G20</f>
        <v>3165573.5806172048</v>
      </c>
      <c r="V20" s="8">
        <f t="shared" si="46"/>
        <v>966225.73869264079</v>
      </c>
      <c r="W20" s="8">
        <f>V20+I20</f>
        <v>1961038.3394232104</v>
      </c>
      <c r="X20" s="8">
        <f>W20+J20</f>
        <v>2990752.6056298451</v>
      </c>
      <c r="Y20" s="8">
        <f>X20+K20</f>
        <v>4058136.8036943609</v>
      </c>
      <c r="Z20" s="8">
        <f t="shared" si="50"/>
        <v>1074275.55</v>
      </c>
      <c r="AA20" s="8">
        <f>Z20+M20</f>
        <v>2128844.0414482108</v>
      </c>
      <c r="AB20" s="8">
        <f>AA20+N20</f>
        <v>2128844.0414482108</v>
      </c>
      <c r="AC20" s="8">
        <f>AB20+O20</f>
        <v>2128844.0414482108</v>
      </c>
    </row>
    <row r="21" spans="2:29" x14ac:dyDescent="0.2">
      <c r="B21" s="1" t="s">
        <v>7</v>
      </c>
      <c r="C21" s="10">
        <f>'Wellness pro-forma'!C46</f>
        <v>2119120.2574822498</v>
      </c>
      <c r="D21" s="10">
        <f>'Wellness pro-forma'!D46</f>
        <v>522713.6505266506</v>
      </c>
      <c r="E21" s="10">
        <f>'Wellness pro-forma'!E46</f>
        <v>580427.44891470415</v>
      </c>
      <c r="F21" s="10">
        <f>'Wellness pro-forma'!F46</f>
        <v>607221.54215399572</v>
      </c>
      <c r="G21" s="10">
        <f>'Wellness pro-forma'!G46</f>
        <v>531997.98664806806</v>
      </c>
      <c r="H21" s="10">
        <f>'Wellness pro-forma'!H46</f>
        <v>870562.4617074423</v>
      </c>
      <c r="I21" s="10">
        <f>'Wellness pro-forma'!I46</f>
        <v>726241.82411943167</v>
      </c>
      <c r="J21" s="10">
        <f>'Wellness pro-forma'!J46</f>
        <v>733431.16633302183</v>
      </c>
      <c r="K21" s="10">
        <f>'Wellness pro-forma'!K46</f>
        <v>842941.86156579701</v>
      </c>
      <c r="L21" s="27">
        <v>806482</v>
      </c>
      <c r="M21" s="27">
        <v>715940</v>
      </c>
      <c r="N21" s="32">
        <f>'Wellness pro-forma'!N46</f>
        <v>0</v>
      </c>
      <c r="O21" s="32">
        <f>'Wellness pro-forma'!O46</f>
        <v>0</v>
      </c>
      <c r="Q21" s="8">
        <f t="shared" si="54"/>
        <v>2119120.2574822498</v>
      </c>
      <c r="R21" s="8">
        <f t="shared" si="42"/>
        <v>522713.6505266506</v>
      </c>
      <c r="S21" s="8">
        <f>R21+E21</f>
        <v>1103141.0994413546</v>
      </c>
      <c r="T21" s="8">
        <f>S21+F21</f>
        <v>1710362.6415953503</v>
      </c>
      <c r="U21" s="8">
        <f>T21+G21</f>
        <v>2242360.6282434184</v>
      </c>
      <c r="V21" s="8">
        <f t="shared" si="46"/>
        <v>870562.4617074423</v>
      </c>
      <c r="W21" s="8">
        <f>V21+I21</f>
        <v>1596804.285826874</v>
      </c>
      <c r="X21" s="8">
        <f>W21+J21</f>
        <v>2330235.4521598956</v>
      </c>
      <c r="Y21" s="8">
        <f>X21+K21</f>
        <v>3173177.3137256927</v>
      </c>
      <c r="Z21" s="8">
        <f t="shared" si="50"/>
        <v>806482</v>
      </c>
      <c r="AA21" s="8">
        <f>Z21+M21</f>
        <v>1522422</v>
      </c>
      <c r="AB21" s="8">
        <f>AA21+N21</f>
        <v>1522422</v>
      </c>
      <c r="AC21" s="8">
        <f>AB21+O21</f>
        <v>1522422</v>
      </c>
    </row>
    <row r="22" spans="2:29" x14ac:dyDescent="0.2">
      <c r="B22" s="1" t="s">
        <v>8</v>
      </c>
      <c r="C22" s="10">
        <f>'Wellness pro-forma'!C47</f>
        <v>520277.22</v>
      </c>
      <c r="D22" s="10">
        <f>'Wellness pro-forma'!D47</f>
        <v>172040.90999999997</v>
      </c>
      <c r="E22" s="10">
        <f>'Wellness pro-forma'!E47</f>
        <v>181017.89000000007</v>
      </c>
      <c r="F22" s="10">
        <f>'Wellness pro-forma'!F47</f>
        <v>257816.35999999981</v>
      </c>
      <c r="G22" s="10">
        <f>'Wellness pro-forma'!G47</f>
        <v>217189.32000000007</v>
      </c>
      <c r="H22" s="10">
        <f>'Wellness pro-forma'!H47</f>
        <v>303542.49</v>
      </c>
      <c r="I22" s="10">
        <f>'Wellness pro-forma'!I47</f>
        <v>255951.68000000005</v>
      </c>
      <c r="J22" s="10">
        <f>'Wellness pro-forma'!J47</f>
        <v>275157.45999999985</v>
      </c>
      <c r="K22" s="10">
        <f>'Wellness pro-forma'!K47</f>
        <v>295434.05000000016</v>
      </c>
      <c r="L22" s="27">
        <f>L21-L23</f>
        <v>252696.20055454236</v>
      </c>
      <c r="M22" s="27">
        <f>M21-M23</f>
        <v>274588.29754981573</v>
      </c>
      <c r="N22" s="27">
        <f>N21-N23</f>
        <v>0</v>
      </c>
      <c r="O22" s="27">
        <f>O21-O23</f>
        <v>0</v>
      </c>
      <c r="Q22" s="8">
        <f t="shared" si="54"/>
        <v>520277.22</v>
      </c>
      <c r="R22" s="8">
        <f t="shared" si="42"/>
        <v>172040.90999999997</v>
      </c>
      <c r="S22" s="8">
        <f>R22+E22</f>
        <v>353058.80000000005</v>
      </c>
      <c r="T22" s="8">
        <f>S22+F22</f>
        <v>610875.15999999992</v>
      </c>
      <c r="U22" s="8">
        <f>T22+G22</f>
        <v>828064.48</v>
      </c>
      <c r="V22" s="8">
        <f t="shared" si="46"/>
        <v>303542.49</v>
      </c>
      <c r="W22" s="8">
        <f>V22+I22</f>
        <v>559494.17000000004</v>
      </c>
      <c r="X22" s="8">
        <f>W22+J22</f>
        <v>834651.62999999989</v>
      </c>
      <c r="Y22" s="8">
        <f>X22+K22</f>
        <v>1130085.6800000002</v>
      </c>
      <c r="Z22" s="8">
        <f t="shared" si="50"/>
        <v>252696.20055454236</v>
      </c>
      <c r="AA22" s="8">
        <f>Z22+M22</f>
        <v>527284.49810435809</v>
      </c>
      <c r="AB22" s="8">
        <f>AA22+N22</f>
        <v>527284.49810435809</v>
      </c>
      <c r="AC22" s="8">
        <f>AB22+O22</f>
        <v>527284.49810435809</v>
      </c>
    </row>
    <row r="23" spans="2:29" x14ac:dyDescent="0.2">
      <c r="B23" s="1" t="s">
        <v>9</v>
      </c>
      <c r="C23" s="10">
        <f>'Wellness pro-forma'!C48</f>
        <v>1598843.0374822498</v>
      </c>
      <c r="D23" s="10">
        <f>'Wellness pro-forma'!D48</f>
        <v>350672.74052665062</v>
      </c>
      <c r="E23" s="10">
        <f>'Wellness pro-forma'!E48</f>
        <v>399409.55891470407</v>
      </c>
      <c r="F23" s="10">
        <f>'Wellness pro-forma'!F48</f>
        <v>349405.18215399591</v>
      </c>
      <c r="G23" s="10">
        <f>'Wellness pro-forma'!G48</f>
        <v>314808.666648068</v>
      </c>
      <c r="H23" s="10">
        <f>'Wellness pro-forma'!H48</f>
        <v>567019.97170744231</v>
      </c>
      <c r="I23" s="10">
        <f>'Wellness pro-forma'!I48</f>
        <v>470290.14411943161</v>
      </c>
      <c r="J23" s="10">
        <f>'Wellness pro-forma'!J48</f>
        <v>458273.70633302198</v>
      </c>
      <c r="K23" s="10">
        <f>'Wellness pro-forma'!K48</f>
        <v>547507.81156579684</v>
      </c>
      <c r="L23" s="27">
        <v>553785.79944545764</v>
      </c>
      <c r="M23" s="27">
        <v>441351.70245018427</v>
      </c>
      <c r="N23" s="32">
        <f>'Wellness pro-forma'!N48</f>
        <v>0</v>
      </c>
      <c r="O23" s="32">
        <f>'Wellness pro-forma'!O48</f>
        <v>0</v>
      </c>
      <c r="Q23" s="8">
        <f t="shared" si="54"/>
        <v>1598843.0374822498</v>
      </c>
      <c r="R23" s="8">
        <f t="shared" si="42"/>
        <v>350672.74052665062</v>
      </c>
      <c r="S23" s="8">
        <f>R23+E23</f>
        <v>750082.2994413547</v>
      </c>
      <c r="T23" s="8">
        <f>S23+F23</f>
        <v>1099487.4815953507</v>
      </c>
      <c r="U23" s="8">
        <f>T23+G23</f>
        <v>1414296.1482434187</v>
      </c>
      <c r="V23" s="8">
        <f t="shared" si="46"/>
        <v>567019.97170744231</v>
      </c>
      <c r="W23" s="8">
        <f>V23+I23</f>
        <v>1037310.1158268739</v>
      </c>
      <c r="X23" s="8">
        <f>W23+J23</f>
        <v>1495583.8221598959</v>
      </c>
      <c r="Y23" s="8">
        <f>X23+K23</f>
        <v>2043091.6337256928</v>
      </c>
      <c r="Z23" s="8">
        <f t="shared" si="50"/>
        <v>553785.79944545764</v>
      </c>
      <c r="AA23" s="8">
        <f>Z23+M23</f>
        <v>995137.50189564191</v>
      </c>
      <c r="AB23" s="8">
        <f>AA23+N23</f>
        <v>995137.50189564191</v>
      </c>
      <c r="AC23" s="8">
        <f>AB23+O23</f>
        <v>995137.50189564191</v>
      </c>
    </row>
    <row r="24" spans="2:29" s="7" customFormat="1" x14ac:dyDescent="0.2">
      <c r="B24" s="7" t="s">
        <v>10</v>
      </c>
      <c r="C24" s="11">
        <f>C22/C21</f>
        <v>0.24551566536301583</v>
      </c>
      <c r="D24" s="11">
        <f t="shared" ref="D24:K24" si="55">D22/D21</f>
        <v>0.32913031796025088</v>
      </c>
      <c r="E24" s="11">
        <f t="shared" si="55"/>
        <v>0.31186996813894874</v>
      </c>
      <c r="F24" s="11">
        <f t="shared" si="55"/>
        <v>0.42458368503437538</v>
      </c>
      <c r="G24" s="11">
        <f t="shared" si="55"/>
        <v>0.40825214653242103</v>
      </c>
      <c r="H24" s="11">
        <f t="shared" si="55"/>
        <v>0.34867399336821769</v>
      </c>
      <c r="I24" s="11">
        <f t="shared" si="55"/>
        <v>0.35243313108597335</v>
      </c>
      <c r="J24" s="11">
        <f t="shared" si="55"/>
        <v>0.37516466797521092</v>
      </c>
      <c r="K24" s="11">
        <f t="shared" si="55"/>
        <v>0.35047974655241348</v>
      </c>
      <c r="L24" s="25">
        <f t="shared" ref="L24:O24" si="56">L22/L21</f>
        <v>0.31333148235737729</v>
      </c>
      <c r="M24" s="25">
        <f t="shared" si="56"/>
        <v>0.38353534870214784</v>
      </c>
      <c r="N24" s="25" t="e">
        <f t="shared" si="56"/>
        <v>#DIV/0!</v>
      </c>
      <c r="O24" s="25" t="e">
        <f t="shared" si="56"/>
        <v>#DIV/0!</v>
      </c>
      <c r="P24" s="35"/>
      <c r="Q24" s="11">
        <f>Q22/Q21</f>
        <v>0.24551566536301583</v>
      </c>
      <c r="R24" s="11">
        <f t="shared" ref="R24:Y24" si="57">R22/R21</f>
        <v>0.32913031796025088</v>
      </c>
      <c r="S24" s="11">
        <f t="shared" si="57"/>
        <v>0.32004863220017254</v>
      </c>
      <c r="T24" s="11">
        <f t="shared" si="57"/>
        <v>0.35716119210263075</v>
      </c>
      <c r="U24" s="11">
        <f t="shared" si="57"/>
        <v>0.36928247382254242</v>
      </c>
      <c r="V24" s="11">
        <f t="shared" si="57"/>
        <v>0.34867399336821769</v>
      </c>
      <c r="W24" s="11">
        <f t="shared" si="57"/>
        <v>0.35038368506775197</v>
      </c>
      <c r="X24" s="11">
        <f t="shared" si="57"/>
        <v>0.3581833883895128</v>
      </c>
      <c r="Y24" s="11">
        <f t="shared" si="57"/>
        <v>0.35613694674790908</v>
      </c>
      <c r="Z24" s="11">
        <f t="shared" ref="Z24:AC24" si="58">Z22/Z21</f>
        <v>0.31333148235737729</v>
      </c>
      <c r="AA24" s="11">
        <f t="shared" si="58"/>
        <v>0.3463458213979817</v>
      </c>
      <c r="AB24" s="11">
        <f t="shared" si="58"/>
        <v>0.3463458213979817</v>
      </c>
      <c r="AC24" s="11">
        <f t="shared" si="58"/>
        <v>0.3463458213979817</v>
      </c>
    </row>
    <row r="25" spans="2:29" x14ac:dyDescent="0.2">
      <c r="B25" s="1" t="s">
        <v>21</v>
      </c>
      <c r="C25" s="10">
        <f>'Wellness pro-forma'!C50</f>
        <v>-192389.59866410709</v>
      </c>
      <c r="D25" s="10">
        <f>'Wellness pro-forma'!D50</f>
        <v>-85827.72836434342</v>
      </c>
      <c r="E25" s="10">
        <f>'Wellness pro-forma'!E50</f>
        <v>-52185.264711435782</v>
      </c>
      <c r="F25" s="10">
        <f>'Wellness pro-forma'!F50</f>
        <v>-76291.926082811129</v>
      </c>
      <c r="G25" s="10">
        <f>'Wellness pro-forma'!G50</f>
        <v>-167131.20452030824</v>
      </c>
      <c r="H25" s="10">
        <f>'Wellness pro-forma'!H50</f>
        <v>66834.691755993234</v>
      </c>
      <c r="I25" s="10">
        <f>'Wellness pro-forma'!I50</f>
        <v>-272012.22516160063</v>
      </c>
      <c r="J25" s="10">
        <f>'Wellness pro-forma'!J50</f>
        <v>-90786.221508132818</v>
      </c>
      <c r="K25" s="10">
        <f>'Wellness pro-forma'!K50</f>
        <v>63496.138854849414</v>
      </c>
      <c r="L25" s="27">
        <v>-38729.261980323194</v>
      </c>
      <c r="M25" s="27">
        <f>-211422.108981659-L25</f>
        <v>-172692.84700133582</v>
      </c>
      <c r="N25" s="32">
        <f>'Wellness pro-forma'!N50</f>
        <v>0</v>
      </c>
      <c r="O25" s="32">
        <f>'Wellness pro-forma'!O50</f>
        <v>0</v>
      </c>
      <c r="Q25" s="8">
        <f t="shared" ref="Q25:Q26" si="59">C25</f>
        <v>-192389.59866410709</v>
      </c>
      <c r="R25" s="8">
        <f t="shared" ref="R25:R26" si="60">D25</f>
        <v>-85827.72836434342</v>
      </c>
      <c r="S25" s="8">
        <f>R25+E25</f>
        <v>-138012.9930757792</v>
      </c>
      <c r="T25" s="8">
        <f>S25+F25</f>
        <v>-214304.91915859032</v>
      </c>
      <c r="U25" s="8">
        <f>T25+G25</f>
        <v>-381436.12367889856</v>
      </c>
      <c r="V25" s="8">
        <f t="shared" ref="V25:V26" si="61">H25</f>
        <v>66834.691755993234</v>
      </c>
      <c r="W25" s="8">
        <f>V25+I25</f>
        <v>-205177.53340560739</v>
      </c>
      <c r="X25" s="8">
        <f>W25+J25</f>
        <v>-295963.75491374021</v>
      </c>
      <c r="Y25" s="8">
        <f>X25+K25</f>
        <v>-232467.6160588908</v>
      </c>
      <c r="Z25" s="8">
        <f t="shared" ref="Z25:Z26" si="62">L25</f>
        <v>-38729.261980323194</v>
      </c>
      <c r="AA25" s="8">
        <f>Z25+M25</f>
        <v>-211422.108981659</v>
      </c>
      <c r="AB25" s="8">
        <f>AA25+N25</f>
        <v>-211422.108981659</v>
      </c>
      <c r="AC25" s="8">
        <f>AB25+O25</f>
        <v>-211422.108981659</v>
      </c>
    </row>
    <row r="26" spans="2:29" x14ac:dyDescent="0.2">
      <c r="B26" s="1" t="s">
        <v>13</v>
      </c>
      <c r="C26" s="10">
        <f>'Wellness pro-forma'!C51</f>
        <v>46310.03</v>
      </c>
      <c r="D26" s="10">
        <f>'Wellness pro-forma'!D51</f>
        <v>38629.760000000002</v>
      </c>
      <c r="E26" s="10">
        <f>'Wellness pro-forma'!E51</f>
        <v>46038.87</v>
      </c>
      <c r="F26" s="10">
        <f>'Wellness pro-forma'!F51</f>
        <v>56582.87</v>
      </c>
      <c r="G26" s="10">
        <f>'Wellness pro-forma'!G51</f>
        <v>58830.49</v>
      </c>
      <c r="H26" s="10">
        <f>'Wellness pro-forma'!H51</f>
        <v>81637.47</v>
      </c>
      <c r="I26" s="10">
        <f>'Wellness pro-forma'!I51</f>
        <v>207963.72</v>
      </c>
      <c r="J26" s="10">
        <f>'Wellness pro-forma'!J51</f>
        <v>144495.49</v>
      </c>
      <c r="K26" s="10">
        <f>'Wellness pro-forma'!K51</f>
        <v>121939.48</v>
      </c>
      <c r="L26" s="27">
        <v>127809.59664690783</v>
      </c>
      <c r="M26" s="27">
        <f>254003.99867807-L26</f>
        <v>126194.40203116217</v>
      </c>
      <c r="N26" s="32">
        <f>'Wellness pro-forma'!N51</f>
        <v>0</v>
      </c>
      <c r="O26" s="32">
        <f>'Wellness pro-forma'!O51</f>
        <v>0</v>
      </c>
      <c r="Q26" s="8">
        <f t="shared" si="59"/>
        <v>46310.03</v>
      </c>
      <c r="R26" s="8">
        <f t="shared" si="60"/>
        <v>38629.760000000002</v>
      </c>
      <c r="S26" s="8">
        <f>R26+E26</f>
        <v>84668.63</v>
      </c>
      <c r="T26" s="8">
        <f>S26+F26</f>
        <v>141251.5</v>
      </c>
      <c r="U26" s="8">
        <f>T26+G26</f>
        <v>200081.99</v>
      </c>
      <c r="V26" s="8">
        <f t="shared" si="61"/>
        <v>81637.47</v>
      </c>
      <c r="W26" s="8">
        <f>V26+I26</f>
        <v>289601.19</v>
      </c>
      <c r="X26" s="8">
        <f>W26+J26</f>
        <v>434096.68</v>
      </c>
      <c r="Y26" s="8">
        <f>X26+K26</f>
        <v>556036.16</v>
      </c>
      <c r="Z26" s="8">
        <f t="shared" si="62"/>
        <v>127809.59664690783</v>
      </c>
      <c r="AA26" s="8">
        <f>Z26+M26</f>
        <v>254003.99867807</v>
      </c>
      <c r="AB26" s="8">
        <f>AA26+N26</f>
        <v>254003.99867807</v>
      </c>
      <c r="AC26" s="8">
        <f>AB26+O26</f>
        <v>254003.99867807</v>
      </c>
    </row>
    <row r="27" spans="2:29" x14ac:dyDescent="0.2">
      <c r="B27" s="1" t="s">
        <v>11</v>
      </c>
      <c r="C27" s="10">
        <f>C25+C26</f>
        <v>-146079.56866410709</v>
      </c>
      <c r="D27" s="10">
        <f t="shared" ref="D27" si="63">D25+D26</f>
        <v>-47197.968364343418</v>
      </c>
      <c r="E27" s="10">
        <f t="shared" ref="E27" si="64">E25+E26</f>
        <v>-6146.3947114357798</v>
      </c>
      <c r="F27" s="10">
        <f t="shared" ref="F27" si="65">F25+F26</f>
        <v>-19709.056082811127</v>
      </c>
      <c r="G27" s="10">
        <f t="shared" ref="G27" si="66">G25+G26</f>
        <v>-108300.71452030825</v>
      </c>
      <c r="H27" s="10">
        <f t="shared" ref="H27" si="67">H25+H26</f>
        <v>148472.16175599323</v>
      </c>
      <c r="I27" s="10">
        <f t="shared" ref="I27" si="68">I25+I26</f>
        <v>-64048.505161600624</v>
      </c>
      <c r="J27" s="10">
        <f t="shared" ref="J27" si="69">J25+J26</f>
        <v>53709.268491867173</v>
      </c>
      <c r="K27" s="10">
        <f t="shared" ref="K27:N27" si="70">K25+K26</f>
        <v>185435.61885484942</v>
      </c>
      <c r="L27" s="27">
        <f t="shared" si="70"/>
        <v>89080.334666584633</v>
      </c>
      <c r="M27" s="27">
        <f t="shared" si="70"/>
        <v>-46498.444970173645</v>
      </c>
      <c r="N27" s="27">
        <f t="shared" si="70"/>
        <v>0</v>
      </c>
      <c r="O27" s="27">
        <f t="shared" ref="O27" si="71">O25+O26</f>
        <v>0</v>
      </c>
      <c r="Q27" s="10">
        <f>Q25+Q26</f>
        <v>-146079.56866410709</v>
      </c>
      <c r="R27" s="10">
        <f t="shared" ref="R27:Y27" si="72">R25+R26</f>
        <v>-47197.968364343418</v>
      </c>
      <c r="S27" s="10">
        <f t="shared" si="72"/>
        <v>-53344.363075779198</v>
      </c>
      <c r="T27" s="10">
        <f t="shared" si="72"/>
        <v>-73053.419158590317</v>
      </c>
      <c r="U27" s="10">
        <f t="shared" si="72"/>
        <v>-181354.13367889856</v>
      </c>
      <c r="V27" s="10">
        <f t="shared" si="72"/>
        <v>148472.16175599323</v>
      </c>
      <c r="W27" s="10">
        <f t="shared" si="72"/>
        <v>84423.656594392611</v>
      </c>
      <c r="X27" s="10">
        <f t="shared" si="72"/>
        <v>138132.92508625978</v>
      </c>
      <c r="Y27" s="10">
        <f t="shared" si="72"/>
        <v>323568.54394110921</v>
      </c>
      <c r="Z27" s="10">
        <f t="shared" ref="Z27:AC27" si="73">Z25+Z26</f>
        <v>89080.334666584633</v>
      </c>
      <c r="AA27" s="10">
        <f t="shared" si="73"/>
        <v>42581.889696411003</v>
      </c>
      <c r="AB27" s="10">
        <f t="shared" si="73"/>
        <v>42581.889696411003</v>
      </c>
      <c r="AC27" s="10">
        <f t="shared" si="73"/>
        <v>42581.889696411003</v>
      </c>
    </row>
    <row r="28" spans="2:29" s="7" customFormat="1" x14ac:dyDescent="0.2">
      <c r="B28" s="7" t="s">
        <v>12</v>
      </c>
      <c r="C28" s="11">
        <f>C27/C21</f>
        <v>-6.8934062683948791E-2</v>
      </c>
      <c r="D28" s="11">
        <f t="shared" ref="D28" si="74">D27/D21</f>
        <v>-9.0294118618846023E-2</v>
      </c>
      <c r="E28" s="11">
        <f t="shared" ref="E28" si="75">E27/E21</f>
        <v>-1.058942805501091E-2</v>
      </c>
      <c r="F28" s="11">
        <f t="shared" ref="F28" si="76">F27/F21</f>
        <v>-3.2457768235456916E-2</v>
      </c>
      <c r="G28" s="11">
        <f t="shared" ref="G28" si="77">G27/G21</f>
        <v>-0.20357354207799339</v>
      </c>
      <c r="H28" s="11">
        <f t="shared" ref="H28" si="78">H27/H21</f>
        <v>0.17054739698377688</v>
      </c>
      <c r="I28" s="11">
        <f t="shared" ref="I28" si="79">I27/I21</f>
        <v>-8.8191705619900709E-2</v>
      </c>
      <c r="J28" s="11">
        <f t="shared" ref="J28" si="80">J27/J21</f>
        <v>7.3230142046458849E-2</v>
      </c>
      <c r="K28" s="11">
        <f t="shared" ref="K28:N28" si="81">K27/K21</f>
        <v>0.21998624971643432</v>
      </c>
      <c r="L28" s="25">
        <f t="shared" si="81"/>
        <v>0.11045545302509496</v>
      </c>
      <c r="M28" s="25">
        <f t="shared" si="81"/>
        <v>-6.4947404768798567E-2</v>
      </c>
      <c r="N28" s="25" t="e">
        <f t="shared" si="81"/>
        <v>#DIV/0!</v>
      </c>
      <c r="O28" s="25" t="e">
        <f t="shared" ref="O28" si="82">O27/O21</f>
        <v>#DIV/0!</v>
      </c>
      <c r="P28" s="35"/>
      <c r="Q28" s="11">
        <f>Q27/Q21</f>
        <v>-6.8934062683948791E-2</v>
      </c>
      <c r="R28" s="11">
        <f t="shared" ref="R28:Y28" si="83">R27/R21</f>
        <v>-9.0294118618846023E-2</v>
      </c>
      <c r="S28" s="11">
        <f t="shared" si="83"/>
        <v>-4.8356790534586643E-2</v>
      </c>
      <c r="T28" s="11">
        <f t="shared" si="83"/>
        <v>-4.2712239721541936E-2</v>
      </c>
      <c r="U28" s="11">
        <f t="shared" si="83"/>
        <v>-8.0876435036662517E-2</v>
      </c>
      <c r="V28" s="11">
        <f t="shared" si="83"/>
        <v>0.17054739698377688</v>
      </c>
      <c r="W28" s="11">
        <f t="shared" si="83"/>
        <v>5.287038451971305E-2</v>
      </c>
      <c r="X28" s="11">
        <f t="shared" si="83"/>
        <v>5.9278526965257677E-2</v>
      </c>
      <c r="Y28" s="11">
        <f t="shared" si="83"/>
        <v>0.10196989072797849</v>
      </c>
      <c r="Z28" s="11">
        <f t="shared" ref="Z28:AC28" si="84">Z27/Z21</f>
        <v>0.11045545302509496</v>
      </c>
      <c r="AA28" s="11">
        <f t="shared" si="84"/>
        <v>2.7969833394690172E-2</v>
      </c>
      <c r="AB28" s="11">
        <f t="shared" si="84"/>
        <v>2.7969833394690172E-2</v>
      </c>
      <c r="AC28" s="11">
        <f t="shared" si="84"/>
        <v>2.7969833394690172E-2</v>
      </c>
    </row>
    <row r="29" spans="2:29" x14ac:dyDescent="0.2">
      <c r="B29" s="1" t="s">
        <v>15</v>
      </c>
      <c r="C29" s="10">
        <f>'Wellness pro-forma'!C54</f>
        <v>325761.34999999998</v>
      </c>
      <c r="D29" s="10">
        <f>'Wellness pro-forma'!D54</f>
        <v>115186.15000000001</v>
      </c>
      <c r="E29" s="10">
        <f>'Wellness pro-forma'!E54</f>
        <v>164639.85</v>
      </c>
      <c r="F29" s="10">
        <f>'Wellness pro-forma'!F54</f>
        <v>154346</v>
      </c>
      <c r="G29" s="10">
        <f>'Wellness pro-forma'!G54</f>
        <v>221172</v>
      </c>
      <c r="H29" s="10">
        <f>'Wellness pro-forma'!H54</f>
        <v>91071</v>
      </c>
      <c r="I29" s="10">
        <f>'Wellness pro-forma'!I54</f>
        <v>144311</v>
      </c>
      <c r="J29" s="10">
        <f>'Wellness pro-forma'!J54</f>
        <v>70089</v>
      </c>
      <c r="K29" s="10">
        <f>'Wellness pro-forma'!K54</f>
        <v>198259</v>
      </c>
      <c r="L29" s="27">
        <v>47608.992509361597</v>
      </c>
      <c r="M29" s="27">
        <f>106901.417179425-L29</f>
        <v>59292.424670063403</v>
      </c>
      <c r="N29" s="32">
        <f>'Wellness pro-forma'!N54</f>
        <v>0</v>
      </c>
      <c r="O29" s="32">
        <f>'Wellness pro-forma'!O54</f>
        <v>0</v>
      </c>
      <c r="Q29" s="8">
        <f>C29</f>
        <v>325761.34999999998</v>
      </c>
      <c r="R29" s="8">
        <f>D29</f>
        <v>115186.15000000001</v>
      </c>
      <c r="S29" s="8">
        <f>R29+E29</f>
        <v>279826</v>
      </c>
      <c r="T29" s="8">
        <f>S29+F29</f>
        <v>434172</v>
      </c>
      <c r="U29" s="8">
        <f>T29+G29</f>
        <v>655344</v>
      </c>
      <c r="V29" s="8">
        <f>H29</f>
        <v>91071</v>
      </c>
      <c r="W29" s="8">
        <f>V29+I29</f>
        <v>235382</v>
      </c>
      <c r="X29" s="8">
        <f>W29+J29</f>
        <v>305471</v>
      </c>
      <c r="Y29" s="8">
        <f>X29+K29</f>
        <v>503730</v>
      </c>
      <c r="Z29" s="8">
        <f>L29</f>
        <v>47608.992509361597</v>
      </c>
      <c r="AA29" s="8">
        <f>Z29+M29</f>
        <v>106901.417179425</v>
      </c>
      <c r="AB29" s="8">
        <f>AA29+N29</f>
        <v>106901.417179425</v>
      </c>
      <c r="AC29" s="8">
        <f>AB29+O29</f>
        <v>106901.417179425</v>
      </c>
    </row>
    <row r="30" spans="2:29" x14ac:dyDescent="0.2">
      <c r="B30" s="1" t="s">
        <v>16</v>
      </c>
      <c r="C30" s="13">
        <f>C27-C29</f>
        <v>-471840.9186641071</v>
      </c>
      <c r="D30" s="13">
        <f t="shared" ref="D30" si="85">D27-D29</f>
        <v>-162384.11836434342</v>
      </c>
      <c r="E30" s="13">
        <f t="shared" ref="E30" si="86">E27-E29</f>
        <v>-170786.24471143578</v>
      </c>
      <c r="F30" s="13">
        <f t="shared" ref="F30" si="87">F27-F29</f>
        <v>-174055.05608281112</v>
      </c>
      <c r="G30" s="13">
        <f t="shared" ref="G30" si="88">G27-G29</f>
        <v>-329472.71452030825</v>
      </c>
      <c r="H30" s="13">
        <f t="shared" ref="H30" si="89">H27-H29</f>
        <v>57401.161755993235</v>
      </c>
      <c r="I30" s="13">
        <f t="shared" ref="I30" si="90">I27-I29</f>
        <v>-208359.50516160062</v>
      </c>
      <c r="J30" s="13">
        <f t="shared" ref="J30" si="91">J27-J29</f>
        <v>-16379.731508132827</v>
      </c>
      <c r="K30" s="13">
        <f t="shared" ref="K30:N30" si="92">K27-K29</f>
        <v>-12823.381145150575</v>
      </c>
      <c r="L30" s="29">
        <f t="shared" si="92"/>
        <v>41471.342157223036</v>
      </c>
      <c r="M30" s="29">
        <f t="shared" si="92"/>
        <v>-105790.86964023704</v>
      </c>
      <c r="N30" s="29">
        <f t="shared" si="92"/>
        <v>0</v>
      </c>
      <c r="O30" s="29">
        <f t="shared" ref="O30" si="93">O27-O29</f>
        <v>0</v>
      </c>
      <c r="Q30" s="13">
        <f>Q27-Q29</f>
        <v>-471840.9186641071</v>
      </c>
      <c r="R30" s="13">
        <f t="shared" ref="R30:Y30" si="94">R27-R29</f>
        <v>-162384.11836434342</v>
      </c>
      <c r="S30" s="13">
        <f t="shared" si="94"/>
        <v>-333170.36307577917</v>
      </c>
      <c r="T30" s="13">
        <f t="shared" si="94"/>
        <v>-507225.41915859032</v>
      </c>
      <c r="U30" s="13">
        <f t="shared" si="94"/>
        <v>-836698.13367889856</v>
      </c>
      <c r="V30" s="13">
        <f t="shared" si="94"/>
        <v>57401.161755993235</v>
      </c>
      <c r="W30" s="13">
        <f t="shared" si="94"/>
        <v>-150958.34340560739</v>
      </c>
      <c r="X30" s="13">
        <f t="shared" si="94"/>
        <v>-167338.07491374022</v>
      </c>
      <c r="Y30" s="13">
        <f t="shared" si="94"/>
        <v>-180161.45605889079</v>
      </c>
      <c r="Z30" s="13">
        <f t="shared" ref="Z30:AC30" si="95">Z27-Z29</f>
        <v>41471.342157223036</v>
      </c>
      <c r="AA30" s="13">
        <f t="shared" si="95"/>
        <v>-64319.527483013997</v>
      </c>
      <c r="AB30" s="13">
        <f t="shared" si="95"/>
        <v>-64319.527483013997</v>
      </c>
      <c r="AC30" s="13">
        <f t="shared" si="95"/>
        <v>-64319.527483013997</v>
      </c>
    </row>
    <row r="31" spans="2:29" s="7" customFormat="1" x14ac:dyDescent="0.2">
      <c r="B31" s="7" t="s">
        <v>17</v>
      </c>
      <c r="C31" s="11">
        <f>C30/C21</f>
        <v>-0.22265886846115401</v>
      </c>
      <c r="D31" s="11">
        <f t="shared" ref="D31" si="96">D30/D21</f>
        <v>-0.31065597426188557</v>
      </c>
      <c r="E31" s="11">
        <f t="shared" ref="E31" si="97">E30/E21</f>
        <v>-0.29424219173434268</v>
      </c>
      <c r="F31" s="11">
        <f t="shared" ref="F31" si="98">F30/F21</f>
        <v>-0.28664176746000475</v>
      </c>
      <c r="G31" s="11">
        <f t="shared" ref="G31" si="99">G30/G21</f>
        <v>-0.61931195754367374</v>
      </c>
      <c r="H31" s="11">
        <f t="shared" ref="H31" si="100">H30/H21</f>
        <v>6.5935718895358528E-2</v>
      </c>
      <c r="I31" s="11">
        <f t="shared" ref="I31" si="101">I30/I21</f>
        <v>-0.28690099942155844</v>
      </c>
      <c r="J31" s="11">
        <f t="shared" ref="J31" si="102">J30/J21</f>
        <v>-2.2333018093609953E-2</v>
      </c>
      <c r="K31" s="11">
        <f t="shared" ref="K31:N31" si="103">K30/K21</f>
        <v>-1.5212651939400246E-2</v>
      </c>
      <c r="L31" s="25">
        <f t="shared" si="103"/>
        <v>5.1422526674151481E-2</v>
      </c>
      <c r="M31" s="25">
        <f t="shared" si="103"/>
        <v>-0.14776499377075877</v>
      </c>
      <c r="N31" s="25" t="e">
        <f t="shared" si="103"/>
        <v>#DIV/0!</v>
      </c>
      <c r="O31" s="25" t="e">
        <f t="shared" ref="O31" si="104">O30/O21</f>
        <v>#DIV/0!</v>
      </c>
      <c r="P31" s="35"/>
      <c r="Q31" s="11">
        <f>Q30/Q21</f>
        <v>-0.22265886846115401</v>
      </c>
      <c r="R31" s="11">
        <f t="shared" ref="R31:Y31" si="105">R30/R21</f>
        <v>-0.31065597426188557</v>
      </c>
      <c r="S31" s="11">
        <f t="shared" si="105"/>
        <v>-0.3020197173729644</v>
      </c>
      <c r="T31" s="11">
        <f t="shared" si="105"/>
        <v>-0.29656016029762727</v>
      </c>
      <c r="U31" s="11">
        <f t="shared" si="105"/>
        <v>-0.37313272590517105</v>
      </c>
      <c r="V31" s="11">
        <f t="shared" si="105"/>
        <v>6.5935718895358528E-2</v>
      </c>
      <c r="W31" s="11">
        <f t="shared" si="105"/>
        <v>-9.4537786969576265E-2</v>
      </c>
      <c r="X31" s="11">
        <f t="shared" si="105"/>
        <v>-7.1811659529355518E-2</v>
      </c>
      <c r="Y31" s="11">
        <f t="shared" si="105"/>
        <v>-5.6776359543349794E-2</v>
      </c>
      <c r="Z31" s="11">
        <f t="shared" ref="Z31:AC31" si="106">Z30/Z21</f>
        <v>5.1422526674151481E-2</v>
      </c>
      <c r="AA31" s="11">
        <f t="shared" si="106"/>
        <v>-4.2248159500463074E-2</v>
      </c>
      <c r="AB31" s="11">
        <f t="shared" si="106"/>
        <v>-4.2248159500463074E-2</v>
      </c>
      <c r="AC31" s="11">
        <f t="shared" si="106"/>
        <v>-4.2248159500463074E-2</v>
      </c>
    </row>
    <row r="32" spans="2:29" x14ac:dyDescent="0.2">
      <c r="C32" s="12"/>
      <c r="D32" s="12"/>
      <c r="E32" s="12"/>
      <c r="F32" s="12"/>
      <c r="G32" s="12"/>
      <c r="H32" s="12"/>
      <c r="I32" s="12"/>
      <c r="J32" s="12"/>
      <c r="K32" s="12"/>
      <c r="L32" s="26"/>
      <c r="M32" s="26"/>
      <c r="N32" s="26"/>
      <c r="O32" s="26"/>
    </row>
    <row r="33" spans="2:34" x14ac:dyDescent="0.2">
      <c r="B33" s="3" t="s">
        <v>19</v>
      </c>
      <c r="C33" s="12"/>
      <c r="D33" s="12"/>
      <c r="E33" s="12"/>
      <c r="F33" s="12"/>
      <c r="G33" s="12"/>
      <c r="H33" s="12"/>
      <c r="I33" s="12"/>
      <c r="J33" s="12"/>
      <c r="K33" s="12"/>
      <c r="L33" s="26"/>
      <c r="M33" s="26"/>
      <c r="N33" s="26"/>
      <c r="O33" s="26"/>
    </row>
    <row r="34" spans="2:34" x14ac:dyDescent="0.2">
      <c r="B34" s="1" t="s">
        <v>21</v>
      </c>
      <c r="C34" s="10">
        <v>-2580069</v>
      </c>
      <c r="D34" s="10">
        <v>-726570</v>
      </c>
      <c r="E34" s="10">
        <f>-1409642-D34</f>
        <v>-683072</v>
      </c>
      <c r="F34" s="10">
        <f>-2071607-E34-D34</f>
        <v>-661965</v>
      </c>
      <c r="G34" s="10">
        <f>1316793-F34-E34-D34</f>
        <v>3388400</v>
      </c>
      <c r="H34" s="10">
        <v>-625397</v>
      </c>
      <c r="I34" s="10">
        <f>-1309019-H34</f>
        <v>-683622</v>
      </c>
      <c r="J34" s="10">
        <f>-1923634-I34-H34</f>
        <v>-614615</v>
      </c>
      <c r="K34" s="10">
        <f>-8050515-J34-I34-H34</f>
        <v>-6126881</v>
      </c>
      <c r="L34" s="27">
        <v>-834579.75822691747</v>
      </c>
      <c r="M34" s="27">
        <f>-1386941-L34</f>
        <v>-552361.24177308253</v>
      </c>
      <c r="N34" s="32">
        <f>-1923634-M34-L34</f>
        <v>-536693.00000000012</v>
      </c>
      <c r="O34" s="32">
        <f>-8050515-N34-M34-L34</f>
        <v>-6126881</v>
      </c>
      <c r="Q34" s="8">
        <f t="shared" ref="Q34:Q36" si="107">C34</f>
        <v>-2580069</v>
      </c>
      <c r="R34" s="8">
        <f t="shared" ref="R34:R36" si="108">D34</f>
        <v>-726570</v>
      </c>
      <c r="S34" s="8">
        <f>R34+E34</f>
        <v>-1409642</v>
      </c>
      <c r="T34" s="8">
        <f>S34+F34</f>
        <v>-2071607</v>
      </c>
      <c r="U34" s="8">
        <f>T34+G34</f>
        <v>1316793</v>
      </c>
      <c r="V34" s="8">
        <f t="shared" ref="V34:V36" si="109">H34</f>
        <v>-625397</v>
      </c>
      <c r="W34" s="8">
        <f>V34+I34</f>
        <v>-1309019</v>
      </c>
      <c r="X34" s="8">
        <f>W34+J34</f>
        <v>-1923634</v>
      </c>
      <c r="Y34" s="8">
        <f>X34+K34</f>
        <v>-8050515</v>
      </c>
      <c r="Z34" s="8">
        <f t="shared" ref="Z34:Z36" si="110">L34</f>
        <v>-834579.75822691747</v>
      </c>
      <c r="AA34" s="8">
        <f>Z34+M34</f>
        <v>-1386941</v>
      </c>
      <c r="AB34" s="8">
        <f>AA34+N34</f>
        <v>-1923634</v>
      </c>
      <c r="AC34" s="8">
        <f>AB34+O34</f>
        <v>-8050515</v>
      </c>
    </row>
    <row r="35" spans="2:34" x14ac:dyDescent="0.2">
      <c r="B35" s="1" t="s">
        <v>13</v>
      </c>
      <c r="C35" s="10">
        <v>765661</v>
      </c>
      <c r="D35" s="10">
        <v>239476</v>
      </c>
      <c r="E35" s="10">
        <f>480374-D35</f>
        <v>240898</v>
      </c>
      <c r="F35" s="10">
        <f>723592-E35-D35</f>
        <v>243218</v>
      </c>
      <c r="G35" s="10">
        <f>961900-F35-E35-D35</f>
        <v>238308</v>
      </c>
      <c r="H35" s="10">
        <v>227198</v>
      </c>
      <c r="I35" s="10">
        <f>454624-H35</f>
        <v>227426</v>
      </c>
      <c r="J35" s="10">
        <f>681420-I35-H35</f>
        <v>226796</v>
      </c>
      <c r="K35" s="10">
        <f>915636-J35-I35-H35</f>
        <v>234216</v>
      </c>
      <c r="L35" s="27">
        <v>153607.30319855828</v>
      </c>
      <c r="M35" s="27">
        <f>295860-L35</f>
        <v>142252.69680144172</v>
      </c>
      <c r="N35" s="32">
        <f>681420-M35-L35</f>
        <v>385560</v>
      </c>
      <c r="O35" s="32">
        <f>915636-N35-M35-L35</f>
        <v>234216</v>
      </c>
      <c r="Q35" s="8">
        <f t="shared" si="107"/>
        <v>765661</v>
      </c>
      <c r="R35" s="8">
        <f t="shared" si="108"/>
        <v>239476</v>
      </c>
      <c r="S35" s="8">
        <f>R35+E35</f>
        <v>480374</v>
      </c>
      <c r="T35" s="8">
        <f>S35+F35</f>
        <v>723592</v>
      </c>
      <c r="U35" s="8">
        <f>T35+G35</f>
        <v>961900</v>
      </c>
      <c r="V35" s="8">
        <f t="shared" si="109"/>
        <v>227198</v>
      </c>
      <c r="W35" s="8">
        <f>V35+I35</f>
        <v>454624</v>
      </c>
      <c r="X35" s="8">
        <f>W35+J35</f>
        <v>681420</v>
      </c>
      <c r="Y35" s="8">
        <f>X35+K35</f>
        <v>915636</v>
      </c>
      <c r="Z35" s="8">
        <f t="shared" si="110"/>
        <v>153607.30319855828</v>
      </c>
      <c r="AA35" s="8">
        <f>Z35+M35</f>
        <v>295860</v>
      </c>
      <c r="AB35" s="8">
        <f>AA35+N35</f>
        <v>681420</v>
      </c>
      <c r="AC35" s="8">
        <f>AB35+O35</f>
        <v>915636</v>
      </c>
    </row>
    <row r="36" spans="2:34" x14ac:dyDescent="0.2">
      <c r="B36" s="1" t="s">
        <v>20</v>
      </c>
      <c r="C36" s="10">
        <v>903157</v>
      </c>
      <c r="D36" s="10">
        <v>190682</v>
      </c>
      <c r="E36" s="10">
        <f>432067-D36</f>
        <v>241385</v>
      </c>
      <c r="F36" s="10">
        <f>657524-E36-D36</f>
        <v>225457</v>
      </c>
      <c r="G36" s="10">
        <f>-3154990-F36-E36-D36</f>
        <v>-3812514</v>
      </c>
      <c r="H36" s="10">
        <v>87217</v>
      </c>
      <c r="I36" s="10">
        <f>270031-H36</f>
        <v>182814</v>
      </c>
      <c r="J36" s="10">
        <f>359467-I36-H36</f>
        <v>89436</v>
      </c>
      <c r="K36" s="10">
        <f>5989560-J36-I36-H36</f>
        <v>5630093</v>
      </c>
      <c r="L36" s="27">
        <v>388387.30020428292</v>
      </c>
      <c r="M36" s="27">
        <f>603157-L36</f>
        <v>214769.69979571708</v>
      </c>
      <c r="N36" s="32">
        <f>359467-M36-L36</f>
        <v>-243690</v>
      </c>
      <c r="O36" s="32">
        <f>5989560-N36-M36-L36</f>
        <v>5630093</v>
      </c>
      <c r="Q36" s="8">
        <f t="shared" si="107"/>
        <v>903157</v>
      </c>
      <c r="R36" s="8">
        <f t="shared" si="108"/>
        <v>190682</v>
      </c>
      <c r="S36" s="8">
        <f>R36+E36</f>
        <v>432067</v>
      </c>
      <c r="T36" s="8">
        <f>S36+F36</f>
        <v>657524</v>
      </c>
      <c r="U36" s="8">
        <f>T36+G36</f>
        <v>-3154990</v>
      </c>
      <c r="V36" s="8">
        <f t="shared" si="109"/>
        <v>87217</v>
      </c>
      <c r="W36" s="8">
        <f>V36+I36</f>
        <v>270031</v>
      </c>
      <c r="X36" s="8">
        <f>W36+J36</f>
        <v>359467</v>
      </c>
      <c r="Y36" s="8">
        <f>X36+K36</f>
        <v>5989560</v>
      </c>
      <c r="Z36" s="8">
        <f t="shared" si="110"/>
        <v>388387.30020428292</v>
      </c>
      <c r="AA36" s="8">
        <f>Z36+M36</f>
        <v>603157</v>
      </c>
      <c r="AB36" s="8">
        <f>AA36+N36</f>
        <v>359467</v>
      </c>
      <c r="AC36" s="8">
        <f>AB36+O36</f>
        <v>5989560</v>
      </c>
    </row>
    <row r="37" spans="2:34" x14ac:dyDescent="0.2">
      <c r="B37" s="1" t="s">
        <v>11</v>
      </c>
      <c r="C37" s="10">
        <f>C34+C35+C36</f>
        <v>-911251</v>
      </c>
      <c r="D37" s="10">
        <f t="shared" ref="D37:H37" si="111">D34+D35+D36</f>
        <v>-296412</v>
      </c>
      <c r="E37" s="10">
        <f t="shared" si="111"/>
        <v>-200789</v>
      </c>
      <c r="F37" s="10">
        <f t="shared" si="111"/>
        <v>-193290</v>
      </c>
      <c r="G37" s="10">
        <f t="shared" si="111"/>
        <v>-185806</v>
      </c>
      <c r="H37" s="10">
        <f t="shared" si="111"/>
        <v>-310982</v>
      </c>
      <c r="I37" s="10">
        <f t="shared" ref="I37" si="112">I34+I35+I36</f>
        <v>-273382</v>
      </c>
      <c r="J37" s="10">
        <f t="shared" ref="J37" si="113">J34+J35+J36</f>
        <v>-298383</v>
      </c>
      <c r="K37" s="10">
        <f t="shared" ref="K37:N37" si="114">K34+K35+K36</f>
        <v>-262572</v>
      </c>
      <c r="L37" s="27">
        <f t="shared" si="114"/>
        <v>-292585.15482407628</v>
      </c>
      <c r="M37" s="27">
        <f t="shared" si="114"/>
        <v>-195338.84517592372</v>
      </c>
      <c r="N37" s="27">
        <f t="shared" si="114"/>
        <v>-394823.00000000012</v>
      </c>
      <c r="O37" s="27">
        <f t="shared" ref="O37" si="115">O34+O35+O36</f>
        <v>-262572</v>
      </c>
      <c r="Q37" s="10">
        <f>Q34+Q35+Q36</f>
        <v>-911251</v>
      </c>
      <c r="R37" s="10">
        <f t="shared" ref="R37:Y37" si="116">R34+R35+R36</f>
        <v>-296412</v>
      </c>
      <c r="S37" s="10">
        <f t="shared" si="116"/>
        <v>-497201</v>
      </c>
      <c r="T37" s="10">
        <f t="shared" si="116"/>
        <v>-690491</v>
      </c>
      <c r="U37" s="10">
        <f t="shared" si="116"/>
        <v>-876297</v>
      </c>
      <c r="V37" s="10">
        <f t="shared" si="116"/>
        <v>-310982</v>
      </c>
      <c r="W37" s="10">
        <f t="shared" si="116"/>
        <v>-584364</v>
      </c>
      <c r="X37" s="10">
        <f t="shared" si="116"/>
        <v>-882747</v>
      </c>
      <c r="Y37" s="10">
        <f t="shared" si="116"/>
        <v>-1145319</v>
      </c>
      <c r="Z37" s="10">
        <f t="shared" ref="Z37:AC37" si="117">Z34+Z35+Z36</f>
        <v>-292585.15482407628</v>
      </c>
      <c r="AA37" s="10">
        <f t="shared" si="117"/>
        <v>-487924</v>
      </c>
      <c r="AB37" s="10">
        <f t="shared" si="117"/>
        <v>-882747</v>
      </c>
      <c r="AC37" s="10">
        <f t="shared" si="117"/>
        <v>-1145319</v>
      </c>
    </row>
    <row r="38" spans="2:34" x14ac:dyDescent="0.2">
      <c r="C38" s="13"/>
      <c r="D38" s="13"/>
      <c r="E38" s="13"/>
      <c r="F38" s="13"/>
      <c r="G38" s="13"/>
      <c r="H38" s="13"/>
      <c r="I38" s="13"/>
      <c r="J38" s="13"/>
      <c r="K38" s="13"/>
      <c r="L38" s="29"/>
      <c r="M38" s="29"/>
      <c r="N38" s="29"/>
      <c r="O38" s="29"/>
    </row>
    <row r="39" spans="2:34" x14ac:dyDescent="0.2">
      <c r="B39" s="3" t="s">
        <v>22</v>
      </c>
      <c r="C39" s="13"/>
      <c r="D39" s="13"/>
      <c r="E39" s="13"/>
      <c r="F39" s="13"/>
      <c r="G39" s="13"/>
      <c r="H39" s="13"/>
      <c r="I39" s="13"/>
      <c r="J39" s="13"/>
      <c r="K39" s="13"/>
      <c r="L39" s="29"/>
      <c r="M39" s="29"/>
      <c r="N39" s="29"/>
      <c r="O39" s="29"/>
    </row>
    <row r="40" spans="2:34" x14ac:dyDescent="0.2">
      <c r="B40" s="1" t="s">
        <v>6</v>
      </c>
      <c r="C40" s="10">
        <f>C19+C5</f>
        <v>11750457.672550555</v>
      </c>
      <c r="D40" s="10">
        <f t="shared" ref="D40:K40" si="118">D19+D5</f>
        <v>11002357.752502922</v>
      </c>
      <c r="E40" s="10">
        <f t="shared" si="118"/>
        <v>10940890.009952068</v>
      </c>
      <c r="F40" s="10">
        <f t="shared" si="118"/>
        <v>10846759.289755553</v>
      </c>
      <c r="G40" s="10">
        <f t="shared" si="118"/>
        <v>11046882.39014817</v>
      </c>
      <c r="H40" s="10">
        <f t="shared" si="118"/>
        <v>13691996.023569297</v>
      </c>
      <c r="I40" s="10">
        <f t="shared" si="118"/>
        <v>13477070.243663438</v>
      </c>
      <c r="J40" s="10">
        <f t="shared" si="118"/>
        <v>13620273.317839833</v>
      </c>
      <c r="K40" s="10">
        <f t="shared" si="118"/>
        <v>14263197.220607217</v>
      </c>
      <c r="L40" s="27">
        <f t="shared" ref="L40:O40" si="119">L19+L5</f>
        <v>14329252.49</v>
      </c>
      <c r="M40" s="27">
        <f t="shared" si="119"/>
        <v>14333786</v>
      </c>
      <c r="N40" s="27">
        <f t="shared" si="119"/>
        <v>0</v>
      </c>
      <c r="O40" s="27">
        <f t="shared" si="119"/>
        <v>0</v>
      </c>
      <c r="Q40" s="10">
        <f>Q19+Q5</f>
        <v>11750457.672550555</v>
      </c>
      <c r="R40" s="10">
        <f t="shared" ref="R40:Y40" si="120">R19+R5</f>
        <v>11002357.752502922</v>
      </c>
      <c r="S40" s="10">
        <f t="shared" si="120"/>
        <v>10940890.009952068</v>
      </c>
      <c r="T40" s="10">
        <f t="shared" si="120"/>
        <v>10846759.289755553</v>
      </c>
      <c r="U40" s="10">
        <f t="shared" si="120"/>
        <v>11046882.39014817</v>
      </c>
      <c r="V40" s="10">
        <f t="shared" si="120"/>
        <v>13691996.023569297</v>
      </c>
      <c r="W40" s="10">
        <f t="shared" si="120"/>
        <v>13477070.243663438</v>
      </c>
      <c r="X40" s="10">
        <f t="shared" si="120"/>
        <v>13620273.317839833</v>
      </c>
      <c r="Y40" s="10">
        <f t="shared" si="120"/>
        <v>14263197.220607217</v>
      </c>
      <c r="Z40" s="10">
        <f t="shared" ref="Z40:AC40" si="121">Z19+Z5</f>
        <v>14329252.49</v>
      </c>
      <c r="AA40" s="10">
        <f t="shared" si="121"/>
        <v>14333786</v>
      </c>
      <c r="AB40" s="10">
        <f t="shared" si="121"/>
        <v>0</v>
      </c>
      <c r="AC40" s="10">
        <f t="shared" si="121"/>
        <v>0</v>
      </c>
    </row>
    <row r="41" spans="2:34" x14ac:dyDescent="0.2">
      <c r="B41" s="1" t="s">
        <v>23</v>
      </c>
      <c r="C41" s="10">
        <f>C20+C5</f>
        <v>10151613.373310691</v>
      </c>
      <c r="D41" s="10">
        <f t="shared" ref="D41:K41" si="122">D20+D5</f>
        <v>10102265.142297931</v>
      </c>
      <c r="E41" s="10">
        <f t="shared" si="122"/>
        <v>10078361.669842884</v>
      </c>
      <c r="F41" s="10">
        <f t="shared" si="122"/>
        <v>10352563.807789791</v>
      </c>
      <c r="G41" s="10">
        <f t="shared" si="122"/>
        <v>10478327.919211909</v>
      </c>
      <c r="H41" s="10">
        <f t="shared" si="122"/>
        <v>11423919.524554839</v>
      </c>
      <c r="I41" s="10">
        <f t="shared" si="122"/>
        <v>11408600.562797535</v>
      </c>
      <c r="J41" s="10">
        <f t="shared" si="122"/>
        <v>11533091.675573137</v>
      </c>
      <c r="K41" s="10">
        <f t="shared" si="122"/>
        <v>12139817.911753414</v>
      </c>
      <c r="L41" s="27">
        <f t="shared" ref="L41:O41" si="123">L20+L5</f>
        <v>12114113.550000001</v>
      </c>
      <c r="M41" s="27">
        <f t="shared" si="123"/>
        <v>12343511.491448211</v>
      </c>
      <c r="N41" s="27">
        <f t="shared" si="123"/>
        <v>0</v>
      </c>
      <c r="O41" s="27">
        <f t="shared" si="123"/>
        <v>0</v>
      </c>
      <c r="Q41" s="10">
        <f>Q20+Q5</f>
        <v>10151613.373310691</v>
      </c>
      <c r="R41" s="10">
        <f t="shared" ref="R41:Y41" si="124">R20+R5</f>
        <v>10102265.142297931</v>
      </c>
      <c r="S41" s="10">
        <f t="shared" si="124"/>
        <v>10766528.707201764</v>
      </c>
      <c r="T41" s="10">
        <f t="shared" si="124"/>
        <v>11746848.280698303</v>
      </c>
      <c r="U41" s="10">
        <f t="shared" si="124"/>
        <v>12760635.706724159</v>
      </c>
      <c r="V41" s="10">
        <f t="shared" si="124"/>
        <v>11423919.524554839</v>
      </c>
      <c r="W41" s="10">
        <f t="shared" si="124"/>
        <v>12374826.301490176</v>
      </c>
      <c r="X41" s="10">
        <f t="shared" si="124"/>
        <v>13494130.014996346</v>
      </c>
      <c r="Y41" s="10">
        <f t="shared" si="124"/>
        <v>15130570.517383259</v>
      </c>
      <c r="Z41" s="10">
        <f t="shared" ref="Z41:AC41" si="125">Z20+Z5</f>
        <v>12114113.550000001</v>
      </c>
      <c r="AA41" s="10">
        <f t="shared" si="125"/>
        <v>13417787.041448211</v>
      </c>
      <c r="AB41" s="10">
        <f t="shared" si="125"/>
        <v>2128844.0414482108</v>
      </c>
      <c r="AC41" s="10">
        <f t="shared" si="125"/>
        <v>2128844.0414482108</v>
      </c>
    </row>
    <row r="42" spans="2:34" x14ac:dyDescent="0.2">
      <c r="B42" s="1" t="s">
        <v>7</v>
      </c>
      <c r="C42" s="10">
        <f>C6+C21</f>
        <v>10765665.257482249</v>
      </c>
      <c r="D42" s="10">
        <f t="shared" ref="D42:K42" si="126">D6+D21</f>
        <v>2885789.6505266507</v>
      </c>
      <c r="E42" s="10">
        <f t="shared" si="126"/>
        <v>2938034.4489147039</v>
      </c>
      <c r="F42" s="10">
        <f t="shared" si="126"/>
        <v>2992291.5421539955</v>
      </c>
      <c r="G42" s="10">
        <f t="shared" si="126"/>
        <v>2944496.9866480678</v>
      </c>
      <c r="H42" s="10">
        <f t="shared" si="126"/>
        <v>3462129.4617074421</v>
      </c>
      <c r="I42" s="10">
        <f t="shared" si="126"/>
        <v>3316883.8241194319</v>
      </c>
      <c r="J42" s="10">
        <f t="shared" si="126"/>
        <v>3284074.1663330216</v>
      </c>
      <c r="K42" s="10">
        <f t="shared" si="126"/>
        <v>3596394.8615657971</v>
      </c>
      <c r="L42" s="27">
        <f t="shared" ref="L42:O42" si="127">L6+L21</f>
        <v>3560207</v>
      </c>
      <c r="M42" s="27">
        <f t="shared" si="127"/>
        <v>3514571</v>
      </c>
      <c r="N42" s="27">
        <f t="shared" si="127"/>
        <v>2180496</v>
      </c>
      <c r="O42" s="27">
        <f t="shared" si="127"/>
        <v>2753453</v>
      </c>
      <c r="Q42" s="10">
        <f>Q6+Q21</f>
        <v>10765665.257482249</v>
      </c>
      <c r="R42" s="10">
        <f t="shared" ref="R42:Y42" si="128">R6+R21</f>
        <v>2885789.6505266507</v>
      </c>
      <c r="S42" s="10">
        <f t="shared" si="128"/>
        <v>5823824.0994413551</v>
      </c>
      <c r="T42" s="10">
        <f t="shared" si="128"/>
        <v>8816115.6415953506</v>
      </c>
      <c r="U42" s="10">
        <f t="shared" si="128"/>
        <v>11760612.628243418</v>
      </c>
      <c r="V42" s="10">
        <f t="shared" si="128"/>
        <v>3462129.4617074421</v>
      </c>
      <c r="W42" s="10">
        <f t="shared" si="128"/>
        <v>6779013.285826874</v>
      </c>
      <c r="X42" s="10">
        <f t="shared" si="128"/>
        <v>10063087.452159896</v>
      </c>
      <c r="Y42" s="10">
        <f t="shared" si="128"/>
        <v>13659482.313725693</v>
      </c>
      <c r="Z42" s="10">
        <f t="shared" ref="Z42:AC42" si="129">Z6+Z21</f>
        <v>3560207</v>
      </c>
      <c r="AA42" s="10">
        <f t="shared" si="129"/>
        <v>7074778</v>
      </c>
      <c r="AB42" s="10">
        <f t="shared" si="129"/>
        <v>9255274</v>
      </c>
      <c r="AC42" s="10">
        <f t="shared" si="129"/>
        <v>12008727</v>
      </c>
    </row>
    <row r="43" spans="2:34" x14ac:dyDescent="0.2">
      <c r="B43" s="1" t="s">
        <v>8</v>
      </c>
      <c r="C43" s="10">
        <f>C7+C22</f>
        <v>7908031.2199999997</v>
      </c>
      <c r="D43" s="10">
        <f t="shared" ref="D43:K43" si="130">D7+D22</f>
        <v>2238080.91</v>
      </c>
      <c r="E43" s="10">
        <f t="shared" si="130"/>
        <v>2234482.89</v>
      </c>
      <c r="F43" s="10">
        <f t="shared" si="130"/>
        <v>2438482.36</v>
      </c>
      <c r="G43" s="10">
        <f t="shared" si="130"/>
        <v>2470116.3200000003</v>
      </c>
      <c r="H43" s="10">
        <f t="shared" si="130"/>
        <v>2872966.49</v>
      </c>
      <c r="I43" s="10">
        <f t="shared" si="130"/>
        <v>2803422.68</v>
      </c>
      <c r="J43" s="10">
        <f t="shared" si="130"/>
        <v>2825799.46</v>
      </c>
      <c r="K43" s="10">
        <f t="shared" si="130"/>
        <v>3044069.0500000003</v>
      </c>
      <c r="L43" s="27">
        <f t="shared" ref="L43:O43" si="131">L7+L22</f>
        <v>2980895.2005545422</v>
      </c>
      <c r="M43" s="27">
        <f t="shared" si="131"/>
        <v>3059936.2975498158</v>
      </c>
      <c r="N43" s="27">
        <f t="shared" si="131"/>
        <v>2153990</v>
      </c>
      <c r="O43" s="27">
        <f t="shared" si="131"/>
        <v>2748635</v>
      </c>
      <c r="Q43" s="10">
        <f>Q7+Q22</f>
        <v>7908031.2199999997</v>
      </c>
      <c r="R43" s="10">
        <f t="shared" ref="R43:Y43" si="132">R7+R22</f>
        <v>2238080.91</v>
      </c>
      <c r="S43" s="10">
        <f t="shared" si="132"/>
        <v>4472563.8</v>
      </c>
      <c r="T43" s="10">
        <f t="shared" si="132"/>
        <v>6911046.1600000001</v>
      </c>
      <c r="U43" s="10">
        <f t="shared" si="132"/>
        <v>9381162.4800000004</v>
      </c>
      <c r="V43" s="10">
        <f t="shared" si="132"/>
        <v>2872966.49</v>
      </c>
      <c r="W43" s="10">
        <f t="shared" si="132"/>
        <v>5676389.1699999999</v>
      </c>
      <c r="X43" s="10">
        <f t="shared" si="132"/>
        <v>8502188.629999999</v>
      </c>
      <c r="Y43" s="10">
        <f t="shared" si="132"/>
        <v>11546257.68</v>
      </c>
      <c r="Z43" s="10">
        <f t="shared" ref="Z43:AC43" si="133">Z7+Z22</f>
        <v>2980895.2005545422</v>
      </c>
      <c r="AA43" s="10">
        <f t="shared" si="133"/>
        <v>6040831.4981043581</v>
      </c>
      <c r="AB43" s="10">
        <f t="shared" si="133"/>
        <v>8194821.4981043581</v>
      </c>
      <c r="AC43" s="10">
        <f t="shared" si="133"/>
        <v>10943456.498104358</v>
      </c>
      <c r="AG43" s="1">
        <v>3059935</v>
      </c>
      <c r="AH43" s="7">
        <f>(AG43-I43)/I43</f>
        <v>9.1499694937190068E-2</v>
      </c>
    </row>
    <row r="44" spans="2:34" x14ac:dyDescent="0.2">
      <c r="B44" s="1" t="s">
        <v>9</v>
      </c>
      <c r="C44" s="10">
        <f>C8+C23</f>
        <v>2857634.0374822496</v>
      </c>
      <c r="D44" s="10">
        <f t="shared" ref="D44:K44" si="134">D8+D23</f>
        <v>647708.74052665057</v>
      </c>
      <c r="E44" s="10">
        <f t="shared" si="134"/>
        <v>703551.55891470402</v>
      </c>
      <c r="F44" s="10">
        <f t="shared" si="134"/>
        <v>553809.18215399585</v>
      </c>
      <c r="G44" s="10">
        <f t="shared" si="134"/>
        <v>474380.666648068</v>
      </c>
      <c r="H44" s="10">
        <f t="shared" si="134"/>
        <v>589162.97170744231</v>
      </c>
      <c r="I44" s="10">
        <f t="shared" si="134"/>
        <v>513461.14411943161</v>
      </c>
      <c r="J44" s="10">
        <f t="shared" si="134"/>
        <v>458274.70633302198</v>
      </c>
      <c r="K44" s="10">
        <f t="shared" si="134"/>
        <v>552325.81156579684</v>
      </c>
      <c r="L44" s="27">
        <f t="shared" ref="L44:O44" si="135">L8+L23</f>
        <v>579311.79944545764</v>
      </c>
      <c r="M44" s="27">
        <f t="shared" si="135"/>
        <v>454634.70245018427</v>
      </c>
      <c r="N44" s="27">
        <f t="shared" si="135"/>
        <v>26506</v>
      </c>
      <c r="O44" s="27">
        <f t="shared" si="135"/>
        <v>4818</v>
      </c>
      <c r="Q44" s="10">
        <f>Q8+Q23</f>
        <v>2857634.0374822496</v>
      </c>
      <c r="R44" s="10">
        <f t="shared" ref="R44:Y44" si="136">R8+R23</f>
        <v>647708.74052665057</v>
      </c>
      <c r="S44" s="10">
        <f t="shared" si="136"/>
        <v>1351260.2994413548</v>
      </c>
      <c r="T44" s="10">
        <f t="shared" si="136"/>
        <v>1905069.4815953507</v>
      </c>
      <c r="U44" s="10">
        <f t="shared" si="136"/>
        <v>2379450.1482434189</v>
      </c>
      <c r="V44" s="10">
        <f t="shared" si="136"/>
        <v>589162.97170744231</v>
      </c>
      <c r="W44" s="10">
        <f t="shared" si="136"/>
        <v>1102624.115826874</v>
      </c>
      <c r="X44" s="10">
        <f t="shared" si="136"/>
        <v>1560898.8221598959</v>
      </c>
      <c r="Y44" s="10">
        <f t="shared" si="136"/>
        <v>2113224.6337256925</v>
      </c>
      <c r="Z44" s="10">
        <f t="shared" ref="Z44:AC44" si="137">Z8+Z23</f>
        <v>579311.79944545764</v>
      </c>
      <c r="AA44" s="10">
        <f t="shared" si="137"/>
        <v>1033946.5018956419</v>
      </c>
      <c r="AB44" s="10">
        <f t="shared" si="137"/>
        <v>1060452.5018956419</v>
      </c>
      <c r="AC44" s="10">
        <f t="shared" si="137"/>
        <v>1065270.5018956419</v>
      </c>
    </row>
    <row r="45" spans="2:34" s="7" customFormat="1" x14ac:dyDescent="0.2">
      <c r="B45" s="7" t="s">
        <v>10</v>
      </c>
      <c r="C45" s="11">
        <f>C43/C42</f>
        <v>0.73456038534207957</v>
      </c>
      <c r="D45" s="11">
        <f t="shared" ref="D45:K45" si="138">D43/D42</f>
        <v>0.77555233784678479</v>
      </c>
      <c r="E45" s="11">
        <f t="shared" si="138"/>
        <v>0.76053665430145234</v>
      </c>
      <c r="F45" s="11">
        <f t="shared" si="138"/>
        <v>0.81492138237461409</v>
      </c>
      <c r="G45" s="11">
        <f t="shared" si="138"/>
        <v>0.83889245979902016</v>
      </c>
      <c r="H45" s="11">
        <f t="shared" si="138"/>
        <v>0.82982641804016177</v>
      </c>
      <c r="I45" s="11">
        <f t="shared" si="138"/>
        <v>0.8451977303559175</v>
      </c>
      <c r="J45" s="11">
        <f t="shared" si="138"/>
        <v>0.86045543336655872</v>
      </c>
      <c r="K45" s="11">
        <f t="shared" si="138"/>
        <v>0.84642236661262349</v>
      </c>
      <c r="L45" s="25">
        <f t="shared" ref="L45:O45" si="139">L43/L42</f>
        <v>0.83728142789296867</v>
      </c>
      <c r="M45" s="25">
        <f t="shared" si="139"/>
        <v>0.87064290280373224</v>
      </c>
      <c r="N45" s="25">
        <f t="shared" si="139"/>
        <v>0.98784405016106425</v>
      </c>
      <c r="O45" s="25">
        <f t="shared" si="139"/>
        <v>0.99825019711613017</v>
      </c>
      <c r="P45" s="35"/>
      <c r="Q45" s="11">
        <f>Q43/Q42</f>
        <v>0.73456038534207957</v>
      </c>
      <c r="R45" s="11">
        <f t="shared" ref="R45:Y45" si="140">R43/R42</f>
        <v>0.77555233784678479</v>
      </c>
      <c r="S45" s="11">
        <f t="shared" si="140"/>
        <v>0.7679771441635791</v>
      </c>
      <c r="T45" s="11">
        <f t="shared" si="140"/>
        <v>0.78391056117650793</v>
      </c>
      <c r="U45" s="11">
        <f t="shared" si="140"/>
        <v>0.79767634361758444</v>
      </c>
      <c r="V45" s="11">
        <f t="shared" si="140"/>
        <v>0.82982641804016177</v>
      </c>
      <c r="W45" s="11">
        <f t="shared" si="140"/>
        <v>0.83734740303103261</v>
      </c>
      <c r="X45" s="11">
        <f t="shared" si="140"/>
        <v>0.84488867560970338</v>
      </c>
      <c r="Y45" s="11">
        <f t="shared" si="140"/>
        <v>0.84529247996446943</v>
      </c>
      <c r="Z45" s="11">
        <f t="shared" ref="Z45:AC45" si="141">Z43/Z42</f>
        <v>0.83728142789296867</v>
      </c>
      <c r="AA45" s="11">
        <f t="shared" si="141"/>
        <v>0.85385456591066999</v>
      </c>
      <c r="AB45" s="11">
        <f t="shared" si="141"/>
        <v>0.88542181442757484</v>
      </c>
      <c r="AC45" s="11">
        <f t="shared" si="141"/>
        <v>0.91129197108938842</v>
      </c>
    </row>
    <row r="46" spans="2:34" x14ac:dyDescent="0.2">
      <c r="B46" s="1" t="s">
        <v>21</v>
      </c>
      <c r="C46" s="13">
        <f>C10+C25+C34</f>
        <v>-115072.59866410727</v>
      </c>
      <c r="D46" s="13">
        <f t="shared" ref="D46:K46" si="142">D10+D25+D34</f>
        <v>-174090.72836434341</v>
      </c>
      <c r="E46" s="13">
        <f t="shared" si="142"/>
        <v>-243428.26471143577</v>
      </c>
      <c r="F46" s="13">
        <f t="shared" si="142"/>
        <v>-275746.92608281114</v>
      </c>
      <c r="G46" s="13">
        <f t="shared" si="142"/>
        <v>3608119.7954796916</v>
      </c>
      <c r="H46" s="13">
        <f t="shared" si="142"/>
        <v>36779.691755993292</v>
      </c>
      <c r="I46" s="13">
        <f t="shared" si="142"/>
        <v>-464244.22516160063</v>
      </c>
      <c r="J46" s="13">
        <f t="shared" si="142"/>
        <v>-282443.22150813282</v>
      </c>
      <c r="K46" s="13">
        <f t="shared" si="142"/>
        <v>-5717092.8611451508</v>
      </c>
      <c r="L46" s="29">
        <f t="shared" ref="L46:O46" si="143">L10+L25+L34</f>
        <v>-330536.00772431813</v>
      </c>
      <c r="M46" s="29">
        <f t="shared" si="143"/>
        <v>-33376.101257340866</v>
      </c>
      <c r="N46" s="29">
        <f t="shared" si="143"/>
        <v>-261454.00000000012</v>
      </c>
      <c r="O46" s="29">
        <f t="shared" si="143"/>
        <v>-5780589</v>
      </c>
      <c r="Q46" s="13">
        <f>Q10+Q25+Q34</f>
        <v>-115072.59866410727</v>
      </c>
      <c r="R46" s="13">
        <f t="shared" ref="R46:Y46" si="144">R10+R25+R34</f>
        <v>-174090.72836434341</v>
      </c>
      <c r="S46" s="13">
        <f t="shared" si="144"/>
        <v>-417518.99307577917</v>
      </c>
      <c r="T46" s="13">
        <f t="shared" si="144"/>
        <v>-693265.91915859026</v>
      </c>
      <c r="U46" s="13">
        <f t="shared" si="144"/>
        <v>2914853.8763211016</v>
      </c>
      <c r="V46" s="13">
        <f t="shared" si="144"/>
        <v>36779.691755993292</v>
      </c>
      <c r="W46" s="13">
        <f t="shared" si="144"/>
        <v>-427464.53340560733</v>
      </c>
      <c r="X46" s="13">
        <f t="shared" si="144"/>
        <v>-709907.75491374033</v>
      </c>
      <c r="Y46" s="13">
        <f t="shared" si="144"/>
        <v>-6427000.6160588907</v>
      </c>
      <c r="Z46" s="13">
        <f t="shared" ref="Z46:AC46" si="145">Z10+Z25+Z34</f>
        <v>-330536.00772431813</v>
      </c>
      <c r="AA46" s="13">
        <f t="shared" si="145"/>
        <v>-363912.10898165894</v>
      </c>
      <c r="AB46" s="13">
        <f t="shared" si="145"/>
        <v>-625366.10898165894</v>
      </c>
      <c r="AC46" s="13">
        <f t="shared" si="145"/>
        <v>-6405955.1089816587</v>
      </c>
    </row>
    <row r="47" spans="2:34" x14ac:dyDescent="0.2">
      <c r="B47" s="1" t="s">
        <v>13</v>
      </c>
      <c r="C47" s="13">
        <f>C11+C26+C35</f>
        <v>2424772.0300000003</v>
      </c>
      <c r="D47" s="13">
        <f t="shared" ref="D47:K47" si="146">D11+D26+D35</f>
        <v>805806.76</v>
      </c>
      <c r="E47" s="13">
        <f t="shared" si="146"/>
        <v>897288.87</v>
      </c>
      <c r="F47" s="13">
        <f t="shared" si="146"/>
        <v>922497.87</v>
      </c>
      <c r="G47" s="13">
        <f t="shared" si="146"/>
        <v>958481.49</v>
      </c>
      <c r="H47" s="13">
        <f t="shared" si="146"/>
        <v>989402.47</v>
      </c>
      <c r="I47" s="13">
        <f t="shared" si="146"/>
        <v>1145971.72</v>
      </c>
      <c r="J47" s="13">
        <f t="shared" si="146"/>
        <v>1117121.49</v>
      </c>
      <c r="K47" s="13">
        <f t="shared" si="146"/>
        <v>1134554.48</v>
      </c>
      <c r="L47" s="29">
        <f t="shared" ref="L47:O47" si="147">L11+L26+L35</f>
        <v>1044244.8998454661</v>
      </c>
      <c r="M47" s="29">
        <f t="shared" si="147"/>
        <v>974796.09883260389</v>
      </c>
      <c r="N47" s="29">
        <f t="shared" si="147"/>
        <v>1053362</v>
      </c>
      <c r="O47" s="29">
        <f t="shared" si="147"/>
        <v>1012615</v>
      </c>
      <c r="Q47" s="13">
        <f>Q11+Q26+Q35</f>
        <v>2424772.0300000003</v>
      </c>
      <c r="R47" s="13">
        <f t="shared" ref="R47:Y47" si="148">R11+R26+R35</f>
        <v>805806.76</v>
      </c>
      <c r="S47" s="13">
        <f t="shared" si="148"/>
        <v>1703095.63</v>
      </c>
      <c r="T47" s="13">
        <f t="shared" si="148"/>
        <v>2625593.5</v>
      </c>
      <c r="U47" s="13">
        <f t="shared" si="148"/>
        <v>3584074.99</v>
      </c>
      <c r="V47" s="13">
        <f t="shared" si="148"/>
        <v>989402.47</v>
      </c>
      <c r="W47" s="13">
        <f t="shared" si="148"/>
        <v>2135374.19</v>
      </c>
      <c r="X47" s="13">
        <f t="shared" si="148"/>
        <v>3252495.68</v>
      </c>
      <c r="Y47" s="13">
        <f t="shared" si="148"/>
        <v>4387050.16</v>
      </c>
      <c r="Z47" s="13">
        <f t="shared" ref="Z47:AC47" si="149">Z11+Z26+Z35</f>
        <v>1044244.8998454661</v>
      </c>
      <c r="AA47" s="13">
        <f t="shared" si="149"/>
        <v>2019040.99867807</v>
      </c>
      <c r="AB47" s="13">
        <f t="shared" si="149"/>
        <v>3072402.99867807</v>
      </c>
      <c r="AC47" s="13">
        <f t="shared" si="149"/>
        <v>4085017.99867807</v>
      </c>
    </row>
    <row r="48" spans="2:34" x14ac:dyDescent="0.2">
      <c r="B48" s="1" t="s">
        <v>20</v>
      </c>
      <c r="C48" s="13">
        <f>C36</f>
        <v>903157</v>
      </c>
      <c r="D48" s="13">
        <f t="shared" ref="D48:K48" si="150">D36</f>
        <v>190682</v>
      </c>
      <c r="E48" s="13">
        <f t="shared" si="150"/>
        <v>241385</v>
      </c>
      <c r="F48" s="13">
        <f t="shared" si="150"/>
        <v>225457</v>
      </c>
      <c r="G48" s="13">
        <f t="shared" si="150"/>
        <v>-3812514</v>
      </c>
      <c r="H48" s="13">
        <f t="shared" si="150"/>
        <v>87217</v>
      </c>
      <c r="I48" s="13">
        <f t="shared" si="150"/>
        <v>182814</v>
      </c>
      <c r="J48" s="13">
        <f t="shared" si="150"/>
        <v>89436</v>
      </c>
      <c r="K48" s="13">
        <f t="shared" si="150"/>
        <v>5630093</v>
      </c>
      <c r="L48" s="29">
        <f t="shared" ref="L48:O48" si="151">L36</f>
        <v>388387.30020428292</v>
      </c>
      <c r="M48" s="29">
        <f t="shared" si="151"/>
        <v>214769.69979571708</v>
      </c>
      <c r="N48" s="29">
        <f t="shared" si="151"/>
        <v>-243690</v>
      </c>
      <c r="O48" s="29">
        <f t="shared" si="151"/>
        <v>5630093</v>
      </c>
      <c r="Q48" s="13">
        <f>Q36</f>
        <v>903157</v>
      </c>
      <c r="R48" s="13">
        <f t="shared" ref="R48:Y48" si="152">R36</f>
        <v>190682</v>
      </c>
      <c r="S48" s="13">
        <f t="shared" si="152"/>
        <v>432067</v>
      </c>
      <c r="T48" s="13">
        <f t="shared" si="152"/>
        <v>657524</v>
      </c>
      <c r="U48" s="13">
        <f t="shared" si="152"/>
        <v>-3154990</v>
      </c>
      <c r="V48" s="13">
        <f t="shared" si="152"/>
        <v>87217</v>
      </c>
      <c r="W48" s="13">
        <f t="shared" si="152"/>
        <v>270031</v>
      </c>
      <c r="X48" s="13">
        <f t="shared" si="152"/>
        <v>359467</v>
      </c>
      <c r="Y48" s="13">
        <f t="shared" si="152"/>
        <v>5989560</v>
      </c>
      <c r="Z48" s="13">
        <f t="shared" ref="Z48:AC48" si="153">Z36</f>
        <v>388387.30020428292</v>
      </c>
      <c r="AA48" s="13">
        <f t="shared" si="153"/>
        <v>603157</v>
      </c>
      <c r="AB48" s="13">
        <f t="shared" si="153"/>
        <v>359467</v>
      </c>
      <c r="AC48" s="13">
        <f t="shared" si="153"/>
        <v>5989560</v>
      </c>
    </row>
    <row r="49" spans="2:29" x14ac:dyDescent="0.2">
      <c r="B49" s="1" t="s">
        <v>11</v>
      </c>
      <c r="C49" s="13">
        <f>C46+C47+C48</f>
        <v>3212856.431335893</v>
      </c>
      <c r="D49" s="13">
        <f t="shared" ref="D49:J49" si="154">D46+D47+D48</f>
        <v>822398.0316356566</v>
      </c>
      <c r="E49" s="13">
        <f t="shared" si="154"/>
        <v>895245.60528856423</v>
      </c>
      <c r="F49" s="13">
        <f t="shared" si="154"/>
        <v>872207.94391718879</v>
      </c>
      <c r="G49" s="13">
        <f t="shared" si="154"/>
        <v>754087.28547969181</v>
      </c>
      <c r="H49" s="13">
        <f t="shared" si="154"/>
        <v>1113399.1617559933</v>
      </c>
      <c r="I49" s="13">
        <f t="shared" si="154"/>
        <v>864541.49483839935</v>
      </c>
      <c r="J49" s="13">
        <f t="shared" si="154"/>
        <v>924114.26849186723</v>
      </c>
      <c r="K49" s="13">
        <f>K46+K47+K48</f>
        <v>1047554.6188548487</v>
      </c>
      <c r="L49" s="29">
        <f t="shared" ref="L49:O49" si="155">L46+L47+L48</f>
        <v>1102096.1923254309</v>
      </c>
      <c r="M49" s="29">
        <f t="shared" si="155"/>
        <v>1156189.6973709802</v>
      </c>
      <c r="N49" s="29">
        <f t="shared" si="155"/>
        <v>548217.99999999988</v>
      </c>
      <c r="O49" s="29">
        <f>O46+O47+O48</f>
        <v>862119</v>
      </c>
      <c r="Q49" s="13">
        <f>Q46+Q47+Q48</f>
        <v>3212856.431335893</v>
      </c>
      <c r="R49" s="13">
        <f t="shared" ref="R49:X49" si="156">R46+R47+R48</f>
        <v>822398.0316356566</v>
      </c>
      <c r="S49" s="13">
        <f t="shared" si="156"/>
        <v>1717643.6369242207</v>
      </c>
      <c r="T49" s="13">
        <f t="shared" si="156"/>
        <v>2589851.58084141</v>
      </c>
      <c r="U49" s="13">
        <f t="shared" si="156"/>
        <v>3343938.8663211018</v>
      </c>
      <c r="V49" s="13">
        <f t="shared" si="156"/>
        <v>1113399.1617559933</v>
      </c>
      <c r="W49" s="13">
        <f t="shared" si="156"/>
        <v>1977940.6565943926</v>
      </c>
      <c r="X49" s="13">
        <f t="shared" si="156"/>
        <v>2902054.9250862598</v>
      </c>
      <c r="Y49" s="13">
        <f>Y46+Y47+Y48</f>
        <v>3949609.5439411094</v>
      </c>
      <c r="Z49" s="13">
        <f t="shared" ref="Z49:AC49" si="157">Z46+Z47+Z48</f>
        <v>1102096.1923254309</v>
      </c>
      <c r="AA49" s="13">
        <f t="shared" si="157"/>
        <v>2258285.8896964109</v>
      </c>
      <c r="AB49" s="13">
        <f t="shared" si="157"/>
        <v>2806503.8896964109</v>
      </c>
      <c r="AC49" s="13">
        <f>AC46+AC47+AC48</f>
        <v>3668622.8896964113</v>
      </c>
    </row>
    <row r="50" spans="2:29" s="7" customFormat="1" x14ac:dyDescent="0.2">
      <c r="B50" s="7" t="s">
        <v>12</v>
      </c>
      <c r="C50" s="11">
        <f>C49/C42</f>
        <v>0.29843547560638894</v>
      </c>
      <c r="D50" s="11">
        <f t="shared" ref="D50:K50" si="158">D49/D42</f>
        <v>0.28498197416626353</v>
      </c>
      <c r="E50" s="11">
        <f t="shared" si="158"/>
        <v>0.30470902259817401</v>
      </c>
      <c r="F50" s="11">
        <f t="shared" si="158"/>
        <v>0.29148494778330708</v>
      </c>
      <c r="G50" s="11">
        <f t="shared" si="158"/>
        <v>0.25610054583147102</v>
      </c>
      <c r="H50" s="11">
        <f t="shared" si="158"/>
        <v>0.32159373994261053</v>
      </c>
      <c r="I50" s="11">
        <f t="shared" si="158"/>
        <v>0.26064871146577412</v>
      </c>
      <c r="J50" s="11">
        <f t="shared" si="158"/>
        <v>0.28139263052141356</v>
      </c>
      <c r="K50" s="11">
        <f t="shared" si="158"/>
        <v>0.29127908897043764</v>
      </c>
      <c r="L50" s="25">
        <f t="shared" ref="L50:O50" si="159">L49/L42</f>
        <v>0.30955958244153525</v>
      </c>
      <c r="M50" s="25">
        <f t="shared" si="159"/>
        <v>0.3289703629179721</v>
      </c>
      <c r="N50" s="25">
        <f t="shared" si="159"/>
        <v>0.2514189432129203</v>
      </c>
      <c r="O50" s="25">
        <f t="shared" si="159"/>
        <v>0.31310467256931568</v>
      </c>
      <c r="P50" s="35"/>
      <c r="Q50" s="11">
        <f>Q49/Q42</f>
        <v>0.29843547560638894</v>
      </c>
      <c r="R50" s="11">
        <f t="shared" ref="R50:Y50" si="160">R49/R42</f>
        <v>0.28498197416626353</v>
      </c>
      <c r="S50" s="11">
        <f t="shared" si="160"/>
        <v>0.29493398282564615</v>
      </c>
      <c r="T50" s="11">
        <f t="shared" si="160"/>
        <v>0.29376334046960784</v>
      </c>
      <c r="U50" s="11">
        <f t="shared" si="160"/>
        <v>0.28433373090535652</v>
      </c>
      <c r="V50" s="11">
        <f t="shared" si="160"/>
        <v>0.32159373994261053</v>
      </c>
      <c r="W50" s="11">
        <f t="shared" si="160"/>
        <v>0.29177412304674843</v>
      </c>
      <c r="X50" s="11">
        <f t="shared" si="160"/>
        <v>0.28838613784116279</v>
      </c>
      <c r="Y50" s="11">
        <f t="shared" si="160"/>
        <v>0.2891478207759276</v>
      </c>
      <c r="Z50" s="11">
        <f t="shared" ref="Z50:AC50" si="161">Z49/Z42</f>
        <v>0.30955958244153525</v>
      </c>
      <c r="AA50" s="11">
        <f t="shared" si="161"/>
        <v>0.31920236786177753</v>
      </c>
      <c r="AB50" s="11">
        <f t="shared" si="161"/>
        <v>0.30323293396785561</v>
      </c>
      <c r="AC50" s="11">
        <f t="shared" si="161"/>
        <v>0.30549640188309812</v>
      </c>
    </row>
    <row r="51" spans="2:29" x14ac:dyDescent="0.2">
      <c r="B51" s="1" t="s">
        <v>14</v>
      </c>
      <c r="C51" s="13">
        <f>C49-C47</f>
        <v>788084.40133589273</v>
      </c>
      <c r="D51" s="13">
        <f t="shared" ref="D51:K51" si="162">D49-D47</f>
        <v>16591.271635656594</v>
      </c>
      <c r="E51" s="13">
        <f t="shared" si="162"/>
        <v>-2043.2647114357678</v>
      </c>
      <c r="F51" s="13">
        <f t="shared" si="162"/>
        <v>-50289.926082811202</v>
      </c>
      <c r="G51" s="13">
        <f t="shared" si="162"/>
        <v>-204394.20452030818</v>
      </c>
      <c r="H51" s="13">
        <f t="shared" si="162"/>
        <v>123996.69175599329</v>
      </c>
      <c r="I51" s="13">
        <f t="shared" si="162"/>
        <v>-281430.22516160063</v>
      </c>
      <c r="J51" s="13">
        <f t="shared" si="162"/>
        <v>-193007.22150813276</v>
      </c>
      <c r="K51" s="13">
        <f t="shared" si="162"/>
        <v>-86999.861145151313</v>
      </c>
      <c r="L51" s="29">
        <f t="shared" ref="L51:O51" si="163">L49-L47</f>
        <v>57851.292479964788</v>
      </c>
      <c r="M51" s="29">
        <f t="shared" si="163"/>
        <v>181393.59853837627</v>
      </c>
      <c r="N51" s="29">
        <f t="shared" si="163"/>
        <v>-505144.00000000012</v>
      </c>
      <c r="O51" s="29">
        <f t="shared" si="163"/>
        <v>-150496</v>
      </c>
      <c r="Q51" s="13">
        <f>Q49-Q47</f>
        <v>788084.40133589273</v>
      </c>
      <c r="R51" s="13">
        <f t="shared" ref="R51:Y51" si="164">R49-R47</f>
        <v>16591.271635656594</v>
      </c>
      <c r="S51" s="13">
        <f t="shared" si="164"/>
        <v>14548.006924220826</v>
      </c>
      <c r="T51" s="13">
        <f t="shared" si="164"/>
        <v>-35741.919158590026</v>
      </c>
      <c r="U51" s="13">
        <f t="shared" si="164"/>
        <v>-240136.12367889844</v>
      </c>
      <c r="V51" s="13">
        <f t="shared" si="164"/>
        <v>123996.69175599329</v>
      </c>
      <c r="W51" s="13">
        <f t="shared" si="164"/>
        <v>-157433.53340560733</v>
      </c>
      <c r="X51" s="13">
        <f t="shared" si="164"/>
        <v>-350440.75491374033</v>
      </c>
      <c r="Y51" s="13">
        <f t="shared" si="164"/>
        <v>-437440.61605889071</v>
      </c>
      <c r="Z51" s="13">
        <f t="shared" ref="Z51:AC51" si="165">Z49-Z47</f>
        <v>57851.292479964788</v>
      </c>
      <c r="AA51" s="13">
        <f t="shared" si="165"/>
        <v>239244.89101834083</v>
      </c>
      <c r="AB51" s="13">
        <f t="shared" si="165"/>
        <v>-265899.10898165917</v>
      </c>
      <c r="AC51" s="13">
        <f t="shared" si="165"/>
        <v>-416395.1089816587</v>
      </c>
    </row>
    <row r="52" spans="2:29" x14ac:dyDescent="0.2">
      <c r="B52" s="1" t="s">
        <v>15</v>
      </c>
      <c r="C52" s="10">
        <f>C14+C29</f>
        <v>4371779.3499999996</v>
      </c>
      <c r="D52" s="10">
        <f t="shared" ref="D52:K52" si="166">D14+D29</f>
        <v>776114.15</v>
      </c>
      <c r="E52" s="10">
        <f t="shared" si="166"/>
        <v>847005.85</v>
      </c>
      <c r="F52" s="10">
        <f t="shared" si="166"/>
        <v>825554</v>
      </c>
      <c r="G52" s="10">
        <f t="shared" si="166"/>
        <v>903200</v>
      </c>
      <c r="H52" s="10">
        <f t="shared" si="166"/>
        <v>783379</v>
      </c>
      <c r="I52" s="10">
        <f t="shared" si="166"/>
        <v>880577</v>
      </c>
      <c r="J52" s="10">
        <f t="shared" si="166"/>
        <v>827741</v>
      </c>
      <c r="K52" s="10">
        <f t="shared" si="166"/>
        <v>840589</v>
      </c>
      <c r="L52" s="27">
        <f t="shared" ref="L52:O52" si="167">L14+L29</f>
        <v>665231.99250936159</v>
      </c>
      <c r="M52" s="27">
        <f t="shared" si="167"/>
        <v>640781.42467006342</v>
      </c>
      <c r="N52" s="27">
        <f t="shared" si="167"/>
        <v>987114</v>
      </c>
      <c r="O52" s="27">
        <f t="shared" si="167"/>
        <v>642330</v>
      </c>
      <c r="Q52" s="10">
        <f>Q14+Q29</f>
        <v>4371779.3499999996</v>
      </c>
      <c r="R52" s="10">
        <f t="shared" ref="R52:Y52" si="168">R14+R29</f>
        <v>776114.15</v>
      </c>
      <c r="S52" s="10">
        <f t="shared" si="168"/>
        <v>1623120</v>
      </c>
      <c r="T52" s="10">
        <f t="shared" si="168"/>
        <v>2448674</v>
      </c>
      <c r="U52" s="10">
        <f t="shared" si="168"/>
        <v>3351874</v>
      </c>
      <c r="V52" s="10">
        <f t="shared" si="168"/>
        <v>783379</v>
      </c>
      <c r="W52" s="10">
        <f t="shared" si="168"/>
        <v>1663956</v>
      </c>
      <c r="X52" s="10">
        <f t="shared" si="168"/>
        <v>2491697</v>
      </c>
      <c r="Y52" s="10">
        <f t="shared" si="168"/>
        <v>3332286</v>
      </c>
      <c r="Z52" s="10">
        <f t="shared" ref="Z52:AC52" si="169">Z14+Z29</f>
        <v>665231.99250936159</v>
      </c>
      <c r="AA52" s="10">
        <f t="shared" si="169"/>
        <v>1306013.417179425</v>
      </c>
      <c r="AB52" s="10">
        <f t="shared" si="169"/>
        <v>2293127.4171794248</v>
      </c>
      <c r="AC52" s="10">
        <f t="shared" si="169"/>
        <v>2935457.4171794248</v>
      </c>
    </row>
    <row r="53" spans="2:29" x14ac:dyDescent="0.2">
      <c r="B53" s="1" t="s">
        <v>16</v>
      </c>
      <c r="C53" s="13">
        <f>C49-C52</f>
        <v>-1158922.9186641066</v>
      </c>
      <c r="D53" s="13">
        <f t="shared" ref="D53:K53" si="170">D49-D52</f>
        <v>46283.88163565658</v>
      </c>
      <c r="E53" s="13">
        <f t="shared" si="170"/>
        <v>48239.755288564251</v>
      </c>
      <c r="F53" s="13">
        <f t="shared" si="170"/>
        <v>46653.943917188793</v>
      </c>
      <c r="G53" s="13">
        <f t="shared" si="170"/>
        <v>-149112.71452030819</v>
      </c>
      <c r="H53" s="13">
        <f t="shared" si="170"/>
        <v>330020.16175599326</v>
      </c>
      <c r="I53" s="13">
        <f t="shared" si="170"/>
        <v>-16035.505161600653</v>
      </c>
      <c r="J53" s="13">
        <f t="shared" si="170"/>
        <v>96373.268491867231</v>
      </c>
      <c r="K53" s="13">
        <f t="shared" si="170"/>
        <v>206965.61885484867</v>
      </c>
      <c r="L53" s="29">
        <f t="shared" ref="L53:O53" si="171">L49-L52</f>
        <v>436864.19981606933</v>
      </c>
      <c r="M53" s="29">
        <f t="shared" si="171"/>
        <v>515408.27270091674</v>
      </c>
      <c r="N53" s="29">
        <f t="shared" si="171"/>
        <v>-438896.00000000012</v>
      </c>
      <c r="O53" s="29">
        <f t="shared" si="171"/>
        <v>219789</v>
      </c>
      <c r="Q53" s="13">
        <f>Q49-Q52</f>
        <v>-1158922.9186641066</v>
      </c>
      <c r="R53" s="13">
        <f t="shared" ref="R53:Y53" si="172">R49-R52</f>
        <v>46283.88163565658</v>
      </c>
      <c r="S53" s="13">
        <f t="shared" si="172"/>
        <v>94523.636924220715</v>
      </c>
      <c r="T53" s="13">
        <f t="shared" si="172"/>
        <v>141177.58084140997</v>
      </c>
      <c r="U53" s="13">
        <f t="shared" si="172"/>
        <v>-7935.1336788982153</v>
      </c>
      <c r="V53" s="13">
        <f t="shared" si="172"/>
        <v>330020.16175599326</v>
      </c>
      <c r="W53" s="13">
        <f t="shared" si="172"/>
        <v>313984.65659439261</v>
      </c>
      <c r="X53" s="13">
        <f t="shared" si="172"/>
        <v>410357.92508625984</v>
      </c>
      <c r="Y53" s="13">
        <f t="shared" si="172"/>
        <v>617323.54394110944</v>
      </c>
      <c r="Z53" s="13">
        <f t="shared" ref="Z53:AC53" si="173">Z49-Z52</f>
        <v>436864.19981606933</v>
      </c>
      <c r="AA53" s="13">
        <f t="shared" si="173"/>
        <v>952272.47251698584</v>
      </c>
      <c r="AB53" s="13">
        <f t="shared" si="173"/>
        <v>513376.47251698608</v>
      </c>
      <c r="AC53" s="13">
        <f t="shared" si="173"/>
        <v>733165.47251698654</v>
      </c>
    </row>
    <row r="54" spans="2:29" s="7" customFormat="1" x14ac:dyDescent="0.2">
      <c r="B54" s="7" t="s">
        <v>17</v>
      </c>
      <c r="C54" s="11">
        <f>C53/C42</f>
        <v>-0.10764991209982525</v>
      </c>
      <c r="D54" s="11">
        <f t="shared" ref="D54:K54" si="174">D53/D42</f>
        <v>1.6038550012545047E-2</v>
      </c>
      <c r="E54" s="11">
        <f t="shared" si="174"/>
        <v>1.6419057069389977E-2</v>
      </c>
      <c r="F54" s="11">
        <f t="shared" si="174"/>
        <v>1.5591376461801927E-2</v>
      </c>
      <c r="G54" s="11">
        <f t="shared" si="174"/>
        <v>-5.0641150320908934E-2</v>
      </c>
      <c r="H54" s="11">
        <f t="shared" si="174"/>
        <v>9.5322883042402162E-2</v>
      </c>
      <c r="I54" s="11">
        <f t="shared" si="174"/>
        <v>-4.8345091392695272E-3</v>
      </c>
      <c r="J54" s="11">
        <f t="shared" si="174"/>
        <v>2.9345643128235763E-2</v>
      </c>
      <c r="K54" s="11">
        <f t="shared" si="174"/>
        <v>5.7548079902644517E-2</v>
      </c>
      <c r="L54" s="25">
        <f t="shared" ref="L54:O54" si="175">L53/L42</f>
        <v>0.12270752790949216</v>
      </c>
      <c r="M54" s="25">
        <f t="shared" si="175"/>
        <v>0.14664898580820154</v>
      </c>
      <c r="N54" s="25">
        <f t="shared" si="175"/>
        <v>-0.20128264394889975</v>
      </c>
      <c r="O54" s="25">
        <f t="shared" si="175"/>
        <v>7.9823044010556926E-2</v>
      </c>
      <c r="P54" s="35"/>
      <c r="Q54" s="11">
        <f>Q53/Q42</f>
        <v>-0.10764991209982525</v>
      </c>
      <c r="R54" s="11">
        <f t="shared" ref="R54:Y54" si="176">R53/R42</f>
        <v>1.6038550012545047E-2</v>
      </c>
      <c r="S54" s="11">
        <f t="shared" si="176"/>
        <v>1.6230510281601364E-2</v>
      </c>
      <c r="T54" s="11">
        <f t="shared" si="176"/>
        <v>1.6013580876289721E-2</v>
      </c>
      <c r="U54" s="11">
        <f t="shared" si="176"/>
        <v>-6.7472111612976561E-4</v>
      </c>
      <c r="V54" s="11">
        <f t="shared" si="176"/>
        <v>9.5322883042402162E-2</v>
      </c>
      <c r="W54" s="11">
        <f t="shared" si="176"/>
        <v>4.6317162005103545E-2</v>
      </c>
      <c r="X54" s="11">
        <f t="shared" si="176"/>
        <v>4.0778531145347685E-2</v>
      </c>
      <c r="Y54" s="11">
        <f t="shared" si="176"/>
        <v>4.5193773070066758E-2</v>
      </c>
      <c r="Z54" s="11">
        <f t="shared" ref="Z54:AC54" si="177">Z53/Z42</f>
        <v>0.12270752790949216</v>
      </c>
      <c r="AA54" s="11">
        <f t="shared" si="177"/>
        <v>0.13460103942724222</v>
      </c>
      <c r="AB54" s="11">
        <f t="shared" si="177"/>
        <v>5.5468533132242877E-2</v>
      </c>
      <c r="AC54" s="11">
        <f t="shared" si="177"/>
        <v>6.1052722117588859E-2</v>
      </c>
    </row>
    <row r="55" spans="2:29" s="7" customFormat="1" x14ac:dyDescent="0.2">
      <c r="C55" s="4"/>
      <c r="D55" s="4"/>
      <c r="E55" s="4"/>
      <c r="F55" s="4"/>
      <c r="G55" s="4"/>
      <c r="H55" s="4"/>
      <c r="I55" s="4"/>
      <c r="J55" s="4"/>
      <c r="K55" s="4"/>
      <c r="L55" s="23"/>
      <c r="M55" s="23"/>
      <c r="N55" s="23"/>
      <c r="O55" s="23"/>
      <c r="P55" s="35"/>
    </row>
    <row r="56" spans="2:29" x14ac:dyDescent="0.2">
      <c r="B56" s="9" t="s">
        <v>28</v>
      </c>
    </row>
    <row r="57" spans="2:29" x14ac:dyDescent="0.2">
      <c r="C57" s="5"/>
      <c r="G57" s="5"/>
      <c r="H57" s="5"/>
      <c r="I57" s="5"/>
      <c r="J57" s="5"/>
      <c r="K57" s="5"/>
      <c r="L57" s="22"/>
      <c r="M57" s="22"/>
      <c r="N57" s="22"/>
      <c r="O57" s="22"/>
    </row>
    <row r="58" spans="2:29" s="3" customFormat="1" x14ac:dyDescent="0.2">
      <c r="B58" s="9" t="s">
        <v>36</v>
      </c>
      <c r="C58" s="18" t="s">
        <v>0</v>
      </c>
      <c r="D58" s="18" t="s">
        <v>1</v>
      </c>
      <c r="E58" s="18" t="s">
        <v>2</v>
      </c>
      <c r="F58" s="18" t="s">
        <v>3</v>
      </c>
      <c r="G58" s="18" t="s">
        <v>4</v>
      </c>
      <c r="H58" s="18" t="s">
        <v>1</v>
      </c>
      <c r="I58" s="18" t="s">
        <v>2</v>
      </c>
      <c r="J58" s="18" t="s">
        <v>3</v>
      </c>
      <c r="K58" s="18" t="s">
        <v>4</v>
      </c>
      <c r="L58" s="20" t="s">
        <v>1</v>
      </c>
      <c r="M58" s="20" t="s">
        <v>2</v>
      </c>
      <c r="N58" s="20" t="s">
        <v>3</v>
      </c>
      <c r="O58" s="20" t="s">
        <v>4</v>
      </c>
      <c r="P58" s="34"/>
      <c r="Q58" s="18" t="s">
        <v>0</v>
      </c>
      <c r="R58" s="18" t="s">
        <v>1</v>
      </c>
      <c r="S58" s="18" t="s">
        <v>2</v>
      </c>
      <c r="T58" s="18" t="s">
        <v>3</v>
      </c>
      <c r="U58" s="18" t="s">
        <v>4</v>
      </c>
      <c r="V58" s="18" t="s">
        <v>1</v>
      </c>
      <c r="W58" s="18" t="s">
        <v>2</v>
      </c>
      <c r="X58" s="18" t="s">
        <v>3</v>
      </c>
      <c r="Y58" s="18" t="s">
        <v>4</v>
      </c>
      <c r="Z58" s="18" t="s">
        <v>1</v>
      </c>
      <c r="AA58" s="18" t="s">
        <v>2</v>
      </c>
      <c r="AB58" s="18" t="s">
        <v>3</v>
      </c>
      <c r="AC58" s="18" t="s">
        <v>4</v>
      </c>
    </row>
    <row r="59" spans="2:29" s="3" customFormat="1" x14ac:dyDescent="0.2">
      <c r="B59" s="3" t="s">
        <v>37</v>
      </c>
      <c r="C59" s="18">
        <v>2022</v>
      </c>
      <c r="D59" s="18">
        <v>2023</v>
      </c>
      <c r="E59" s="18">
        <v>2023</v>
      </c>
      <c r="F59" s="18">
        <v>2023</v>
      </c>
      <c r="G59" s="18">
        <v>2023</v>
      </c>
      <c r="H59" s="18">
        <v>2024</v>
      </c>
      <c r="I59" s="18">
        <v>2024</v>
      </c>
      <c r="J59" s="18">
        <v>2024</v>
      </c>
      <c r="K59" s="18">
        <v>2024</v>
      </c>
      <c r="L59" s="20">
        <v>2025</v>
      </c>
      <c r="M59" s="20">
        <v>2025</v>
      </c>
      <c r="N59" s="20">
        <v>2025</v>
      </c>
      <c r="O59" s="20">
        <v>2025</v>
      </c>
      <c r="P59" s="34"/>
      <c r="Q59" s="18">
        <v>2022</v>
      </c>
      <c r="R59" s="18">
        <v>2023</v>
      </c>
      <c r="S59" s="18">
        <v>2023</v>
      </c>
      <c r="T59" s="18">
        <v>2023</v>
      </c>
      <c r="U59" s="18">
        <v>2023</v>
      </c>
      <c r="V59" s="18">
        <v>2024</v>
      </c>
      <c r="W59" s="18">
        <v>2024</v>
      </c>
      <c r="X59" s="18">
        <v>2024</v>
      </c>
      <c r="Y59" s="18">
        <v>2024</v>
      </c>
      <c r="Z59" s="20">
        <v>2025</v>
      </c>
      <c r="AA59" s="20">
        <v>2025</v>
      </c>
      <c r="AB59" s="20">
        <v>2025</v>
      </c>
      <c r="AC59" s="20">
        <v>2025</v>
      </c>
    </row>
    <row r="60" spans="2:29" x14ac:dyDescent="0.2">
      <c r="B60" s="3" t="s">
        <v>5</v>
      </c>
    </row>
    <row r="61" spans="2:29" x14ac:dyDescent="0.2">
      <c r="B61" s="1" t="s">
        <v>6</v>
      </c>
      <c r="C61" s="14">
        <f t="shared" ref="C61:K61" si="178">C5/1000000</f>
        <v>9.3711978440890178</v>
      </c>
      <c r="D61" s="14">
        <f t="shared" si="178"/>
        <v>9.4140981049390504</v>
      </c>
      <c r="E61" s="14">
        <f t="shared" si="178"/>
        <v>9.3722442342932517</v>
      </c>
      <c r="F61" s="14">
        <f t="shared" si="178"/>
        <v>9.4645404931860533</v>
      </c>
      <c r="G61" s="14">
        <f t="shared" si="178"/>
        <v>9.5950621261069546</v>
      </c>
      <c r="H61" s="14">
        <f t="shared" si="178"/>
        <v>10.457693785862197</v>
      </c>
      <c r="I61" s="14">
        <f t="shared" si="178"/>
        <v>10.413787962066966</v>
      </c>
      <c r="J61" s="14">
        <f t="shared" si="178"/>
        <v>10.503377409366502</v>
      </c>
      <c r="K61" s="14">
        <f t="shared" si="178"/>
        <v>11.072433713688898</v>
      </c>
      <c r="L61" s="24">
        <f t="shared" ref="L61:O61" si="179">L5/1000000</f>
        <v>11.039838</v>
      </c>
      <c r="M61" s="24">
        <f t="shared" si="179"/>
        <v>11.288943</v>
      </c>
      <c r="N61" s="24">
        <f t="shared" si="179"/>
        <v>0</v>
      </c>
      <c r="O61" s="24">
        <f t="shared" si="179"/>
        <v>0</v>
      </c>
      <c r="Q61" s="15">
        <f>C61</f>
        <v>9.3711978440890178</v>
      </c>
      <c r="R61" s="15">
        <f t="shared" ref="R61" si="180">D61</f>
        <v>9.4140981049390504</v>
      </c>
      <c r="S61" s="15">
        <f t="shared" ref="S61" si="181">E61</f>
        <v>9.3722442342932517</v>
      </c>
      <c r="T61" s="15">
        <f t="shared" ref="T61" si="182">F61</f>
        <v>9.4645404931860533</v>
      </c>
      <c r="U61" s="15">
        <f t="shared" ref="U61" si="183">G61</f>
        <v>9.5950621261069546</v>
      </c>
      <c r="V61" s="15">
        <f t="shared" ref="V61" si="184">H61</f>
        <v>10.457693785862197</v>
      </c>
      <c r="W61" s="15">
        <f t="shared" ref="W61" si="185">I61</f>
        <v>10.413787962066966</v>
      </c>
      <c r="X61" s="15">
        <f t="shared" ref="X61" si="186">J61</f>
        <v>10.503377409366502</v>
      </c>
      <c r="Y61" s="15">
        <f t="shared" ref="Y61" si="187">K61</f>
        <v>11.072433713688898</v>
      </c>
      <c r="Z61" s="15">
        <f t="shared" ref="Z61" si="188">L61</f>
        <v>11.039838</v>
      </c>
      <c r="AA61" s="15">
        <f t="shared" ref="AA61" si="189">M61</f>
        <v>11.288943</v>
      </c>
      <c r="AB61" s="15">
        <f t="shared" ref="AB61" si="190">N61</f>
        <v>0</v>
      </c>
      <c r="AC61" s="15">
        <f t="shared" ref="AC61" si="191">O61</f>
        <v>0</v>
      </c>
    </row>
    <row r="62" spans="2:29" x14ac:dyDescent="0.2">
      <c r="B62" s="1" t="s">
        <v>7</v>
      </c>
      <c r="C62" s="14">
        <f t="shared" ref="C62:K62" si="192">C6/1000000</f>
        <v>8.6465449999999997</v>
      </c>
      <c r="D62" s="14">
        <f t="shared" si="192"/>
        <v>2.363076</v>
      </c>
      <c r="E62" s="14">
        <f t="shared" si="192"/>
        <v>2.3576069999999998</v>
      </c>
      <c r="F62" s="14">
        <f t="shared" si="192"/>
        <v>2.3850699999999998</v>
      </c>
      <c r="G62" s="14">
        <f t="shared" si="192"/>
        <v>2.4124989999999999</v>
      </c>
      <c r="H62" s="14">
        <f t="shared" si="192"/>
        <v>2.591567</v>
      </c>
      <c r="I62" s="14">
        <f t="shared" si="192"/>
        <v>2.5906419999999999</v>
      </c>
      <c r="J62" s="14">
        <f t="shared" si="192"/>
        <v>2.550643</v>
      </c>
      <c r="K62" s="14">
        <f t="shared" si="192"/>
        <v>2.7534529999999999</v>
      </c>
      <c r="L62" s="24">
        <f t="shared" ref="L62:O62" si="193">L6/1000000</f>
        <v>2.7537250000000002</v>
      </c>
      <c r="M62" s="24">
        <f t="shared" si="193"/>
        <v>2.7986309999999999</v>
      </c>
      <c r="N62" s="24">
        <f t="shared" si="193"/>
        <v>2.1804960000000002</v>
      </c>
      <c r="O62" s="24">
        <f t="shared" si="193"/>
        <v>2.7534529999999999</v>
      </c>
      <c r="Q62" s="15">
        <f>C62</f>
        <v>8.6465449999999997</v>
      </c>
      <c r="R62" s="15">
        <f>D62</f>
        <v>2.363076</v>
      </c>
      <c r="S62" s="15">
        <f>R62+E62</f>
        <v>4.7206829999999993</v>
      </c>
      <c r="T62" s="15">
        <f>S62+F62</f>
        <v>7.1057529999999991</v>
      </c>
      <c r="U62" s="15">
        <f>T62+G62</f>
        <v>9.5182519999999986</v>
      </c>
      <c r="V62" s="15">
        <f>H62</f>
        <v>2.591567</v>
      </c>
      <c r="W62" s="15">
        <f>V62+I62</f>
        <v>5.1822090000000003</v>
      </c>
      <c r="X62" s="15">
        <f>W62+J62</f>
        <v>7.7328520000000003</v>
      </c>
      <c r="Y62" s="15">
        <f>X62+K62</f>
        <v>10.486305</v>
      </c>
      <c r="Z62" s="15">
        <f>L62</f>
        <v>2.7537250000000002</v>
      </c>
      <c r="AA62" s="15">
        <f>Z62+M62</f>
        <v>5.5523559999999996</v>
      </c>
      <c r="AB62" s="15">
        <f>AA62+N62</f>
        <v>7.7328519999999994</v>
      </c>
      <c r="AC62" s="15">
        <f>AB62+O62</f>
        <v>10.486305</v>
      </c>
    </row>
    <row r="63" spans="2:29" x14ac:dyDescent="0.2">
      <c r="B63" s="1" t="s">
        <v>8</v>
      </c>
      <c r="C63" s="14">
        <f t="shared" ref="C63:K63" si="194">C7/1000000</f>
        <v>7.3877540000000002</v>
      </c>
      <c r="D63" s="14">
        <f t="shared" si="194"/>
        <v>2.0660400000000001</v>
      </c>
      <c r="E63" s="14">
        <f t="shared" si="194"/>
        <v>2.0534650000000001</v>
      </c>
      <c r="F63" s="14">
        <f t="shared" si="194"/>
        <v>2.180666</v>
      </c>
      <c r="G63" s="14">
        <f t="shared" si="194"/>
        <v>2.2529270000000001</v>
      </c>
      <c r="H63" s="14">
        <f t="shared" si="194"/>
        <v>2.5694240000000002</v>
      </c>
      <c r="I63" s="14">
        <f t="shared" si="194"/>
        <v>2.5474709999999998</v>
      </c>
      <c r="J63" s="14">
        <f t="shared" si="194"/>
        <v>2.5506419999999999</v>
      </c>
      <c r="K63" s="14">
        <f t="shared" si="194"/>
        <v>2.7486350000000002</v>
      </c>
      <c r="L63" s="24">
        <f t="shared" ref="L63:O63" si="195">L7/1000000</f>
        <v>2.728199</v>
      </c>
      <c r="M63" s="24">
        <f t="shared" si="195"/>
        <v>2.7853479999999999</v>
      </c>
      <c r="N63" s="24">
        <f t="shared" si="195"/>
        <v>2.1539899999999998</v>
      </c>
      <c r="O63" s="24">
        <f t="shared" si="195"/>
        <v>2.7486350000000002</v>
      </c>
      <c r="Q63" s="15">
        <f t="shared" ref="Q63:Q67" si="196">C63</f>
        <v>7.3877540000000002</v>
      </c>
      <c r="R63" s="15">
        <f>D63</f>
        <v>2.0660400000000001</v>
      </c>
      <c r="S63" s="15">
        <f>R63+E63</f>
        <v>4.1195050000000002</v>
      </c>
      <c r="T63" s="15">
        <f>S63+F63</f>
        <v>6.3001710000000006</v>
      </c>
      <c r="U63" s="15">
        <f>T63+G63</f>
        <v>8.5530980000000003</v>
      </c>
      <c r="V63" s="15">
        <f>H63</f>
        <v>2.5694240000000002</v>
      </c>
      <c r="W63" s="15">
        <f>V63+I63</f>
        <v>5.1168949999999995</v>
      </c>
      <c r="X63" s="15">
        <f>W63+J63</f>
        <v>7.6675369999999994</v>
      </c>
      <c r="Y63" s="15">
        <f>X63+K63</f>
        <v>10.416172</v>
      </c>
      <c r="Z63" s="15">
        <f>L63</f>
        <v>2.728199</v>
      </c>
      <c r="AA63" s="15">
        <f>Z63+M63</f>
        <v>5.513547</v>
      </c>
      <c r="AB63" s="15">
        <f>AA63+N63</f>
        <v>7.6675369999999994</v>
      </c>
      <c r="AC63" s="15">
        <f>AB63+O63</f>
        <v>10.416172</v>
      </c>
    </row>
    <row r="64" spans="2:29" x14ac:dyDescent="0.2">
      <c r="B64" s="1" t="s">
        <v>9</v>
      </c>
      <c r="C64" s="14">
        <f>C62-C63</f>
        <v>1.2587909999999995</v>
      </c>
      <c r="D64" s="14">
        <f t="shared" ref="D64:K64" si="197">D62-D63</f>
        <v>0.29703599999999986</v>
      </c>
      <c r="E64" s="14">
        <f t="shared" si="197"/>
        <v>0.30414199999999969</v>
      </c>
      <c r="F64" s="14">
        <f t="shared" si="197"/>
        <v>0.20440399999999981</v>
      </c>
      <c r="G64" s="14">
        <f t="shared" si="197"/>
        <v>0.15957199999999983</v>
      </c>
      <c r="H64" s="14">
        <f t="shared" si="197"/>
        <v>2.2142999999999802E-2</v>
      </c>
      <c r="I64" s="14">
        <f t="shared" si="197"/>
        <v>4.317100000000007E-2</v>
      </c>
      <c r="J64" s="14">
        <f t="shared" si="197"/>
        <v>1.000000000139778E-6</v>
      </c>
      <c r="K64" s="14">
        <f t="shared" si="197"/>
        <v>4.8179999999997669E-3</v>
      </c>
      <c r="L64" s="24">
        <f t="shared" ref="L64:O64" si="198">L62-L63</f>
        <v>2.552600000000016E-2</v>
      </c>
      <c r="M64" s="24">
        <f t="shared" si="198"/>
        <v>1.3282999999999934E-2</v>
      </c>
      <c r="N64" s="24">
        <f t="shared" si="198"/>
        <v>2.6506000000000363E-2</v>
      </c>
      <c r="O64" s="24">
        <f t="shared" si="198"/>
        <v>4.8179999999997669E-3</v>
      </c>
      <c r="Q64" s="15">
        <f t="shared" si="196"/>
        <v>1.2587909999999995</v>
      </c>
      <c r="R64" s="15">
        <f>D64</f>
        <v>0.29703599999999986</v>
      </c>
      <c r="S64" s="15">
        <f>R64+E64</f>
        <v>0.60117799999999955</v>
      </c>
      <c r="T64" s="15">
        <f>S64+F64</f>
        <v>0.80558199999999935</v>
      </c>
      <c r="U64" s="15">
        <f>T64+G64</f>
        <v>0.96515399999999918</v>
      </c>
      <c r="V64" s="15">
        <f>H64</f>
        <v>2.2142999999999802E-2</v>
      </c>
      <c r="W64" s="15">
        <f>V64+I64</f>
        <v>6.5313999999999872E-2</v>
      </c>
      <c r="X64" s="15">
        <f>W64+J64</f>
        <v>6.5315000000000012E-2</v>
      </c>
      <c r="Y64" s="15">
        <f>X64+K64</f>
        <v>7.0132999999999779E-2</v>
      </c>
      <c r="Z64" s="15">
        <f>L64</f>
        <v>2.552600000000016E-2</v>
      </c>
      <c r="AA64" s="15">
        <f>Z64+M64</f>
        <v>3.8809000000000093E-2</v>
      </c>
      <c r="AB64" s="15">
        <f>AA64+N64</f>
        <v>6.5315000000000456E-2</v>
      </c>
      <c r="AC64" s="15">
        <f>AB64+O64</f>
        <v>7.0133000000000223E-2</v>
      </c>
    </row>
    <row r="65" spans="2:29" x14ac:dyDescent="0.2">
      <c r="B65" s="1" t="s">
        <v>10</v>
      </c>
      <c r="C65" s="11">
        <f>C63/C62</f>
        <v>0.8544168798057491</v>
      </c>
      <c r="D65" s="11">
        <f t="shared" ref="D65:K65" si="199">D63/D62</f>
        <v>0.87430112277387617</v>
      </c>
      <c r="E65" s="11">
        <f t="shared" si="199"/>
        <v>0.87099546277220941</v>
      </c>
      <c r="F65" s="11">
        <f t="shared" si="199"/>
        <v>0.91429853211855427</v>
      </c>
      <c r="G65" s="11">
        <f t="shared" si="199"/>
        <v>0.93385613838596415</v>
      </c>
      <c r="H65" s="11">
        <f t="shared" si="199"/>
        <v>0.99145574858763064</v>
      </c>
      <c r="I65" s="11">
        <f t="shared" si="199"/>
        <v>0.98333579089661938</v>
      </c>
      <c r="J65" s="11">
        <f t="shared" si="199"/>
        <v>0.99999960794199727</v>
      </c>
      <c r="K65" s="11">
        <f t="shared" si="199"/>
        <v>0.99825019711613028</v>
      </c>
      <c r="L65" s="25">
        <f t="shared" ref="L65:O65" si="200">L63/L62</f>
        <v>0.99073037431116029</v>
      </c>
      <c r="M65" s="25">
        <f t="shared" si="200"/>
        <v>0.99525375085175571</v>
      </c>
      <c r="N65" s="25">
        <f t="shared" si="200"/>
        <v>0.98784405016106414</v>
      </c>
      <c r="O65" s="25">
        <f t="shared" si="200"/>
        <v>0.99825019711613028</v>
      </c>
      <c r="Q65" s="7">
        <f t="shared" si="196"/>
        <v>0.8544168798057491</v>
      </c>
      <c r="R65" s="11">
        <f t="shared" ref="R65:Y65" si="201">R63/R62</f>
        <v>0.87430112277387617</v>
      </c>
      <c r="S65" s="11">
        <f t="shared" si="201"/>
        <v>0.87265020760767054</v>
      </c>
      <c r="T65" s="11">
        <f t="shared" si="201"/>
        <v>0.88662960843136562</v>
      </c>
      <c r="U65" s="11">
        <f t="shared" si="201"/>
        <v>0.89859965884492254</v>
      </c>
      <c r="V65" s="11">
        <f t="shared" si="201"/>
        <v>0.99145574858763064</v>
      </c>
      <c r="W65" s="11">
        <f t="shared" si="201"/>
        <v>0.98739649442930599</v>
      </c>
      <c r="X65" s="11">
        <f t="shared" si="201"/>
        <v>0.9915535691100773</v>
      </c>
      <c r="Y65" s="11">
        <f t="shared" si="201"/>
        <v>0.99331194353015673</v>
      </c>
      <c r="Z65" s="11">
        <f t="shared" ref="Z65:AC65" si="202">Z63/Z62</f>
        <v>0.99073037431116029</v>
      </c>
      <c r="AA65" s="11">
        <f t="shared" si="202"/>
        <v>0.99301035452337716</v>
      </c>
      <c r="AB65" s="11">
        <f t="shared" si="202"/>
        <v>0.99155356911007742</v>
      </c>
      <c r="AC65" s="11">
        <f t="shared" si="202"/>
        <v>0.99331194353015673</v>
      </c>
    </row>
    <row r="66" spans="2:29" x14ac:dyDescent="0.2">
      <c r="B66" s="1" t="s">
        <v>21</v>
      </c>
      <c r="C66" s="14">
        <f t="shared" ref="C66:K66" si="203">C10/1000000</f>
        <v>2.6573859999999998</v>
      </c>
      <c r="D66" s="14">
        <f t="shared" si="203"/>
        <v>0.63830699999999996</v>
      </c>
      <c r="E66" s="14">
        <f t="shared" si="203"/>
        <v>0.49182900000000002</v>
      </c>
      <c r="F66" s="14">
        <f t="shared" si="203"/>
        <v>0.46250999999999998</v>
      </c>
      <c r="G66" s="14">
        <f t="shared" si="203"/>
        <v>0.386851</v>
      </c>
      <c r="H66" s="14">
        <f t="shared" si="203"/>
        <v>0.59534200000000004</v>
      </c>
      <c r="I66" s="14">
        <f t="shared" si="203"/>
        <v>0.49138999999999999</v>
      </c>
      <c r="J66" s="14">
        <f t="shared" si="203"/>
        <v>0.422958</v>
      </c>
      <c r="K66" s="14">
        <f t="shared" si="203"/>
        <v>0.34629199999999999</v>
      </c>
      <c r="L66" s="24">
        <f t="shared" ref="L66:O66" si="204">L10/1000000</f>
        <v>0.54277301248292253</v>
      </c>
      <c r="M66" s="24">
        <f t="shared" si="204"/>
        <v>0.69167798751707743</v>
      </c>
      <c r="N66" s="24">
        <f t="shared" si="204"/>
        <v>0.27523900000000001</v>
      </c>
      <c r="O66" s="24">
        <f t="shared" si="204"/>
        <v>0.34629199999999999</v>
      </c>
      <c r="Q66" s="15">
        <f t="shared" si="196"/>
        <v>2.6573859999999998</v>
      </c>
      <c r="R66" s="15">
        <f t="shared" ref="R66:R67" si="205">D66</f>
        <v>0.63830699999999996</v>
      </c>
      <c r="S66" s="15">
        <f t="shared" ref="S66:S67" si="206">R66+E66</f>
        <v>1.130136</v>
      </c>
      <c r="T66" s="15">
        <f t="shared" ref="T66:T67" si="207">S66+F66</f>
        <v>1.592646</v>
      </c>
      <c r="U66" s="15">
        <f t="shared" ref="U66:U67" si="208">T66+G66</f>
        <v>1.9794970000000001</v>
      </c>
      <c r="V66" s="15">
        <f t="shared" ref="V66:V67" si="209">H66</f>
        <v>0.59534200000000004</v>
      </c>
      <c r="W66" s="15">
        <f t="shared" ref="W66:W67" si="210">V66+I66</f>
        <v>1.086732</v>
      </c>
      <c r="X66" s="15">
        <f t="shared" ref="X66:X67" si="211">W66+J66</f>
        <v>1.50969</v>
      </c>
      <c r="Y66" s="15">
        <f t="shared" ref="Y66:Y67" si="212">X66+K66</f>
        <v>1.855982</v>
      </c>
      <c r="Z66" s="15">
        <f t="shared" ref="Z66:Z67" si="213">L66</f>
        <v>0.54277301248292253</v>
      </c>
      <c r="AA66" s="15">
        <f t="shared" ref="AA66:AA67" si="214">Z66+M66</f>
        <v>1.234451</v>
      </c>
      <c r="AB66" s="15">
        <f t="shared" ref="AB66:AB67" si="215">AA66+N66</f>
        <v>1.50969</v>
      </c>
      <c r="AC66" s="15">
        <f t="shared" ref="AC66:AC67" si="216">AB66+O66</f>
        <v>1.855982</v>
      </c>
    </row>
    <row r="67" spans="2:29" x14ac:dyDescent="0.2">
      <c r="B67" s="1" t="s">
        <v>13</v>
      </c>
      <c r="C67" s="14">
        <f t="shared" ref="C67:K67" si="217">C11/1000000</f>
        <v>1.6128009999999999</v>
      </c>
      <c r="D67" s="14">
        <f t="shared" si="217"/>
        <v>0.52770099999999998</v>
      </c>
      <c r="E67" s="14">
        <f t="shared" si="217"/>
        <v>0.61035200000000001</v>
      </c>
      <c r="F67" s="14">
        <f t="shared" si="217"/>
        <v>0.62269699999999994</v>
      </c>
      <c r="G67" s="14">
        <f t="shared" si="217"/>
        <v>0.66134300000000001</v>
      </c>
      <c r="H67" s="14">
        <f t="shared" si="217"/>
        <v>0.68056700000000003</v>
      </c>
      <c r="I67" s="14">
        <f t="shared" si="217"/>
        <v>0.71058200000000005</v>
      </c>
      <c r="J67" s="14">
        <f t="shared" si="217"/>
        <v>0.74582999999999999</v>
      </c>
      <c r="K67" s="14">
        <f t="shared" si="217"/>
        <v>0.77839899999999995</v>
      </c>
      <c r="L67" s="24">
        <f t="shared" ref="L67:O67" si="218">L11/1000000</f>
        <v>0.76282799999999995</v>
      </c>
      <c r="M67" s="24">
        <f t="shared" si="218"/>
        <v>0.706349</v>
      </c>
      <c r="N67" s="24">
        <f t="shared" si="218"/>
        <v>0.66780200000000001</v>
      </c>
      <c r="O67" s="24">
        <f t="shared" si="218"/>
        <v>0.77839899999999995</v>
      </c>
      <c r="Q67" s="15">
        <f t="shared" si="196"/>
        <v>1.6128009999999999</v>
      </c>
      <c r="R67" s="15">
        <f t="shared" si="205"/>
        <v>0.52770099999999998</v>
      </c>
      <c r="S67" s="15">
        <f t="shared" si="206"/>
        <v>1.138053</v>
      </c>
      <c r="T67" s="15">
        <f t="shared" si="207"/>
        <v>1.7607499999999998</v>
      </c>
      <c r="U67" s="15">
        <f t="shared" si="208"/>
        <v>2.4220929999999998</v>
      </c>
      <c r="V67" s="15">
        <f t="shared" si="209"/>
        <v>0.68056700000000003</v>
      </c>
      <c r="W67" s="15">
        <f t="shared" si="210"/>
        <v>1.391149</v>
      </c>
      <c r="X67" s="15">
        <f t="shared" si="211"/>
        <v>2.1369790000000002</v>
      </c>
      <c r="Y67" s="15">
        <f t="shared" si="212"/>
        <v>2.915378</v>
      </c>
      <c r="Z67" s="15">
        <f t="shared" si="213"/>
        <v>0.76282799999999995</v>
      </c>
      <c r="AA67" s="15">
        <f t="shared" si="214"/>
        <v>1.469177</v>
      </c>
      <c r="AB67" s="15">
        <f t="shared" si="215"/>
        <v>2.1369790000000002</v>
      </c>
      <c r="AC67" s="15">
        <f t="shared" si="216"/>
        <v>2.915378</v>
      </c>
    </row>
    <row r="68" spans="2:29" x14ac:dyDescent="0.2">
      <c r="B68" s="1" t="s">
        <v>11</v>
      </c>
      <c r="C68" s="14">
        <f>C66+C67</f>
        <v>4.270187</v>
      </c>
      <c r="D68" s="14">
        <f t="shared" ref="D68:K68" si="219">D66+D67</f>
        <v>1.1660079999999999</v>
      </c>
      <c r="E68" s="14">
        <f t="shared" si="219"/>
        <v>1.1021810000000001</v>
      </c>
      <c r="F68" s="14">
        <f t="shared" si="219"/>
        <v>1.085207</v>
      </c>
      <c r="G68" s="14">
        <f t="shared" si="219"/>
        <v>1.0481940000000001</v>
      </c>
      <c r="H68" s="14">
        <f t="shared" si="219"/>
        <v>1.275909</v>
      </c>
      <c r="I68" s="14">
        <f t="shared" si="219"/>
        <v>1.201972</v>
      </c>
      <c r="J68" s="14">
        <f t="shared" si="219"/>
        <v>1.1687879999999999</v>
      </c>
      <c r="K68" s="14">
        <f t="shared" si="219"/>
        <v>1.1246909999999999</v>
      </c>
      <c r="L68" s="24">
        <f t="shared" ref="L68:O68" si="220">L66+L67</f>
        <v>1.3056010124829225</v>
      </c>
      <c r="M68" s="24">
        <f t="shared" si="220"/>
        <v>1.3980269875170774</v>
      </c>
      <c r="N68" s="24">
        <f t="shared" si="220"/>
        <v>0.94304100000000002</v>
      </c>
      <c r="O68" s="24">
        <f t="shared" si="220"/>
        <v>1.1246909999999999</v>
      </c>
      <c r="Q68" s="14">
        <f>Q66+Q67</f>
        <v>4.270187</v>
      </c>
      <c r="R68" s="14">
        <f t="shared" ref="R68:Y68" si="221">R66+R67</f>
        <v>1.1660079999999999</v>
      </c>
      <c r="S68" s="14">
        <f t="shared" si="221"/>
        <v>2.268189</v>
      </c>
      <c r="T68" s="14">
        <f t="shared" si="221"/>
        <v>3.353396</v>
      </c>
      <c r="U68" s="14">
        <f t="shared" si="221"/>
        <v>4.4015899999999997</v>
      </c>
      <c r="V68" s="14">
        <f t="shared" si="221"/>
        <v>1.275909</v>
      </c>
      <c r="W68" s="14">
        <f t="shared" si="221"/>
        <v>2.477881</v>
      </c>
      <c r="X68" s="14">
        <f t="shared" si="221"/>
        <v>3.6466690000000002</v>
      </c>
      <c r="Y68" s="14">
        <f t="shared" si="221"/>
        <v>4.7713599999999996</v>
      </c>
      <c r="Z68" s="14">
        <f t="shared" ref="Z68:AC68" si="222">Z66+Z67</f>
        <v>1.3056010124829225</v>
      </c>
      <c r="AA68" s="14">
        <f t="shared" si="222"/>
        <v>2.7036280000000001</v>
      </c>
      <c r="AB68" s="14">
        <f t="shared" si="222"/>
        <v>3.6466690000000002</v>
      </c>
      <c r="AC68" s="14">
        <f t="shared" si="222"/>
        <v>4.7713599999999996</v>
      </c>
    </row>
    <row r="69" spans="2:29" x14ac:dyDescent="0.2">
      <c r="B69" s="7" t="s">
        <v>34</v>
      </c>
      <c r="C69" s="11">
        <f>C68/C62</f>
        <v>0.49386049572401464</v>
      </c>
      <c r="D69" s="11">
        <f t="shared" ref="D69:K69" si="223">D68/D62</f>
        <v>0.49342805732866823</v>
      </c>
      <c r="E69" s="11">
        <f t="shared" si="223"/>
        <v>0.46749988441669887</v>
      </c>
      <c r="F69" s="11">
        <f t="shared" si="223"/>
        <v>0.45500006289123596</v>
      </c>
      <c r="G69" s="11">
        <f t="shared" si="223"/>
        <v>0.43448473968279366</v>
      </c>
      <c r="H69" s="11">
        <f t="shared" si="223"/>
        <v>0.49233108771642792</v>
      </c>
      <c r="I69" s="11">
        <f t="shared" si="223"/>
        <v>0.46396684682792916</v>
      </c>
      <c r="J69" s="11">
        <f t="shared" si="223"/>
        <v>0.45823268877690837</v>
      </c>
      <c r="K69" s="11">
        <f t="shared" si="223"/>
        <v>0.40846566111714994</v>
      </c>
      <c r="L69" s="25">
        <f t="shared" ref="L69:O69" si="224">L68/L62</f>
        <v>0.47412178503043056</v>
      </c>
      <c r="M69" s="25">
        <f t="shared" si="224"/>
        <v>0.49953959186369246</v>
      </c>
      <c r="N69" s="25">
        <f t="shared" si="224"/>
        <v>0.43248921346335878</v>
      </c>
      <c r="O69" s="25">
        <f t="shared" si="224"/>
        <v>0.40846566111714994</v>
      </c>
      <c r="P69" s="35"/>
      <c r="Q69" s="7">
        <f t="shared" ref="Q69:Q70" si="225">C69</f>
        <v>0.49386049572401464</v>
      </c>
      <c r="R69" s="11">
        <f t="shared" ref="R69:Y69" si="226">R68/R62</f>
        <v>0.49342805732866823</v>
      </c>
      <c r="S69" s="11">
        <f t="shared" si="226"/>
        <v>0.48047899001055577</v>
      </c>
      <c r="T69" s="11">
        <f t="shared" si="226"/>
        <v>0.47192690204683452</v>
      </c>
      <c r="U69" s="11">
        <f t="shared" si="226"/>
        <v>0.46243680037048823</v>
      </c>
      <c r="V69" s="11">
        <f t="shared" si="226"/>
        <v>0.49233108771642792</v>
      </c>
      <c r="W69" s="11">
        <f t="shared" si="226"/>
        <v>0.47815149871415835</v>
      </c>
      <c r="X69" s="11">
        <f t="shared" si="226"/>
        <v>0.47158137773747644</v>
      </c>
      <c r="Y69" s="11">
        <f t="shared" si="226"/>
        <v>0.45500869944179573</v>
      </c>
      <c r="Z69" s="11">
        <f t="shared" ref="Z69:AC69" si="227">Z68/Z62</f>
        <v>0.47412178503043056</v>
      </c>
      <c r="AA69" s="11">
        <f t="shared" si="227"/>
        <v>0.48693347472676468</v>
      </c>
      <c r="AB69" s="11">
        <f t="shared" si="227"/>
        <v>0.47158137773747649</v>
      </c>
      <c r="AC69" s="11">
        <f t="shared" si="227"/>
        <v>0.45500869944179573</v>
      </c>
    </row>
    <row r="70" spans="2:29" x14ac:dyDescent="0.2">
      <c r="B70" s="1" t="s">
        <v>15</v>
      </c>
      <c r="C70" s="14">
        <f t="shared" ref="C70:K70" si="228">C14/1000000</f>
        <v>4.0460180000000001</v>
      </c>
      <c r="D70" s="14">
        <f t="shared" si="228"/>
        <v>0.66092799999999996</v>
      </c>
      <c r="E70" s="14">
        <f t="shared" si="228"/>
        <v>0.68236600000000003</v>
      </c>
      <c r="F70" s="14">
        <f t="shared" si="228"/>
        <v>0.67120800000000003</v>
      </c>
      <c r="G70" s="14">
        <f t="shared" si="228"/>
        <v>0.68202799999999997</v>
      </c>
      <c r="H70" s="14">
        <f t="shared" si="228"/>
        <v>0.69230800000000003</v>
      </c>
      <c r="I70" s="14">
        <f t="shared" si="228"/>
        <v>0.73626599999999998</v>
      </c>
      <c r="J70" s="14">
        <f t="shared" si="228"/>
        <v>0.75765199999999999</v>
      </c>
      <c r="K70" s="14">
        <f t="shared" si="228"/>
        <v>0.64232999999999996</v>
      </c>
      <c r="L70" s="24">
        <f t="shared" ref="L70:O70" si="229">L14/1000000</f>
        <v>0.61762300000000003</v>
      </c>
      <c r="M70" s="24">
        <f t="shared" si="229"/>
        <v>0.58148900000000003</v>
      </c>
      <c r="N70" s="24">
        <f t="shared" si="229"/>
        <v>0.98711400000000005</v>
      </c>
      <c r="O70" s="24">
        <f t="shared" si="229"/>
        <v>0.64232999999999996</v>
      </c>
      <c r="Q70" s="15">
        <f t="shared" si="225"/>
        <v>4.0460180000000001</v>
      </c>
      <c r="R70" s="15">
        <f>D70</f>
        <v>0.66092799999999996</v>
      </c>
      <c r="S70" s="15">
        <f>R70+E70</f>
        <v>1.343294</v>
      </c>
      <c r="T70" s="15">
        <f>S70+F70</f>
        <v>2.0145020000000002</v>
      </c>
      <c r="U70" s="15">
        <f>T70+G70</f>
        <v>2.6965300000000001</v>
      </c>
      <c r="V70" s="15">
        <f>H70</f>
        <v>0.69230800000000003</v>
      </c>
      <c r="W70" s="15">
        <f>V70+I70</f>
        <v>1.428574</v>
      </c>
      <c r="X70" s="15">
        <f>W70+J70</f>
        <v>2.186226</v>
      </c>
      <c r="Y70" s="15">
        <f>X70+K70</f>
        <v>2.8285559999999998</v>
      </c>
      <c r="Z70" s="15">
        <f>L70</f>
        <v>0.61762300000000003</v>
      </c>
      <c r="AA70" s="15">
        <f>Z70+M70</f>
        <v>1.199112</v>
      </c>
      <c r="AB70" s="15">
        <f>AA70+N70</f>
        <v>2.186226</v>
      </c>
      <c r="AC70" s="15">
        <f>AB70+O70</f>
        <v>2.8285559999999998</v>
      </c>
    </row>
    <row r="71" spans="2:29" x14ac:dyDescent="0.2">
      <c r="B71" s="1" t="s">
        <v>16</v>
      </c>
      <c r="C71" s="14">
        <f>C68-C70</f>
        <v>0.22416899999999984</v>
      </c>
      <c r="D71" s="14">
        <f t="shared" ref="D71:K71" si="230">D68-D70</f>
        <v>0.50507999999999997</v>
      </c>
      <c r="E71" s="14">
        <f t="shared" si="230"/>
        <v>0.41981500000000005</v>
      </c>
      <c r="F71" s="14">
        <f t="shared" si="230"/>
        <v>0.41399900000000001</v>
      </c>
      <c r="G71" s="14">
        <f t="shared" si="230"/>
        <v>0.3661660000000001</v>
      </c>
      <c r="H71" s="14">
        <f t="shared" si="230"/>
        <v>0.58360099999999993</v>
      </c>
      <c r="I71" s="14">
        <f t="shared" si="230"/>
        <v>0.46570600000000006</v>
      </c>
      <c r="J71" s="14">
        <f t="shared" si="230"/>
        <v>0.41113599999999995</v>
      </c>
      <c r="K71" s="14">
        <f t="shared" si="230"/>
        <v>0.48236099999999993</v>
      </c>
      <c r="L71" s="24">
        <f t="shared" ref="L71:O71" si="231">L68-L70</f>
        <v>0.68797801248292245</v>
      </c>
      <c r="M71" s="24">
        <f t="shared" si="231"/>
        <v>0.8165379875170774</v>
      </c>
      <c r="N71" s="24">
        <f t="shared" si="231"/>
        <v>-4.4073000000000029E-2</v>
      </c>
      <c r="O71" s="24">
        <f t="shared" si="231"/>
        <v>0.48236099999999993</v>
      </c>
      <c r="Q71" s="14">
        <f>Q68-Q70</f>
        <v>0.22416899999999984</v>
      </c>
      <c r="R71" s="14">
        <f t="shared" ref="R71:Y71" si="232">R68-R70</f>
        <v>0.50507999999999997</v>
      </c>
      <c r="S71" s="14">
        <f t="shared" si="232"/>
        <v>0.92489500000000002</v>
      </c>
      <c r="T71" s="14">
        <f t="shared" si="232"/>
        <v>1.3388939999999998</v>
      </c>
      <c r="U71" s="14">
        <f t="shared" si="232"/>
        <v>1.7050599999999996</v>
      </c>
      <c r="V71" s="14">
        <f t="shared" si="232"/>
        <v>0.58360099999999993</v>
      </c>
      <c r="W71" s="14">
        <f t="shared" si="232"/>
        <v>1.049307</v>
      </c>
      <c r="X71" s="14">
        <f t="shared" si="232"/>
        <v>1.4604430000000002</v>
      </c>
      <c r="Y71" s="14">
        <f t="shared" si="232"/>
        <v>1.9428039999999998</v>
      </c>
      <c r="Z71" s="14">
        <f t="shared" ref="Z71:AC71" si="233">Z68-Z70</f>
        <v>0.68797801248292245</v>
      </c>
      <c r="AA71" s="14">
        <f t="shared" si="233"/>
        <v>1.5045160000000002</v>
      </c>
      <c r="AB71" s="14">
        <f t="shared" si="233"/>
        <v>1.4604430000000002</v>
      </c>
      <c r="AC71" s="14">
        <f t="shared" si="233"/>
        <v>1.9428039999999998</v>
      </c>
    </row>
    <row r="72" spans="2:29" x14ac:dyDescent="0.2">
      <c r="B72" s="7" t="s">
        <v>35</v>
      </c>
      <c r="C72" s="11">
        <f>C71/C62</f>
        <v>2.5925846682114052E-2</v>
      </c>
      <c r="D72" s="11">
        <f t="shared" ref="D72:K72" si="234">D71/D62</f>
        <v>0.21373836474154873</v>
      </c>
      <c r="E72" s="11">
        <f t="shared" si="234"/>
        <v>0.1780682700721537</v>
      </c>
      <c r="F72" s="11">
        <f t="shared" si="234"/>
        <v>0.1735793917998214</v>
      </c>
      <c r="G72" s="11">
        <f t="shared" si="234"/>
        <v>0.15177871576319829</v>
      </c>
      <c r="H72" s="11">
        <f t="shared" si="234"/>
        <v>0.22519232572416609</v>
      </c>
      <c r="I72" s="11">
        <f t="shared" si="234"/>
        <v>0.17976470697224861</v>
      </c>
      <c r="J72" s="11">
        <f t="shared" si="234"/>
        <v>0.16118915896893449</v>
      </c>
      <c r="K72" s="11">
        <f t="shared" si="234"/>
        <v>0.17518403255839121</v>
      </c>
      <c r="L72" s="25">
        <f t="shared" ref="L72:O72" si="235">L71/L62</f>
        <v>0.24983540930300679</v>
      </c>
      <c r="M72" s="25">
        <f t="shared" si="235"/>
        <v>0.29176336127094904</v>
      </c>
      <c r="N72" s="25">
        <f t="shared" si="235"/>
        <v>-2.0212373698461277E-2</v>
      </c>
      <c r="O72" s="25">
        <f t="shared" si="235"/>
        <v>0.17518403255839121</v>
      </c>
      <c r="P72" s="35"/>
      <c r="Q72" s="7">
        <f t="shared" ref="Q72" si="236">C72</f>
        <v>2.5925846682114052E-2</v>
      </c>
      <c r="R72" s="11">
        <f t="shared" ref="R72:Y72" si="237">R71/R62</f>
        <v>0.21373836474154873</v>
      </c>
      <c r="S72" s="11">
        <f t="shared" si="237"/>
        <v>0.19592397964447097</v>
      </c>
      <c r="T72" s="11">
        <f t="shared" si="237"/>
        <v>0.18842394324711259</v>
      </c>
      <c r="U72" s="11">
        <f t="shared" si="237"/>
        <v>0.17913583292394442</v>
      </c>
      <c r="V72" s="11">
        <f t="shared" si="237"/>
        <v>0.22519232572416609</v>
      </c>
      <c r="W72" s="11">
        <f t="shared" si="237"/>
        <v>0.20248257065664468</v>
      </c>
      <c r="X72" s="11">
        <f t="shared" si="237"/>
        <v>0.18886214297131254</v>
      </c>
      <c r="Y72" s="11">
        <f t="shared" si="237"/>
        <v>0.18527059817542973</v>
      </c>
      <c r="Z72" s="11">
        <f t="shared" ref="Z72:AC72" si="238">Z71/Z62</f>
        <v>0.24983540930300679</v>
      </c>
      <c r="AA72" s="11">
        <f t="shared" si="238"/>
        <v>0.27096893642986875</v>
      </c>
      <c r="AB72" s="11">
        <f t="shared" si="238"/>
        <v>0.18886214297131257</v>
      </c>
      <c r="AC72" s="11">
        <f t="shared" si="238"/>
        <v>0.18527059817542973</v>
      </c>
    </row>
    <row r="73" spans="2:29" x14ac:dyDescent="0.2">
      <c r="C73" s="12"/>
      <c r="D73" s="12"/>
      <c r="E73" s="12"/>
      <c r="F73" s="12"/>
      <c r="G73" s="12"/>
      <c r="H73" s="12"/>
      <c r="I73" s="12"/>
      <c r="J73" s="12"/>
      <c r="K73" s="12"/>
      <c r="L73" s="26"/>
      <c r="M73" s="26"/>
      <c r="N73" s="26"/>
      <c r="O73" s="26"/>
    </row>
    <row r="74" spans="2:29" x14ac:dyDescent="0.2">
      <c r="B74" s="3" t="s">
        <v>18</v>
      </c>
      <c r="C74" s="12"/>
      <c r="D74" s="12"/>
      <c r="E74" s="12"/>
      <c r="F74" s="12"/>
      <c r="G74" s="12"/>
      <c r="H74" s="12"/>
      <c r="I74" s="12"/>
      <c r="J74" s="12"/>
      <c r="K74" s="12"/>
      <c r="L74" s="26"/>
      <c r="M74" s="26"/>
      <c r="N74" s="26"/>
      <c r="O74" s="26"/>
    </row>
    <row r="75" spans="2:29" x14ac:dyDescent="0.2">
      <c r="B75" s="1" t="s">
        <v>6</v>
      </c>
      <c r="C75" s="14">
        <f t="shared" ref="C75:K75" si="239">C19/1000000</f>
        <v>2.3792598284615374</v>
      </c>
      <c r="D75" s="14">
        <f t="shared" si="239"/>
        <v>1.5882596475638719</v>
      </c>
      <c r="E75" s="14">
        <f t="shared" si="239"/>
        <v>1.5686457756588161</v>
      </c>
      <c r="F75" s="14">
        <f t="shared" si="239"/>
        <v>1.382218796569501</v>
      </c>
      <c r="G75" s="14">
        <f t="shared" si="239"/>
        <v>1.4518202640412157</v>
      </c>
      <c r="H75" s="14">
        <f t="shared" si="239"/>
        <v>3.2343022377070998</v>
      </c>
      <c r="I75" s="14">
        <f t="shared" si="239"/>
        <v>3.0632822815964724</v>
      </c>
      <c r="J75" s="14">
        <f t="shared" si="239"/>
        <v>3.1168959084733316</v>
      </c>
      <c r="K75" s="14">
        <f t="shared" si="239"/>
        <v>3.1907635069183184</v>
      </c>
      <c r="L75" s="24">
        <f t="shared" ref="L75:O75" si="240">L19/1000000</f>
        <v>3.2894144900000004</v>
      </c>
      <c r="M75" s="24">
        <f t="shared" si="240"/>
        <v>3.0448430000000002</v>
      </c>
      <c r="N75" s="24">
        <f t="shared" si="240"/>
        <v>0</v>
      </c>
      <c r="O75" s="24">
        <f t="shared" si="240"/>
        <v>0</v>
      </c>
      <c r="Q75" s="16">
        <f>C75</f>
        <v>2.3792598284615374</v>
      </c>
      <c r="R75" s="16">
        <f t="shared" ref="R75:R79" si="241">D75</f>
        <v>1.5882596475638719</v>
      </c>
      <c r="S75" s="16">
        <f t="shared" ref="S75" si="242">E75</f>
        <v>1.5686457756588161</v>
      </c>
      <c r="T75" s="16">
        <f t="shared" ref="T75" si="243">F75</f>
        <v>1.382218796569501</v>
      </c>
      <c r="U75" s="16">
        <f t="shared" ref="U75" si="244">G75</f>
        <v>1.4518202640412157</v>
      </c>
      <c r="V75" s="16">
        <f t="shared" ref="V75:V79" si="245">H75</f>
        <v>3.2343022377070998</v>
      </c>
      <c r="W75" s="16">
        <f t="shared" ref="W75" si="246">I75</f>
        <v>3.0632822815964724</v>
      </c>
      <c r="X75" s="16">
        <f t="shared" ref="X75" si="247">J75</f>
        <v>3.1168959084733316</v>
      </c>
      <c r="Y75" s="16">
        <f t="shared" ref="Y75" si="248">K75</f>
        <v>3.1907635069183184</v>
      </c>
      <c r="Z75" s="16">
        <f t="shared" ref="Z75:Z79" si="249">L75</f>
        <v>3.2894144900000004</v>
      </c>
      <c r="AA75" s="16">
        <f t="shared" ref="AA75" si="250">M75</f>
        <v>3.0448430000000002</v>
      </c>
      <c r="AB75" s="16">
        <f t="shared" ref="AB75" si="251">N75</f>
        <v>0</v>
      </c>
      <c r="AC75" s="16">
        <f t="shared" ref="AC75" si="252">O75</f>
        <v>0</v>
      </c>
    </row>
    <row r="76" spans="2:29" x14ac:dyDescent="0.2">
      <c r="B76" s="1" t="s">
        <v>23</v>
      </c>
      <c r="C76" s="14">
        <f t="shared" ref="C76:K76" si="253">C20/1000000</f>
        <v>0.78041552922167301</v>
      </c>
      <c r="D76" s="14">
        <f t="shared" si="253"/>
        <v>0.6881670373588793</v>
      </c>
      <c r="E76" s="14">
        <f t="shared" si="253"/>
        <v>0.70611743554963169</v>
      </c>
      <c r="F76" s="14">
        <f t="shared" si="253"/>
        <v>0.88802331460373918</v>
      </c>
      <c r="G76" s="14">
        <f t="shared" si="253"/>
        <v>0.88326579310495457</v>
      </c>
      <c r="H76" s="14">
        <f t="shared" si="253"/>
        <v>0.96622573869264083</v>
      </c>
      <c r="I76" s="14">
        <f t="shared" si="253"/>
        <v>0.99481260073056954</v>
      </c>
      <c r="J76" s="14">
        <f t="shared" si="253"/>
        <v>1.0297142662066348</v>
      </c>
      <c r="K76" s="14">
        <f t="shared" si="253"/>
        <v>1.0673841980645156</v>
      </c>
      <c r="L76" s="24">
        <f t="shared" ref="L76:O76" si="254">L20/1000000</f>
        <v>1.0742755500000001</v>
      </c>
      <c r="M76" s="24">
        <f t="shared" si="254"/>
        <v>1.0545684914482107</v>
      </c>
      <c r="N76" s="24">
        <f t="shared" si="254"/>
        <v>0</v>
      </c>
      <c r="O76" s="24">
        <f t="shared" si="254"/>
        <v>0</v>
      </c>
      <c r="Q76" s="16">
        <f t="shared" ref="Q76:Q79" si="255">C76</f>
        <v>0.78041552922167301</v>
      </c>
      <c r="R76" s="16">
        <f t="shared" si="241"/>
        <v>0.6881670373588793</v>
      </c>
      <c r="S76" s="16">
        <f t="shared" ref="S76:S79" si="256">R76+E76</f>
        <v>1.3942844729085109</v>
      </c>
      <c r="T76" s="16">
        <f t="shared" ref="T76:T79" si="257">S76+F76</f>
        <v>2.2823077875122499</v>
      </c>
      <c r="U76" s="16">
        <f t="shared" ref="U76:U79" si="258">T76+G76</f>
        <v>3.1655735806172043</v>
      </c>
      <c r="V76" s="16">
        <f t="shared" si="245"/>
        <v>0.96622573869264083</v>
      </c>
      <c r="W76" s="16">
        <f t="shared" ref="W76:W79" si="259">V76+I76</f>
        <v>1.9610383394232103</v>
      </c>
      <c r="X76" s="16">
        <f t="shared" ref="X76:X79" si="260">W76+J76</f>
        <v>2.990752605629845</v>
      </c>
      <c r="Y76" s="16">
        <f t="shared" ref="Y76:Y79" si="261">X76+K76</f>
        <v>4.0581368036943601</v>
      </c>
      <c r="Z76" s="16">
        <f t="shared" si="249"/>
        <v>1.0742755500000001</v>
      </c>
      <c r="AA76" s="16">
        <f t="shared" ref="AA76:AA79" si="262">Z76+M76</f>
        <v>2.128844041448211</v>
      </c>
      <c r="AB76" s="16">
        <f t="shared" ref="AB76:AB79" si="263">AA76+N76</f>
        <v>2.128844041448211</v>
      </c>
      <c r="AC76" s="16">
        <f t="shared" ref="AC76:AC79" si="264">AB76+O76</f>
        <v>2.128844041448211</v>
      </c>
    </row>
    <row r="77" spans="2:29" x14ac:dyDescent="0.2">
      <c r="B77" s="1" t="s">
        <v>7</v>
      </c>
      <c r="C77" s="14">
        <f t="shared" ref="C77:K77" si="265">C21/1000000</f>
        <v>2.1191202574822499</v>
      </c>
      <c r="D77" s="14">
        <f t="shared" si="265"/>
        <v>0.52271365052665064</v>
      </c>
      <c r="E77" s="14">
        <f t="shared" si="265"/>
        <v>0.5804274489147041</v>
      </c>
      <c r="F77" s="14">
        <f t="shared" si="265"/>
        <v>0.60722154215399571</v>
      </c>
      <c r="G77" s="14">
        <f t="shared" si="265"/>
        <v>0.53199798664806808</v>
      </c>
      <c r="H77" s="14">
        <f t="shared" si="265"/>
        <v>0.87056246170744234</v>
      </c>
      <c r="I77" s="14">
        <f t="shared" si="265"/>
        <v>0.72624182411943161</v>
      </c>
      <c r="J77" s="14">
        <f t="shared" si="265"/>
        <v>0.73343116633302186</v>
      </c>
      <c r="K77" s="14">
        <f t="shared" si="265"/>
        <v>0.84294186156579698</v>
      </c>
      <c r="L77" s="24">
        <f t="shared" ref="L77:O77" si="266">L21/1000000</f>
        <v>0.80648200000000003</v>
      </c>
      <c r="M77" s="24">
        <f t="shared" si="266"/>
        <v>0.71594000000000002</v>
      </c>
      <c r="N77" s="24">
        <f t="shared" si="266"/>
        <v>0</v>
      </c>
      <c r="O77" s="24">
        <f t="shared" si="266"/>
        <v>0</v>
      </c>
      <c r="Q77" s="16">
        <f t="shared" si="255"/>
        <v>2.1191202574822499</v>
      </c>
      <c r="R77" s="16">
        <f t="shared" si="241"/>
        <v>0.52271365052665064</v>
      </c>
      <c r="S77" s="16">
        <f t="shared" si="256"/>
        <v>1.1031410994413546</v>
      </c>
      <c r="T77" s="16">
        <f t="shared" si="257"/>
        <v>1.7103626415953503</v>
      </c>
      <c r="U77" s="16">
        <f t="shared" si="258"/>
        <v>2.2423606282434183</v>
      </c>
      <c r="V77" s="16">
        <f t="shared" si="245"/>
        <v>0.87056246170744234</v>
      </c>
      <c r="W77" s="16">
        <f t="shared" si="259"/>
        <v>1.5968042858268738</v>
      </c>
      <c r="X77" s="16">
        <f t="shared" si="260"/>
        <v>2.3302354521598958</v>
      </c>
      <c r="Y77" s="16">
        <f t="shared" si="261"/>
        <v>3.1731773137256929</v>
      </c>
      <c r="Z77" s="16">
        <f t="shared" si="249"/>
        <v>0.80648200000000003</v>
      </c>
      <c r="AA77" s="16">
        <f t="shared" si="262"/>
        <v>1.5224220000000002</v>
      </c>
      <c r="AB77" s="16">
        <f t="shared" si="263"/>
        <v>1.5224220000000002</v>
      </c>
      <c r="AC77" s="16">
        <f t="shared" si="264"/>
        <v>1.5224220000000002</v>
      </c>
    </row>
    <row r="78" spans="2:29" x14ac:dyDescent="0.2">
      <c r="B78" s="1" t="s">
        <v>8</v>
      </c>
      <c r="C78" s="14">
        <f t="shared" ref="C78:K78" si="267">C22/1000000</f>
        <v>0.52027721999999998</v>
      </c>
      <c r="D78" s="14">
        <f t="shared" si="267"/>
        <v>0.17204090999999996</v>
      </c>
      <c r="E78" s="14">
        <f t="shared" si="267"/>
        <v>0.18101789000000007</v>
      </c>
      <c r="F78" s="14">
        <f t="shared" si="267"/>
        <v>0.2578163599999998</v>
      </c>
      <c r="G78" s="14">
        <f t="shared" si="267"/>
        <v>0.21718932000000007</v>
      </c>
      <c r="H78" s="14">
        <f t="shared" si="267"/>
        <v>0.30354249</v>
      </c>
      <c r="I78" s="14">
        <f t="shared" si="267"/>
        <v>0.25595168000000007</v>
      </c>
      <c r="J78" s="14">
        <f t="shared" si="267"/>
        <v>0.27515745999999985</v>
      </c>
      <c r="K78" s="14">
        <f t="shared" si="267"/>
        <v>0.29543405000000017</v>
      </c>
      <c r="L78" s="24">
        <f t="shared" ref="L78:O78" si="268">L22/1000000</f>
        <v>0.25269620055454234</v>
      </c>
      <c r="M78" s="24">
        <f t="shared" si="268"/>
        <v>0.27458829754981573</v>
      </c>
      <c r="N78" s="24">
        <f t="shared" si="268"/>
        <v>0</v>
      </c>
      <c r="O78" s="24">
        <f t="shared" si="268"/>
        <v>0</v>
      </c>
      <c r="Q78" s="16">
        <f t="shared" si="255"/>
        <v>0.52027721999999998</v>
      </c>
      <c r="R78" s="16">
        <f t="shared" si="241"/>
        <v>0.17204090999999996</v>
      </c>
      <c r="S78" s="16">
        <f t="shared" si="256"/>
        <v>0.35305880000000001</v>
      </c>
      <c r="T78" s="16">
        <f t="shared" si="257"/>
        <v>0.61087515999999975</v>
      </c>
      <c r="U78" s="16">
        <f t="shared" si="258"/>
        <v>0.82806447999999988</v>
      </c>
      <c r="V78" s="16">
        <f t="shared" si="245"/>
        <v>0.30354249</v>
      </c>
      <c r="W78" s="16">
        <f t="shared" si="259"/>
        <v>0.55949417000000001</v>
      </c>
      <c r="X78" s="16">
        <f t="shared" si="260"/>
        <v>0.83465162999999987</v>
      </c>
      <c r="Y78" s="16">
        <f t="shared" si="261"/>
        <v>1.1300856800000001</v>
      </c>
      <c r="Z78" s="16">
        <f t="shared" si="249"/>
        <v>0.25269620055454234</v>
      </c>
      <c r="AA78" s="16">
        <f t="shared" si="262"/>
        <v>0.52728449810435807</v>
      </c>
      <c r="AB78" s="16">
        <f t="shared" si="263"/>
        <v>0.52728449810435807</v>
      </c>
      <c r="AC78" s="16">
        <f t="shared" si="264"/>
        <v>0.52728449810435807</v>
      </c>
    </row>
    <row r="79" spans="2:29" x14ac:dyDescent="0.2">
      <c r="B79" s="1" t="s">
        <v>9</v>
      </c>
      <c r="C79" s="14">
        <f t="shared" ref="C79:K79" si="269">C23/1000000</f>
        <v>1.5988430374822498</v>
      </c>
      <c r="D79" s="14">
        <f t="shared" si="269"/>
        <v>0.35067274052665065</v>
      </c>
      <c r="E79" s="14">
        <f t="shared" si="269"/>
        <v>0.39940955891470409</v>
      </c>
      <c r="F79" s="14">
        <f t="shared" si="269"/>
        <v>0.34940518215399591</v>
      </c>
      <c r="G79" s="14">
        <f t="shared" si="269"/>
        <v>0.314808666648068</v>
      </c>
      <c r="H79" s="14">
        <f t="shared" si="269"/>
        <v>0.56701997170744234</v>
      </c>
      <c r="I79" s="14">
        <f t="shared" si="269"/>
        <v>0.4702901441194316</v>
      </c>
      <c r="J79" s="14">
        <f t="shared" si="269"/>
        <v>0.458273706333022</v>
      </c>
      <c r="K79" s="14">
        <f t="shared" si="269"/>
        <v>0.54750781156579686</v>
      </c>
      <c r="L79" s="24">
        <f t="shared" ref="L79:O79" si="270">L23/1000000</f>
        <v>0.55378579944545769</v>
      </c>
      <c r="M79" s="24">
        <f t="shared" si="270"/>
        <v>0.44135170245018429</v>
      </c>
      <c r="N79" s="24">
        <f t="shared" si="270"/>
        <v>0</v>
      </c>
      <c r="O79" s="24">
        <f t="shared" si="270"/>
        <v>0</v>
      </c>
      <c r="Q79" s="16">
        <f t="shared" si="255"/>
        <v>1.5988430374822498</v>
      </c>
      <c r="R79" s="16">
        <f t="shared" si="241"/>
        <v>0.35067274052665065</v>
      </c>
      <c r="S79" s="16">
        <f t="shared" si="256"/>
        <v>0.75008229944135474</v>
      </c>
      <c r="T79" s="16">
        <f t="shared" si="257"/>
        <v>1.0994874815953506</v>
      </c>
      <c r="U79" s="16">
        <f t="shared" si="258"/>
        <v>1.4142961482434186</v>
      </c>
      <c r="V79" s="16">
        <f t="shared" si="245"/>
        <v>0.56701997170744234</v>
      </c>
      <c r="W79" s="16">
        <f t="shared" si="259"/>
        <v>1.037310115826874</v>
      </c>
      <c r="X79" s="16">
        <f t="shared" si="260"/>
        <v>1.495583822159896</v>
      </c>
      <c r="Y79" s="16">
        <f t="shared" si="261"/>
        <v>2.0430916337256928</v>
      </c>
      <c r="Z79" s="16">
        <f t="shared" si="249"/>
        <v>0.55378579944545769</v>
      </c>
      <c r="AA79" s="16">
        <f t="shared" si="262"/>
        <v>0.99513750189564198</v>
      </c>
      <c r="AB79" s="16">
        <f t="shared" si="263"/>
        <v>0.99513750189564198</v>
      </c>
      <c r="AC79" s="16">
        <f t="shared" si="264"/>
        <v>0.99513750189564198</v>
      </c>
    </row>
    <row r="80" spans="2:29" x14ac:dyDescent="0.2">
      <c r="B80" s="7" t="s">
        <v>10</v>
      </c>
      <c r="C80" s="11">
        <f>C78/C77</f>
        <v>0.24551566536301583</v>
      </c>
      <c r="D80" s="11">
        <f t="shared" ref="D80:K80" si="271">D78/D77</f>
        <v>0.32913031796025083</v>
      </c>
      <c r="E80" s="11">
        <f t="shared" si="271"/>
        <v>0.31186996813894874</v>
      </c>
      <c r="F80" s="11">
        <f t="shared" si="271"/>
        <v>0.42458368503437538</v>
      </c>
      <c r="G80" s="11">
        <f t="shared" si="271"/>
        <v>0.40825214653242109</v>
      </c>
      <c r="H80" s="11">
        <f t="shared" si="271"/>
        <v>0.34867399336821769</v>
      </c>
      <c r="I80" s="11">
        <f t="shared" si="271"/>
        <v>0.35243313108597341</v>
      </c>
      <c r="J80" s="11">
        <f t="shared" si="271"/>
        <v>0.37516466797521092</v>
      </c>
      <c r="K80" s="11">
        <f t="shared" si="271"/>
        <v>0.35047974655241354</v>
      </c>
      <c r="L80" s="25">
        <f t="shared" ref="L80:O80" si="272">L78/L77</f>
        <v>0.31333148235737723</v>
      </c>
      <c r="M80" s="25">
        <f t="shared" si="272"/>
        <v>0.38353534870214784</v>
      </c>
      <c r="N80" s="25" t="e">
        <f t="shared" si="272"/>
        <v>#DIV/0!</v>
      </c>
      <c r="O80" s="25" t="e">
        <f t="shared" si="272"/>
        <v>#DIV/0!</v>
      </c>
      <c r="P80" s="35"/>
      <c r="Q80" s="11">
        <f>Q78/Q77</f>
        <v>0.24551566536301583</v>
      </c>
      <c r="R80" s="11">
        <f t="shared" ref="R80:Y80" si="273">R78/R77</f>
        <v>0.32913031796025083</v>
      </c>
      <c r="S80" s="11">
        <f t="shared" si="273"/>
        <v>0.32004863220017249</v>
      </c>
      <c r="T80" s="11">
        <f t="shared" si="273"/>
        <v>0.35716119210263064</v>
      </c>
      <c r="U80" s="11">
        <f t="shared" si="273"/>
        <v>0.36928247382254242</v>
      </c>
      <c r="V80" s="11">
        <f t="shared" si="273"/>
        <v>0.34867399336821769</v>
      </c>
      <c r="W80" s="11">
        <f t="shared" si="273"/>
        <v>0.35038368506775203</v>
      </c>
      <c r="X80" s="11">
        <f t="shared" si="273"/>
        <v>0.35818338838951275</v>
      </c>
      <c r="Y80" s="11">
        <f t="shared" si="273"/>
        <v>0.35613694674790902</v>
      </c>
      <c r="Z80" s="11">
        <f t="shared" ref="Z80:AC80" si="274">Z78/Z77</f>
        <v>0.31333148235737723</v>
      </c>
      <c r="AA80" s="11">
        <f t="shared" si="274"/>
        <v>0.34634582139798165</v>
      </c>
      <c r="AB80" s="11">
        <f t="shared" si="274"/>
        <v>0.34634582139798165</v>
      </c>
      <c r="AC80" s="11">
        <f t="shared" si="274"/>
        <v>0.34634582139798165</v>
      </c>
    </row>
    <row r="81" spans="2:29" x14ac:dyDescent="0.2">
      <c r="B81" s="1" t="s">
        <v>21</v>
      </c>
      <c r="C81" s="14">
        <f t="shared" ref="C81:K81" si="275">C25/1000000</f>
        <v>-0.1923895986641071</v>
      </c>
      <c r="D81" s="14">
        <f t="shared" si="275"/>
        <v>-8.5827728364343422E-2</v>
      </c>
      <c r="E81" s="14">
        <f t="shared" si="275"/>
        <v>-5.218526471143578E-2</v>
      </c>
      <c r="F81" s="14">
        <f t="shared" si="275"/>
        <v>-7.6291926082811129E-2</v>
      </c>
      <c r="G81" s="14">
        <f t="shared" si="275"/>
        <v>-0.16713120452030825</v>
      </c>
      <c r="H81" s="14">
        <f t="shared" si="275"/>
        <v>6.6834691755993228E-2</v>
      </c>
      <c r="I81" s="14">
        <f t="shared" si="275"/>
        <v>-0.27201222516160062</v>
      </c>
      <c r="J81" s="14">
        <f t="shared" si="275"/>
        <v>-9.0786221508132814E-2</v>
      </c>
      <c r="K81" s="14">
        <f t="shared" si="275"/>
        <v>6.3496138854849421E-2</v>
      </c>
      <c r="L81" s="24">
        <f t="shared" ref="L81:O81" si="276">L25/1000000</f>
        <v>-3.8729261980323192E-2</v>
      </c>
      <c r="M81" s="24">
        <f t="shared" si="276"/>
        <v>-0.1726928470013358</v>
      </c>
      <c r="N81" s="24">
        <f t="shared" si="276"/>
        <v>0</v>
      </c>
      <c r="O81" s="24">
        <f t="shared" si="276"/>
        <v>0</v>
      </c>
      <c r="Q81" s="15">
        <f t="shared" ref="Q81:Q82" si="277">C81</f>
        <v>-0.1923895986641071</v>
      </c>
      <c r="R81" s="15">
        <f t="shared" ref="R81:R82" si="278">D81</f>
        <v>-8.5827728364343422E-2</v>
      </c>
      <c r="S81" s="15">
        <f t="shared" ref="S81:S82" si="279">R81+E81</f>
        <v>-0.13801299307577919</v>
      </c>
      <c r="T81" s="15">
        <f t="shared" ref="T81:T82" si="280">S81+F81</f>
        <v>-0.21430491915859032</v>
      </c>
      <c r="U81" s="15">
        <f t="shared" ref="U81:U82" si="281">T81+G81</f>
        <v>-0.38143612367889856</v>
      </c>
      <c r="V81" s="15">
        <f t="shared" ref="V81:V82" si="282">H81</f>
        <v>6.6834691755993228E-2</v>
      </c>
      <c r="W81" s="15">
        <f t="shared" ref="W81:W82" si="283">V81+I81</f>
        <v>-0.2051775334056074</v>
      </c>
      <c r="X81" s="15">
        <f t="shared" ref="X81:X82" si="284">W81+J81</f>
        <v>-0.29596375491374022</v>
      </c>
      <c r="Y81" s="15">
        <f t="shared" ref="Y81:Y82" si="285">X81+K81</f>
        <v>-0.2324676160588908</v>
      </c>
      <c r="Z81" s="15">
        <f t="shared" ref="Z81:Z82" si="286">L81</f>
        <v>-3.8729261980323192E-2</v>
      </c>
      <c r="AA81" s="15">
        <f t="shared" ref="AA81:AA82" si="287">Z81+M81</f>
        <v>-0.211422108981659</v>
      </c>
      <c r="AB81" s="15">
        <f t="shared" ref="AB81:AB82" si="288">AA81+N81</f>
        <v>-0.211422108981659</v>
      </c>
      <c r="AC81" s="15">
        <f t="shared" ref="AC81:AC82" si="289">AB81+O81</f>
        <v>-0.211422108981659</v>
      </c>
    </row>
    <row r="82" spans="2:29" x14ac:dyDescent="0.2">
      <c r="B82" s="1" t="s">
        <v>13</v>
      </c>
      <c r="C82" s="14">
        <f t="shared" ref="C82:K82" si="290">C26/1000000</f>
        <v>4.6310030000000002E-2</v>
      </c>
      <c r="D82" s="14">
        <f t="shared" si="290"/>
        <v>3.8629759999999999E-2</v>
      </c>
      <c r="E82" s="14">
        <f t="shared" si="290"/>
        <v>4.6038870000000003E-2</v>
      </c>
      <c r="F82" s="14">
        <f t="shared" si="290"/>
        <v>5.658287E-2</v>
      </c>
      <c r="G82" s="14">
        <f t="shared" si="290"/>
        <v>5.8830489999999999E-2</v>
      </c>
      <c r="H82" s="14">
        <f t="shared" si="290"/>
        <v>8.1637470000000004E-2</v>
      </c>
      <c r="I82" s="14">
        <f t="shared" si="290"/>
        <v>0.20796371999999999</v>
      </c>
      <c r="J82" s="14">
        <f t="shared" si="290"/>
        <v>0.14449549</v>
      </c>
      <c r="K82" s="14">
        <f t="shared" si="290"/>
        <v>0.12193947999999999</v>
      </c>
      <c r="L82" s="24">
        <f t="shared" ref="L82:O82" si="291">L26/1000000</f>
        <v>0.12780959664690783</v>
      </c>
      <c r="M82" s="24">
        <f t="shared" si="291"/>
        <v>0.12619440203116217</v>
      </c>
      <c r="N82" s="24">
        <f t="shared" si="291"/>
        <v>0</v>
      </c>
      <c r="O82" s="24">
        <f t="shared" si="291"/>
        <v>0</v>
      </c>
      <c r="Q82" s="15">
        <f t="shared" si="277"/>
        <v>4.6310030000000002E-2</v>
      </c>
      <c r="R82" s="15">
        <f t="shared" si="278"/>
        <v>3.8629759999999999E-2</v>
      </c>
      <c r="S82" s="15">
        <f t="shared" si="279"/>
        <v>8.4668629999999995E-2</v>
      </c>
      <c r="T82" s="15">
        <f t="shared" si="280"/>
        <v>0.1412515</v>
      </c>
      <c r="U82" s="15">
        <f t="shared" si="281"/>
        <v>0.20008198999999999</v>
      </c>
      <c r="V82" s="15">
        <f t="shared" si="282"/>
        <v>8.1637470000000004E-2</v>
      </c>
      <c r="W82" s="15">
        <f t="shared" si="283"/>
        <v>0.28960119000000001</v>
      </c>
      <c r="X82" s="15">
        <f t="shared" si="284"/>
        <v>0.43409668000000001</v>
      </c>
      <c r="Y82" s="15">
        <f t="shared" si="285"/>
        <v>0.55603616</v>
      </c>
      <c r="Z82" s="15">
        <f t="shared" si="286"/>
        <v>0.12780959664690783</v>
      </c>
      <c r="AA82" s="15">
        <f t="shared" si="287"/>
        <v>0.25400399867807</v>
      </c>
      <c r="AB82" s="15">
        <f t="shared" si="288"/>
        <v>0.25400399867807</v>
      </c>
      <c r="AC82" s="15">
        <f t="shared" si="289"/>
        <v>0.25400399867807</v>
      </c>
    </row>
    <row r="83" spans="2:29" x14ac:dyDescent="0.2">
      <c r="B83" s="1" t="s">
        <v>11</v>
      </c>
      <c r="C83" s="10">
        <f>C81+C82</f>
        <v>-0.1460795686641071</v>
      </c>
      <c r="D83" s="10">
        <f t="shared" ref="D83:K83" si="292">D81+D82</f>
        <v>-4.7197968364343423E-2</v>
      </c>
      <c r="E83" s="10">
        <f t="shared" si="292"/>
        <v>-6.1463947114357778E-3</v>
      </c>
      <c r="F83" s="10">
        <f t="shared" si="292"/>
        <v>-1.9709056082811129E-2</v>
      </c>
      <c r="G83" s="10">
        <f t="shared" si="292"/>
        <v>-0.10830071452030825</v>
      </c>
      <c r="H83" s="10">
        <f t="shared" si="292"/>
        <v>0.14847216175599323</v>
      </c>
      <c r="I83" s="10">
        <f t="shared" si="292"/>
        <v>-6.4048505161600627E-2</v>
      </c>
      <c r="J83" s="10">
        <f t="shared" si="292"/>
        <v>5.370926849186719E-2</v>
      </c>
      <c r="K83" s="10">
        <f t="shared" si="292"/>
        <v>0.18543561885484941</v>
      </c>
      <c r="L83" s="27">
        <f t="shared" ref="L83:O83" si="293">L81+L82</f>
        <v>8.9080334666584632E-2</v>
      </c>
      <c r="M83" s="27">
        <f t="shared" si="293"/>
        <v>-4.6498444970173636E-2</v>
      </c>
      <c r="N83" s="27">
        <f t="shared" si="293"/>
        <v>0</v>
      </c>
      <c r="O83" s="27">
        <f t="shared" si="293"/>
        <v>0</v>
      </c>
      <c r="Q83" s="14">
        <f>Q81+Q82</f>
        <v>-0.1460795686641071</v>
      </c>
      <c r="R83" s="14">
        <f t="shared" ref="R83:Y83" si="294">R81+R82</f>
        <v>-4.7197968364343423E-2</v>
      </c>
      <c r="S83" s="14">
        <f t="shared" si="294"/>
        <v>-5.3344363075779194E-2</v>
      </c>
      <c r="T83" s="14">
        <f t="shared" si="294"/>
        <v>-7.3053419158590316E-2</v>
      </c>
      <c r="U83" s="14">
        <f t="shared" si="294"/>
        <v>-0.18135413367889858</v>
      </c>
      <c r="V83" s="14">
        <f t="shared" si="294"/>
        <v>0.14847216175599323</v>
      </c>
      <c r="W83" s="14">
        <f t="shared" si="294"/>
        <v>8.4423656594392604E-2</v>
      </c>
      <c r="X83" s="14">
        <f t="shared" si="294"/>
        <v>0.13813292508625979</v>
      </c>
      <c r="Y83" s="14">
        <f t="shared" si="294"/>
        <v>0.32356854394110923</v>
      </c>
      <c r="Z83" s="14">
        <f t="shared" ref="Z83:AC83" si="295">Z81+Z82</f>
        <v>8.9080334666584632E-2</v>
      </c>
      <c r="AA83" s="14">
        <f t="shared" si="295"/>
        <v>4.2581889696410996E-2</v>
      </c>
      <c r="AB83" s="14">
        <f t="shared" si="295"/>
        <v>4.2581889696410996E-2</v>
      </c>
      <c r="AC83" s="14">
        <f t="shared" si="295"/>
        <v>4.2581889696410996E-2</v>
      </c>
    </row>
    <row r="84" spans="2:29" x14ac:dyDescent="0.2">
      <c r="B84" s="7" t="s">
        <v>34</v>
      </c>
      <c r="C84" s="11">
        <f>C83/C77</f>
        <v>-6.8934062683948777E-2</v>
      </c>
      <c r="D84" s="11">
        <f t="shared" ref="D84:K84" si="296">D83/D77</f>
        <v>-9.0294118618846037E-2</v>
      </c>
      <c r="E84" s="11">
        <f t="shared" si="296"/>
        <v>-1.0589428055010907E-2</v>
      </c>
      <c r="F84" s="11">
        <f t="shared" si="296"/>
        <v>-3.2457768235456923E-2</v>
      </c>
      <c r="G84" s="11">
        <f t="shared" si="296"/>
        <v>-0.20357354207799339</v>
      </c>
      <c r="H84" s="11">
        <f t="shared" si="296"/>
        <v>0.17054739698377688</v>
      </c>
      <c r="I84" s="11">
        <f t="shared" si="296"/>
        <v>-8.8191705619900723E-2</v>
      </c>
      <c r="J84" s="11">
        <f t="shared" si="296"/>
        <v>7.3230142046458863E-2</v>
      </c>
      <c r="K84" s="11">
        <f t="shared" si="296"/>
        <v>0.2199862497164343</v>
      </c>
      <c r="L84" s="25">
        <f t="shared" ref="L84:O84" si="297">L83/L77</f>
        <v>0.11045545302509495</v>
      </c>
      <c r="M84" s="25">
        <f t="shared" si="297"/>
        <v>-6.4947404768798553E-2</v>
      </c>
      <c r="N84" s="25" t="e">
        <f t="shared" si="297"/>
        <v>#DIV/0!</v>
      </c>
      <c r="O84" s="25" t="e">
        <f t="shared" si="297"/>
        <v>#DIV/0!</v>
      </c>
      <c r="P84" s="35"/>
      <c r="Q84" s="11">
        <f>Q83/Q77</f>
        <v>-6.8934062683948777E-2</v>
      </c>
      <c r="R84" s="11">
        <f t="shared" ref="R84:Y84" si="298">R83/R77</f>
        <v>-9.0294118618846037E-2</v>
      </c>
      <c r="S84" s="11">
        <f t="shared" si="298"/>
        <v>-4.8356790534586636E-2</v>
      </c>
      <c r="T84" s="11">
        <f t="shared" si="298"/>
        <v>-4.2712239721541936E-2</v>
      </c>
      <c r="U84" s="11">
        <f t="shared" si="298"/>
        <v>-8.0876435036662517E-2</v>
      </c>
      <c r="V84" s="11">
        <f t="shared" si="298"/>
        <v>0.17054739698377688</v>
      </c>
      <c r="W84" s="11">
        <f t="shared" si="298"/>
        <v>5.287038451971305E-2</v>
      </c>
      <c r="X84" s="11">
        <f t="shared" si="298"/>
        <v>5.9278526965257677E-2</v>
      </c>
      <c r="Y84" s="11">
        <f t="shared" si="298"/>
        <v>0.10196989072797849</v>
      </c>
      <c r="Z84" s="11">
        <f t="shared" ref="Z84:AC84" si="299">Z83/Z77</f>
        <v>0.11045545302509495</v>
      </c>
      <c r="AA84" s="11">
        <f t="shared" si="299"/>
        <v>2.7969833394690165E-2</v>
      </c>
      <c r="AB84" s="11">
        <f t="shared" si="299"/>
        <v>2.7969833394690165E-2</v>
      </c>
      <c r="AC84" s="11">
        <f t="shared" si="299"/>
        <v>2.7969833394690165E-2</v>
      </c>
    </row>
    <row r="85" spans="2:29" x14ac:dyDescent="0.2">
      <c r="B85" s="1" t="s">
        <v>15</v>
      </c>
      <c r="C85" s="14">
        <f t="shared" ref="C85:K85" si="300">C29/1000000</f>
        <v>0.32576134999999995</v>
      </c>
      <c r="D85" s="14">
        <f t="shared" si="300"/>
        <v>0.11518615000000001</v>
      </c>
      <c r="E85" s="14">
        <f t="shared" si="300"/>
        <v>0.16463985</v>
      </c>
      <c r="F85" s="14">
        <f t="shared" si="300"/>
        <v>0.15434600000000001</v>
      </c>
      <c r="G85" s="14">
        <f t="shared" si="300"/>
        <v>0.22117200000000001</v>
      </c>
      <c r="H85" s="14">
        <f t="shared" si="300"/>
        <v>9.1070999999999999E-2</v>
      </c>
      <c r="I85" s="14">
        <f t="shared" si="300"/>
        <v>0.14431099999999999</v>
      </c>
      <c r="J85" s="14">
        <f t="shared" si="300"/>
        <v>7.0088999999999999E-2</v>
      </c>
      <c r="K85" s="14">
        <f t="shared" si="300"/>
        <v>0.19825899999999999</v>
      </c>
      <c r="L85" s="24">
        <f t="shared" ref="L85:O85" si="301">L29/1000000</f>
        <v>4.7608992509361597E-2</v>
      </c>
      <c r="M85" s="24">
        <f t="shared" si="301"/>
        <v>5.9292424670063404E-2</v>
      </c>
      <c r="N85" s="24">
        <f t="shared" si="301"/>
        <v>0</v>
      </c>
      <c r="O85" s="24">
        <f t="shared" si="301"/>
        <v>0</v>
      </c>
      <c r="Q85" s="15">
        <f>C85</f>
        <v>0.32576134999999995</v>
      </c>
      <c r="R85" s="15">
        <f>D85</f>
        <v>0.11518615000000001</v>
      </c>
      <c r="S85" s="15">
        <f>R85+E85</f>
        <v>0.27982600000000002</v>
      </c>
      <c r="T85" s="15">
        <f>S85+F85</f>
        <v>0.434172</v>
      </c>
      <c r="U85" s="15">
        <f>T85+G85</f>
        <v>0.65534400000000004</v>
      </c>
      <c r="V85" s="15">
        <f>H85</f>
        <v>9.1070999999999999E-2</v>
      </c>
      <c r="W85" s="15">
        <f>V85+I85</f>
        <v>0.23538199999999998</v>
      </c>
      <c r="X85" s="15">
        <f>W85+J85</f>
        <v>0.30547099999999999</v>
      </c>
      <c r="Y85" s="15">
        <f>X85+K85</f>
        <v>0.50373000000000001</v>
      </c>
      <c r="Z85" s="15">
        <f>L85</f>
        <v>4.7608992509361597E-2</v>
      </c>
      <c r="AA85" s="15">
        <f>Z85+M85</f>
        <v>0.106901417179425</v>
      </c>
      <c r="AB85" s="15">
        <f>AA85+N85</f>
        <v>0.106901417179425</v>
      </c>
      <c r="AC85" s="15">
        <f>AB85+O85</f>
        <v>0.106901417179425</v>
      </c>
    </row>
    <row r="86" spans="2:29" x14ac:dyDescent="0.2">
      <c r="B86" s="1" t="s">
        <v>16</v>
      </c>
      <c r="C86" s="17">
        <f>C83-C85</f>
        <v>-0.47184091866410705</v>
      </c>
      <c r="D86" s="17">
        <f t="shared" ref="D86:K86" si="302">D83-D85</f>
        <v>-0.16238411836434344</v>
      </c>
      <c r="E86" s="17">
        <f t="shared" si="302"/>
        <v>-0.17078624471143578</v>
      </c>
      <c r="F86" s="17">
        <f t="shared" si="302"/>
        <v>-0.17405505608281113</v>
      </c>
      <c r="G86" s="17">
        <f t="shared" si="302"/>
        <v>-0.32947271452030824</v>
      </c>
      <c r="H86" s="17">
        <f t="shared" si="302"/>
        <v>5.7401161755993232E-2</v>
      </c>
      <c r="I86" s="17">
        <f t="shared" si="302"/>
        <v>-0.20835950516160062</v>
      </c>
      <c r="J86" s="17">
        <f t="shared" si="302"/>
        <v>-1.6379731508132808E-2</v>
      </c>
      <c r="K86" s="17">
        <f t="shared" si="302"/>
        <v>-1.2823381145150581E-2</v>
      </c>
      <c r="L86" s="28">
        <f t="shared" ref="L86:O86" si="303">L83-L85</f>
        <v>4.1471342157223035E-2</v>
      </c>
      <c r="M86" s="28">
        <f t="shared" si="303"/>
        <v>-0.10579086964023704</v>
      </c>
      <c r="N86" s="28">
        <f t="shared" si="303"/>
        <v>0</v>
      </c>
      <c r="O86" s="28">
        <f t="shared" si="303"/>
        <v>0</v>
      </c>
      <c r="P86" s="36"/>
      <c r="Q86" s="17">
        <f>Q83-Q85</f>
        <v>-0.47184091866410705</v>
      </c>
      <c r="R86" s="17">
        <f t="shared" ref="R86:Y86" si="304">R83-R85</f>
        <v>-0.16238411836434344</v>
      </c>
      <c r="S86" s="17">
        <f t="shared" si="304"/>
        <v>-0.33317036307577919</v>
      </c>
      <c r="T86" s="17">
        <f t="shared" si="304"/>
        <v>-0.50722541915859032</v>
      </c>
      <c r="U86" s="17">
        <f t="shared" si="304"/>
        <v>-0.83669813367889856</v>
      </c>
      <c r="V86" s="17">
        <f t="shared" si="304"/>
        <v>5.7401161755993232E-2</v>
      </c>
      <c r="W86" s="17">
        <f t="shared" si="304"/>
        <v>-0.15095834340560738</v>
      </c>
      <c r="X86" s="17">
        <f t="shared" si="304"/>
        <v>-0.1673380749137402</v>
      </c>
      <c r="Y86" s="17">
        <f t="shared" si="304"/>
        <v>-0.18016145605889078</v>
      </c>
      <c r="Z86" s="17">
        <f t="shared" ref="Z86:AC86" si="305">Z83-Z85</f>
        <v>4.1471342157223035E-2</v>
      </c>
      <c r="AA86" s="17">
        <f t="shared" si="305"/>
        <v>-6.4319527483014005E-2</v>
      </c>
      <c r="AB86" s="17">
        <f t="shared" si="305"/>
        <v>-6.4319527483014005E-2</v>
      </c>
      <c r="AC86" s="17">
        <f t="shared" si="305"/>
        <v>-6.4319527483014005E-2</v>
      </c>
    </row>
    <row r="87" spans="2:29" x14ac:dyDescent="0.2">
      <c r="B87" s="7" t="s">
        <v>35</v>
      </c>
      <c r="C87" s="11">
        <f>C86/C77</f>
        <v>-0.22265886846115399</v>
      </c>
      <c r="D87" s="11">
        <f t="shared" ref="D87:K87" si="306">D86/D77</f>
        <v>-0.31065597426188557</v>
      </c>
      <c r="E87" s="11">
        <f t="shared" si="306"/>
        <v>-0.29424219173434274</v>
      </c>
      <c r="F87" s="11">
        <f t="shared" si="306"/>
        <v>-0.2866417674600048</v>
      </c>
      <c r="G87" s="11">
        <f t="shared" si="306"/>
        <v>-0.61931195754367374</v>
      </c>
      <c r="H87" s="11">
        <f t="shared" si="306"/>
        <v>6.5935718895358514E-2</v>
      </c>
      <c r="I87" s="11">
        <f t="shared" si="306"/>
        <v>-0.2869009994215585</v>
      </c>
      <c r="J87" s="11">
        <f t="shared" si="306"/>
        <v>-2.2333018093609925E-2</v>
      </c>
      <c r="K87" s="11">
        <f t="shared" si="306"/>
        <v>-1.5212651939400253E-2</v>
      </c>
      <c r="L87" s="25">
        <f t="shared" ref="L87:O87" si="307">L86/L77</f>
        <v>5.1422526674151481E-2</v>
      </c>
      <c r="M87" s="25">
        <f t="shared" si="307"/>
        <v>-0.14776499377075877</v>
      </c>
      <c r="N87" s="25" t="e">
        <f t="shared" si="307"/>
        <v>#DIV/0!</v>
      </c>
      <c r="O87" s="25" t="e">
        <f t="shared" si="307"/>
        <v>#DIV/0!</v>
      </c>
      <c r="P87" s="35"/>
      <c r="Q87" s="11">
        <f>Q86/Q77</f>
        <v>-0.22265886846115399</v>
      </c>
      <c r="R87" s="11">
        <f t="shared" ref="R87:Y87" si="308">R86/R77</f>
        <v>-0.31065597426188557</v>
      </c>
      <c r="S87" s="11">
        <f t="shared" si="308"/>
        <v>-0.30201971737296446</v>
      </c>
      <c r="T87" s="11">
        <f t="shared" si="308"/>
        <v>-0.29656016029762727</v>
      </c>
      <c r="U87" s="11">
        <f t="shared" si="308"/>
        <v>-0.37313272590517105</v>
      </c>
      <c r="V87" s="11">
        <f t="shared" si="308"/>
        <v>6.5935718895358514E-2</v>
      </c>
      <c r="W87" s="11">
        <f t="shared" si="308"/>
        <v>-9.4537786969576265E-2</v>
      </c>
      <c r="X87" s="11">
        <f t="shared" si="308"/>
        <v>-7.1811659529355504E-2</v>
      </c>
      <c r="Y87" s="11">
        <f t="shared" si="308"/>
        <v>-5.6776359543349787E-2</v>
      </c>
      <c r="Z87" s="11">
        <f t="shared" ref="Z87:AC87" si="309">Z86/Z77</f>
        <v>5.1422526674151481E-2</v>
      </c>
      <c r="AA87" s="11">
        <f t="shared" si="309"/>
        <v>-4.2248159500463074E-2</v>
      </c>
      <c r="AB87" s="11">
        <f t="shared" si="309"/>
        <v>-4.2248159500463074E-2</v>
      </c>
      <c r="AC87" s="11">
        <f t="shared" si="309"/>
        <v>-4.2248159500463074E-2</v>
      </c>
    </row>
    <row r="88" spans="2:29" x14ac:dyDescent="0.2">
      <c r="C88" s="12"/>
      <c r="D88" s="12"/>
      <c r="E88" s="12"/>
      <c r="F88" s="12"/>
      <c r="G88" s="12"/>
      <c r="H88" s="12"/>
      <c r="I88" s="12"/>
      <c r="J88" s="12"/>
      <c r="K88" s="12"/>
      <c r="L88" s="26"/>
      <c r="M88" s="26"/>
      <c r="N88" s="26"/>
      <c r="O88" s="26"/>
    </row>
    <row r="89" spans="2:29" x14ac:dyDescent="0.2">
      <c r="B89" s="3" t="s">
        <v>19</v>
      </c>
      <c r="C89" s="12"/>
      <c r="D89" s="12"/>
      <c r="E89" s="12"/>
      <c r="F89" s="12"/>
      <c r="G89" s="12"/>
      <c r="H89" s="12"/>
      <c r="I89" s="12"/>
      <c r="J89" s="12"/>
      <c r="K89" s="12"/>
      <c r="L89" s="26"/>
      <c r="M89" s="26"/>
      <c r="N89" s="26"/>
      <c r="O89" s="26"/>
    </row>
    <row r="90" spans="2:29" x14ac:dyDescent="0.2">
      <c r="B90" s="1" t="s">
        <v>21</v>
      </c>
      <c r="C90" s="14">
        <f t="shared" ref="C90:K90" si="310">C34/1000000</f>
        <v>-2.5800689999999999</v>
      </c>
      <c r="D90" s="14">
        <f t="shared" si="310"/>
        <v>-0.72657000000000005</v>
      </c>
      <c r="E90" s="14">
        <f t="shared" si="310"/>
        <v>-0.68307200000000001</v>
      </c>
      <c r="F90" s="14">
        <f t="shared" si="310"/>
        <v>-0.66196500000000003</v>
      </c>
      <c r="G90" s="14">
        <f t="shared" si="310"/>
        <v>3.3883999999999999</v>
      </c>
      <c r="H90" s="14">
        <f t="shared" si="310"/>
        <v>-0.62539699999999998</v>
      </c>
      <c r="I90" s="14">
        <f t="shared" si="310"/>
        <v>-0.68362199999999995</v>
      </c>
      <c r="J90" s="14">
        <f t="shared" si="310"/>
        <v>-0.61461500000000002</v>
      </c>
      <c r="K90" s="14">
        <f t="shared" si="310"/>
        <v>-6.126881</v>
      </c>
      <c r="L90" s="24">
        <f t="shared" ref="L90:O90" si="311">L34/1000000</f>
        <v>-0.83457975822691743</v>
      </c>
      <c r="M90" s="24">
        <f t="shared" si="311"/>
        <v>-0.55236124177308255</v>
      </c>
      <c r="N90" s="24">
        <f t="shared" si="311"/>
        <v>-0.53669300000000009</v>
      </c>
      <c r="O90" s="24">
        <f t="shared" si="311"/>
        <v>-6.126881</v>
      </c>
      <c r="Q90" s="15">
        <f t="shared" ref="Q90:Q92" si="312">C90</f>
        <v>-2.5800689999999999</v>
      </c>
      <c r="R90" s="15">
        <f t="shared" ref="R90:R92" si="313">D90</f>
        <v>-0.72657000000000005</v>
      </c>
      <c r="S90" s="15">
        <f t="shared" ref="S90:S92" si="314">R90+E90</f>
        <v>-1.4096420000000001</v>
      </c>
      <c r="T90" s="15">
        <f t="shared" ref="T90:T92" si="315">S90+F90</f>
        <v>-2.0716070000000002</v>
      </c>
      <c r="U90" s="15">
        <f t="shared" ref="U90:U92" si="316">T90+G90</f>
        <v>1.3167929999999997</v>
      </c>
      <c r="V90" s="15">
        <f t="shared" ref="V90:V92" si="317">H90</f>
        <v>-0.62539699999999998</v>
      </c>
      <c r="W90" s="15">
        <f t="shared" ref="W90:W92" si="318">V90+I90</f>
        <v>-1.3090189999999999</v>
      </c>
      <c r="X90" s="15">
        <f t="shared" ref="X90:X92" si="319">W90+J90</f>
        <v>-1.9236339999999998</v>
      </c>
      <c r="Y90" s="15">
        <f t="shared" ref="Y90:Y92" si="320">X90+K90</f>
        <v>-8.0505150000000008</v>
      </c>
      <c r="Z90" s="15">
        <f t="shared" ref="Z90:Z92" si="321">L90</f>
        <v>-0.83457975822691743</v>
      </c>
      <c r="AA90" s="15">
        <f t="shared" ref="AA90:AA92" si="322">Z90+M90</f>
        <v>-1.386941</v>
      </c>
      <c r="AB90" s="15">
        <f t="shared" ref="AB90:AB92" si="323">AA90+N90</f>
        <v>-1.9236340000000001</v>
      </c>
      <c r="AC90" s="15">
        <f t="shared" ref="AC90:AC92" si="324">AB90+O90</f>
        <v>-8.0505150000000008</v>
      </c>
    </row>
    <row r="91" spans="2:29" x14ac:dyDescent="0.2">
      <c r="B91" s="1" t="s">
        <v>13</v>
      </c>
      <c r="C91" s="14">
        <f t="shared" ref="C91:K91" si="325">C35/1000000</f>
        <v>0.76566100000000004</v>
      </c>
      <c r="D91" s="14">
        <f t="shared" si="325"/>
        <v>0.23947599999999999</v>
      </c>
      <c r="E91" s="14">
        <f t="shared" si="325"/>
        <v>0.240898</v>
      </c>
      <c r="F91" s="14">
        <f t="shared" si="325"/>
        <v>0.24321799999999999</v>
      </c>
      <c r="G91" s="14">
        <f t="shared" si="325"/>
        <v>0.23830799999999999</v>
      </c>
      <c r="H91" s="14">
        <f t="shared" si="325"/>
        <v>0.22719800000000001</v>
      </c>
      <c r="I91" s="14">
        <f t="shared" si="325"/>
        <v>0.22742599999999999</v>
      </c>
      <c r="J91" s="14">
        <f t="shared" si="325"/>
        <v>0.226796</v>
      </c>
      <c r="K91" s="14">
        <f t="shared" si="325"/>
        <v>0.23421600000000001</v>
      </c>
      <c r="L91" s="24">
        <f t="shared" ref="L91:O91" si="326">L35/1000000</f>
        <v>0.15360730319855828</v>
      </c>
      <c r="M91" s="24">
        <f t="shared" si="326"/>
        <v>0.14225269680144173</v>
      </c>
      <c r="N91" s="24">
        <f t="shared" si="326"/>
        <v>0.38556000000000001</v>
      </c>
      <c r="O91" s="24">
        <f t="shared" si="326"/>
        <v>0.23421600000000001</v>
      </c>
      <c r="Q91" s="15">
        <f t="shared" si="312"/>
        <v>0.76566100000000004</v>
      </c>
      <c r="R91" s="15">
        <f t="shared" si="313"/>
        <v>0.23947599999999999</v>
      </c>
      <c r="S91" s="15">
        <f t="shared" si="314"/>
        <v>0.48037399999999997</v>
      </c>
      <c r="T91" s="15">
        <f t="shared" si="315"/>
        <v>0.72359200000000001</v>
      </c>
      <c r="U91" s="15">
        <f t="shared" si="316"/>
        <v>0.96189999999999998</v>
      </c>
      <c r="V91" s="15">
        <f t="shared" si="317"/>
        <v>0.22719800000000001</v>
      </c>
      <c r="W91" s="15">
        <f t="shared" si="318"/>
        <v>0.45462400000000003</v>
      </c>
      <c r="X91" s="15">
        <f t="shared" si="319"/>
        <v>0.68142000000000003</v>
      </c>
      <c r="Y91" s="15">
        <f t="shared" si="320"/>
        <v>0.91563600000000001</v>
      </c>
      <c r="Z91" s="15">
        <f t="shared" si="321"/>
        <v>0.15360730319855828</v>
      </c>
      <c r="AA91" s="15">
        <f t="shared" si="322"/>
        <v>0.29586000000000001</v>
      </c>
      <c r="AB91" s="15">
        <f t="shared" si="323"/>
        <v>0.68142000000000003</v>
      </c>
      <c r="AC91" s="15">
        <f t="shared" si="324"/>
        <v>0.91563600000000001</v>
      </c>
    </row>
    <row r="92" spans="2:29" x14ac:dyDescent="0.2">
      <c r="B92" s="1" t="s">
        <v>20</v>
      </c>
      <c r="C92" s="14">
        <f t="shared" ref="C92:K92" si="327">C36/1000000</f>
        <v>0.90315699999999999</v>
      </c>
      <c r="D92" s="14">
        <f t="shared" si="327"/>
        <v>0.19068199999999999</v>
      </c>
      <c r="E92" s="14">
        <f t="shared" si="327"/>
        <v>0.24138499999999999</v>
      </c>
      <c r="F92" s="14">
        <f t="shared" si="327"/>
        <v>0.22545699999999999</v>
      </c>
      <c r="G92" s="14">
        <f t="shared" si="327"/>
        <v>-3.8125140000000002</v>
      </c>
      <c r="H92" s="14">
        <f t="shared" si="327"/>
        <v>8.7217000000000003E-2</v>
      </c>
      <c r="I92" s="14">
        <f t="shared" si="327"/>
        <v>0.182814</v>
      </c>
      <c r="J92" s="14">
        <f t="shared" si="327"/>
        <v>8.9436000000000002E-2</v>
      </c>
      <c r="K92" s="14">
        <f t="shared" si="327"/>
        <v>5.6300929999999996</v>
      </c>
      <c r="L92" s="24">
        <f t="shared" ref="L92:O92" si="328">L36/1000000</f>
        <v>0.38838730020428291</v>
      </c>
      <c r="M92" s="24">
        <f t="shared" si="328"/>
        <v>0.21476969979571708</v>
      </c>
      <c r="N92" s="24">
        <f t="shared" si="328"/>
        <v>-0.24368999999999999</v>
      </c>
      <c r="O92" s="24">
        <f t="shared" si="328"/>
        <v>5.6300929999999996</v>
      </c>
      <c r="Q92" s="15">
        <f t="shared" si="312"/>
        <v>0.90315699999999999</v>
      </c>
      <c r="R92" s="15">
        <f t="shared" si="313"/>
        <v>0.19068199999999999</v>
      </c>
      <c r="S92" s="15">
        <f t="shared" si="314"/>
        <v>0.43206699999999998</v>
      </c>
      <c r="T92" s="15">
        <f t="shared" si="315"/>
        <v>0.657524</v>
      </c>
      <c r="U92" s="15">
        <f t="shared" si="316"/>
        <v>-3.1549900000000002</v>
      </c>
      <c r="V92" s="15">
        <f t="shared" si="317"/>
        <v>8.7217000000000003E-2</v>
      </c>
      <c r="W92" s="15">
        <f t="shared" si="318"/>
        <v>0.27003100000000002</v>
      </c>
      <c r="X92" s="15">
        <f t="shared" si="319"/>
        <v>0.35946700000000004</v>
      </c>
      <c r="Y92" s="15">
        <f t="shared" si="320"/>
        <v>5.98956</v>
      </c>
      <c r="Z92" s="15">
        <f t="shared" si="321"/>
        <v>0.38838730020428291</v>
      </c>
      <c r="AA92" s="15">
        <f t="shared" si="322"/>
        <v>0.60315699999999994</v>
      </c>
      <c r="AB92" s="15">
        <f t="shared" si="323"/>
        <v>0.35946699999999998</v>
      </c>
      <c r="AC92" s="15">
        <f t="shared" si="324"/>
        <v>5.9895599999999991</v>
      </c>
    </row>
    <row r="93" spans="2:29" x14ac:dyDescent="0.2">
      <c r="B93" s="1" t="s">
        <v>11</v>
      </c>
      <c r="C93" s="14">
        <f>C90+C91+C92</f>
        <v>-0.91125099999999981</v>
      </c>
      <c r="D93" s="14">
        <f t="shared" ref="D93:K93" si="329">D90+D91+D92</f>
        <v>-0.29641200000000001</v>
      </c>
      <c r="E93" s="14">
        <f t="shared" si="329"/>
        <v>-0.20078900000000002</v>
      </c>
      <c r="F93" s="14">
        <f t="shared" si="329"/>
        <v>-0.19329000000000005</v>
      </c>
      <c r="G93" s="14">
        <f t="shared" si="329"/>
        <v>-0.18580600000000036</v>
      </c>
      <c r="H93" s="14">
        <f t="shared" si="329"/>
        <v>-0.31098199999999998</v>
      </c>
      <c r="I93" s="14">
        <f t="shared" si="329"/>
        <v>-0.2733819999999999</v>
      </c>
      <c r="J93" s="14">
        <f t="shared" si="329"/>
        <v>-0.29838300000000001</v>
      </c>
      <c r="K93" s="14">
        <f t="shared" si="329"/>
        <v>-0.26257200000000047</v>
      </c>
      <c r="L93" s="24">
        <f t="shared" ref="L93:O93" si="330">L90+L91+L92</f>
        <v>-0.29258515482407621</v>
      </c>
      <c r="M93" s="24">
        <f t="shared" si="330"/>
        <v>-0.19533884517592376</v>
      </c>
      <c r="N93" s="24">
        <f t="shared" si="330"/>
        <v>-0.39482300000000004</v>
      </c>
      <c r="O93" s="24">
        <f t="shared" si="330"/>
        <v>-0.26257200000000047</v>
      </c>
      <c r="Q93" s="14">
        <f>Q90+Q91+Q92</f>
        <v>-0.91125099999999981</v>
      </c>
      <c r="R93" s="14">
        <f t="shared" ref="R93:Y93" si="331">R90+R91+R92</f>
        <v>-0.29641200000000001</v>
      </c>
      <c r="S93" s="14">
        <f t="shared" si="331"/>
        <v>-0.49720100000000012</v>
      </c>
      <c r="T93" s="14">
        <f t="shared" si="331"/>
        <v>-0.69049100000000019</v>
      </c>
      <c r="U93" s="14">
        <f t="shared" si="331"/>
        <v>-0.87629700000000055</v>
      </c>
      <c r="V93" s="14">
        <f t="shared" si="331"/>
        <v>-0.31098199999999998</v>
      </c>
      <c r="W93" s="14">
        <f t="shared" si="331"/>
        <v>-0.58436399999999988</v>
      </c>
      <c r="X93" s="14">
        <f t="shared" si="331"/>
        <v>-0.88274699999999973</v>
      </c>
      <c r="Y93" s="14">
        <f t="shared" si="331"/>
        <v>-1.1453190000000006</v>
      </c>
      <c r="Z93" s="14">
        <f t="shared" ref="Z93:AC93" si="332">Z90+Z91+Z92</f>
        <v>-0.29258515482407621</v>
      </c>
      <c r="AA93" s="14">
        <f t="shared" si="332"/>
        <v>-0.48792400000000002</v>
      </c>
      <c r="AB93" s="14">
        <f t="shared" si="332"/>
        <v>-0.88274700000000017</v>
      </c>
      <c r="AC93" s="14">
        <f t="shared" si="332"/>
        <v>-1.1453190000000015</v>
      </c>
    </row>
    <row r="94" spans="2:29" x14ac:dyDescent="0.2">
      <c r="C94" s="17"/>
      <c r="D94" s="17"/>
      <c r="E94" s="17"/>
      <c r="F94" s="17"/>
      <c r="G94" s="17"/>
      <c r="H94" s="17"/>
      <c r="I94" s="17"/>
      <c r="J94" s="17"/>
      <c r="K94" s="17"/>
      <c r="L94" s="28"/>
      <c r="M94" s="28"/>
      <c r="N94" s="28"/>
      <c r="O94" s="28"/>
    </row>
    <row r="95" spans="2:29" x14ac:dyDescent="0.2">
      <c r="B95" s="3" t="s">
        <v>22</v>
      </c>
      <c r="C95" s="17"/>
      <c r="D95" s="17"/>
      <c r="E95" s="17"/>
      <c r="F95" s="17"/>
      <c r="G95" s="17"/>
      <c r="H95" s="17"/>
      <c r="I95" s="17"/>
      <c r="J95" s="17"/>
      <c r="K95" s="17"/>
      <c r="L95" s="28"/>
      <c r="M95" s="28"/>
      <c r="N95" s="28"/>
      <c r="O95" s="28"/>
    </row>
    <row r="96" spans="2:29" x14ac:dyDescent="0.2">
      <c r="B96" s="1" t="s">
        <v>6</v>
      </c>
      <c r="C96" s="14">
        <f>C75+C61</f>
        <v>11.750457672550555</v>
      </c>
      <c r="D96" s="14">
        <f t="shared" ref="D96:K96" si="333">D75+D61</f>
        <v>11.002357752502922</v>
      </c>
      <c r="E96" s="14">
        <f t="shared" si="333"/>
        <v>10.940890009952067</v>
      </c>
      <c r="F96" s="14">
        <f t="shared" si="333"/>
        <v>10.846759289755553</v>
      </c>
      <c r="G96" s="14">
        <f t="shared" si="333"/>
        <v>11.04688239014817</v>
      </c>
      <c r="H96" s="14">
        <f t="shared" si="333"/>
        <v>13.691996023569297</v>
      </c>
      <c r="I96" s="14">
        <f t="shared" si="333"/>
        <v>13.477070243663437</v>
      </c>
      <c r="J96" s="14">
        <f t="shared" si="333"/>
        <v>13.620273317839834</v>
      </c>
      <c r="K96" s="14">
        <f t="shared" si="333"/>
        <v>14.263197220607218</v>
      </c>
      <c r="L96" s="24">
        <f t="shared" ref="L96:O96" si="334">L75+L61</f>
        <v>14.32925249</v>
      </c>
      <c r="M96" s="24">
        <f t="shared" si="334"/>
        <v>14.333786</v>
      </c>
      <c r="N96" s="24">
        <f t="shared" si="334"/>
        <v>0</v>
      </c>
      <c r="O96" s="24">
        <f t="shared" si="334"/>
        <v>0</v>
      </c>
      <c r="Q96" s="14">
        <f>Q75+Q61</f>
        <v>11.750457672550555</v>
      </c>
      <c r="R96" s="14">
        <f t="shared" ref="R96:Y96" si="335">R75+R61</f>
        <v>11.002357752502922</v>
      </c>
      <c r="S96" s="14">
        <f t="shared" si="335"/>
        <v>10.940890009952067</v>
      </c>
      <c r="T96" s="14">
        <f t="shared" si="335"/>
        <v>10.846759289755553</v>
      </c>
      <c r="U96" s="14">
        <f t="shared" si="335"/>
        <v>11.04688239014817</v>
      </c>
      <c r="V96" s="14">
        <f t="shared" si="335"/>
        <v>13.691996023569297</v>
      </c>
      <c r="W96" s="14">
        <f t="shared" si="335"/>
        <v>13.477070243663437</v>
      </c>
      <c r="X96" s="14">
        <f t="shared" si="335"/>
        <v>13.620273317839834</v>
      </c>
      <c r="Y96" s="14">
        <f t="shared" si="335"/>
        <v>14.263197220607218</v>
      </c>
      <c r="Z96" s="14">
        <f t="shared" ref="Z96:AC96" si="336">Z75+Z61</f>
        <v>14.32925249</v>
      </c>
      <c r="AA96" s="14">
        <f t="shared" si="336"/>
        <v>14.333786</v>
      </c>
      <c r="AB96" s="14">
        <f t="shared" si="336"/>
        <v>0</v>
      </c>
      <c r="AC96" s="14">
        <f t="shared" si="336"/>
        <v>0</v>
      </c>
    </row>
    <row r="97" spans="2:29" x14ac:dyDescent="0.2">
      <c r="B97" s="1" t="s">
        <v>23</v>
      </c>
      <c r="C97" s="14">
        <f>C76+C61</f>
        <v>10.15161337331069</v>
      </c>
      <c r="D97" s="14">
        <f t="shared" ref="D97:K97" si="337">D76+D61</f>
        <v>10.102265142297929</v>
      </c>
      <c r="E97" s="14">
        <f t="shared" si="337"/>
        <v>10.078361669842883</v>
      </c>
      <c r="F97" s="14">
        <f t="shared" si="337"/>
        <v>10.352563807789792</v>
      </c>
      <c r="G97" s="14">
        <f t="shared" si="337"/>
        <v>10.478327919211909</v>
      </c>
      <c r="H97" s="14">
        <f t="shared" si="337"/>
        <v>11.423919524554838</v>
      </c>
      <c r="I97" s="14">
        <f t="shared" si="337"/>
        <v>11.408600562797535</v>
      </c>
      <c r="J97" s="14">
        <f t="shared" si="337"/>
        <v>11.533091675573136</v>
      </c>
      <c r="K97" s="14">
        <f t="shared" si="337"/>
        <v>12.139817911753415</v>
      </c>
      <c r="L97" s="24">
        <f t="shared" ref="L97:O97" si="338">L76+L61</f>
        <v>12.114113549999999</v>
      </c>
      <c r="M97" s="24">
        <f t="shared" si="338"/>
        <v>12.343511491448211</v>
      </c>
      <c r="N97" s="24">
        <f t="shared" si="338"/>
        <v>0</v>
      </c>
      <c r="O97" s="24">
        <f t="shared" si="338"/>
        <v>0</v>
      </c>
      <c r="Q97" s="14">
        <f>Q76+Q61</f>
        <v>10.15161337331069</v>
      </c>
      <c r="R97" s="14">
        <f t="shared" ref="R97:Y97" si="339">R76+R61</f>
        <v>10.102265142297929</v>
      </c>
      <c r="S97" s="14">
        <f t="shared" si="339"/>
        <v>10.766528707201763</v>
      </c>
      <c r="T97" s="14">
        <f t="shared" si="339"/>
        <v>11.746848280698304</v>
      </c>
      <c r="U97" s="14">
        <f t="shared" si="339"/>
        <v>12.760635706724159</v>
      </c>
      <c r="V97" s="14">
        <f t="shared" si="339"/>
        <v>11.423919524554838</v>
      </c>
      <c r="W97" s="14">
        <f t="shared" si="339"/>
        <v>12.374826301490176</v>
      </c>
      <c r="X97" s="14">
        <f t="shared" si="339"/>
        <v>13.494130014996347</v>
      </c>
      <c r="Y97" s="14">
        <f t="shared" si="339"/>
        <v>15.130570517383259</v>
      </c>
      <c r="Z97" s="14">
        <f t="shared" ref="Z97:AC97" si="340">Z76+Z61</f>
        <v>12.114113549999999</v>
      </c>
      <c r="AA97" s="14">
        <f t="shared" si="340"/>
        <v>13.417787041448211</v>
      </c>
      <c r="AB97" s="14">
        <f t="shared" si="340"/>
        <v>2.128844041448211</v>
      </c>
      <c r="AC97" s="14">
        <f t="shared" si="340"/>
        <v>2.128844041448211</v>
      </c>
    </row>
    <row r="98" spans="2:29" x14ac:dyDescent="0.2">
      <c r="B98" s="1" t="s">
        <v>7</v>
      </c>
      <c r="C98" s="14">
        <f>C62+C77</f>
        <v>10.765665257482249</v>
      </c>
      <c r="D98" s="14">
        <f t="shared" ref="D98:K98" si="341">D62+D77</f>
        <v>2.8857896505266507</v>
      </c>
      <c r="E98" s="14">
        <f t="shared" si="341"/>
        <v>2.9380344489147037</v>
      </c>
      <c r="F98" s="14">
        <f t="shared" si="341"/>
        <v>2.9922915421539953</v>
      </c>
      <c r="G98" s="14">
        <f t="shared" si="341"/>
        <v>2.9444969866480681</v>
      </c>
      <c r="H98" s="14">
        <f t="shared" si="341"/>
        <v>3.4621294617074421</v>
      </c>
      <c r="I98" s="14">
        <f t="shared" si="341"/>
        <v>3.3168838241194316</v>
      </c>
      <c r="J98" s="14">
        <f t="shared" si="341"/>
        <v>3.284074166333022</v>
      </c>
      <c r="K98" s="14">
        <f t="shared" si="341"/>
        <v>3.596394861565797</v>
      </c>
      <c r="L98" s="24">
        <f t="shared" ref="L98:O98" si="342">L62+L77</f>
        <v>3.5602070000000001</v>
      </c>
      <c r="M98" s="24">
        <f t="shared" si="342"/>
        <v>3.5145710000000001</v>
      </c>
      <c r="N98" s="24">
        <f t="shared" si="342"/>
        <v>2.1804960000000002</v>
      </c>
      <c r="O98" s="24">
        <f t="shared" si="342"/>
        <v>2.7534529999999999</v>
      </c>
      <c r="Q98" s="14">
        <f>Q62+Q77</f>
        <v>10.765665257482249</v>
      </c>
      <c r="R98" s="14">
        <f t="shared" ref="R98:Y98" si="343">R62+R77</f>
        <v>2.8857896505266507</v>
      </c>
      <c r="S98" s="14">
        <f t="shared" si="343"/>
        <v>5.8238240994413539</v>
      </c>
      <c r="T98" s="14">
        <f t="shared" si="343"/>
        <v>8.8161156415953492</v>
      </c>
      <c r="U98" s="14">
        <f t="shared" si="343"/>
        <v>11.760612628243416</v>
      </c>
      <c r="V98" s="14">
        <f t="shared" si="343"/>
        <v>3.4621294617074421</v>
      </c>
      <c r="W98" s="14">
        <f t="shared" si="343"/>
        <v>6.7790132858268741</v>
      </c>
      <c r="X98" s="14">
        <f t="shared" si="343"/>
        <v>10.063087452159897</v>
      </c>
      <c r="Y98" s="14">
        <f t="shared" si="343"/>
        <v>13.659482313725693</v>
      </c>
      <c r="Z98" s="14">
        <f t="shared" ref="Z98:AC98" si="344">Z62+Z77</f>
        <v>3.5602070000000001</v>
      </c>
      <c r="AA98" s="14">
        <f t="shared" si="344"/>
        <v>7.0747780000000002</v>
      </c>
      <c r="AB98" s="14">
        <f t="shared" si="344"/>
        <v>9.255274</v>
      </c>
      <c r="AC98" s="14">
        <f t="shared" si="344"/>
        <v>12.008727</v>
      </c>
    </row>
    <row r="99" spans="2:29" x14ac:dyDescent="0.2">
      <c r="B99" s="1" t="s">
        <v>8</v>
      </c>
      <c r="C99" s="14">
        <f>C63+C78</f>
        <v>7.9080312199999998</v>
      </c>
      <c r="D99" s="14">
        <f t="shared" ref="D99:K99" si="345">D63+D78</f>
        <v>2.2380809099999999</v>
      </c>
      <c r="E99" s="14">
        <f t="shared" si="345"/>
        <v>2.2344828900000002</v>
      </c>
      <c r="F99" s="14">
        <f t="shared" si="345"/>
        <v>2.4384823599999996</v>
      </c>
      <c r="G99" s="14">
        <f t="shared" si="345"/>
        <v>2.4701163200000003</v>
      </c>
      <c r="H99" s="14">
        <f t="shared" si="345"/>
        <v>2.87296649</v>
      </c>
      <c r="I99" s="14">
        <f t="shared" si="345"/>
        <v>2.8034226799999997</v>
      </c>
      <c r="J99" s="14">
        <f t="shared" si="345"/>
        <v>2.8257994599999998</v>
      </c>
      <c r="K99" s="14">
        <f t="shared" si="345"/>
        <v>3.0440690500000005</v>
      </c>
      <c r="L99" s="24">
        <f t="shared" ref="L99:O99" si="346">L63+L78</f>
        <v>2.9808952005545422</v>
      </c>
      <c r="M99" s="24">
        <f t="shared" si="346"/>
        <v>3.0599362975498154</v>
      </c>
      <c r="N99" s="24">
        <f t="shared" si="346"/>
        <v>2.1539899999999998</v>
      </c>
      <c r="O99" s="24">
        <f t="shared" si="346"/>
        <v>2.7486350000000002</v>
      </c>
      <c r="Q99" s="14">
        <f>Q63+Q78</f>
        <v>7.9080312199999998</v>
      </c>
      <c r="R99" s="14">
        <f t="shared" ref="R99:Y99" si="347">R63+R78</f>
        <v>2.2380809099999999</v>
      </c>
      <c r="S99" s="14">
        <f t="shared" si="347"/>
        <v>4.4725638000000005</v>
      </c>
      <c r="T99" s="14">
        <f t="shared" si="347"/>
        <v>6.9110461600000006</v>
      </c>
      <c r="U99" s="14">
        <f t="shared" si="347"/>
        <v>9.3811624800000004</v>
      </c>
      <c r="V99" s="14">
        <f t="shared" si="347"/>
        <v>2.87296649</v>
      </c>
      <c r="W99" s="14">
        <f t="shared" si="347"/>
        <v>5.6763891699999993</v>
      </c>
      <c r="X99" s="14">
        <f t="shared" si="347"/>
        <v>8.5021886299999991</v>
      </c>
      <c r="Y99" s="14">
        <f t="shared" si="347"/>
        <v>11.54625768</v>
      </c>
      <c r="Z99" s="14">
        <f t="shared" ref="Z99:AC99" si="348">Z63+Z78</f>
        <v>2.9808952005545422</v>
      </c>
      <c r="AA99" s="14">
        <f t="shared" si="348"/>
        <v>6.0408314981043585</v>
      </c>
      <c r="AB99" s="14">
        <f t="shared" si="348"/>
        <v>8.194821498104357</v>
      </c>
      <c r="AC99" s="14">
        <f t="shared" si="348"/>
        <v>10.943456498104357</v>
      </c>
    </row>
    <row r="100" spans="2:29" x14ac:dyDescent="0.2">
      <c r="B100" s="1" t="s">
        <v>9</v>
      </c>
      <c r="C100" s="14">
        <f>C64+C79</f>
        <v>2.8576340374822493</v>
      </c>
      <c r="D100" s="14">
        <f t="shared" ref="D100:K100" si="349">D64+D79</f>
        <v>0.64770874052665051</v>
      </c>
      <c r="E100" s="14">
        <f t="shared" si="349"/>
        <v>0.70355155891470378</v>
      </c>
      <c r="F100" s="14">
        <f t="shared" si="349"/>
        <v>0.55380918215399566</v>
      </c>
      <c r="G100" s="14">
        <f t="shared" si="349"/>
        <v>0.47438066664806783</v>
      </c>
      <c r="H100" s="14">
        <f t="shared" si="349"/>
        <v>0.58916297170744214</v>
      </c>
      <c r="I100" s="14">
        <f t="shared" si="349"/>
        <v>0.51346114411943167</v>
      </c>
      <c r="J100" s="14">
        <f t="shared" si="349"/>
        <v>0.45827470633302214</v>
      </c>
      <c r="K100" s="14">
        <f t="shared" si="349"/>
        <v>0.55232581156579663</v>
      </c>
      <c r="L100" s="24">
        <f t="shared" ref="L100:O100" si="350">L64+L79</f>
        <v>0.57931179944545785</v>
      </c>
      <c r="M100" s="24">
        <f t="shared" si="350"/>
        <v>0.45463470245018422</v>
      </c>
      <c r="N100" s="24">
        <f t="shared" si="350"/>
        <v>2.6506000000000363E-2</v>
      </c>
      <c r="O100" s="24">
        <f t="shared" si="350"/>
        <v>4.8179999999997669E-3</v>
      </c>
      <c r="Q100" s="14">
        <f>Q64+Q79</f>
        <v>2.8576340374822493</v>
      </c>
      <c r="R100" s="14">
        <f t="shared" ref="R100:Y100" si="351">R64+R79</f>
        <v>0.64770874052665051</v>
      </c>
      <c r="S100" s="14">
        <f t="shared" si="351"/>
        <v>1.3512602994413543</v>
      </c>
      <c r="T100" s="14">
        <f t="shared" si="351"/>
        <v>1.9050694815953499</v>
      </c>
      <c r="U100" s="14">
        <f t="shared" si="351"/>
        <v>2.3794501482434178</v>
      </c>
      <c r="V100" s="14">
        <f t="shared" si="351"/>
        <v>0.58916297170744214</v>
      </c>
      <c r="W100" s="14">
        <f t="shared" si="351"/>
        <v>1.1026241158268739</v>
      </c>
      <c r="X100" s="14">
        <f t="shared" si="351"/>
        <v>1.5608988221598961</v>
      </c>
      <c r="Y100" s="14">
        <f t="shared" si="351"/>
        <v>2.1132246337256926</v>
      </c>
      <c r="Z100" s="14">
        <f t="shared" ref="Z100:AC100" si="352">Z64+Z79</f>
        <v>0.57931179944545785</v>
      </c>
      <c r="AA100" s="14">
        <f t="shared" si="352"/>
        <v>1.0339465018956422</v>
      </c>
      <c r="AB100" s="14">
        <f t="shared" si="352"/>
        <v>1.0604525018956426</v>
      </c>
      <c r="AC100" s="14">
        <f t="shared" si="352"/>
        <v>1.0652705018956423</v>
      </c>
    </row>
    <row r="101" spans="2:29" x14ac:dyDescent="0.2">
      <c r="B101" s="7" t="s">
        <v>10</v>
      </c>
      <c r="C101" s="11">
        <f>C99/C98</f>
        <v>0.73456038534207968</v>
      </c>
      <c r="D101" s="11">
        <f t="shared" ref="D101:K101" si="353">D99/D98</f>
        <v>0.77555233784678479</v>
      </c>
      <c r="E101" s="11">
        <f t="shared" si="353"/>
        <v>0.76053665430145245</v>
      </c>
      <c r="F101" s="11">
        <f t="shared" si="353"/>
        <v>0.81492138237461409</v>
      </c>
      <c r="G101" s="11">
        <f t="shared" si="353"/>
        <v>0.83889245979902005</v>
      </c>
      <c r="H101" s="11">
        <f t="shared" si="353"/>
        <v>0.82982641804016177</v>
      </c>
      <c r="I101" s="11">
        <f t="shared" si="353"/>
        <v>0.8451977303559175</v>
      </c>
      <c r="J101" s="11">
        <f t="shared" si="353"/>
        <v>0.8604554333665585</v>
      </c>
      <c r="K101" s="11">
        <f t="shared" si="353"/>
        <v>0.84642236661262349</v>
      </c>
      <c r="L101" s="25">
        <f t="shared" ref="L101:O101" si="354">L99/L98</f>
        <v>0.83728142789296855</v>
      </c>
      <c r="M101" s="25">
        <f t="shared" si="354"/>
        <v>0.87064290280373202</v>
      </c>
      <c r="N101" s="25">
        <f t="shared" si="354"/>
        <v>0.98784405016106414</v>
      </c>
      <c r="O101" s="25">
        <f t="shared" si="354"/>
        <v>0.99825019711613028</v>
      </c>
      <c r="P101" s="35"/>
      <c r="Q101" s="11">
        <f>Q99/Q98</f>
        <v>0.73456038534207968</v>
      </c>
      <c r="R101" s="11">
        <f t="shared" ref="R101:Y101" si="355">R99/R98</f>
        <v>0.77555233784678479</v>
      </c>
      <c r="S101" s="11">
        <f t="shared" si="355"/>
        <v>0.76797714416357943</v>
      </c>
      <c r="T101" s="11">
        <f t="shared" si="355"/>
        <v>0.78391056117650804</v>
      </c>
      <c r="U101" s="11">
        <f t="shared" si="355"/>
        <v>0.79767634361758466</v>
      </c>
      <c r="V101" s="11">
        <f t="shared" si="355"/>
        <v>0.82982641804016177</v>
      </c>
      <c r="W101" s="11">
        <f t="shared" si="355"/>
        <v>0.8373474030310325</v>
      </c>
      <c r="X101" s="11">
        <f t="shared" si="355"/>
        <v>0.84488867560970338</v>
      </c>
      <c r="Y101" s="11">
        <f t="shared" si="355"/>
        <v>0.84529247996446943</v>
      </c>
      <c r="Z101" s="11">
        <f t="shared" ref="Z101:AC101" si="356">Z99/Z98</f>
        <v>0.83728142789296855</v>
      </c>
      <c r="AA101" s="11">
        <f t="shared" si="356"/>
        <v>0.85385456591066999</v>
      </c>
      <c r="AB101" s="11">
        <f t="shared" si="356"/>
        <v>0.88542181442757473</v>
      </c>
      <c r="AC101" s="11">
        <f t="shared" si="356"/>
        <v>0.91129197108938831</v>
      </c>
    </row>
    <row r="102" spans="2:29" x14ac:dyDescent="0.2">
      <c r="B102" s="1" t="s">
        <v>21</v>
      </c>
      <c r="C102" s="17">
        <f>C66+C81+C90</f>
        <v>-0.11507259866410724</v>
      </c>
      <c r="D102" s="17">
        <f t="shared" ref="D102:K102" si="357">D66+D81+D90</f>
        <v>-0.17409072836434347</v>
      </c>
      <c r="E102" s="17">
        <f t="shared" si="357"/>
        <v>-0.24342826471143575</v>
      </c>
      <c r="F102" s="17">
        <f t="shared" si="357"/>
        <v>-0.27574692608281115</v>
      </c>
      <c r="G102" s="17">
        <f t="shared" si="357"/>
        <v>3.6081197954796917</v>
      </c>
      <c r="H102" s="17">
        <f t="shared" si="357"/>
        <v>3.6779691755993271E-2</v>
      </c>
      <c r="I102" s="17">
        <f t="shared" si="357"/>
        <v>-0.46424422516160058</v>
      </c>
      <c r="J102" s="17">
        <f t="shared" si="357"/>
        <v>-0.28244322150813284</v>
      </c>
      <c r="K102" s="17">
        <f t="shared" si="357"/>
        <v>-5.7170928611451508</v>
      </c>
      <c r="L102" s="28">
        <f t="shared" ref="L102:O102" si="358">L66+L81+L90</f>
        <v>-0.33053600772431813</v>
      </c>
      <c r="M102" s="28">
        <f t="shared" si="358"/>
        <v>-3.3376101257340918E-2</v>
      </c>
      <c r="N102" s="28">
        <f t="shared" si="358"/>
        <v>-0.26145400000000008</v>
      </c>
      <c r="O102" s="28">
        <f t="shared" si="358"/>
        <v>-5.780589</v>
      </c>
      <c r="Q102" s="13">
        <f>Q66+Q81+Q90</f>
        <v>-0.11507259866410724</v>
      </c>
      <c r="R102" s="13">
        <f t="shared" ref="R102:Y102" si="359">R66+R81+R90</f>
        <v>-0.17409072836434347</v>
      </c>
      <c r="S102" s="13">
        <f t="shared" si="359"/>
        <v>-0.41751899307577922</v>
      </c>
      <c r="T102" s="13">
        <f t="shared" si="359"/>
        <v>-0.69326591915859059</v>
      </c>
      <c r="U102" s="13">
        <f t="shared" si="359"/>
        <v>2.9148538763211009</v>
      </c>
      <c r="V102" s="13">
        <f t="shared" si="359"/>
        <v>3.6779691755993271E-2</v>
      </c>
      <c r="W102" s="13">
        <f t="shared" si="359"/>
        <v>-0.42746453340560731</v>
      </c>
      <c r="X102" s="13">
        <f t="shared" si="359"/>
        <v>-0.70990775491374003</v>
      </c>
      <c r="Y102" s="13">
        <f t="shared" si="359"/>
        <v>-6.4270006160588915</v>
      </c>
      <c r="Z102" s="13">
        <f t="shared" ref="Z102:AC102" si="360">Z66+Z81+Z90</f>
        <v>-0.33053600772431813</v>
      </c>
      <c r="AA102" s="13">
        <f t="shared" si="360"/>
        <v>-0.36391210898165904</v>
      </c>
      <c r="AB102" s="13">
        <f t="shared" si="360"/>
        <v>-0.62536610898165912</v>
      </c>
      <c r="AC102" s="13">
        <f t="shared" si="360"/>
        <v>-6.4059551089816598</v>
      </c>
    </row>
    <row r="103" spans="2:29" x14ac:dyDescent="0.2">
      <c r="B103" s="1" t="s">
        <v>13</v>
      </c>
      <c r="C103" s="17">
        <f>C67+C82+C91</f>
        <v>2.4247720300000002</v>
      </c>
      <c r="D103" s="17">
        <f t="shared" ref="D103:K103" si="361">D67+D82+D91</f>
        <v>0.80580675999999996</v>
      </c>
      <c r="E103" s="17">
        <f t="shared" si="361"/>
        <v>0.89728886999999991</v>
      </c>
      <c r="F103" s="17">
        <f t="shared" si="361"/>
        <v>0.92249786999999994</v>
      </c>
      <c r="G103" s="17">
        <f t="shared" si="361"/>
        <v>0.95848148999999994</v>
      </c>
      <c r="H103" s="17">
        <f t="shared" si="361"/>
        <v>0.98940247000000003</v>
      </c>
      <c r="I103" s="17">
        <f t="shared" si="361"/>
        <v>1.1459717199999999</v>
      </c>
      <c r="J103" s="17">
        <f t="shared" si="361"/>
        <v>1.1171214899999999</v>
      </c>
      <c r="K103" s="17">
        <f t="shared" si="361"/>
        <v>1.13455448</v>
      </c>
      <c r="L103" s="28">
        <f t="shared" ref="L103:O103" si="362">L67+L82+L91</f>
        <v>1.0442448998454661</v>
      </c>
      <c r="M103" s="28">
        <f t="shared" si="362"/>
        <v>0.97479609883260387</v>
      </c>
      <c r="N103" s="28">
        <f t="shared" si="362"/>
        <v>1.0533619999999999</v>
      </c>
      <c r="O103" s="28">
        <f t="shared" si="362"/>
        <v>1.012615</v>
      </c>
      <c r="Q103" s="17">
        <f>Q67+Q82+Q91</f>
        <v>2.4247720300000002</v>
      </c>
      <c r="R103" s="17">
        <f t="shared" ref="R103:Y103" si="363">R67+R82+R91</f>
        <v>0.80580675999999996</v>
      </c>
      <c r="S103" s="17">
        <f t="shared" si="363"/>
        <v>1.70309563</v>
      </c>
      <c r="T103" s="17">
        <f t="shared" si="363"/>
        <v>2.6255934999999999</v>
      </c>
      <c r="U103" s="17">
        <f t="shared" si="363"/>
        <v>3.58407499</v>
      </c>
      <c r="V103" s="17">
        <f t="shared" si="363"/>
        <v>0.98940247000000003</v>
      </c>
      <c r="W103" s="17">
        <f t="shared" si="363"/>
        <v>2.1353741899999998</v>
      </c>
      <c r="X103" s="17">
        <f t="shared" si="363"/>
        <v>3.2524956800000004</v>
      </c>
      <c r="Y103" s="17">
        <f t="shared" si="363"/>
        <v>4.3870501600000003</v>
      </c>
      <c r="Z103" s="17">
        <f t="shared" ref="Z103:AC103" si="364">Z67+Z82+Z91</f>
        <v>1.0442448998454661</v>
      </c>
      <c r="AA103" s="17">
        <f t="shared" si="364"/>
        <v>2.01904099867807</v>
      </c>
      <c r="AB103" s="17">
        <f t="shared" si="364"/>
        <v>3.0724029986780703</v>
      </c>
      <c r="AC103" s="17">
        <f t="shared" si="364"/>
        <v>4.0850179986780697</v>
      </c>
    </row>
    <row r="104" spans="2:29" x14ac:dyDescent="0.2">
      <c r="B104" s="1" t="s">
        <v>20</v>
      </c>
      <c r="C104" s="17">
        <f>C92</f>
        <v>0.90315699999999999</v>
      </c>
      <c r="D104" s="17">
        <f t="shared" ref="D104:K104" si="365">D92</f>
        <v>0.19068199999999999</v>
      </c>
      <c r="E104" s="17">
        <f t="shared" si="365"/>
        <v>0.24138499999999999</v>
      </c>
      <c r="F104" s="17">
        <f t="shared" si="365"/>
        <v>0.22545699999999999</v>
      </c>
      <c r="G104" s="17">
        <f t="shared" si="365"/>
        <v>-3.8125140000000002</v>
      </c>
      <c r="H104" s="17">
        <f t="shared" si="365"/>
        <v>8.7217000000000003E-2</v>
      </c>
      <c r="I104" s="17">
        <f t="shared" si="365"/>
        <v>0.182814</v>
      </c>
      <c r="J104" s="17">
        <f t="shared" si="365"/>
        <v>8.9436000000000002E-2</v>
      </c>
      <c r="K104" s="17">
        <f t="shared" si="365"/>
        <v>5.6300929999999996</v>
      </c>
      <c r="L104" s="28">
        <f t="shared" ref="L104:O104" si="366">L92</f>
        <v>0.38838730020428291</v>
      </c>
      <c r="M104" s="28">
        <f t="shared" si="366"/>
        <v>0.21476969979571708</v>
      </c>
      <c r="N104" s="28">
        <f t="shared" si="366"/>
        <v>-0.24368999999999999</v>
      </c>
      <c r="O104" s="28">
        <f t="shared" si="366"/>
        <v>5.6300929999999996</v>
      </c>
      <c r="Q104" s="17">
        <f>Q92</f>
        <v>0.90315699999999999</v>
      </c>
      <c r="R104" s="17">
        <f t="shared" ref="R104:Y104" si="367">R92</f>
        <v>0.19068199999999999</v>
      </c>
      <c r="S104" s="17">
        <f t="shared" si="367"/>
        <v>0.43206699999999998</v>
      </c>
      <c r="T104" s="17">
        <f t="shared" si="367"/>
        <v>0.657524</v>
      </c>
      <c r="U104" s="17">
        <f t="shared" si="367"/>
        <v>-3.1549900000000002</v>
      </c>
      <c r="V104" s="17">
        <f t="shared" si="367"/>
        <v>8.7217000000000003E-2</v>
      </c>
      <c r="W104" s="17">
        <f t="shared" si="367"/>
        <v>0.27003100000000002</v>
      </c>
      <c r="X104" s="17">
        <f t="shared" si="367"/>
        <v>0.35946700000000004</v>
      </c>
      <c r="Y104" s="17">
        <f t="shared" si="367"/>
        <v>5.98956</v>
      </c>
      <c r="Z104" s="17">
        <f t="shared" ref="Z104:AC104" si="368">Z92</f>
        <v>0.38838730020428291</v>
      </c>
      <c r="AA104" s="17">
        <f t="shared" si="368"/>
        <v>0.60315699999999994</v>
      </c>
      <c r="AB104" s="17">
        <f t="shared" si="368"/>
        <v>0.35946699999999998</v>
      </c>
      <c r="AC104" s="17">
        <f t="shared" si="368"/>
        <v>5.9895599999999991</v>
      </c>
    </row>
    <row r="105" spans="2:29" x14ac:dyDescent="0.2">
      <c r="B105" s="1" t="s">
        <v>11</v>
      </c>
      <c r="C105" s="17">
        <f>C102+C103+C104</f>
        <v>3.2128564313358927</v>
      </c>
      <c r="D105" s="17">
        <f t="shared" ref="D105:J105" si="369">D102+D103+D104</f>
        <v>0.8223980316356565</v>
      </c>
      <c r="E105" s="17">
        <f t="shared" si="369"/>
        <v>0.89524560528856412</v>
      </c>
      <c r="F105" s="17">
        <f t="shared" si="369"/>
        <v>0.87220794391718881</v>
      </c>
      <c r="G105" s="17">
        <f t="shared" si="369"/>
        <v>0.75408728547969162</v>
      </c>
      <c r="H105" s="17">
        <f t="shared" si="369"/>
        <v>1.1133991617559935</v>
      </c>
      <c r="I105" s="17">
        <f t="shared" si="369"/>
        <v>0.86454149483839937</v>
      </c>
      <c r="J105" s="17">
        <f t="shared" si="369"/>
        <v>0.92411426849186706</v>
      </c>
      <c r="K105" s="17">
        <f>K102+K103+K104</f>
        <v>1.047554618854849</v>
      </c>
      <c r="L105" s="28">
        <f t="shared" ref="L105:O105" si="370">L102+L103+L104</f>
        <v>1.1020961923254309</v>
      </c>
      <c r="M105" s="28">
        <f t="shared" si="370"/>
        <v>1.15618969737098</v>
      </c>
      <c r="N105" s="28">
        <f t="shared" si="370"/>
        <v>0.54821799999999987</v>
      </c>
      <c r="O105" s="28">
        <f>O102+O103+O104</f>
        <v>0.86211899999999986</v>
      </c>
      <c r="Q105" s="17">
        <f>Q102+Q103+Q104</f>
        <v>3.2128564313358927</v>
      </c>
      <c r="R105" s="17">
        <f t="shared" ref="R105:X105" si="371">R102+R103+R104</f>
        <v>0.8223980316356565</v>
      </c>
      <c r="S105" s="17">
        <f t="shared" si="371"/>
        <v>1.7176436369242207</v>
      </c>
      <c r="T105" s="17">
        <f t="shared" si="371"/>
        <v>2.5898515808414091</v>
      </c>
      <c r="U105" s="17">
        <f t="shared" si="371"/>
        <v>3.3439388663211012</v>
      </c>
      <c r="V105" s="17">
        <f t="shared" si="371"/>
        <v>1.1133991617559935</v>
      </c>
      <c r="W105" s="17">
        <f t="shared" si="371"/>
        <v>1.9779406565943924</v>
      </c>
      <c r="X105" s="17">
        <f t="shared" si="371"/>
        <v>2.9020549250862602</v>
      </c>
      <c r="Y105" s="17">
        <f>Y102+Y103+Y104</f>
        <v>3.9496095439411087</v>
      </c>
      <c r="Z105" s="17">
        <f t="shared" ref="Z105:AC105" si="372">Z102+Z103+Z104</f>
        <v>1.1020961923254309</v>
      </c>
      <c r="AA105" s="17">
        <f t="shared" si="372"/>
        <v>2.2582858896964106</v>
      </c>
      <c r="AB105" s="17">
        <f t="shared" si="372"/>
        <v>2.8065038896964114</v>
      </c>
      <c r="AC105" s="17">
        <f>AC102+AC103+AC104</f>
        <v>3.668622889696409</v>
      </c>
    </row>
    <row r="106" spans="2:29" x14ac:dyDescent="0.2">
      <c r="B106" s="7" t="s">
        <v>34</v>
      </c>
      <c r="C106" s="11">
        <f>C105/C98</f>
        <v>0.29843547560638894</v>
      </c>
      <c r="D106" s="11">
        <f t="shared" ref="D106:K106" si="373">D105/D98</f>
        <v>0.28498197416626347</v>
      </c>
      <c r="E106" s="11">
        <f t="shared" si="373"/>
        <v>0.30470902259817401</v>
      </c>
      <c r="F106" s="11">
        <f t="shared" si="373"/>
        <v>0.29148494778330708</v>
      </c>
      <c r="G106" s="11">
        <f t="shared" si="373"/>
        <v>0.2561005458314709</v>
      </c>
      <c r="H106" s="11">
        <f t="shared" si="373"/>
        <v>0.32159373994261059</v>
      </c>
      <c r="I106" s="11">
        <f t="shared" si="373"/>
        <v>0.26064871146577417</v>
      </c>
      <c r="J106" s="11">
        <f t="shared" si="373"/>
        <v>0.2813926305214135</v>
      </c>
      <c r="K106" s="11">
        <f t="shared" si="373"/>
        <v>0.29127908897043775</v>
      </c>
      <c r="L106" s="25">
        <f t="shared" ref="L106:O106" si="374">L105/L98</f>
        <v>0.30955958244153525</v>
      </c>
      <c r="M106" s="25">
        <f t="shared" si="374"/>
        <v>0.32897036291797205</v>
      </c>
      <c r="N106" s="25">
        <f t="shared" si="374"/>
        <v>0.2514189432129203</v>
      </c>
      <c r="O106" s="25">
        <f t="shared" si="374"/>
        <v>0.31310467256931562</v>
      </c>
      <c r="P106" s="35"/>
      <c r="Q106" s="11">
        <f>Q105/Q98</f>
        <v>0.29843547560638894</v>
      </c>
      <c r="R106" s="11">
        <f t="shared" ref="R106:Y106" si="375">R105/R98</f>
        <v>0.28498197416626347</v>
      </c>
      <c r="S106" s="11">
        <f t="shared" si="375"/>
        <v>0.2949339828256462</v>
      </c>
      <c r="T106" s="11">
        <f t="shared" si="375"/>
        <v>0.29376334046960778</v>
      </c>
      <c r="U106" s="11">
        <f t="shared" si="375"/>
        <v>0.28433373090535652</v>
      </c>
      <c r="V106" s="11">
        <f t="shared" si="375"/>
        <v>0.32159373994261059</v>
      </c>
      <c r="W106" s="11">
        <f t="shared" si="375"/>
        <v>0.29177412304674838</v>
      </c>
      <c r="X106" s="11">
        <f t="shared" si="375"/>
        <v>0.28838613784116285</v>
      </c>
      <c r="Y106" s="11">
        <f t="shared" si="375"/>
        <v>0.28914782077592754</v>
      </c>
      <c r="Z106" s="11">
        <f t="shared" ref="Z106:AC106" si="376">Z105/Z98</f>
        <v>0.30955958244153525</v>
      </c>
      <c r="AA106" s="11">
        <f t="shared" si="376"/>
        <v>0.31920236786177753</v>
      </c>
      <c r="AB106" s="11">
        <f t="shared" si="376"/>
        <v>0.30323293396785567</v>
      </c>
      <c r="AC106" s="11">
        <f t="shared" si="376"/>
        <v>0.3054964018830979</v>
      </c>
    </row>
    <row r="107" spans="2:29" x14ac:dyDescent="0.2">
      <c r="B107" s="1" t="s">
        <v>14</v>
      </c>
      <c r="C107" s="17">
        <f>C105-C103</f>
        <v>0.78808440133589253</v>
      </c>
      <c r="D107" s="17">
        <f t="shared" ref="D107:K107" si="377">D105-D103</f>
        <v>1.6591271635656546E-2</v>
      </c>
      <c r="E107" s="17">
        <f t="shared" si="377"/>
        <v>-2.0432647114357883E-3</v>
      </c>
      <c r="F107" s="17">
        <f t="shared" si="377"/>
        <v>-5.0289926082811132E-2</v>
      </c>
      <c r="G107" s="17">
        <f t="shared" si="377"/>
        <v>-0.20439420452030832</v>
      </c>
      <c r="H107" s="17">
        <f t="shared" si="377"/>
        <v>0.12399669175599348</v>
      </c>
      <c r="I107" s="17">
        <f t="shared" si="377"/>
        <v>-0.28143022516160054</v>
      </c>
      <c r="J107" s="17">
        <f t="shared" si="377"/>
        <v>-0.19300722150813288</v>
      </c>
      <c r="K107" s="17">
        <f t="shared" si="377"/>
        <v>-8.6999861145151014E-2</v>
      </c>
      <c r="L107" s="28">
        <f t="shared" ref="L107:O107" si="378">L105-L103</f>
        <v>5.7851292479964789E-2</v>
      </c>
      <c r="M107" s="28">
        <f t="shared" si="378"/>
        <v>0.18139359853837611</v>
      </c>
      <c r="N107" s="28">
        <f t="shared" si="378"/>
        <v>-0.50514400000000004</v>
      </c>
      <c r="O107" s="28">
        <f t="shared" si="378"/>
        <v>-0.15049600000000019</v>
      </c>
      <c r="Q107" s="17">
        <f>Q105-Q103</f>
        <v>0.78808440133589253</v>
      </c>
      <c r="R107" s="17">
        <f t="shared" ref="R107:Y107" si="379">R105-R103</f>
        <v>1.6591271635656546E-2</v>
      </c>
      <c r="S107" s="17">
        <f t="shared" si="379"/>
        <v>1.4548006924220758E-2</v>
      </c>
      <c r="T107" s="17">
        <f t="shared" si="379"/>
        <v>-3.5741919158590818E-2</v>
      </c>
      <c r="U107" s="17">
        <f t="shared" si="379"/>
        <v>-0.24013612367889881</v>
      </c>
      <c r="V107" s="17">
        <f t="shared" si="379"/>
        <v>0.12399669175599348</v>
      </c>
      <c r="W107" s="17">
        <f t="shared" si="379"/>
        <v>-0.1574335334056074</v>
      </c>
      <c r="X107" s="17">
        <f t="shared" si="379"/>
        <v>-0.35044075491374027</v>
      </c>
      <c r="Y107" s="17">
        <f t="shared" si="379"/>
        <v>-0.43744061605889151</v>
      </c>
      <c r="Z107" s="17">
        <f t="shared" ref="Z107:AC107" si="380">Z105-Z103</f>
        <v>5.7851292479964789E-2</v>
      </c>
      <c r="AA107" s="17">
        <f t="shared" si="380"/>
        <v>0.23924489101834068</v>
      </c>
      <c r="AB107" s="17">
        <f t="shared" si="380"/>
        <v>-0.26589910898165892</v>
      </c>
      <c r="AC107" s="17">
        <f t="shared" si="380"/>
        <v>-0.41639510898166066</v>
      </c>
    </row>
    <row r="108" spans="2:29" x14ac:dyDescent="0.2">
      <c r="B108" s="1" t="s">
        <v>15</v>
      </c>
      <c r="C108" s="14">
        <f>C70+C85</f>
        <v>4.3717793499999997</v>
      </c>
      <c r="D108" s="14">
        <f t="shared" ref="D108:K108" si="381">D70+D85</f>
        <v>0.77611414999999995</v>
      </c>
      <c r="E108" s="14">
        <f t="shared" si="381"/>
        <v>0.84700585000000006</v>
      </c>
      <c r="F108" s="14">
        <f t="shared" si="381"/>
        <v>0.82555400000000001</v>
      </c>
      <c r="G108" s="14">
        <f t="shared" si="381"/>
        <v>0.9032</v>
      </c>
      <c r="H108" s="14">
        <f t="shared" si="381"/>
        <v>0.78337900000000005</v>
      </c>
      <c r="I108" s="14">
        <f t="shared" si="381"/>
        <v>0.88057699999999994</v>
      </c>
      <c r="J108" s="14">
        <f t="shared" si="381"/>
        <v>0.82774099999999995</v>
      </c>
      <c r="K108" s="14">
        <f t="shared" si="381"/>
        <v>0.84058899999999992</v>
      </c>
      <c r="L108" s="24">
        <f t="shared" ref="L108:O108" si="382">L70+L85</f>
        <v>0.6652319925093616</v>
      </c>
      <c r="M108" s="24">
        <f t="shared" si="382"/>
        <v>0.64078142467006338</v>
      </c>
      <c r="N108" s="24">
        <f t="shared" si="382"/>
        <v>0.98711400000000005</v>
      </c>
      <c r="O108" s="24">
        <f t="shared" si="382"/>
        <v>0.64232999999999996</v>
      </c>
      <c r="Q108" s="14">
        <f>Q70+Q85</f>
        <v>4.3717793499999997</v>
      </c>
      <c r="R108" s="14">
        <f t="shared" ref="R108:Y108" si="383">R70+R85</f>
        <v>0.77611414999999995</v>
      </c>
      <c r="S108" s="14">
        <f t="shared" si="383"/>
        <v>1.6231200000000001</v>
      </c>
      <c r="T108" s="14">
        <f t="shared" si="383"/>
        <v>2.4486740000000005</v>
      </c>
      <c r="U108" s="14">
        <f t="shared" si="383"/>
        <v>3.351874</v>
      </c>
      <c r="V108" s="14">
        <f t="shared" si="383"/>
        <v>0.78337900000000005</v>
      </c>
      <c r="W108" s="14">
        <f t="shared" si="383"/>
        <v>1.663956</v>
      </c>
      <c r="X108" s="14">
        <f t="shared" si="383"/>
        <v>2.4916969999999998</v>
      </c>
      <c r="Y108" s="14">
        <f t="shared" si="383"/>
        <v>3.3322859999999999</v>
      </c>
      <c r="Z108" s="14">
        <f t="shared" ref="Z108:AC108" si="384">Z70+Z85</f>
        <v>0.6652319925093616</v>
      </c>
      <c r="AA108" s="14">
        <f t="shared" si="384"/>
        <v>1.3060134171794249</v>
      </c>
      <c r="AB108" s="14">
        <f t="shared" si="384"/>
        <v>2.2931274171794249</v>
      </c>
      <c r="AC108" s="14">
        <f t="shared" si="384"/>
        <v>2.9354574171794248</v>
      </c>
    </row>
    <row r="109" spans="2:29" x14ac:dyDescent="0.2">
      <c r="B109" s="1" t="s">
        <v>16</v>
      </c>
      <c r="C109" s="17">
        <f>C105-C108</f>
        <v>-1.158922918664107</v>
      </c>
      <c r="D109" s="17">
        <f t="shared" ref="D109:K109" si="385">D105-D108</f>
        <v>4.6283881635656554E-2</v>
      </c>
      <c r="E109" s="17">
        <f t="shared" si="385"/>
        <v>4.8239755288564057E-2</v>
      </c>
      <c r="F109" s="17">
        <f t="shared" si="385"/>
        <v>4.66539439171888E-2</v>
      </c>
      <c r="G109" s="17">
        <f t="shared" si="385"/>
        <v>-0.14911271452030839</v>
      </c>
      <c r="H109" s="17">
        <f t="shared" si="385"/>
        <v>0.33002016175599347</v>
      </c>
      <c r="I109" s="17">
        <f t="shared" si="385"/>
        <v>-1.6035505161600572E-2</v>
      </c>
      <c r="J109" s="17">
        <f t="shared" si="385"/>
        <v>9.6373268491867115E-2</v>
      </c>
      <c r="K109" s="17">
        <f t="shared" si="385"/>
        <v>0.2069656188548491</v>
      </c>
      <c r="L109" s="28">
        <f t="shared" ref="L109:O109" si="386">L105-L108</f>
        <v>0.43686419981606928</v>
      </c>
      <c r="M109" s="28">
        <f t="shared" si="386"/>
        <v>0.5154082727009166</v>
      </c>
      <c r="N109" s="28">
        <f t="shared" si="386"/>
        <v>-0.43889600000000017</v>
      </c>
      <c r="O109" s="28">
        <f t="shared" si="386"/>
        <v>0.2197889999999999</v>
      </c>
      <c r="Q109" s="17">
        <f>Q105-Q108</f>
        <v>-1.158922918664107</v>
      </c>
      <c r="R109" s="17">
        <f t="shared" ref="R109:Y109" si="387">R105-R108</f>
        <v>4.6283881635656554E-2</v>
      </c>
      <c r="S109" s="17">
        <f t="shared" si="387"/>
        <v>9.4523636924220611E-2</v>
      </c>
      <c r="T109" s="17">
        <f t="shared" si="387"/>
        <v>0.14117758084140863</v>
      </c>
      <c r="U109" s="17">
        <f t="shared" si="387"/>
        <v>-7.9351336788988647E-3</v>
      </c>
      <c r="V109" s="17">
        <f t="shared" si="387"/>
        <v>0.33002016175599347</v>
      </c>
      <c r="W109" s="17">
        <f t="shared" si="387"/>
        <v>0.31398465659439245</v>
      </c>
      <c r="X109" s="17">
        <f t="shared" si="387"/>
        <v>0.41035792508626034</v>
      </c>
      <c r="Y109" s="17">
        <f t="shared" si="387"/>
        <v>0.61732354394110889</v>
      </c>
      <c r="Z109" s="17">
        <f t="shared" ref="Z109:AC109" si="388">Z105-Z108</f>
        <v>0.43686419981606928</v>
      </c>
      <c r="AA109" s="17">
        <f t="shared" si="388"/>
        <v>0.95227247251698577</v>
      </c>
      <c r="AB109" s="17">
        <f t="shared" si="388"/>
        <v>0.51337647251698648</v>
      </c>
      <c r="AC109" s="17">
        <f t="shared" si="388"/>
        <v>0.73316547251698427</v>
      </c>
    </row>
    <row r="110" spans="2:29" x14ac:dyDescent="0.2">
      <c r="B110" s="7" t="s">
        <v>35</v>
      </c>
      <c r="C110" s="11">
        <f>C109/C98</f>
        <v>-0.10764991209982529</v>
      </c>
      <c r="D110" s="11">
        <f t="shared" ref="D110:K110" si="389">D109/D98</f>
        <v>1.6038550012545037E-2</v>
      </c>
      <c r="E110" s="11">
        <f t="shared" si="389"/>
        <v>1.6419057069389911E-2</v>
      </c>
      <c r="F110" s="11">
        <f t="shared" si="389"/>
        <v>1.5591376461801931E-2</v>
      </c>
      <c r="G110" s="11">
        <f t="shared" si="389"/>
        <v>-5.0641150320908997E-2</v>
      </c>
      <c r="H110" s="11">
        <f t="shared" si="389"/>
        <v>9.5322883042402218E-2</v>
      </c>
      <c r="I110" s="11">
        <f t="shared" si="389"/>
        <v>-4.8345091392695029E-3</v>
      </c>
      <c r="J110" s="11">
        <f t="shared" si="389"/>
        <v>2.9345643128235725E-2</v>
      </c>
      <c r="K110" s="11">
        <f t="shared" si="389"/>
        <v>5.7548079902644642E-2</v>
      </c>
      <c r="L110" s="25">
        <f t="shared" ref="L110:O110" si="390">L109/L98</f>
        <v>0.12270752790949213</v>
      </c>
      <c r="M110" s="25">
        <f t="shared" si="390"/>
        <v>0.14664898580820152</v>
      </c>
      <c r="N110" s="25">
        <f t="shared" si="390"/>
        <v>-0.20128264394889975</v>
      </c>
      <c r="O110" s="25">
        <f t="shared" si="390"/>
        <v>7.9823044010556898E-2</v>
      </c>
      <c r="P110" s="35"/>
      <c r="Q110" s="11">
        <f>Q109/Q98</f>
        <v>-0.10764991209982529</v>
      </c>
      <c r="R110" s="11">
        <f t="shared" ref="R110:Y110" si="391">R109/R98</f>
        <v>1.6038550012545037E-2</v>
      </c>
      <c r="S110" s="11">
        <f t="shared" si="391"/>
        <v>1.623051028160135E-2</v>
      </c>
      <c r="T110" s="11">
        <f t="shared" si="391"/>
        <v>1.6013580876289568E-2</v>
      </c>
      <c r="U110" s="11">
        <f t="shared" si="391"/>
        <v>-6.7472111612982091E-4</v>
      </c>
      <c r="V110" s="11">
        <f t="shared" si="391"/>
        <v>9.5322883042402218E-2</v>
      </c>
      <c r="W110" s="11">
        <f t="shared" si="391"/>
        <v>4.6317162005103517E-2</v>
      </c>
      <c r="X110" s="11">
        <f t="shared" si="391"/>
        <v>4.0778531145347734E-2</v>
      </c>
      <c r="Y110" s="11">
        <f t="shared" si="391"/>
        <v>4.5193773070066723E-2</v>
      </c>
      <c r="Z110" s="11">
        <f t="shared" ref="Z110:AC110" si="392">Z109/Z98</f>
        <v>0.12270752790949213</v>
      </c>
      <c r="AA110" s="11">
        <f t="shared" si="392"/>
        <v>0.13460103942724219</v>
      </c>
      <c r="AB110" s="11">
        <f t="shared" si="392"/>
        <v>5.5468533132242925E-2</v>
      </c>
      <c r="AC110" s="11">
        <f t="shared" si="392"/>
        <v>6.1052722117588672E-2</v>
      </c>
    </row>
    <row r="121" spans="4:16" x14ac:dyDescent="0.2">
      <c r="D121" s="5"/>
      <c r="E121" s="5"/>
      <c r="F121" s="5"/>
      <c r="G121" s="5"/>
      <c r="H121" s="5"/>
      <c r="I121" s="5"/>
      <c r="J121" s="5"/>
      <c r="K121" s="5"/>
      <c r="L121" s="22"/>
      <c r="M121" s="22"/>
      <c r="N121" s="22"/>
      <c r="O121" s="22"/>
      <c r="P121" s="37"/>
    </row>
    <row r="122" spans="4:16" x14ac:dyDescent="0.2">
      <c r="D122" s="5"/>
      <c r="E122" s="5"/>
      <c r="F122" s="5"/>
      <c r="G122" s="5"/>
      <c r="H122" s="5"/>
      <c r="I122" s="5"/>
      <c r="J122" s="5"/>
      <c r="K122" s="5"/>
      <c r="L122" s="22"/>
      <c r="M122" s="22"/>
      <c r="N122" s="22"/>
      <c r="O122" s="22"/>
      <c r="P122" s="37"/>
    </row>
    <row r="123" spans="4:16" x14ac:dyDescent="0.2">
      <c r="D123" s="5"/>
      <c r="E123" s="5"/>
      <c r="F123" s="5"/>
      <c r="G123" s="5"/>
      <c r="H123" s="5"/>
      <c r="I123" s="5"/>
      <c r="J123" s="5"/>
      <c r="K123" s="5"/>
      <c r="L123" s="22"/>
      <c r="M123" s="22"/>
      <c r="N123" s="22"/>
      <c r="O123" s="22"/>
      <c r="P123" s="37"/>
    </row>
    <row r="124" spans="4:16" x14ac:dyDescent="0.2">
      <c r="D124" s="5"/>
      <c r="E124" s="5"/>
      <c r="F124" s="5"/>
      <c r="G124" s="5"/>
      <c r="H124" s="5"/>
      <c r="I124" s="5"/>
      <c r="J124" s="5"/>
      <c r="K124" s="5"/>
      <c r="L124" s="22"/>
      <c r="M124" s="22"/>
      <c r="N124" s="22"/>
      <c r="O124" s="22"/>
      <c r="P124" s="37"/>
    </row>
    <row r="125" spans="4:16" x14ac:dyDescent="0.2">
      <c r="D125" s="5"/>
      <c r="E125" s="5"/>
      <c r="F125" s="5"/>
      <c r="G125" s="5"/>
      <c r="H125" s="5"/>
      <c r="I125" s="5"/>
      <c r="J125" s="5"/>
      <c r="K125" s="5"/>
      <c r="L125" s="22"/>
      <c r="M125" s="22"/>
      <c r="N125" s="22"/>
      <c r="O125" s="22"/>
      <c r="P125" s="37"/>
    </row>
    <row r="126" spans="4:16" x14ac:dyDescent="0.2">
      <c r="D126" s="5"/>
      <c r="E126" s="5"/>
      <c r="F126" s="5"/>
      <c r="G126" s="5"/>
      <c r="H126" s="5"/>
      <c r="I126" s="5"/>
      <c r="J126" s="5"/>
      <c r="K126" s="5"/>
      <c r="L126" s="22"/>
      <c r="M126" s="22"/>
      <c r="N126" s="22"/>
      <c r="O126" s="22"/>
      <c r="P126" s="37"/>
    </row>
    <row r="127" spans="4:16" x14ac:dyDescent="0.2">
      <c r="D127" s="5"/>
      <c r="E127" s="5"/>
      <c r="F127" s="5"/>
      <c r="G127" s="5"/>
      <c r="H127" s="5"/>
      <c r="I127" s="5"/>
      <c r="J127" s="5"/>
      <c r="K127" s="5"/>
      <c r="L127" s="22"/>
      <c r="M127" s="22"/>
      <c r="N127" s="22"/>
      <c r="O127" s="22"/>
      <c r="P127" s="37"/>
    </row>
    <row r="128" spans="4:16" x14ac:dyDescent="0.2">
      <c r="D128" s="5"/>
      <c r="E128" s="5"/>
      <c r="F128" s="5"/>
      <c r="G128" s="5"/>
      <c r="H128" s="5"/>
      <c r="I128" s="5"/>
      <c r="J128" s="5"/>
      <c r="K128" s="5"/>
      <c r="L128" s="22"/>
      <c r="M128" s="22"/>
      <c r="N128" s="22"/>
      <c r="O128" s="22"/>
      <c r="P128" s="37"/>
    </row>
    <row r="129" spans="4:16" x14ac:dyDescent="0.2">
      <c r="D129" s="5"/>
      <c r="E129" s="5"/>
      <c r="F129" s="5"/>
      <c r="G129" s="5"/>
      <c r="H129" s="5"/>
      <c r="I129" s="5"/>
      <c r="J129" s="5"/>
      <c r="K129" s="5"/>
      <c r="L129" s="22"/>
      <c r="M129" s="22"/>
      <c r="N129" s="22"/>
      <c r="O129" s="22"/>
      <c r="P129" s="37"/>
    </row>
    <row r="130" spans="4:16" x14ac:dyDescent="0.2">
      <c r="D130" s="5"/>
      <c r="E130" s="5"/>
      <c r="F130" s="5"/>
      <c r="G130" s="5"/>
      <c r="H130" s="5"/>
      <c r="I130" s="5"/>
      <c r="J130" s="5"/>
      <c r="K130" s="5"/>
      <c r="L130" s="22"/>
      <c r="M130" s="22"/>
      <c r="N130" s="22"/>
      <c r="O130" s="22"/>
      <c r="P130" s="37"/>
    </row>
    <row r="131" spans="4:16" x14ac:dyDescent="0.2">
      <c r="D131" s="5"/>
      <c r="E131" s="5"/>
      <c r="F131" s="5"/>
      <c r="G131" s="5"/>
      <c r="H131" s="5"/>
      <c r="I131" s="5"/>
      <c r="J131" s="5"/>
      <c r="K131" s="5"/>
      <c r="L131" s="22"/>
      <c r="M131" s="22"/>
      <c r="N131" s="22"/>
      <c r="O131" s="22"/>
      <c r="P131" s="37"/>
    </row>
    <row r="132" spans="4:16" x14ac:dyDescent="0.2">
      <c r="D132" s="5"/>
      <c r="E132" s="5"/>
      <c r="F132" s="5"/>
      <c r="G132" s="5"/>
      <c r="H132" s="5"/>
      <c r="I132" s="5"/>
      <c r="J132" s="5"/>
      <c r="K132" s="5"/>
      <c r="L132" s="22"/>
      <c r="M132" s="22"/>
      <c r="N132" s="22"/>
      <c r="O132" s="22"/>
      <c r="P132" s="37"/>
    </row>
  </sheetData>
  <mergeCells count="2">
    <mergeCell ref="C1:O1"/>
    <mergeCell ref="Q1:AC1"/>
  </mergeCells>
  <pageMargins left="0.7" right="0.7" top="0.75" bottom="0.75" header="0.3" footer="0.3"/>
  <ignoredErrors>
    <ignoredError sqref="C80:K80 Q68 Q71 Q80:U80 R65:U65 V62:V64 V66:V67 V70 V76:V79 V81:V82 V85 V90:V92 V65:W65 X65:Y65 V80:Y8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9D23D-FE36-4148-8116-AD75C4934881}">
  <dimension ref="B2:K62"/>
  <sheetViews>
    <sheetView workbookViewId="0">
      <selection activeCell="K11" sqref="K11"/>
    </sheetView>
  </sheetViews>
  <sheetFormatPr baseColWidth="10" defaultRowHeight="16" x14ac:dyDescent="0.2"/>
  <cols>
    <col min="1" max="1" width="1.83203125" style="1" bestFit="1" customWidth="1"/>
    <col min="2" max="2" width="29.83203125" style="1" bestFit="1" customWidth="1"/>
    <col min="3" max="3" width="13" style="2" bestFit="1" customWidth="1"/>
    <col min="4" max="4" width="14" style="2" bestFit="1" customWidth="1"/>
    <col min="5" max="11" width="10.6640625" style="2" bestFit="1" customWidth="1"/>
    <col min="12" max="16384" width="10.83203125" style="1"/>
  </cols>
  <sheetData>
    <row r="2" spans="2:11" x14ac:dyDescent="0.2"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1</v>
      </c>
      <c r="I2" s="2" t="s">
        <v>2</v>
      </c>
      <c r="J2" s="2" t="s">
        <v>3</v>
      </c>
      <c r="K2" s="2" t="s">
        <v>4</v>
      </c>
    </row>
    <row r="3" spans="2:11" x14ac:dyDescent="0.2">
      <c r="C3" s="2">
        <v>2022</v>
      </c>
      <c r="D3" s="2">
        <v>2023</v>
      </c>
      <c r="E3" s="2">
        <v>2023</v>
      </c>
      <c r="F3" s="2">
        <v>2023</v>
      </c>
      <c r="G3" s="2">
        <v>2023</v>
      </c>
      <c r="H3" s="2">
        <v>2024</v>
      </c>
      <c r="I3" s="2">
        <v>2024</v>
      </c>
      <c r="J3" s="2">
        <v>2024</v>
      </c>
      <c r="K3" s="2">
        <v>2024</v>
      </c>
    </row>
    <row r="5" spans="2:11" x14ac:dyDescent="0.2">
      <c r="B5" s="3" t="s">
        <v>18</v>
      </c>
    </row>
    <row r="6" spans="2:11" x14ac:dyDescent="0.2">
      <c r="B6" s="1" t="s">
        <v>6</v>
      </c>
      <c r="C6" s="6">
        <v>4322321.9274078589</v>
      </c>
      <c r="D6" s="6">
        <v>5561441.0454572691</v>
      </c>
      <c r="E6" s="6">
        <v>5578373.9400000004</v>
      </c>
      <c r="F6" s="6">
        <v>5751313.8546201847</v>
      </c>
      <c r="G6" s="6">
        <v>5784510.1174489437</v>
      </c>
      <c r="H6" s="6">
        <v>5856772.3908773307</v>
      </c>
      <c r="I6" s="6">
        <v>5658889.3651187457</v>
      </c>
      <c r="J6" s="6">
        <v>5552510.9098079102</v>
      </c>
      <c r="K6" s="6">
        <v>5631491.5806551315</v>
      </c>
    </row>
    <row r="7" spans="2:11" x14ac:dyDescent="0.2">
      <c r="B7" s="1" t="s">
        <v>7</v>
      </c>
      <c r="C7" s="6">
        <v>3861826</v>
      </c>
      <c r="D7" s="6">
        <v>1371643</v>
      </c>
      <c r="E7" s="6">
        <f>2765008-D7</f>
        <v>1393365</v>
      </c>
      <c r="F7" s="6">
        <f>4231168-E7-D7</f>
        <v>1466160</v>
      </c>
      <c r="G7" s="6">
        <f>5658330-F7-E7-D7</f>
        <v>1427162</v>
      </c>
      <c r="H7" s="6">
        <v>1526180</v>
      </c>
      <c r="I7" s="6">
        <f>2891533-H7</f>
        <v>1365353</v>
      </c>
      <c r="J7" s="6">
        <f>4226749-I7-H7</f>
        <v>1335216</v>
      </c>
      <c r="K7" s="6">
        <f>5694193-J7-I7-H7</f>
        <v>1467444</v>
      </c>
    </row>
    <row r="8" spans="2:11" x14ac:dyDescent="0.2">
      <c r="B8" s="1" t="s">
        <v>8</v>
      </c>
      <c r="C8" s="6">
        <f>C7-C9</f>
        <v>1522059</v>
      </c>
      <c r="D8" s="6">
        <f t="shared" ref="D8:K8" si="0">D7-D9</f>
        <v>585813</v>
      </c>
      <c r="E8" s="6">
        <f t="shared" si="0"/>
        <v>602225</v>
      </c>
      <c r="F8" s="6">
        <f t="shared" si="0"/>
        <v>725698</v>
      </c>
      <c r="G8" s="6">
        <f t="shared" si="0"/>
        <v>742241</v>
      </c>
      <c r="H8" s="6">
        <f t="shared" si="0"/>
        <v>744568</v>
      </c>
      <c r="I8" s="6">
        <f t="shared" si="0"/>
        <v>677396</v>
      </c>
      <c r="J8" s="6">
        <f t="shared" si="0"/>
        <v>695714</v>
      </c>
      <c r="K8" s="6">
        <f t="shared" si="0"/>
        <v>742203</v>
      </c>
    </row>
    <row r="9" spans="2:11" x14ac:dyDescent="0.2">
      <c r="B9" s="1" t="s">
        <v>9</v>
      </c>
      <c r="C9" s="6">
        <v>2339767</v>
      </c>
      <c r="D9" s="6">
        <v>785830</v>
      </c>
      <c r="E9" s="6">
        <f>1576970-D9</f>
        <v>791140</v>
      </c>
      <c r="F9" s="6">
        <f>2317432-E9-D9</f>
        <v>740462</v>
      </c>
      <c r="G9" s="6">
        <f>3002353-F9-E9-D9</f>
        <v>684921</v>
      </c>
      <c r="H9" s="6">
        <v>781612</v>
      </c>
      <c r="I9" s="6">
        <f>1469569-H9</f>
        <v>687957</v>
      </c>
      <c r="J9" s="6">
        <f>2109071-I9-H9</f>
        <v>639502</v>
      </c>
      <c r="K9" s="6">
        <f>2834312-J9-I9-H9</f>
        <v>725241</v>
      </c>
    </row>
    <row r="10" spans="2:11" s="7" customFormat="1" x14ac:dyDescent="0.2">
      <c r="B10" s="7" t="s">
        <v>10</v>
      </c>
      <c r="C10" s="4">
        <f>C8/C7</f>
        <v>0.39412935745939875</v>
      </c>
      <c r="D10" s="4">
        <f t="shared" ref="D10:K10" si="1">D8/D7</f>
        <v>0.42708853542795028</v>
      </c>
      <c r="E10" s="4">
        <f t="shared" si="1"/>
        <v>0.43220907658797231</v>
      </c>
      <c r="F10" s="4">
        <f t="shared" si="1"/>
        <v>0.49496507884541935</v>
      </c>
      <c r="G10" s="4">
        <f t="shared" si="1"/>
        <v>0.52008181271642606</v>
      </c>
      <c r="H10" s="4">
        <f t="shared" si="1"/>
        <v>0.48786381684991287</v>
      </c>
      <c r="I10" s="4">
        <f t="shared" si="1"/>
        <v>0.49613250199765191</v>
      </c>
      <c r="J10" s="4">
        <f t="shared" si="1"/>
        <v>0.52104977771386807</v>
      </c>
      <c r="K10" s="4">
        <f t="shared" si="1"/>
        <v>0.50577943689844385</v>
      </c>
    </row>
    <row r="11" spans="2:11" x14ac:dyDescent="0.2">
      <c r="B11" s="1" t="s">
        <v>21</v>
      </c>
      <c r="C11" s="6">
        <v>32070</v>
      </c>
      <c r="D11" s="6">
        <v>11316</v>
      </c>
      <c r="E11" s="6">
        <f>14100-D11</f>
        <v>2784</v>
      </c>
      <c r="F11" s="6">
        <f>114614-E11-D11</f>
        <v>100514</v>
      </c>
      <c r="G11" s="6">
        <f>145174-F11-E11-D11</f>
        <v>30560</v>
      </c>
      <c r="H11" s="6">
        <v>4432</v>
      </c>
      <c r="I11" s="6">
        <f>-246213-H11</f>
        <v>-250645</v>
      </c>
      <c r="J11" s="6">
        <f>-364102-I11-H11</f>
        <v>-117889</v>
      </c>
      <c r="K11" s="6">
        <f>-310107-J11-I11-H11</f>
        <v>53995</v>
      </c>
    </row>
    <row r="12" spans="2:11" x14ac:dyDescent="0.2">
      <c r="B12" s="1" t="s">
        <v>13</v>
      </c>
      <c r="C12" s="6">
        <v>55469</v>
      </c>
      <c r="D12" s="6">
        <v>41168</v>
      </c>
      <c r="E12" s="6">
        <f>90658-D12</f>
        <v>49490</v>
      </c>
      <c r="F12" s="6">
        <f>149339-E12-D12</f>
        <v>58681</v>
      </c>
      <c r="G12" s="6">
        <f>236365-F12-E12-D12</f>
        <v>87026</v>
      </c>
      <c r="H12" s="6">
        <v>85878</v>
      </c>
      <c r="I12" s="6">
        <f>299729-H12</f>
        <v>213851</v>
      </c>
      <c r="J12" s="6">
        <f>453708-I12-H12</f>
        <v>153979</v>
      </c>
      <c r="K12" s="6">
        <f>587637-J12-I12-H12</f>
        <v>133929</v>
      </c>
    </row>
    <row r="13" spans="2:11" x14ac:dyDescent="0.2">
      <c r="B13" s="1" t="s">
        <v>11</v>
      </c>
      <c r="C13" s="6">
        <f>C11+C12</f>
        <v>87539</v>
      </c>
      <c r="D13" s="6">
        <f t="shared" ref="D13:K13" si="2">D11+D12</f>
        <v>52484</v>
      </c>
      <c r="E13" s="6">
        <f t="shared" si="2"/>
        <v>52274</v>
      </c>
      <c r="F13" s="6">
        <f t="shared" si="2"/>
        <v>159195</v>
      </c>
      <c r="G13" s="6">
        <f t="shared" si="2"/>
        <v>117586</v>
      </c>
      <c r="H13" s="6">
        <f t="shared" si="2"/>
        <v>90310</v>
      </c>
      <c r="I13" s="6">
        <f t="shared" si="2"/>
        <v>-36794</v>
      </c>
      <c r="J13" s="6">
        <f t="shared" si="2"/>
        <v>36090</v>
      </c>
      <c r="K13" s="6">
        <f t="shared" si="2"/>
        <v>187924</v>
      </c>
    </row>
    <row r="14" spans="2:11" s="7" customFormat="1" x14ac:dyDescent="0.2">
      <c r="B14" s="7" t="s">
        <v>12</v>
      </c>
      <c r="C14" s="4">
        <f>C13/C7</f>
        <v>2.2667774260155687E-2</v>
      </c>
      <c r="D14" s="4">
        <f t="shared" ref="D14:K14" si="3">D13/D7</f>
        <v>3.8263600659938481E-2</v>
      </c>
      <c r="E14" s="4">
        <f t="shared" si="3"/>
        <v>3.7516372235559238E-2</v>
      </c>
      <c r="F14" s="4">
        <f t="shared" si="3"/>
        <v>0.1085795547552791</v>
      </c>
      <c r="G14" s="4">
        <f t="shared" si="3"/>
        <v>8.23914874415098E-2</v>
      </c>
      <c r="H14" s="4">
        <f t="shared" si="3"/>
        <v>5.9173885124952495E-2</v>
      </c>
      <c r="I14" s="4">
        <f t="shared" si="3"/>
        <v>-2.6948342296827268E-2</v>
      </c>
      <c r="J14" s="4">
        <f t="shared" si="3"/>
        <v>2.7029334579573641E-2</v>
      </c>
      <c r="K14" s="4">
        <f t="shared" si="3"/>
        <v>0.12806212707265149</v>
      </c>
    </row>
    <row r="15" spans="2:11" x14ac:dyDescent="0.2">
      <c r="B15" s="1" t="s">
        <v>15</v>
      </c>
      <c r="C15" s="6">
        <v>391446</v>
      </c>
      <c r="D15" s="6">
        <v>138930</v>
      </c>
      <c r="E15" s="6">
        <f>328143-D15</f>
        <v>189213</v>
      </c>
      <c r="F15" s="6">
        <f>513524-E15-D15</f>
        <v>185381</v>
      </c>
      <c r="G15" s="6">
        <f>763804-F15-E15-D15</f>
        <v>250280</v>
      </c>
      <c r="H15" s="6">
        <v>115667</v>
      </c>
      <c r="I15" s="6">
        <f>288218-H15</f>
        <v>172551</v>
      </c>
      <c r="J15" s="6">
        <f>383525-I15-H15</f>
        <v>95307</v>
      </c>
      <c r="K15" s="6">
        <f>612634-J15-I15-H15</f>
        <v>229109</v>
      </c>
    </row>
    <row r="16" spans="2:11" x14ac:dyDescent="0.2">
      <c r="B16" s="1" t="s">
        <v>16</v>
      </c>
      <c r="C16" s="6">
        <f>C13-C15</f>
        <v>-303907</v>
      </c>
      <c r="D16" s="6">
        <f t="shared" ref="D16:K16" si="4">D13-D15</f>
        <v>-86446</v>
      </c>
      <c r="E16" s="6">
        <f t="shared" si="4"/>
        <v>-136939</v>
      </c>
      <c r="F16" s="6">
        <f t="shared" si="4"/>
        <v>-26186</v>
      </c>
      <c r="G16" s="6">
        <f t="shared" si="4"/>
        <v>-132694</v>
      </c>
      <c r="H16" s="6">
        <f t="shared" si="4"/>
        <v>-25357</v>
      </c>
      <c r="I16" s="6">
        <f t="shared" si="4"/>
        <v>-209345</v>
      </c>
      <c r="J16" s="6">
        <f t="shared" si="4"/>
        <v>-59217</v>
      </c>
      <c r="K16" s="6">
        <f t="shared" si="4"/>
        <v>-41185</v>
      </c>
    </row>
    <row r="17" spans="2:11" s="7" customFormat="1" x14ac:dyDescent="0.2">
      <c r="B17" s="7" t="s">
        <v>17</v>
      </c>
      <c r="C17" s="4">
        <f>C16/C7</f>
        <v>-7.869515612562554E-2</v>
      </c>
      <c r="D17" s="4">
        <f t="shared" ref="D17:K17" si="5">D16/D7</f>
        <v>-6.3023687650503812E-2</v>
      </c>
      <c r="E17" s="4">
        <f t="shared" si="5"/>
        <v>-9.8279345325883741E-2</v>
      </c>
      <c r="F17" s="4">
        <f t="shared" si="5"/>
        <v>-1.7860260817373276E-2</v>
      </c>
      <c r="G17" s="4">
        <f t="shared" si="5"/>
        <v>-9.2977531632708832E-2</v>
      </c>
      <c r="H17" s="4">
        <f t="shared" si="5"/>
        <v>-1.6614685030599274E-2</v>
      </c>
      <c r="I17" s="4">
        <f t="shared" si="5"/>
        <v>-0.15332664885930597</v>
      </c>
      <c r="J17" s="4">
        <f t="shared" si="5"/>
        <v>-4.4350127619800839E-2</v>
      </c>
      <c r="K17" s="4">
        <f t="shared" si="5"/>
        <v>-2.8065806940503351E-2</v>
      </c>
    </row>
    <row r="18" spans="2:11" x14ac:dyDescent="0.2">
      <c r="C18" s="6"/>
      <c r="D18" s="6"/>
      <c r="E18" s="6"/>
      <c r="F18" s="6"/>
      <c r="G18" s="6"/>
      <c r="H18" s="6"/>
      <c r="I18" s="6"/>
      <c r="J18" s="6"/>
      <c r="K18" s="6"/>
    </row>
    <row r="19" spans="2:11" x14ac:dyDescent="0.2">
      <c r="B19" s="9" t="s">
        <v>24</v>
      </c>
      <c r="C19" s="6"/>
      <c r="D19" s="6"/>
      <c r="E19" s="6"/>
      <c r="F19" s="6"/>
      <c r="G19" s="6"/>
      <c r="H19" s="6"/>
      <c r="I19" s="6"/>
      <c r="J19" s="6"/>
      <c r="K19" s="6"/>
    </row>
    <row r="20" spans="2:11" x14ac:dyDescent="0.2">
      <c r="B20" s="1" t="s">
        <v>6</v>
      </c>
      <c r="C20" s="6">
        <v>1202138.1364285715</v>
      </c>
      <c r="D20" s="6">
        <v>1655088.3599999999</v>
      </c>
      <c r="E20" s="6">
        <v>1669958.4000000001</v>
      </c>
      <c r="F20" s="6">
        <v>1737147.7866666669</v>
      </c>
      <c r="G20" s="6">
        <v>1827912.52</v>
      </c>
      <c r="H20" s="6">
        <v>1764102.04</v>
      </c>
      <c r="I20" s="6">
        <v>1724939.6599999997</v>
      </c>
      <c r="J20" s="6">
        <v>1710701.8266666667</v>
      </c>
      <c r="K20" s="6">
        <v>1729795.3200000003</v>
      </c>
    </row>
    <row r="21" spans="2:11" x14ac:dyDescent="0.2">
      <c r="B21" s="1" t="s">
        <v>25</v>
      </c>
      <c r="C21" s="6">
        <v>1001781.78</v>
      </c>
      <c r="D21" s="6">
        <v>413772.09</v>
      </c>
      <c r="E21" s="6">
        <f>834979.2-D21</f>
        <v>421207.10999999993</v>
      </c>
      <c r="F21" s="6">
        <f>1302860.84-E21-D21</f>
        <v>467881.64000000019</v>
      </c>
      <c r="G21" s="6">
        <f>1827912.52-F21-E21-D21</f>
        <v>525051.67999999993</v>
      </c>
      <c r="H21" s="6">
        <v>441025.51</v>
      </c>
      <c r="I21" s="6">
        <f>862469.83-H21</f>
        <v>421444.31999999995</v>
      </c>
      <c r="J21" s="6">
        <f>1283026.37-I21-H21</f>
        <v>420556.54000000015</v>
      </c>
      <c r="K21" s="6">
        <f>1729795.32-J21-I21-H21</f>
        <v>446768.94999999984</v>
      </c>
    </row>
    <row r="22" spans="2:11" x14ac:dyDescent="0.2">
      <c r="B22" s="1" t="s">
        <v>21</v>
      </c>
      <c r="C22" s="6">
        <v>77716.909428571351</v>
      </c>
      <c r="D22" s="6">
        <v>29766</v>
      </c>
      <c r="E22" s="6">
        <f>43341-D22</f>
        <v>13575</v>
      </c>
      <c r="F22" s="6">
        <f>95090-E22-D22</f>
        <v>51749</v>
      </c>
      <c r="G22" s="6">
        <f>180724-F22-E22-D22</f>
        <v>85634</v>
      </c>
      <c r="H22" s="6">
        <v>4658</v>
      </c>
      <c r="I22" s="6">
        <f>91320-H22</f>
        <v>86662</v>
      </c>
      <c r="J22" s="6">
        <f>132047-I22-H22</f>
        <v>40727</v>
      </c>
      <c r="K22" s="6">
        <f>145691-J22-I22-H22</f>
        <v>13644</v>
      </c>
    </row>
    <row r="23" spans="2:11" x14ac:dyDescent="0.2">
      <c r="B23" s="1" t="s">
        <v>13</v>
      </c>
      <c r="C23" s="6">
        <v>9158.9699999999993</v>
      </c>
      <c r="D23" s="6">
        <v>2538.2399999999998</v>
      </c>
      <c r="E23" s="6">
        <f>5989.37-D23</f>
        <v>3451.13</v>
      </c>
      <c r="F23" s="6">
        <f>8087.5-E23-D23</f>
        <v>2098.13</v>
      </c>
      <c r="G23" s="6">
        <f>36283.01-F23-E23-D23</f>
        <v>28195.510000000002</v>
      </c>
      <c r="H23" s="6">
        <v>4240.53</v>
      </c>
      <c r="I23" s="6">
        <f>10127.81-H23</f>
        <v>5887.28</v>
      </c>
      <c r="J23" s="6">
        <f>19611.32-I23-H23</f>
        <v>9483.510000000002</v>
      </c>
      <c r="K23" s="6">
        <f>31600.84-J23-I23-H23</f>
        <v>11989.52</v>
      </c>
    </row>
    <row r="24" spans="2:11" x14ac:dyDescent="0.2">
      <c r="B24" s="1" t="s">
        <v>11</v>
      </c>
      <c r="C24" s="6">
        <v>107044.36514285707</v>
      </c>
      <c r="D24" s="6">
        <v>32304</v>
      </c>
      <c r="E24" s="6">
        <f>49331-D24</f>
        <v>17027</v>
      </c>
      <c r="F24" s="6">
        <f>103178-E24-D24</f>
        <v>53847</v>
      </c>
      <c r="G24" s="6">
        <f>217007-F24-E24-D24</f>
        <v>113829</v>
      </c>
      <c r="H24" s="6">
        <v>8898</v>
      </c>
      <c r="I24" s="6">
        <f>101448-H24</f>
        <v>92550</v>
      </c>
      <c r="J24" s="6">
        <f>151658-I24-H24</f>
        <v>50210</v>
      </c>
      <c r="K24" s="6">
        <f>177292-J24-I24-H24</f>
        <v>25634</v>
      </c>
    </row>
    <row r="25" spans="2:11" x14ac:dyDescent="0.2">
      <c r="B25" s="1" t="s">
        <v>15</v>
      </c>
      <c r="C25" s="6">
        <v>65684.649999999994</v>
      </c>
      <c r="D25" s="6">
        <v>23743.849999999995</v>
      </c>
      <c r="E25" s="6">
        <f>48317-D25</f>
        <v>24573.150000000005</v>
      </c>
      <c r="F25" s="6">
        <f>79352-E25-D25</f>
        <v>31034.999999999996</v>
      </c>
      <c r="G25" s="6">
        <f>108460-F25-E25-D25</f>
        <v>29107.999999999996</v>
      </c>
      <c r="H25" s="6">
        <v>24596</v>
      </c>
      <c r="I25" s="6">
        <f>52836-H25</f>
        <v>28240</v>
      </c>
      <c r="J25" s="6">
        <f>78054-I25-H25</f>
        <v>25218</v>
      </c>
      <c r="K25" s="6">
        <f>108904-J25-I25-H25</f>
        <v>30850</v>
      </c>
    </row>
    <row r="26" spans="2:11" x14ac:dyDescent="0.2">
      <c r="C26" s="6"/>
      <c r="D26" s="6"/>
      <c r="E26" s="6"/>
      <c r="F26" s="6"/>
      <c r="G26" s="6"/>
      <c r="H26" s="6"/>
      <c r="I26" s="6"/>
      <c r="J26" s="6"/>
      <c r="K26" s="6"/>
    </row>
    <row r="27" spans="2:11" x14ac:dyDescent="0.2">
      <c r="B27" s="9" t="s">
        <v>26</v>
      </c>
      <c r="C27" s="6"/>
      <c r="D27" s="6"/>
      <c r="E27" s="6"/>
      <c r="F27" s="6"/>
      <c r="G27" s="6"/>
      <c r="H27" s="6"/>
      <c r="I27" s="6"/>
      <c r="J27" s="6"/>
      <c r="K27" s="6"/>
    </row>
    <row r="28" spans="2:11" x14ac:dyDescent="0.2">
      <c r="B28" s="1" t="s">
        <v>6</v>
      </c>
      <c r="C28" s="6">
        <f t="shared" ref="C28:K28" si="6">C29*12</f>
        <v>0</v>
      </c>
      <c r="D28" s="6">
        <f t="shared" si="6"/>
        <v>866196</v>
      </c>
      <c r="E28" s="6">
        <f t="shared" si="6"/>
        <v>1159272</v>
      </c>
      <c r="F28" s="6">
        <f t="shared" si="6"/>
        <v>1601580</v>
      </c>
      <c r="G28" s="6">
        <f t="shared" si="6"/>
        <v>1536492</v>
      </c>
      <c r="H28" s="6">
        <f t="shared" si="6"/>
        <v>0</v>
      </c>
      <c r="I28" s="6">
        <f t="shared" si="6"/>
        <v>0</v>
      </c>
      <c r="J28" s="6">
        <f t="shared" si="6"/>
        <v>0</v>
      </c>
      <c r="K28" s="6">
        <f t="shared" si="6"/>
        <v>0</v>
      </c>
    </row>
    <row r="29" spans="2:11" x14ac:dyDescent="0.2">
      <c r="B29" s="1" t="s">
        <v>25</v>
      </c>
      <c r="C29" s="6">
        <v>0</v>
      </c>
      <c r="D29" s="6">
        <v>72183</v>
      </c>
      <c r="E29" s="6">
        <f>(-96606)*-1</f>
        <v>96606</v>
      </c>
      <c r="F29" s="6">
        <v>133465</v>
      </c>
      <c r="G29" s="6">
        <v>128041</v>
      </c>
      <c r="H29" s="6">
        <v>0</v>
      </c>
      <c r="I29" s="6">
        <v>0</v>
      </c>
      <c r="J29" s="6">
        <v>0</v>
      </c>
      <c r="K29" s="6">
        <v>0</v>
      </c>
    </row>
    <row r="30" spans="2:11" x14ac:dyDescent="0.2">
      <c r="B30" s="1" t="s">
        <v>21</v>
      </c>
      <c r="C30" s="6">
        <v>0</v>
      </c>
      <c r="D30" s="6">
        <f>D29</f>
        <v>72183</v>
      </c>
      <c r="E30" s="6">
        <f t="shared" ref="E30:G30" si="7">E29</f>
        <v>96606</v>
      </c>
      <c r="F30" s="6">
        <f t="shared" si="7"/>
        <v>133465</v>
      </c>
      <c r="G30" s="6">
        <f t="shared" si="7"/>
        <v>128041</v>
      </c>
      <c r="H30" s="6">
        <v>-40215</v>
      </c>
      <c r="I30" s="6">
        <v>-40215</v>
      </c>
      <c r="J30" s="6">
        <v>-40215</v>
      </c>
      <c r="K30" s="6">
        <v>0</v>
      </c>
    </row>
    <row r="31" spans="2:11" x14ac:dyDescent="0.2">
      <c r="B31" s="1" t="s">
        <v>13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</row>
    <row r="32" spans="2:11" x14ac:dyDescent="0.2">
      <c r="B32" s="1" t="s">
        <v>11</v>
      </c>
      <c r="C32" s="6">
        <v>0</v>
      </c>
      <c r="D32" s="6">
        <f>D30</f>
        <v>72183</v>
      </c>
      <c r="E32" s="6">
        <f t="shared" ref="E32:G32" si="8">E30</f>
        <v>96606</v>
      </c>
      <c r="F32" s="6">
        <f t="shared" si="8"/>
        <v>133465</v>
      </c>
      <c r="G32" s="6">
        <f t="shared" si="8"/>
        <v>128041</v>
      </c>
      <c r="H32" s="6">
        <v>40215</v>
      </c>
      <c r="I32" s="6">
        <v>40215</v>
      </c>
      <c r="J32" s="6">
        <v>40215</v>
      </c>
      <c r="K32" s="6">
        <v>0</v>
      </c>
    </row>
    <row r="33" spans="2:11" x14ac:dyDescent="0.2">
      <c r="B33" s="1" t="s">
        <v>15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</row>
    <row r="34" spans="2:11" x14ac:dyDescent="0.2">
      <c r="C34" s="6"/>
      <c r="D34" s="6"/>
      <c r="E34" s="6"/>
      <c r="F34" s="6"/>
      <c r="G34" s="6"/>
      <c r="H34" s="6"/>
      <c r="I34" s="6"/>
      <c r="J34" s="6"/>
      <c r="K34" s="6"/>
    </row>
    <row r="35" spans="2:11" x14ac:dyDescent="0.2">
      <c r="B35" s="9" t="s">
        <v>27</v>
      </c>
      <c r="C35" s="6"/>
      <c r="D35" s="6"/>
      <c r="E35" s="6"/>
      <c r="F35" s="6"/>
      <c r="G35" s="6"/>
      <c r="H35" s="6"/>
      <c r="I35" s="6"/>
      <c r="J35" s="6"/>
      <c r="K35" s="6"/>
    </row>
    <row r="36" spans="2:11" x14ac:dyDescent="0.2">
      <c r="B36" s="1" t="s">
        <v>6</v>
      </c>
      <c r="C36" s="6">
        <v>740923.96251774998</v>
      </c>
      <c r="D36" s="6">
        <f t="shared" ref="D36:G36" si="9">D37*4</f>
        <v>1451897.0378933973</v>
      </c>
      <c r="E36" s="6">
        <f t="shared" si="9"/>
        <v>1180497.7643411839</v>
      </c>
      <c r="F36" s="6">
        <f t="shared" si="9"/>
        <v>1030367.2713840167</v>
      </c>
      <c r="G36" s="6">
        <f t="shared" si="9"/>
        <v>968285.33340772812</v>
      </c>
      <c r="H36" s="6">
        <f>H37*4</f>
        <v>858368.11317023053</v>
      </c>
      <c r="I36" s="6">
        <f>I37*4</f>
        <v>870667.42352227366</v>
      </c>
      <c r="J36" s="6">
        <f>J37*4</f>
        <v>724913.1746679123</v>
      </c>
      <c r="K36" s="6">
        <f>K37*4</f>
        <v>710932.75373681262</v>
      </c>
    </row>
    <row r="37" spans="2:11" x14ac:dyDescent="0.2">
      <c r="B37" s="1" t="s">
        <v>25</v>
      </c>
      <c r="C37" s="6">
        <v>740923.96251774998</v>
      </c>
      <c r="D37" s="6">
        <v>362974.25947334932</v>
      </c>
      <c r="E37" s="6">
        <v>295124.44108529598</v>
      </c>
      <c r="F37" s="6">
        <v>257591.81784600418</v>
      </c>
      <c r="G37" s="6">
        <v>242071.33335193203</v>
      </c>
      <c r="H37" s="6">
        <v>214592.02829255763</v>
      </c>
      <c r="I37" s="6">
        <v>217666.85588056842</v>
      </c>
      <c r="J37" s="6">
        <v>181228.29366697808</v>
      </c>
      <c r="K37" s="6">
        <v>177733.18843420316</v>
      </c>
    </row>
    <row r="38" spans="2:11" x14ac:dyDescent="0.2">
      <c r="B38" s="1" t="s">
        <v>21</v>
      </c>
      <c r="C38" s="6">
        <v>146742.68923553574</v>
      </c>
      <c r="D38" s="6">
        <v>-4805.2716356565761</v>
      </c>
      <c r="E38" s="6">
        <v>-55211.735288564218</v>
      </c>
      <c r="F38" s="6">
        <v>-8408.0739171888745</v>
      </c>
      <c r="G38" s="6">
        <v>-15983.795479691764</v>
      </c>
      <c r="H38" s="6">
        <v>-26845.691755993234</v>
      </c>
      <c r="I38" s="6">
        <v>-25079.774838399389</v>
      </c>
      <c r="J38" s="6">
        <v>-27614.778491867175</v>
      </c>
      <c r="K38" s="6">
        <v>-23145.138854849414</v>
      </c>
    </row>
    <row r="39" spans="2:11" x14ac:dyDescent="0.2">
      <c r="B39" s="1" t="s">
        <v>13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</row>
    <row r="40" spans="2:11" x14ac:dyDescent="0.2">
      <c r="B40" s="1" t="s">
        <v>11</v>
      </c>
      <c r="C40" s="6">
        <f>C38</f>
        <v>146742.68923553574</v>
      </c>
      <c r="D40" s="6">
        <f t="shared" ref="D40:G40" si="10">D38</f>
        <v>-4805.2716356565761</v>
      </c>
      <c r="E40" s="6">
        <f t="shared" si="10"/>
        <v>-55211.735288564218</v>
      </c>
      <c r="F40" s="6">
        <f t="shared" si="10"/>
        <v>-8408.0739171888745</v>
      </c>
      <c r="G40" s="6">
        <f t="shared" si="10"/>
        <v>-15983.795479691764</v>
      </c>
      <c r="H40" s="6">
        <f>H38</f>
        <v>-26845.691755993234</v>
      </c>
      <c r="I40" s="6">
        <f t="shared" ref="I40:K40" si="11">I38</f>
        <v>-25079.774838399389</v>
      </c>
      <c r="J40" s="6">
        <f t="shared" si="11"/>
        <v>-27614.778491867175</v>
      </c>
      <c r="K40" s="6">
        <f t="shared" si="11"/>
        <v>-23145.138854849414</v>
      </c>
    </row>
    <row r="41" spans="2:11" x14ac:dyDescent="0.2">
      <c r="B41" s="1" t="s">
        <v>15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</row>
    <row r="42" spans="2:11" x14ac:dyDescent="0.2">
      <c r="C42" s="6"/>
      <c r="D42" s="6"/>
      <c r="E42" s="6"/>
      <c r="F42" s="6"/>
      <c r="G42" s="6"/>
      <c r="H42" s="6"/>
      <c r="I42" s="6"/>
      <c r="J42" s="6"/>
      <c r="K42" s="6"/>
    </row>
    <row r="43" spans="2:11" x14ac:dyDescent="0.2">
      <c r="B43" s="3" t="s">
        <v>18</v>
      </c>
      <c r="C43" s="6"/>
      <c r="D43" s="6"/>
      <c r="E43" s="6"/>
      <c r="F43" s="6"/>
      <c r="G43" s="6"/>
      <c r="H43" s="6"/>
      <c r="I43" s="6"/>
      <c r="J43" s="6"/>
      <c r="K43" s="6"/>
    </row>
    <row r="44" spans="2:11" x14ac:dyDescent="0.2">
      <c r="B44" s="1" t="s">
        <v>6</v>
      </c>
      <c r="C44" s="6">
        <f>C6-C20-C28-C36</f>
        <v>2379259.8284615376</v>
      </c>
      <c r="D44" s="6">
        <f t="shared" ref="D44:K44" si="12">D6-D20-D28-D36</f>
        <v>1588259.6475638719</v>
      </c>
      <c r="E44" s="6">
        <f t="shared" si="12"/>
        <v>1568645.7756588161</v>
      </c>
      <c r="F44" s="6">
        <f t="shared" si="12"/>
        <v>1382218.796569501</v>
      </c>
      <c r="G44" s="6">
        <f t="shared" si="12"/>
        <v>1451820.2640412156</v>
      </c>
      <c r="H44" s="6">
        <f t="shared" si="12"/>
        <v>3234302.2377070999</v>
      </c>
      <c r="I44" s="6">
        <f t="shared" si="12"/>
        <v>3063282.2815964725</v>
      </c>
      <c r="J44" s="6">
        <f t="shared" si="12"/>
        <v>3116895.9084733315</v>
      </c>
      <c r="K44" s="6">
        <f t="shared" si="12"/>
        <v>3190763.5069183186</v>
      </c>
    </row>
    <row r="45" spans="2:11" x14ac:dyDescent="0.2">
      <c r="B45" s="1" t="s">
        <v>23</v>
      </c>
      <c r="C45" s="6">
        <v>780415.52922167303</v>
      </c>
      <c r="D45" s="6">
        <v>688167.03735887934</v>
      </c>
      <c r="E45" s="6">
        <v>706117.43554963171</v>
      </c>
      <c r="F45" s="6">
        <v>888023.31460373919</v>
      </c>
      <c r="G45" s="6">
        <v>883265.79310495453</v>
      </c>
      <c r="H45" s="6">
        <v>966225.73869264079</v>
      </c>
      <c r="I45" s="6">
        <v>994812.60073056957</v>
      </c>
      <c r="J45" s="6">
        <v>1029714.2662066348</v>
      </c>
      <c r="K45" s="6">
        <v>1067384.1980645156</v>
      </c>
    </row>
    <row r="46" spans="2:11" x14ac:dyDescent="0.2">
      <c r="B46" s="1" t="s">
        <v>7</v>
      </c>
      <c r="C46" s="6">
        <f>C7-C21-C29-C37</f>
        <v>2119120.2574822498</v>
      </c>
      <c r="D46" s="6">
        <f>D7-D21-D29-D37</f>
        <v>522713.6505266506</v>
      </c>
      <c r="E46" s="6">
        <f t="shared" ref="E46:K46" si="13">E7-E21-E29-E37</f>
        <v>580427.44891470415</v>
      </c>
      <c r="F46" s="6">
        <f t="shared" si="13"/>
        <v>607221.54215399572</v>
      </c>
      <c r="G46" s="6">
        <f t="shared" si="13"/>
        <v>531997.98664806806</v>
      </c>
      <c r="H46" s="6">
        <f t="shared" si="13"/>
        <v>870562.4617074423</v>
      </c>
      <c r="I46" s="6">
        <f>I7-I21-I29-I37</f>
        <v>726241.82411943167</v>
      </c>
      <c r="J46" s="6">
        <f t="shared" si="13"/>
        <v>733431.16633302183</v>
      </c>
      <c r="K46" s="6">
        <f>K7-K21-K29-K37</f>
        <v>842941.86156579701</v>
      </c>
    </row>
    <row r="47" spans="2:11" x14ac:dyDescent="0.2">
      <c r="B47" s="1" t="s">
        <v>8</v>
      </c>
      <c r="C47" s="6">
        <f>C8-C21</f>
        <v>520277.22</v>
      </c>
      <c r="D47" s="6">
        <f t="shared" ref="D47:K47" si="14">D8-D21</f>
        <v>172040.90999999997</v>
      </c>
      <c r="E47" s="6">
        <f t="shared" si="14"/>
        <v>181017.89000000007</v>
      </c>
      <c r="F47" s="6">
        <f t="shared" si="14"/>
        <v>257816.35999999981</v>
      </c>
      <c r="G47" s="6">
        <f t="shared" si="14"/>
        <v>217189.32000000007</v>
      </c>
      <c r="H47" s="6">
        <f t="shared" si="14"/>
        <v>303542.49</v>
      </c>
      <c r="I47" s="6">
        <f t="shared" si="14"/>
        <v>255951.68000000005</v>
      </c>
      <c r="J47" s="6">
        <f t="shared" si="14"/>
        <v>275157.45999999985</v>
      </c>
      <c r="K47" s="6">
        <f>K8-K21</f>
        <v>295434.05000000016</v>
      </c>
    </row>
    <row r="48" spans="2:11" x14ac:dyDescent="0.2">
      <c r="B48" s="1" t="s">
        <v>9</v>
      </c>
      <c r="C48" s="6">
        <f>C46-C47</f>
        <v>1598843.0374822498</v>
      </c>
      <c r="D48" s="6">
        <f t="shared" ref="D48:K48" si="15">D46-D47</f>
        <v>350672.74052665062</v>
      </c>
      <c r="E48" s="6">
        <f t="shared" si="15"/>
        <v>399409.55891470407</v>
      </c>
      <c r="F48" s="6">
        <f t="shared" si="15"/>
        <v>349405.18215399591</v>
      </c>
      <c r="G48" s="6">
        <f t="shared" si="15"/>
        <v>314808.666648068</v>
      </c>
      <c r="H48" s="6">
        <f t="shared" si="15"/>
        <v>567019.97170744231</v>
      </c>
      <c r="I48" s="6">
        <f t="shared" si="15"/>
        <v>470290.14411943161</v>
      </c>
      <c r="J48" s="6">
        <f t="shared" si="15"/>
        <v>458273.70633302198</v>
      </c>
      <c r="K48" s="6">
        <f t="shared" si="15"/>
        <v>547507.81156579684</v>
      </c>
    </row>
    <row r="49" spans="2:11" s="7" customFormat="1" x14ac:dyDescent="0.2">
      <c r="B49" s="7" t="s">
        <v>10</v>
      </c>
      <c r="C49" s="4">
        <f>C47/C46</f>
        <v>0.24551566536301583</v>
      </c>
      <c r="D49" s="4">
        <f t="shared" ref="D49:K49" si="16">D47/D46</f>
        <v>0.32913031796025088</v>
      </c>
      <c r="E49" s="4">
        <f t="shared" si="16"/>
        <v>0.31186996813894874</v>
      </c>
      <c r="F49" s="4">
        <f t="shared" si="16"/>
        <v>0.42458368503437538</v>
      </c>
      <c r="G49" s="4">
        <f t="shared" si="16"/>
        <v>0.40825214653242103</v>
      </c>
      <c r="H49" s="4">
        <f t="shared" si="16"/>
        <v>0.34867399336821769</v>
      </c>
      <c r="I49" s="4">
        <f t="shared" si="16"/>
        <v>0.35243313108597335</v>
      </c>
      <c r="J49" s="4">
        <f t="shared" si="16"/>
        <v>0.37516466797521092</v>
      </c>
      <c r="K49" s="4">
        <f t="shared" si="16"/>
        <v>0.35047974655241348</v>
      </c>
    </row>
    <row r="50" spans="2:11" x14ac:dyDescent="0.2">
      <c r="B50" s="1" t="s">
        <v>21</v>
      </c>
      <c r="C50" s="6">
        <f>C11-C22-C30-C38</f>
        <v>-192389.59866410709</v>
      </c>
      <c r="D50" s="6">
        <f t="shared" ref="D50:K50" si="17">D11-D22-D30-D38</f>
        <v>-85827.72836434342</v>
      </c>
      <c r="E50" s="6">
        <f t="shared" si="17"/>
        <v>-52185.264711435782</v>
      </c>
      <c r="F50" s="6">
        <f t="shared" si="17"/>
        <v>-76291.926082811129</v>
      </c>
      <c r="G50" s="6">
        <f t="shared" si="17"/>
        <v>-167131.20452030824</v>
      </c>
      <c r="H50" s="6">
        <f t="shared" si="17"/>
        <v>66834.691755993234</v>
      </c>
      <c r="I50" s="6">
        <f>I11-I22-I30-I38</f>
        <v>-272012.22516160063</v>
      </c>
      <c r="J50" s="6">
        <f t="shared" si="17"/>
        <v>-90786.221508132818</v>
      </c>
      <c r="K50" s="6">
        <f t="shared" si="17"/>
        <v>63496.138854849414</v>
      </c>
    </row>
    <row r="51" spans="2:11" x14ac:dyDescent="0.2">
      <c r="B51" s="1" t="s">
        <v>13</v>
      </c>
      <c r="C51" s="6">
        <f>C12-C23</f>
        <v>46310.03</v>
      </c>
      <c r="D51" s="6">
        <f t="shared" ref="D51:K51" si="18">D12-D23</f>
        <v>38629.760000000002</v>
      </c>
      <c r="E51" s="6">
        <f t="shared" si="18"/>
        <v>46038.87</v>
      </c>
      <c r="F51" s="6">
        <f>F12-F23</f>
        <v>56582.87</v>
      </c>
      <c r="G51" s="6">
        <f t="shared" si="18"/>
        <v>58830.49</v>
      </c>
      <c r="H51" s="6">
        <f t="shared" si="18"/>
        <v>81637.47</v>
      </c>
      <c r="I51" s="6">
        <f t="shared" si="18"/>
        <v>207963.72</v>
      </c>
      <c r="J51" s="6">
        <f t="shared" si="18"/>
        <v>144495.49</v>
      </c>
      <c r="K51" s="6">
        <f t="shared" si="18"/>
        <v>121939.48</v>
      </c>
    </row>
    <row r="52" spans="2:11" x14ac:dyDescent="0.2">
      <c r="B52" s="1" t="s">
        <v>11</v>
      </c>
      <c r="C52" s="6">
        <f>C50+C51</f>
        <v>-146079.56866410709</v>
      </c>
      <c r="D52" s="6">
        <f t="shared" ref="D52:K52" si="19">D50+D51</f>
        <v>-47197.968364343418</v>
      </c>
      <c r="E52" s="6">
        <f t="shared" si="19"/>
        <v>-6146.3947114357798</v>
      </c>
      <c r="F52" s="6">
        <f>F50+F51</f>
        <v>-19709.056082811127</v>
      </c>
      <c r="G52" s="6">
        <f t="shared" si="19"/>
        <v>-108300.71452030825</v>
      </c>
      <c r="H52" s="6">
        <f t="shared" si="19"/>
        <v>148472.16175599323</v>
      </c>
      <c r="I52" s="6">
        <f t="shared" si="19"/>
        <v>-64048.505161600624</v>
      </c>
      <c r="J52" s="6">
        <f t="shared" si="19"/>
        <v>53709.268491867173</v>
      </c>
      <c r="K52" s="6">
        <f t="shared" si="19"/>
        <v>185435.61885484942</v>
      </c>
    </row>
    <row r="53" spans="2:11" s="7" customFormat="1" x14ac:dyDescent="0.2">
      <c r="B53" s="7" t="s">
        <v>12</v>
      </c>
      <c r="C53" s="4">
        <f>C52/C46</f>
        <v>-6.8934062683948791E-2</v>
      </c>
      <c r="D53" s="4">
        <f t="shared" ref="D53:K53" si="20">D52/D46</f>
        <v>-9.0294118618846023E-2</v>
      </c>
      <c r="E53" s="4">
        <f t="shared" si="20"/>
        <v>-1.058942805501091E-2</v>
      </c>
      <c r="F53" s="4">
        <f t="shared" si="20"/>
        <v>-3.2457768235456916E-2</v>
      </c>
      <c r="G53" s="4">
        <f t="shared" si="20"/>
        <v>-0.20357354207799339</v>
      </c>
      <c r="H53" s="4">
        <f t="shared" si="20"/>
        <v>0.17054739698377688</v>
      </c>
      <c r="I53" s="4">
        <f t="shared" si="20"/>
        <v>-8.8191705619900709E-2</v>
      </c>
      <c r="J53" s="4">
        <f t="shared" si="20"/>
        <v>7.3230142046458849E-2</v>
      </c>
      <c r="K53" s="4">
        <f t="shared" si="20"/>
        <v>0.21998624971643432</v>
      </c>
    </row>
    <row r="54" spans="2:11" x14ac:dyDescent="0.2">
      <c r="B54" s="1" t="s">
        <v>15</v>
      </c>
      <c r="C54" s="6">
        <f>C15-C25</f>
        <v>325761.34999999998</v>
      </c>
      <c r="D54" s="6">
        <f t="shared" ref="D54:K54" si="21">D15-D25</f>
        <v>115186.15000000001</v>
      </c>
      <c r="E54" s="6">
        <f t="shared" si="21"/>
        <v>164639.85</v>
      </c>
      <c r="F54" s="6">
        <f t="shared" si="21"/>
        <v>154346</v>
      </c>
      <c r="G54" s="6">
        <f t="shared" si="21"/>
        <v>221172</v>
      </c>
      <c r="H54" s="6">
        <f t="shared" si="21"/>
        <v>91071</v>
      </c>
      <c r="I54" s="6">
        <f t="shared" si="21"/>
        <v>144311</v>
      </c>
      <c r="J54" s="6">
        <f t="shared" si="21"/>
        <v>70089</v>
      </c>
      <c r="K54" s="6">
        <f t="shared" si="21"/>
        <v>198259</v>
      </c>
    </row>
    <row r="55" spans="2:11" x14ac:dyDescent="0.2">
      <c r="B55" s="1" t="s">
        <v>16</v>
      </c>
      <c r="C55" s="6">
        <f>C52-C54</f>
        <v>-471840.9186641071</v>
      </c>
      <c r="D55" s="6">
        <f t="shared" ref="D55:K55" si="22">D52-D54</f>
        <v>-162384.11836434342</v>
      </c>
      <c r="E55" s="6">
        <f t="shared" si="22"/>
        <v>-170786.24471143578</v>
      </c>
      <c r="F55" s="6">
        <f t="shared" si="22"/>
        <v>-174055.05608281112</v>
      </c>
      <c r="G55" s="6">
        <f t="shared" si="22"/>
        <v>-329472.71452030825</v>
      </c>
      <c r="H55" s="6">
        <f t="shared" si="22"/>
        <v>57401.161755993235</v>
      </c>
      <c r="I55" s="6">
        <f t="shared" si="22"/>
        <v>-208359.50516160062</v>
      </c>
      <c r="J55" s="6">
        <f t="shared" si="22"/>
        <v>-16379.731508132827</v>
      </c>
      <c r="K55" s="6">
        <f t="shared" si="22"/>
        <v>-12823.381145150575</v>
      </c>
    </row>
    <row r="56" spans="2:11" s="7" customFormat="1" x14ac:dyDescent="0.2">
      <c r="B56" s="7" t="s">
        <v>17</v>
      </c>
      <c r="C56" s="4">
        <f>C55/C46</f>
        <v>-0.22265886846115401</v>
      </c>
      <c r="D56" s="4">
        <f t="shared" ref="D56:K56" si="23">D55/D46</f>
        <v>-0.31065597426188557</v>
      </c>
      <c r="E56" s="4">
        <f t="shared" si="23"/>
        <v>-0.29424219173434268</v>
      </c>
      <c r="F56" s="4">
        <f t="shared" si="23"/>
        <v>-0.28664176746000475</v>
      </c>
      <c r="G56" s="4">
        <f t="shared" si="23"/>
        <v>-0.61931195754367374</v>
      </c>
      <c r="H56" s="4">
        <f t="shared" si="23"/>
        <v>6.5935718895358528E-2</v>
      </c>
      <c r="I56" s="4">
        <f t="shared" si="23"/>
        <v>-0.28690099942155844</v>
      </c>
      <c r="J56" s="4">
        <f t="shared" si="23"/>
        <v>-2.2333018093609953E-2</v>
      </c>
      <c r="K56" s="4">
        <f t="shared" si="23"/>
        <v>-1.5212651939400246E-2</v>
      </c>
    </row>
    <row r="58" spans="2:11" x14ac:dyDescent="0.2">
      <c r="B58" s="3" t="s">
        <v>29</v>
      </c>
    </row>
    <row r="59" spans="2:11" x14ac:dyDescent="0.2">
      <c r="B59" s="1" t="s">
        <v>30</v>
      </c>
      <c r="C59" s="5">
        <v>1590534.57429804</v>
      </c>
      <c r="D59" s="6">
        <v>654546.41202459799</v>
      </c>
      <c r="E59" s="6">
        <v>631046.83812245831</v>
      </c>
      <c r="F59" s="6">
        <v>609013.81486527796</v>
      </c>
      <c r="G59" s="6">
        <v>578724.7393316552</v>
      </c>
      <c r="H59" s="6">
        <v>601252.64557830337</v>
      </c>
      <c r="I59" s="6">
        <v>583454.76505610894</v>
      </c>
      <c r="J59" s="6">
        <v>527324.96519301366</v>
      </c>
      <c r="K59" s="6">
        <v>537581.870624754</v>
      </c>
    </row>
    <row r="60" spans="2:11" x14ac:dyDescent="0.2">
      <c r="B60" s="1" t="s">
        <v>31</v>
      </c>
      <c r="C60" s="6">
        <f>C37+C29</f>
        <v>740923.96251774998</v>
      </c>
      <c r="D60" s="6">
        <f t="shared" ref="D60:K60" si="24">D37+D29</f>
        <v>435157.25947334932</v>
      </c>
      <c r="E60" s="6">
        <f t="shared" si="24"/>
        <v>391730.44108529598</v>
      </c>
      <c r="F60" s="6">
        <f t="shared" si="24"/>
        <v>391056.81784600415</v>
      </c>
      <c r="G60" s="6">
        <f t="shared" si="24"/>
        <v>370112.333351932</v>
      </c>
      <c r="H60" s="6">
        <f t="shared" si="24"/>
        <v>214592.02829255763</v>
      </c>
      <c r="I60" s="6">
        <f t="shared" si="24"/>
        <v>217666.85588056842</v>
      </c>
      <c r="J60" s="6">
        <f t="shared" si="24"/>
        <v>181228.29366697808</v>
      </c>
      <c r="K60" s="6">
        <f t="shared" si="24"/>
        <v>177733.18843420316</v>
      </c>
    </row>
    <row r="61" spans="2:11" x14ac:dyDescent="0.2">
      <c r="B61" s="1" t="s">
        <v>32</v>
      </c>
      <c r="C61" s="6">
        <f>C59-C60</f>
        <v>849610.61178029003</v>
      </c>
      <c r="D61" s="6">
        <f t="shared" ref="D61:K61" si="25">D59-D60</f>
        <v>219389.15255124867</v>
      </c>
      <c r="E61" s="6">
        <f t="shared" si="25"/>
        <v>239316.39703716233</v>
      </c>
      <c r="F61" s="6">
        <f t="shared" si="25"/>
        <v>217956.99701927381</v>
      </c>
      <c r="G61" s="6">
        <f t="shared" si="25"/>
        <v>208612.4059797232</v>
      </c>
      <c r="H61" s="6">
        <f t="shared" si="25"/>
        <v>386660.61728574574</v>
      </c>
      <c r="I61" s="6">
        <f t="shared" si="25"/>
        <v>365787.90917554055</v>
      </c>
      <c r="J61" s="6">
        <f t="shared" si="25"/>
        <v>346096.67152603558</v>
      </c>
      <c r="K61" s="6">
        <f t="shared" si="25"/>
        <v>359848.68219055084</v>
      </c>
    </row>
    <row r="62" spans="2:11" x14ac:dyDescent="0.2">
      <c r="B62" s="1" t="s">
        <v>33</v>
      </c>
      <c r="C62" s="19">
        <f>C61/1000000</f>
        <v>0.84961061178029007</v>
      </c>
      <c r="D62" s="19">
        <f t="shared" ref="D62:K62" si="26">D61/1000000</f>
        <v>0.21938915255124866</v>
      </c>
      <c r="E62" s="19">
        <f t="shared" si="26"/>
        <v>0.23931639703716234</v>
      </c>
      <c r="F62" s="19">
        <f t="shared" si="26"/>
        <v>0.21795699701927382</v>
      </c>
      <c r="G62" s="19">
        <f t="shared" si="26"/>
        <v>0.20861240597972319</v>
      </c>
      <c r="H62" s="19">
        <f t="shared" si="26"/>
        <v>0.38666061728574574</v>
      </c>
      <c r="I62" s="19">
        <f t="shared" si="26"/>
        <v>0.36578790917554055</v>
      </c>
      <c r="J62" s="19">
        <f t="shared" si="26"/>
        <v>0.34609667152603557</v>
      </c>
      <c r="K62" s="19">
        <f t="shared" si="26"/>
        <v>0.35984868219055083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 pro-forma</vt:lpstr>
      <vt:lpstr>Wellness pro-forma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Poulter</dc:creator>
  <cp:lastModifiedBy>Prem Goyal</cp:lastModifiedBy>
  <dcterms:created xsi:type="dcterms:W3CDTF">2025-06-25T14:47:49Z</dcterms:created>
  <dcterms:modified xsi:type="dcterms:W3CDTF">2025-08-29T16:39:06Z</dcterms:modified>
</cp:coreProperties>
</file>